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ERSONAL\PORTFOLIO\DATA VISUALIZATION PROJECTS\EXCEL - FINANCIAL MODELING\"/>
    </mc:Choice>
  </mc:AlternateContent>
  <xr:revisionPtr revIDLastSave="0" documentId="13_ncr:1_{D4265599-3710-487F-B735-51B83C451D64}" xr6:coauthVersionLast="47" xr6:coauthVersionMax="47" xr10:uidLastSave="{00000000-0000-0000-0000-000000000000}"/>
  <bookViews>
    <workbookView xWindow="-108" yWindow="-108" windowWidth="23256" windowHeight="12576" activeTab="4" xr2:uid="{2FD5B48F-AFC7-499C-B87D-1E7CA9069E6E}"/>
  </bookViews>
  <sheets>
    <sheet name="Financials" sheetId="2" r:id="rId1"/>
    <sheet name="Final Table" sheetId="17" r:id="rId2"/>
    <sheet name="Sheet15" sheetId="22" r:id="rId3"/>
    <sheet name="Assumptions" sheetId="1" r:id="rId4"/>
    <sheet name="Revenue" sheetId="3" r:id="rId5"/>
    <sheet name="Cost" sheetId="4" r:id="rId6"/>
    <sheet name="P&amp;L" sheetId="5" r:id="rId7"/>
    <sheet name="Cash Statement" sheetId="6" r:id="rId8"/>
    <sheet name="Month Year Segment Product" sheetId="16" r:id="rId9"/>
    <sheet name="Month Year Segment" sheetId="15" r:id="rId10"/>
    <sheet name="MonthYearTable" sheetId="11" r:id="rId11"/>
    <sheet name="CountryTable" sheetId="12" r:id="rId12"/>
    <sheet name="SegmentTable" sheetId="13" r:id="rId13"/>
    <sheet name="ProductTable" sheetId="14" r:id="rId14"/>
    <sheet name="Sheet10" sheetId="10" r:id="rId15"/>
    <sheet name="Unified Data Sheet" sheetId="8" r:id="rId16"/>
  </sheets>
  <definedNames>
    <definedName name="ExternalData_1" localSheetId="11" hidden="1">'CountryTable'!$A$1:$B$6</definedName>
    <definedName name="ExternalData_1" localSheetId="10" hidden="1">MonthYearTable!$A$1:$D$17</definedName>
    <definedName name="ExternalData_1" localSheetId="13" hidden="1">ProductTable!$A$1:$B$6</definedName>
    <definedName name="ExternalData_1" localSheetId="12" hidden="1">SegmentTable!$A$1:$B$6</definedName>
    <definedName name="ExternalData_2" localSheetId="9" hidden="1">'Month Year Segment'!$A$1:$E$81</definedName>
    <definedName name="ExternalData_3" localSheetId="8" hidden="1">'Month Year Segment Product'!$A$1:$F$401</definedName>
    <definedName name="ExternalData_4" localSheetId="1" hidden="1">'Final Table'!$A$1:$G$2001</definedName>
    <definedName name="Slicer_Country">#N/A</definedName>
    <definedName name="Slicer_Product">#N/A</definedName>
    <definedName name="Slicer_Segment">#N/A</definedName>
    <definedName name="Slicer_Year">#N/A</definedName>
  </definedNames>
  <calcPr calcId="191029"/>
  <pivotCaches>
    <pivotCache cacheId="219" r:id="rId17"/>
  </pivotCaches>
  <extLs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17" l="1"/>
  <c r="V3" i="17"/>
  <c r="V4" i="17"/>
  <c r="V5" i="17"/>
  <c r="V6" i="17"/>
  <c r="V7" i="17"/>
  <c r="V8" i="17"/>
  <c r="V9" i="17"/>
  <c r="V10" i="17"/>
  <c r="V11" i="17"/>
  <c r="V12" i="17"/>
  <c r="V13" i="17"/>
  <c r="V14" i="17"/>
  <c r="V15" i="17"/>
  <c r="V16" i="17"/>
  <c r="V17" i="17"/>
  <c r="V18" i="17"/>
  <c r="V19" i="17"/>
  <c r="V20" i="17"/>
  <c r="V21" i="17"/>
  <c r="V22" i="17"/>
  <c r="V23" i="17"/>
  <c r="V24" i="17"/>
  <c r="V25" i="17"/>
  <c r="V26" i="17"/>
  <c r="V27" i="17"/>
  <c r="V28" i="17"/>
  <c r="V29" i="17"/>
  <c r="V30" i="17"/>
  <c r="V31" i="17"/>
  <c r="V32" i="17"/>
  <c r="V33" i="17"/>
  <c r="V34" i="17"/>
  <c r="V35" i="17"/>
  <c r="V36" i="17"/>
  <c r="V37" i="17"/>
  <c r="V38" i="17"/>
  <c r="V39" i="17"/>
  <c r="V40" i="17"/>
  <c r="V41" i="17"/>
  <c r="V42" i="17"/>
  <c r="V43" i="17"/>
  <c r="V44" i="17"/>
  <c r="V45" i="17"/>
  <c r="V46" i="17"/>
  <c r="V47" i="17"/>
  <c r="V48" i="17"/>
  <c r="V49" i="17"/>
  <c r="V50" i="17"/>
  <c r="V51" i="17"/>
  <c r="V52" i="17"/>
  <c r="V53" i="17"/>
  <c r="V54" i="17"/>
  <c r="V55" i="17"/>
  <c r="V56" i="17"/>
  <c r="V57" i="17"/>
  <c r="V58" i="17"/>
  <c r="V59" i="17"/>
  <c r="V60" i="17"/>
  <c r="V61" i="17"/>
  <c r="V62" i="17"/>
  <c r="V63" i="17"/>
  <c r="V64" i="17"/>
  <c r="V65" i="17"/>
  <c r="V66" i="17"/>
  <c r="V67" i="17"/>
  <c r="V68" i="17"/>
  <c r="V69" i="17"/>
  <c r="V70" i="17"/>
  <c r="V71" i="17"/>
  <c r="V72" i="17"/>
  <c r="V73" i="17"/>
  <c r="V74" i="17"/>
  <c r="V75" i="17"/>
  <c r="V76" i="17"/>
  <c r="V77" i="17"/>
  <c r="V78" i="17"/>
  <c r="V79" i="17"/>
  <c r="V80" i="17"/>
  <c r="V81" i="17"/>
  <c r="V82" i="17"/>
  <c r="V83" i="17"/>
  <c r="V84" i="17"/>
  <c r="V85" i="17"/>
  <c r="V86" i="17"/>
  <c r="V87" i="17"/>
  <c r="V88" i="17"/>
  <c r="V89" i="17"/>
  <c r="V90" i="17"/>
  <c r="V91" i="17"/>
  <c r="V92" i="17"/>
  <c r="V93" i="17"/>
  <c r="V94" i="17"/>
  <c r="V95" i="17"/>
  <c r="V96" i="17"/>
  <c r="V97" i="17"/>
  <c r="V98" i="17"/>
  <c r="V99" i="17"/>
  <c r="V100" i="17"/>
  <c r="V101" i="17"/>
  <c r="V102" i="17"/>
  <c r="V103" i="17"/>
  <c r="V104" i="17"/>
  <c r="V105" i="17"/>
  <c r="V106" i="17"/>
  <c r="V107" i="17"/>
  <c r="V108" i="17"/>
  <c r="V109" i="17"/>
  <c r="V110" i="17"/>
  <c r="V111" i="17"/>
  <c r="V112" i="17"/>
  <c r="V113" i="17"/>
  <c r="V114" i="17"/>
  <c r="V115" i="17"/>
  <c r="V116" i="17"/>
  <c r="V117" i="17"/>
  <c r="V118" i="17"/>
  <c r="V119" i="17"/>
  <c r="V120" i="17"/>
  <c r="V121" i="17"/>
  <c r="V122" i="17"/>
  <c r="V123" i="17"/>
  <c r="V124" i="17"/>
  <c r="V125" i="17"/>
  <c r="V126" i="17"/>
  <c r="V127" i="17"/>
  <c r="V128" i="17"/>
  <c r="V129" i="17"/>
  <c r="V130" i="17"/>
  <c r="V131" i="17"/>
  <c r="V132" i="17"/>
  <c r="V133" i="17"/>
  <c r="V134" i="17"/>
  <c r="V135" i="17"/>
  <c r="V136" i="17"/>
  <c r="V137" i="17"/>
  <c r="V138" i="17"/>
  <c r="V139" i="17"/>
  <c r="V140" i="17"/>
  <c r="V141" i="17"/>
  <c r="V142" i="17"/>
  <c r="V143" i="17"/>
  <c r="V144" i="17"/>
  <c r="V145" i="17"/>
  <c r="V146" i="17"/>
  <c r="V147" i="17"/>
  <c r="V148" i="17"/>
  <c r="V149" i="17"/>
  <c r="V150" i="17"/>
  <c r="V151" i="17"/>
  <c r="V152" i="17"/>
  <c r="V153" i="17"/>
  <c r="V154" i="17"/>
  <c r="V155" i="17"/>
  <c r="V156" i="17"/>
  <c r="V157" i="17"/>
  <c r="V158" i="17"/>
  <c r="V159" i="17"/>
  <c r="V160" i="17"/>
  <c r="V161" i="17"/>
  <c r="V162" i="17"/>
  <c r="V163" i="17"/>
  <c r="V164" i="17"/>
  <c r="V165" i="17"/>
  <c r="V166" i="17"/>
  <c r="V167" i="17"/>
  <c r="V168" i="17"/>
  <c r="V169" i="17"/>
  <c r="V170" i="17"/>
  <c r="V171" i="17"/>
  <c r="V172" i="17"/>
  <c r="V173" i="17"/>
  <c r="V174" i="17"/>
  <c r="V175" i="17"/>
  <c r="V176" i="17"/>
  <c r="V177" i="17"/>
  <c r="V178" i="17"/>
  <c r="V179" i="17"/>
  <c r="V180" i="17"/>
  <c r="V181" i="17"/>
  <c r="V182" i="17"/>
  <c r="V183" i="17"/>
  <c r="V184" i="17"/>
  <c r="V185" i="17"/>
  <c r="V186" i="17"/>
  <c r="V187" i="17"/>
  <c r="V188" i="17"/>
  <c r="V189" i="17"/>
  <c r="V190" i="17"/>
  <c r="V191" i="17"/>
  <c r="V192" i="17"/>
  <c r="V193" i="17"/>
  <c r="V194" i="17"/>
  <c r="V195" i="17"/>
  <c r="V196" i="17"/>
  <c r="V197" i="17"/>
  <c r="V198" i="17"/>
  <c r="V199" i="17"/>
  <c r="V200" i="17"/>
  <c r="V201" i="17"/>
  <c r="V202" i="17"/>
  <c r="V203" i="17"/>
  <c r="V204" i="17"/>
  <c r="V205" i="17"/>
  <c r="V206" i="17"/>
  <c r="V207" i="17"/>
  <c r="V208" i="17"/>
  <c r="V209" i="17"/>
  <c r="V210" i="17"/>
  <c r="V211" i="17"/>
  <c r="V212" i="17"/>
  <c r="V213" i="17"/>
  <c r="V214" i="17"/>
  <c r="V215" i="17"/>
  <c r="V216" i="17"/>
  <c r="V217" i="17"/>
  <c r="V218" i="17"/>
  <c r="V219" i="17"/>
  <c r="V220" i="17"/>
  <c r="V221" i="17"/>
  <c r="V222" i="17"/>
  <c r="V223" i="17"/>
  <c r="V224" i="17"/>
  <c r="V225" i="17"/>
  <c r="V226" i="17"/>
  <c r="V227" i="17"/>
  <c r="V228" i="17"/>
  <c r="V229" i="17"/>
  <c r="V230" i="17"/>
  <c r="V231" i="17"/>
  <c r="V232" i="17"/>
  <c r="V233" i="17"/>
  <c r="V234" i="17"/>
  <c r="V235" i="17"/>
  <c r="V236" i="17"/>
  <c r="V237" i="17"/>
  <c r="V238" i="17"/>
  <c r="V239" i="17"/>
  <c r="V240" i="17"/>
  <c r="V241" i="17"/>
  <c r="V242" i="17"/>
  <c r="V243" i="17"/>
  <c r="V244" i="17"/>
  <c r="V245" i="17"/>
  <c r="V246" i="17"/>
  <c r="V247" i="17"/>
  <c r="V248" i="17"/>
  <c r="V249" i="17"/>
  <c r="V250" i="17"/>
  <c r="V251" i="17"/>
  <c r="V252" i="17"/>
  <c r="V253" i="17"/>
  <c r="V254" i="17"/>
  <c r="V255" i="17"/>
  <c r="V256" i="17"/>
  <c r="V257" i="17"/>
  <c r="V258" i="17"/>
  <c r="V259" i="17"/>
  <c r="V260" i="17"/>
  <c r="V261" i="17"/>
  <c r="V262" i="17"/>
  <c r="V263" i="17"/>
  <c r="V264" i="17"/>
  <c r="V265" i="17"/>
  <c r="V266" i="17"/>
  <c r="V267" i="17"/>
  <c r="V268" i="17"/>
  <c r="V269" i="17"/>
  <c r="V270" i="17"/>
  <c r="V271" i="17"/>
  <c r="V272" i="17"/>
  <c r="V273" i="17"/>
  <c r="V274" i="17"/>
  <c r="V275" i="17"/>
  <c r="V276" i="17"/>
  <c r="V277" i="17"/>
  <c r="V278" i="17"/>
  <c r="V279" i="17"/>
  <c r="V280" i="17"/>
  <c r="V281" i="17"/>
  <c r="V282" i="17"/>
  <c r="V283" i="17"/>
  <c r="V284" i="17"/>
  <c r="V285" i="17"/>
  <c r="V286" i="17"/>
  <c r="V287" i="17"/>
  <c r="V288" i="17"/>
  <c r="V289" i="17"/>
  <c r="V290" i="17"/>
  <c r="V291" i="17"/>
  <c r="V292" i="17"/>
  <c r="V293" i="17"/>
  <c r="V294" i="17"/>
  <c r="V295" i="17"/>
  <c r="V296" i="17"/>
  <c r="V297" i="17"/>
  <c r="V298" i="17"/>
  <c r="V299" i="17"/>
  <c r="V300" i="17"/>
  <c r="V301" i="17"/>
  <c r="V302" i="17"/>
  <c r="V303" i="17"/>
  <c r="V304" i="17"/>
  <c r="V305" i="17"/>
  <c r="V306" i="17"/>
  <c r="V307" i="17"/>
  <c r="V308" i="17"/>
  <c r="V309" i="17"/>
  <c r="V310" i="17"/>
  <c r="V311" i="17"/>
  <c r="V312" i="17"/>
  <c r="V313" i="17"/>
  <c r="V314" i="17"/>
  <c r="V315" i="17"/>
  <c r="V316" i="17"/>
  <c r="V317" i="17"/>
  <c r="V318" i="17"/>
  <c r="V319" i="17"/>
  <c r="V320" i="17"/>
  <c r="V321" i="17"/>
  <c r="V322" i="17"/>
  <c r="V323" i="17"/>
  <c r="V324" i="17"/>
  <c r="V325" i="17"/>
  <c r="V326" i="17"/>
  <c r="V327" i="17"/>
  <c r="V328" i="17"/>
  <c r="V329" i="17"/>
  <c r="V330" i="17"/>
  <c r="V331" i="17"/>
  <c r="V332" i="17"/>
  <c r="V333" i="17"/>
  <c r="V334" i="17"/>
  <c r="V335" i="17"/>
  <c r="V336" i="17"/>
  <c r="V337" i="17"/>
  <c r="V338" i="17"/>
  <c r="V339" i="17"/>
  <c r="V340" i="17"/>
  <c r="V341" i="17"/>
  <c r="V342" i="17"/>
  <c r="V343" i="17"/>
  <c r="V344" i="17"/>
  <c r="V345" i="17"/>
  <c r="V346" i="17"/>
  <c r="V347" i="17"/>
  <c r="V348" i="17"/>
  <c r="V349" i="17"/>
  <c r="V350" i="17"/>
  <c r="V351" i="17"/>
  <c r="V352" i="17"/>
  <c r="V353" i="17"/>
  <c r="V354" i="17"/>
  <c r="V355" i="17"/>
  <c r="V356" i="17"/>
  <c r="V357" i="17"/>
  <c r="V358" i="17"/>
  <c r="V359" i="17"/>
  <c r="V360" i="17"/>
  <c r="V361" i="17"/>
  <c r="V362" i="17"/>
  <c r="V363" i="17"/>
  <c r="V364" i="17"/>
  <c r="V365" i="17"/>
  <c r="V366" i="17"/>
  <c r="V367" i="17"/>
  <c r="V368" i="17"/>
  <c r="V369" i="17"/>
  <c r="V370" i="17"/>
  <c r="V371" i="17"/>
  <c r="V372" i="17"/>
  <c r="V373" i="17"/>
  <c r="V374" i="17"/>
  <c r="V375" i="17"/>
  <c r="V376" i="17"/>
  <c r="V377" i="17"/>
  <c r="V378" i="17"/>
  <c r="V379" i="17"/>
  <c r="V380" i="17"/>
  <c r="V381" i="17"/>
  <c r="V382" i="17"/>
  <c r="V383" i="17"/>
  <c r="V384" i="17"/>
  <c r="V385" i="17"/>
  <c r="V386" i="17"/>
  <c r="V387" i="17"/>
  <c r="V388" i="17"/>
  <c r="V389" i="17"/>
  <c r="V390" i="17"/>
  <c r="V391" i="17"/>
  <c r="V392" i="17"/>
  <c r="V393" i="17"/>
  <c r="V394" i="17"/>
  <c r="V395" i="17"/>
  <c r="V396" i="17"/>
  <c r="V397" i="17"/>
  <c r="V398" i="17"/>
  <c r="V399" i="17"/>
  <c r="V400" i="17"/>
  <c r="V401" i="17"/>
  <c r="V402" i="17"/>
  <c r="V403" i="17"/>
  <c r="V404" i="17"/>
  <c r="V405" i="17"/>
  <c r="V406" i="17"/>
  <c r="V407" i="17"/>
  <c r="V408" i="17"/>
  <c r="V409" i="17"/>
  <c r="V410" i="17"/>
  <c r="V411" i="17"/>
  <c r="V412" i="17"/>
  <c r="V413" i="17"/>
  <c r="V414" i="17"/>
  <c r="V415" i="17"/>
  <c r="V416" i="17"/>
  <c r="V417" i="17"/>
  <c r="V418" i="17"/>
  <c r="V419" i="17"/>
  <c r="V420" i="17"/>
  <c r="V421" i="17"/>
  <c r="V422" i="17"/>
  <c r="V423" i="17"/>
  <c r="V424" i="17"/>
  <c r="V425" i="17"/>
  <c r="V426" i="17"/>
  <c r="V427" i="17"/>
  <c r="V428" i="17"/>
  <c r="V429" i="17"/>
  <c r="V430" i="17"/>
  <c r="V431" i="17"/>
  <c r="V432" i="17"/>
  <c r="V433" i="17"/>
  <c r="V434" i="17"/>
  <c r="V435" i="17"/>
  <c r="V436" i="17"/>
  <c r="V437" i="17"/>
  <c r="V438" i="17"/>
  <c r="V439" i="17"/>
  <c r="V440" i="17"/>
  <c r="V441" i="17"/>
  <c r="V442" i="17"/>
  <c r="V443" i="17"/>
  <c r="V444" i="17"/>
  <c r="V445" i="17"/>
  <c r="V446" i="17"/>
  <c r="V447" i="17"/>
  <c r="V448" i="17"/>
  <c r="V449" i="17"/>
  <c r="V450" i="17"/>
  <c r="V451" i="17"/>
  <c r="V452" i="17"/>
  <c r="V453" i="17"/>
  <c r="V454" i="17"/>
  <c r="V455" i="17"/>
  <c r="V456" i="17"/>
  <c r="V457" i="17"/>
  <c r="V458" i="17"/>
  <c r="V459" i="17"/>
  <c r="V460" i="17"/>
  <c r="V461" i="17"/>
  <c r="V462" i="17"/>
  <c r="V463" i="17"/>
  <c r="V464" i="17"/>
  <c r="V465" i="17"/>
  <c r="V466" i="17"/>
  <c r="V467" i="17"/>
  <c r="V468" i="17"/>
  <c r="V469" i="17"/>
  <c r="V470" i="17"/>
  <c r="V471" i="17"/>
  <c r="V472" i="17"/>
  <c r="V473" i="17"/>
  <c r="V474" i="17"/>
  <c r="V475" i="17"/>
  <c r="V476" i="17"/>
  <c r="V477" i="17"/>
  <c r="V478" i="17"/>
  <c r="V479" i="17"/>
  <c r="V480" i="17"/>
  <c r="V481" i="17"/>
  <c r="V482" i="17"/>
  <c r="V483" i="17"/>
  <c r="V484" i="17"/>
  <c r="V485" i="17"/>
  <c r="V486" i="17"/>
  <c r="V487" i="17"/>
  <c r="V488" i="17"/>
  <c r="V489" i="17"/>
  <c r="V490" i="17"/>
  <c r="V491" i="17"/>
  <c r="V492" i="17"/>
  <c r="V493" i="17"/>
  <c r="V494" i="17"/>
  <c r="V495" i="17"/>
  <c r="V496" i="17"/>
  <c r="V497" i="17"/>
  <c r="V498" i="17"/>
  <c r="V499" i="17"/>
  <c r="V500" i="17"/>
  <c r="V501" i="17"/>
  <c r="V502" i="17"/>
  <c r="V503" i="17"/>
  <c r="V504" i="17"/>
  <c r="V505" i="17"/>
  <c r="V506" i="17"/>
  <c r="V507" i="17"/>
  <c r="V508" i="17"/>
  <c r="V509" i="17"/>
  <c r="V510" i="17"/>
  <c r="V511" i="17"/>
  <c r="V512" i="17"/>
  <c r="V513" i="17"/>
  <c r="V514" i="17"/>
  <c r="V515" i="17"/>
  <c r="V516" i="17"/>
  <c r="V517" i="17"/>
  <c r="V518" i="17"/>
  <c r="V519" i="17"/>
  <c r="V520" i="17"/>
  <c r="V521" i="17"/>
  <c r="V522" i="17"/>
  <c r="V523" i="17"/>
  <c r="V524" i="17"/>
  <c r="V525" i="17"/>
  <c r="V526" i="17"/>
  <c r="V527" i="17"/>
  <c r="V528" i="17"/>
  <c r="V529" i="17"/>
  <c r="V530" i="17"/>
  <c r="V531" i="17"/>
  <c r="V532" i="17"/>
  <c r="V533" i="17"/>
  <c r="V534" i="17"/>
  <c r="V535" i="17"/>
  <c r="V536" i="17"/>
  <c r="V537" i="17"/>
  <c r="V538" i="17"/>
  <c r="V539" i="17"/>
  <c r="V540" i="17"/>
  <c r="V541" i="17"/>
  <c r="V542" i="17"/>
  <c r="V543" i="17"/>
  <c r="V544" i="17"/>
  <c r="V545" i="17"/>
  <c r="V546" i="17"/>
  <c r="V547" i="17"/>
  <c r="V548" i="17"/>
  <c r="V549" i="17"/>
  <c r="V550" i="17"/>
  <c r="V551" i="17"/>
  <c r="V552" i="17"/>
  <c r="V553" i="17"/>
  <c r="V554" i="17"/>
  <c r="V555" i="17"/>
  <c r="V556" i="17"/>
  <c r="V557" i="17"/>
  <c r="V558" i="17"/>
  <c r="V559" i="17"/>
  <c r="V560" i="17"/>
  <c r="V561" i="17"/>
  <c r="V562" i="17"/>
  <c r="V563" i="17"/>
  <c r="V564" i="17"/>
  <c r="V565" i="17"/>
  <c r="V566" i="17"/>
  <c r="V567" i="17"/>
  <c r="V568" i="17"/>
  <c r="V569" i="17"/>
  <c r="V570" i="17"/>
  <c r="V571" i="17"/>
  <c r="V572" i="17"/>
  <c r="V573" i="17"/>
  <c r="V574" i="17"/>
  <c r="V575" i="17"/>
  <c r="V576" i="17"/>
  <c r="V577" i="17"/>
  <c r="V578" i="17"/>
  <c r="V579" i="17"/>
  <c r="V580" i="17"/>
  <c r="V581" i="17"/>
  <c r="V582" i="17"/>
  <c r="V583" i="17"/>
  <c r="V584" i="17"/>
  <c r="V585" i="17"/>
  <c r="V586" i="17"/>
  <c r="V587" i="17"/>
  <c r="V588" i="17"/>
  <c r="V589" i="17"/>
  <c r="V590" i="17"/>
  <c r="V591" i="17"/>
  <c r="V592" i="17"/>
  <c r="V593" i="17"/>
  <c r="V594" i="17"/>
  <c r="V595" i="17"/>
  <c r="V596" i="17"/>
  <c r="V597" i="17"/>
  <c r="V598" i="17"/>
  <c r="V599" i="17"/>
  <c r="V600" i="17"/>
  <c r="V601" i="17"/>
  <c r="V602" i="17"/>
  <c r="V603" i="17"/>
  <c r="V604" i="17"/>
  <c r="V605" i="17"/>
  <c r="V606" i="17"/>
  <c r="V607" i="17"/>
  <c r="V608" i="17"/>
  <c r="V609" i="17"/>
  <c r="V610" i="17"/>
  <c r="V611" i="17"/>
  <c r="V612" i="17"/>
  <c r="V613" i="17"/>
  <c r="V614" i="17"/>
  <c r="V615" i="17"/>
  <c r="V616" i="17"/>
  <c r="V617" i="17"/>
  <c r="V618" i="17"/>
  <c r="V619" i="17"/>
  <c r="V620" i="17"/>
  <c r="V621" i="17"/>
  <c r="V622" i="17"/>
  <c r="V623" i="17"/>
  <c r="V624" i="17"/>
  <c r="V625" i="17"/>
  <c r="V626" i="17"/>
  <c r="V627" i="17"/>
  <c r="V628" i="17"/>
  <c r="V629" i="17"/>
  <c r="V630" i="17"/>
  <c r="V631" i="17"/>
  <c r="V632" i="17"/>
  <c r="V633" i="17"/>
  <c r="V634" i="17"/>
  <c r="V635" i="17"/>
  <c r="V636" i="17"/>
  <c r="V637" i="17"/>
  <c r="V638" i="17"/>
  <c r="V639" i="17"/>
  <c r="V640" i="17"/>
  <c r="V641" i="17"/>
  <c r="V642" i="17"/>
  <c r="V643" i="17"/>
  <c r="V644" i="17"/>
  <c r="V645" i="17"/>
  <c r="V646" i="17"/>
  <c r="V647" i="17"/>
  <c r="V648" i="17"/>
  <c r="V649" i="17"/>
  <c r="V650" i="17"/>
  <c r="V651" i="17"/>
  <c r="V652" i="17"/>
  <c r="V653" i="17"/>
  <c r="V654" i="17"/>
  <c r="V655" i="17"/>
  <c r="V656" i="17"/>
  <c r="V657" i="17"/>
  <c r="V658" i="17"/>
  <c r="V659" i="17"/>
  <c r="V660" i="17"/>
  <c r="V661" i="17"/>
  <c r="V662" i="17"/>
  <c r="V663" i="17"/>
  <c r="V664" i="17"/>
  <c r="V665" i="17"/>
  <c r="V666" i="17"/>
  <c r="V667" i="17"/>
  <c r="V668" i="17"/>
  <c r="V669" i="17"/>
  <c r="V670" i="17"/>
  <c r="V671" i="17"/>
  <c r="V672" i="17"/>
  <c r="V673" i="17"/>
  <c r="V674" i="17"/>
  <c r="V675" i="17"/>
  <c r="V676" i="17"/>
  <c r="V677" i="17"/>
  <c r="V678" i="17"/>
  <c r="V679" i="17"/>
  <c r="V680" i="17"/>
  <c r="V681" i="17"/>
  <c r="V682" i="17"/>
  <c r="V683" i="17"/>
  <c r="V684" i="17"/>
  <c r="V685" i="17"/>
  <c r="V686" i="17"/>
  <c r="V687" i="17"/>
  <c r="V688" i="17"/>
  <c r="V689" i="17"/>
  <c r="V690" i="17"/>
  <c r="V691" i="17"/>
  <c r="V692" i="17"/>
  <c r="V693" i="17"/>
  <c r="V694" i="17"/>
  <c r="V695" i="17"/>
  <c r="V696" i="17"/>
  <c r="V697" i="17"/>
  <c r="V698" i="17"/>
  <c r="V699" i="17"/>
  <c r="V700" i="17"/>
  <c r="V701" i="17"/>
  <c r="V702" i="17"/>
  <c r="V703" i="17"/>
  <c r="V704" i="17"/>
  <c r="V705" i="17"/>
  <c r="V706" i="17"/>
  <c r="V707" i="17"/>
  <c r="V708" i="17"/>
  <c r="V709" i="17"/>
  <c r="V710" i="17"/>
  <c r="V711" i="17"/>
  <c r="V712" i="17"/>
  <c r="V713" i="17"/>
  <c r="V714" i="17"/>
  <c r="V715" i="17"/>
  <c r="V716" i="17"/>
  <c r="V717" i="17"/>
  <c r="V718" i="17"/>
  <c r="V719" i="17"/>
  <c r="V720" i="17"/>
  <c r="V721" i="17"/>
  <c r="V722" i="17"/>
  <c r="V723" i="17"/>
  <c r="V724" i="17"/>
  <c r="V725" i="17"/>
  <c r="V726" i="17"/>
  <c r="V727" i="17"/>
  <c r="V728" i="17"/>
  <c r="V729" i="17"/>
  <c r="V730" i="17"/>
  <c r="V731" i="17"/>
  <c r="V732" i="17"/>
  <c r="V733" i="17"/>
  <c r="V734" i="17"/>
  <c r="V735" i="17"/>
  <c r="V736" i="17"/>
  <c r="V737" i="17"/>
  <c r="V738" i="17"/>
  <c r="V739" i="17"/>
  <c r="V740" i="17"/>
  <c r="V741" i="17"/>
  <c r="V742" i="17"/>
  <c r="V743" i="17"/>
  <c r="V744" i="17"/>
  <c r="V745" i="17"/>
  <c r="V746" i="17"/>
  <c r="V747" i="17"/>
  <c r="V748" i="17"/>
  <c r="V749" i="17"/>
  <c r="V750" i="17"/>
  <c r="V751" i="17"/>
  <c r="V752" i="17"/>
  <c r="V753" i="17"/>
  <c r="V754" i="17"/>
  <c r="V755" i="17"/>
  <c r="V756" i="17"/>
  <c r="V757" i="17"/>
  <c r="V758" i="17"/>
  <c r="V759" i="17"/>
  <c r="V760" i="17"/>
  <c r="V761" i="17"/>
  <c r="V762" i="17"/>
  <c r="V763" i="17"/>
  <c r="V764" i="17"/>
  <c r="V765" i="17"/>
  <c r="V766" i="17"/>
  <c r="V767" i="17"/>
  <c r="V768" i="17"/>
  <c r="V769" i="17"/>
  <c r="V770" i="17"/>
  <c r="V771" i="17"/>
  <c r="V772" i="17"/>
  <c r="V773" i="17"/>
  <c r="V774" i="17"/>
  <c r="V775" i="17"/>
  <c r="V776" i="17"/>
  <c r="V777" i="17"/>
  <c r="V778" i="17"/>
  <c r="V779" i="17"/>
  <c r="V780" i="17"/>
  <c r="V781" i="17"/>
  <c r="V782" i="17"/>
  <c r="V783" i="17"/>
  <c r="V784" i="17"/>
  <c r="V785" i="17"/>
  <c r="V786" i="17"/>
  <c r="V787" i="17"/>
  <c r="V788" i="17"/>
  <c r="V789" i="17"/>
  <c r="V790" i="17"/>
  <c r="V791" i="17"/>
  <c r="V792" i="17"/>
  <c r="V793" i="17"/>
  <c r="V794" i="17"/>
  <c r="V795" i="17"/>
  <c r="V796" i="17"/>
  <c r="V797" i="17"/>
  <c r="V798" i="17"/>
  <c r="V799" i="17"/>
  <c r="V800" i="17"/>
  <c r="V801" i="17"/>
  <c r="V802" i="17"/>
  <c r="V803" i="17"/>
  <c r="V804" i="17"/>
  <c r="V805" i="17"/>
  <c r="V806" i="17"/>
  <c r="V807" i="17"/>
  <c r="V808" i="17"/>
  <c r="V809" i="17"/>
  <c r="V810" i="17"/>
  <c r="V811" i="17"/>
  <c r="V812" i="17"/>
  <c r="V813" i="17"/>
  <c r="V814" i="17"/>
  <c r="V815" i="17"/>
  <c r="V816" i="17"/>
  <c r="V817" i="17"/>
  <c r="V818" i="17"/>
  <c r="V819" i="17"/>
  <c r="V820" i="17"/>
  <c r="V821" i="17"/>
  <c r="V822" i="17"/>
  <c r="V823" i="17"/>
  <c r="V824" i="17"/>
  <c r="V825" i="17"/>
  <c r="V826" i="17"/>
  <c r="V827" i="17"/>
  <c r="V828" i="17"/>
  <c r="V829" i="17"/>
  <c r="V830" i="17"/>
  <c r="V831" i="17"/>
  <c r="V832" i="17"/>
  <c r="V833" i="17"/>
  <c r="V834" i="17"/>
  <c r="V835" i="17"/>
  <c r="V836" i="17"/>
  <c r="V837" i="17"/>
  <c r="V838" i="17"/>
  <c r="V839" i="17"/>
  <c r="V840" i="17"/>
  <c r="V841" i="17"/>
  <c r="V842" i="17"/>
  <c r="V843" i="17"/>
  <c r="V844" i="17"/>
  <c r="V845" i="17"/>
  <c r="V846" i="17"/>
  <c r="V847" i="17"/>
  <c r="V848" i="17"/>
  <c r="V849" i="17"/>
  <c r="V850" i="17"/>
  <c r="V851" i="17"/>
  <c r="V852" i="17"/>
  <c r="V853" i="17"/>
  <c r="V854" i="17"/>
  <c r="V855" i="17"/>
  <c r="V856" i="17"/>
  <c r="V857" i="17"/>
  <c r="V858" i="17"/>
  <c r="V859" i="17"/>
  <c r="V860" i="17"/>
  <c r="V861" i="17"/>
  <c r="V862" i="17"/>
  <c r="V863" i="17"/>
  <c r="V864" i="17"/>
  <c r="V865" i="17"/>
  <c r="V866" i="17"/>
  <c r="V867" i="17"/>
  <c r="V868" i="17"/>
  <c r="V869" i="17"/>
  <c r="V870" i="17"/>
  <c r="V871" i="17"/>
  <c r="V872" i="17"/>
  <c r="V873" i="17"/>
  <c r="V874" i="17"/>
  <c r="V875" i="17"/>
  <c r="V876" i="17"/>
  <c r="V877" i="17"/>
  <c r="V878" i="17"/>
  <c r="V879" i="17"/>
  <c r="V880" i="17"/>
  <c r="V881" i="17"/>
  <c r="V882" i="17"/>
  <c r="V883" i="17"/>
  <c r="V884" i="17"/>
  <c r="V885" i="17"/>
  <c r="V886" i="17"/>
  <c r="V887" i="17"/>
  <c r="V888" i="17"/>
  <c r="V889" i="17"/>
  <c r="V890" i="17"/>
  <c r="V891" i="17"/>
  <c r="V892" i="17"/>
  <c r="V893" i="17"/>
  <c r="V894" i="17"/>
  <c r="V895" i="17"/>
  <c r="V896" i="17"/>
  <c r="V897" i="17"/>
  <c r="V898" i="17"/>
  <c r="V899" i="17"/>
  <c r="V900" i="17"/>
  <c r="V901" i="17"/>
  <c r="V902" i="17"/>
  <c r="V903" i="17"/>
  <c r="V904" i="17"/>
  <c r="V905" i="17"/>
  <c r="V906" i="17"/>
  <c r="V907" i="17"/>
  <c r="V908" i="17"/>
  <c r="V909" i="17"/>
  <c r="V910" i="17"/>
  <c r="V911" i="17"/>
  <c r="V912" i="17"/>
  <c r="V913" i="17"/>
  <c r="V914" i="17"/>
  <c r="V915" i="17"/>
  <c r="V916" i="17"/>
  <c r="V917" i="17"/>
  <c r="V918" i="17"/>
  <c r="V919" i="17"/>
  <c r="V920" i="17"/>
  <c r="V921" i="17"/>
  <c r="V922" i="17"/>
  <c r="V923" i="17"/>
  <c r="V924" i="17"/>
  <c r="V925" i="17"/>
  <c r="V926" i="17"/>
  <c r="V927" i="17"/>
  <c r="V928" i="17"/>
  <c r="V929" i="17"/>
  <c r="V930" i="17"/>
  <c r="V931" i="17"/>
  <c r="V932" i="17"/>
  <c r="V933" i="17"/>
  <c r="V934" i="17"/>
  <c r="V935" i="17"/>
  <c r="V936" i="17"/>
  <c r="V937" i="17"/>
  <c r="V938" i="17"/>
  <c r="V939" i="17"/>
  <c r="V940" i="17"/>
  <c r="V941" i="17"/>
  <c r="V942" i="17"/>
  <c r="V943" i="17"/>
  <c r="V944" i="17"/>
  <c r="V945" i="17"/>
  <c r="V946" i="17"/>
  <c r="V947" i="17"/>
  <c r="V948" i="17"/>
  <c r="V949" i="17"/>
  <c r="V950" i="17"/>
  <c r="V951" i="17"/>
  <c r="V952" i="17"/>
  <c r="V953" i="17"/>
  <c r="V954" i="17"/>
  <c r="V955" i="17"/>
  <c r="V956" i="17"/>
  <c r="V957" i="17"/>
  <c r="V958" i="17"/>
  <c r="V959" i="17"/>
  <c r="V960" i="17"/>
  <c r="V961" i="17"/>
  <c r="V962" i="17"/>
  <c r="V963" i="17"/>
  <c r="V964" i="17"/>
  <c r="V965" i="17"/>
  <c r="V966" i="17"/>
  <c r="V967" i="17"/>
  <c r="V968" i="17"/>
  <c r="V969" i="17"/>
  <c r="V970" i="17"/>
  <c r="V971" i="17"/>
  <c r="V972" i="17"/>
  <c r="V973" i="17"/>
  <c r="V974" i="17"/>
  <c r="V975" i="17"/>
  <c r="V976" i="17"/>
  <c r="V977" i="17"/>
  <c r="V978" i="17"/>
  <c r="V979" i="17"/>
  <c r="V980" i="17"/>
  <c r="V981" i="17"/>
  <c r="V982" i="17"/>
  <c r="V983" i="17"/>
  <c r="V984" i="17"/>
  <c r="V985" i="17"/>
  <c r="V986" i="17"/>
  <c r="V987" i="17"/>
  <c r="V988" i="17"/>
  <c r="V989" i="17"/>
  <c r="V990" i="17"/>
  <c r="V991" i="17"/>
  <c r="V992" i="17"/>
  <c r="V993" i="17"/>
  <c r="V994" i="17"/>
  <c r="V995" i="17"/>
  <c r="V996" i="17"/>
  <c r="V997" i="17"/>
  <c r="V998" i="17"/>
  <c r="V999" i="17"/>
  <c r="V1000" i="17"/>
  <c r="V1001" i="17"/>
  <c r="V1002" i="17"/>
  <c r="V1003" i="17"/>
  <c r="V1004" i="17"/>
  <c r="V1005" i="17"/>
  <c r="V1006" i="17"/>
  <c r="V1007" i="17"/>
  <c r="V1008" i="17"/>
  <c r="V1009" i="17"/>
  <c r="V1010" i="17"/>
  <c r="V1011" i="17"/>
  <c r="V1012" i="17"/>
  <c r="V1013" i="17"/>
  <c r="V1014" i="17"/>
  <c r="V1015" i="17"/>
  <c r="V1016" i="17"/>
  <c r="V1017" i="17"/>
  <c r="V1018" i="17"/>
  <c r="V1019" i="17"/>
  <c r="V1020" i="17"/>
  <c r="V1021" i="17"/>
  <c r="V1022" i="17"/>
  <c r="V1023" i="17"/>
  <c r="V1024" i="17"/>
  <c r="V1025" i="17"/>
  <c r="V1026" i="17"/>
  <c r="V1027" i="17"/>
  <c r="V1028" i="17"/>
  <c r="V1029" i="17"/>
  <c r="V1030" i="17"/>
  <c r="V1031" i="17"/>
  <c r="V1032" i="17"/>
  <c r="V1033" i="17"/>
  <c r="V1034" i="17"/>
  <c r="V1035" i="17"/>
  <c r="V1036" i="17"/>
  <c r="V1037" i="17"/>
  <c r="V1038" i="17"/>
  <c r="V1039" i="17"/>
  <c r="V1040" i="17"/>
  <c r="V1041" i="17"/>
  <c r="V1042" i="17"/>
  <c r="V1043" i="17"/>
  <c r="V1044" i="17"/>
  <c r="V1045" i="17"/>
  <c r="V1046" i="17"/>
  <c r="V1047" i="17"/>
  <c r="V1048" i="17"/>
  <c r="V1049" i="17"/>
  <c r="V1050" i="17"/>
  <c r="V1051" i="17"/>
  <c r="V1052" i="17"/>
  <c r="V1053" i="17"/>
  <c r="V1054" i="17"/>
  <c r="V1055" i="17"/>
  <c r="V1056" i="17"/>
  <c r="V1057" i="17"/>
  <c r="V1058" i="17"/>
  <c r="V1059" i="17"/>
  <c r="V1060" i="17"/>
  <c r="V1061" i="17"/>
  <c r="V1062" i="17"/>
  <c r="V1063" i="17"/>
  <c r="V1064" i="17"/>
  <c r="V1065" i="17"/>
  <c r="V1066" i="17"/>
  <c r="V1067" i="17"/>
  <c r="V1068" i="17"/>
  <c r="V1069" i="17"/>
  <c r="V1070" i="17"/>
  <c r="V1071" i="17"/>
  <c r="V1072" i="17"/>
  <c r="V1073" i="17"/>
  <c r="V1074" i="17"/>
  <c r="V1075" i="17"/>
  <c r="V1076" i="17"/>
  <c r="V1077" i="17"/>
  <c r="V1078" i="17"/>
  <c r="V1079" i="17"/>
  <c r="V1080" i="17"/>
  <c r="V1081" i="17"/>
  <c r="V1082" i="17"/>
  <c r="V1083" i="17"/>
  <c r="V1084" i="17"/>
  <c r="V1085" i="17"/>
  <c r="V1086" i="17"/>
  <c r="V1087" i="17"/>
  <c r="V1088" i="17"/>
  <c r="V1089" i="17"/>
  <c r="V1090" i="17"/>
  <c r="V1091" i="17"/>
  <c r="V1092" i="17"/>
  <c r="V1093" i="17"/>
  <c r="V1094" i="17"/>
  <c r="V1095" i="17"/>
  <c r="V1096" i="17"/>
  <c r="V1097" i="17"/>
  <c r="V1098" i="17"/>
  <c r="V1099" i="17"/>
  <c r="V1100" i="17"/>
  <c r="V1101" i="17"/>
  <c r="V1102" i="17"/>
  <c r="V1103" i="17"/>
  <c r="V1104" i="17"/>
  <c r="V1105" i="17"/>
  <c r="V1106" i="17"/>
  <c r="V1107" i="17"/>
  <c r="V1108" i="17"/>
  <c r="V1109" i="17"/>
  <c r="V1110" i="17"/>
  <c r="V1111" i="17"/>
  <c r="V1112" i="17"/>
  <c r="V1113" i="17"/>
  <c r="V1114" i="17"/>
  <c r="V1115" i="17"/>
  <c r="V1116" i="17"/>
  <c r="V1117" i="17"/>
  <c r="V1118" i="17"/>
  <c r="V1119" i="17"/>
  <c r="V1120" i="17"/>
  <c r="V1121" i="17"/>
  <c r="V1122" i="17"/>
  <c r="V1123" i="17"/>
  <c r="V1124" i="17"/>
  <c r="V1125" i="17"/>
  <c r="V1126" i="17"/>
  <c r="V1127" i="17"/>
  <c r="V1128" i="17"/>
  <c r="V1129" i="17"/>
  <c r="V1130" i="17"/>
  <c r="V1131" i="17"/>
  <c r="V1132" i="17"/>
  <c r="V1133" i="17"/>
  <c r="V1134" i="17"/>
  <c r="V1135" i="17"/>
  <c r="V1136" i="17"/>
  <c r="V1137" i="17"/>
  <c r="V1138" i="17"/>
  <c r="V1139" i="17"/>
  <c r="V1140" i="17"/>
  <c r="V1141" i="17"/>
  <c r="V1142" i="17"/>
  <c r="V1143" i="17"/>
  <c r="V1144" i="17"/>
  <c r="V1145" i="17"/>
  <c r="V1146" i="17"/>
  <c r="V1147" i="17"/>
  <c r="V1148" i="17"/>
  <c r="V1149" i="17"/>
  <c r="V1150" i="17"/>
  <c r="V1151" i="17"/>
  <c r="V1152" i="17"/>
  <c r="V1153" i="17"/>
  <c r="V1154" i="17"/>
  <c r="V1155" i="17"/>
  <c r="V1156" i="17"/>
  <c r="V1157" i="17"/>
  <c r="V1158" i="17"/>
  <c r="V1159" i="17"/>
  <c r="V1160" i="17"/>
  <c r="V1161" i="17"/>
  <c r="V1162" i="17"/>
  <c r="V1163" i="17"/>
  <c r="V1164" i="17"/>
  <c r="V1165" i="17"/>
  <c r="V1166" i="17"/>
  <c r="V1167" i="17"/>
  <c r="V1168" i="17"/>
  <c r="V1169" i="17"/>
  <c r="V1170" i="17"/>
  <c r="V1171" i="17"/>
  <c r="V1172" i="17"/>
  <c r="V1173" i="17"/>
  <c r="V1174" i="17"/>
  <c r="V1175" i="17"/>
  <c r="V1176" i="17"/>
  <c r="V1177" i="17"/>
  <c r="V1178" i="17"/>
  <c r="V1179" i="17"/>
  <c r="V1180" i="17"/>
  <c r="V1181" i="17"/>
  <c r="V1182" i="17"/>
  <c r="V1183" i="17"/>
  <c r="V1184" i="17"/>
  <c r="V1185" i="17"/>
  <c r="V1186" i="17"/>
  <c r="V1187" i="17"/>
  <c r="V1188" i="17"/>
  <c r="V1189" i="17"/>
  <c r="V1190" i="17"/>
  <c r="V1191" i="17"/>
  <c r="V1192" i="17"/>
  <c r="V1193" i="17"/>
  <c r="V1194" i="17"/>
  <c r="V1195" i="17"/>
  <c r="V1196" i="17"/>
  <c r="V1197" i="17"/>
  <c r="V1198" i="17"/>
  <c r="V1199" i="17"/>
  <c r="V1200" i="17"/>
  <c r="V1201" i="17"/>
  <c r="V1202" i="17"/>
  <c r="V1203" i="17"/>
  <c r="V1204" i="17"/>
  <c r="V1205" i="17"/>
  <c r="V1206" i="17"/>
  <c r="V1207" i="17"/>
  <c r="V1208" i="17"/>
  <c r="V1209" i="17"/>
  <c r="V1210" i="17"/>
  <c r="V1211" i="17"/>
  <c r="V1212" i="17"/>
  <c r="V1213" i="17"/>
  <c r="V1214" i="17"/>
  <c r="V1215" i="17"/>
  <c r="V1216" i="17"/>
  <c r="V1217" i="17"/>
  <c r="V1218" i="17"/>
  <c r="V1219" i="17"/>
  <c r="V1220" i="17"/>
  <c r="V1221" i="17"/>
  <c r="V1222" i="17"/>
  <c r="V1223" i="17"/>
  <c r="V1224" i="17"/>
  <c r="V1225" i="17"/>
  <c r="V1226" i="17"/>
  <c r="V1227" i="17"/>
  <c r="V1228" i="17"/>
  <c r="V1229" i="17"/>
  <c r="V1230" i="17"/>
  <c r="V1231" i="17"/>
  <c r="V1232" i="17"/>
  <c r="V1233" i="17"/>
  <c r="V1234" i="17"/>
  <c r="V1235" i="17"/>
  <c r="V1236" i="17"/>
  <c r="V1237" i="17"/>
  <c r="V1238" i="17"/>
  <c r="V1239" i="17"/>
  <c r="V1240" i="17"/>
  <c r="V1241" i="17"/>
  <c r="V1242" i="17"/>
  <c r="V1243" i="17"/>
  <c r="V1244" i="17"/>
  <c r="V1245" i="17"/>
  <c r="V1246" i="17"/>
  <c r="V1247" i="17"/>
  <c r="V1248" i="17"/>
  <c r="V1249" i="17"/>
  <c r="V1250" i="17"/>
  <c r="V1251" i="17"/>
  <c r="V1252" i="17"/>
  <c r="V1253" i="17"/>
  <c r="V1254" i="17"/>
  <c r="V1255" i="17"/>
  <c r="V1256" i="17"/>
  <c r="V1257" i="17"/>
  <c r="V1258" i="17"/>
  <c r="V1259" i="17"/>
  <c r="V1260" i="17"/>
  <c r="V1261" i="17"/>
  <c r="V1262" i="17"/>
  <c r="V1263" i="17"/>
  <c r="V1264" i="17"/>
  <c r="V1265" i="17"/>
  <c r="V1266" i="17"/>
  <c r="V1267" i="17"/>
  <c r="V1268" i="17"/>
  <c r="V1269" i="17"/>
  <c r="V1270" i="17"/>
  <c r="V1271" i="17"/>
  <c r="V1272" i="17"/>
  <c r="V1273" i="17"/>
  <c r="V1274" i="17"/>
  <c r="V1275" i="17"/>
  <c r="V1276" i="17"/>
  <c r="V1277" i="17"/>
  <c r="V1278" i="17"/>
  <c r="V1279" i="17"/>
  <c r="V1280" i="17"/>
  <c r="V1281" i="17"/>
  <c r="V1282" i="17"/>
  <c r="V1283" i="17"/>
  <c r="V1284" i="17"/>
  <c r="V1285" i="17"/>
  <c r="V1286" i="17"/>
  <c r="V1287" i="17"/>
  <c r="V1288" i="17"/>
  <c r="V1289" i="17"/>
  <c r="V1290" i="17"/>
  <c r="V1291" i="17"/>
  <c r="V1292" i="17"/>
  <c r="V1293" i="17"/>
  <c r="V1294" i="17"/>
  <c r="V1295" i="17"/>
  <c r="V1296" i="17"/>
  <c r="V1297" i="17"/>
  <c r="V1298" i="17"/>
  <c r="V1299" i="17"/>
  <c r="V1300" i="17"/>
  <c r="V1301" i="17"/>
  <c r="V1302" i="17"/>
  <c r="V1303" i="17"/>
  <c r="V1304" i="17"/>
  <c r="V1305" i="17"/>
  <c r="V1306" i="17"/>
  <c r="V1307" i="17"/>
  <c r="V1308" i="17"/>
  <c r="V1309" i="17"/>
  <c r="V1310" i="17"/>
  <c r="V1311" i="17"/>
  <c r="V1312" i="17"/>
  <c r="V1313" i="17"/>
  <c r="V1314" i="17"/>
  <c r="V1315" i="17"/>
  <c r="V1316" i="17"/>
  <c r="V1317" i="17"/>
  <c r="V1318" i="17"/>
  <c r="V1319" i="17"/>
  <c r="V1320" i="17"/>
  <c r="V1321" i="17"/>
  <c r="V1322" i="17"/>
  <c r="V1323" i="17"/>
  <c r="V1324" i="17"/>
  <c r="V1325" i="17"/>
  <c r="V1326" i="17"/>
  <c r="V1327" i="17"/>
  <c r="V1328" i="17"/>
  <c r="V1329" i="17"/>
  <c r="V1330" i="17"/>
  <c r="V1331" i="17"/>
  <c r="V1332" i="17"/>
  <c r="V1333" i="17"/>
  <c r="V1334" i="17"/>
  <c r="V1335" i="17"/>
  <c r="V1336" i="17"/>
  <c r="V1337" i="17"/>
  <c r="V1338" i="17"/>
  <c r="V1339" i="17"/>
  <c r="V1340" i="17"/>
  <c r="V1341" i="17"/>
  <c r="V1342" i="17"/>
  <c r="V1343" i="17"/>
  <c r="V1344" i="17"/>
  <c r="V1345" i="17"/>
  <c r="V1346" i="17"/>
  <c r="V1347" i="17"/>
  <c r="V1348" i="17"/>
  <c r="V1349" i="17"/>
  <c r="V1350" i="17"/>
  <c r="V1351" i="17"/>
  <c r="V1352" i="17"/>
  <c r="V1353" i="17"/>
  <c r="V1354" i="17"/>
  <c r="V1355" i="17"/>
  <c r="V1356" i="17"/>
  <c r="V1357" i="17"/>
  <c r="V1358" i="17"/>
  <c r="V1359" i="17"/>
  <c r="V1360" i="17"/>
  <c r="V1361" i="17"/>
  <c r="V1362" i="17"/>
  <c r="V1363" i="17"/>
  <c r="V1364" i="17"/>
  <c r="V1365" i="17"/>
  <c r="V1366" i="17"/>
  <c r="V1367" i="17"/>
  <c r="V1368" i="17"/>
  <c r="V1369" i="17"/>
  <c r="V1370" i="17"/>
  <c r="V1371" i="17"/>
  <c r="V1372" i="17"/>
  <c r="V1373" i="17"/>
  <c r="V1374" i="17"/>
  <c r="V1375" i="17"/>
  <c r="V1376" i="17"/>
  <c r="V1377" i="17"/>
  <c r="V1378" i="17"/>
  <c r="V1379" i="17"/>
  <c r="V1380" i="17"/>
  <c r="V1381" i="17"/>
  <c r="V1382" i="17"/>
  <c r="V1383" i="17"/>
  <c r="V1384" i="17"/>
  <c r="V1385" i="17"/>
  <c r="V1386" i="17"/>
  <c r="V1387" i="17"/>
  <c r="V1388" i="17"/>
  <c r="V1389" i="17"/>
  <c r="V1390" i="17"/>
  <c r="V1391" i="17"/>
  <c r="V1392" i="17"/>
  <c r="V1393" i="17"/>
  <c r="V1394" i="17"/>
  <c r="V1395" i="17"/>
  <c r="V1396" i="17"/>
  <c r="V1397" i="17"/>
  <c r="V1398" i="17"/>
  <c r="V1399" i="17"/>
  <c r="V1400" i="17"/>
  <c r="V1401" i="17"/>
  <c r="V1402" i="17"/>
  <c r="V1403" i="17"/>
  <c r="V1404" i="17"/>
  <c r="V1405" i="17"/>
  <c r="V1406" i="17"/>
  <c r="V1407" i="17"/>
  <c r="V1408" i="17"/>
  <c r="V1409" i="17"/>
  <c r="V1410" i="17"/>
  <c r="V1411" i="17"/>
  <c r="V1412" i="17"/>
  <c r="V1413" i="17"/>
  <c r="V1414" i="17"/>
  <c r="V1415" i="17"/>
  <c r="V1416" i="17"/>
  <c r="V1417" i="17"/>
  <c r="V1418" i="17"/>
  <c r="V1419" i="17"/>
  <c r="V1420" i="17"/>
  <c r="V1421" i="17"/>
  <c r="V1422" i="17"/>
  <c r="V1423" i="17"/>
  <c r="V1424" i="17"/>
  <c r="V1425" i="17"/>
  <c r="V1426" i="17"/>
  <c r="V1427" i="17"/>
  <c r="V1428" i="17"/>
  <c r="V1429" i="17"/>
  <c r="V1430" i="17"/>
  <c r="V1431" i="17"/>
  <c r="V1432" i="17"/>
  <c r="V1433" i="17"/>
  <c r="V1434" i="17"/>
  <c r="V1435" i="17"/>
  <c r="V1436" i="17"/>
  <c r="V1437" i="17"/>
  <c r="V1438" i="17"/>
  <c r="V1439" i="17"/>
  <c r="V1440" i="17"/>
  <c r="V1441" i="17"/>
  <c r="V1442" i="17"/>
  <c r="V1443" i="17"/>
  <c r="V1444" i="17"/>
  <c r="V1445" i="17"/>
  <c r="V1446" i="17"/>
  <c r="V1447" i="17"/>
  <c r="V1448" i="17"/>
  <c r="V1449" i="17"/>
  <c r="V1450" i="17"/>
  <c r="V1451" i="17"/>
  <c r="V1452" i="17"/>
  <c r="V1453" i="17"/>
  <c r="V1454" i="17"/>
  <c r="V1455" i="17"/>
  <c r="V1456" i="17"/>
  <c r="V1457" i="17"/>
  <c r="V1458" i="17"/>
  <c r="V1459" i="17"/>
  <c r="V1460" i="17"/>
  <c r="V1461" i="17"/>
  <c r="V1462" i="17"/>
  <c r="V1463" i="17"/>
  <c r="V1464" i="17"/>
  <c r="V1465" i="17"/>
  <c r="V1466" i="17"/>
  <c r="V1467" i="17"/>
  <c r="V1468" i="17"/>
  <c r="V1469" i="17"/>
  <c r="V1470" i="17"/>
  <c r="V1471" i="17"/>
  <c r="V1472" i="17"/>
  <c r="V1473" i="17"/>
  <c r="V1474" i="17"/>
  <c r="V1475" i="17"/>
  <c r="V1476" i="17"/>
  <c r="V1477" i="17"/>
  <c r="V1478" i="17"/>
  <c r="V1479" i="17"/>
  <c r="V1480" i="17"/>
  <c r="V1481" i="17"/>
  <c r="V1482" i="17"/>
  <c r="V1483" i="17"/>
  <c r="V1484" i="17"/>
  <c r="V1485" i="17"/>
  <c r="V1486" i="17"/>
  <c r="V1487" i="17"/>
  <c r="V1488" i="17"/>
  <c r="V1489" i="17"/>
  <c r="V1490" i="17"/>
  <c r="V1491" i="17"/>
  <c r="V1492" i="17"/>
  <c r="V1493" i="17"/>
  <c r="V1494" i="17"/>
  <c r="V1495" i="17"/>
  <c r="V1496" i="17"/>
  <c r="V1497" i="17"/>
  <c r="V1498" i="17"/>
  <c r="V1499" i="17"/>
  <c r="V1500" i="17"/>
  <c r="V1501" i="17"/>
  <c r="V1502" i="17"/>
  <c r="V1503" i="17"/>
  <c r="V1504" i="17"/>
  <c r="V1505" i="17"/>
  <c r="V1506" i="17"/>
  <c r="V1507" i="17"/>
  <c r="V1508" i="17"/>
  <c r="V1509" i="17"/>
  <c r="V1510" i="17"/>
  <c r="V1511" i="17"/>
  <c r="V1512" i="17"/>
  <c r="V1513" i="17"/>
  <c r="V1514" i="17"/>
  <c r="V1515" i="17"/>
  <c r="V1516" i="17"/>
  <c r="V1517" i="17"/>
  <c r="V1518" i="17"/>
  <c r="V1519" i="17"/>
  <c r="V1520" i="17"/>
  <c r="V1521" i="17"/>
  <c r="V1522" i="17"/>
  <c r="V1523" i="17"/>
  <c r="V1524" i="17"/>
  <c r="V1525" i="17"/>
  <c r="V1526" i="17"/>
  <c r="V1527" i="17"/>
  <c r="V1528" i="17"/>
  <c r="V1529" i="17"/>
  <c r="V1530" i="17"/>
  <c r="V1531" i="17"/>
  <c r="V1532" i="17"/>
  <c r="V1533" i="17"/>
  <c r="V1534" i="17"/>
  <c r="V1535" i="17"/>
  <c r="V1536" i="17"/>
  <c r="V1537" i="17"/>
  <c r="V1538" i="17"/>
  <c r="V1539" i="17"/>
  <c r="V1540" i="17"/>
  <c r="V1541" i="17"/>
  <c r="V1542" i="17"/>
  <c r="V1543" i="17"/>
  <c r="V1544" i="17"/>
  <c r="V1545" i="17"/>
  <c r="V1546" i="17"/>
  <c r="V1547" i="17"/>
  <c r="V1548" i="17"/>
  <c r="V1549" i="17"/>
  <c r="V1550" i="17"/>
  <c r="V1551" i="17"/>
  <c r="V1552" i="17"/>
  <c r="V1553" i="17"/>
  <c r="V1554" i="17"/>
  <c r="V1555" i="17"/>
  <c r="V1556" i="17"/>
  <c r="V1557" i="17"/>
  <c r="V1558" i="17"/>
  <c r="V1559" i="17"/>
  <c r="V1560" i="17"/>
  <c r="V1561" i="17"/>
  <c r="V1562" i="17"/>
  <c r="V1563" i="17"/>
  <c r="V1564" i="17"/>
  <c r="V1565" i="17"/>
  <c r="V1566" i="17"/>
  <c r="V1567" i="17"/>
  <c r="V1568" i="17"/>
  <c r="V1569" i="17"/>
  <c r="V1570" i="17"/>
  <c r="V1571" i="17"/>
  <c r="V1572" i="17"/>
  <c r="V1573" i="17"/>
  <c r="V1574" i="17"/>
  <c r="V1575" i="17"/>
  <c r="V1576" i="17"/>
  <c r="V1577" i="17"/>
  <c r="V1578" i="17"/>
  <c r="V1579" i="17"/>
  <c r="V1580" i="17"/>
  <c r="V1581" i="17"/>
  <c r="V1582" i="17"/>
  <c r="V1583" i="17"/>
  <c r="V1584" i="17"/>
  <c r="V1585" i="17"/>
  <c r="V1586" i="17"/>
  <c r="V1587" i="17"/>
  <c r="V1588" i="17"/>
  <c r="V1589" i="17"/>
  <c r="V1590" i="17"/>
  <c r="V1591" i="17"/>
  <c r="V1592" i="17"/>
  <c r="V1593" i="17"/>
  <c r="V1594" i="17"/>
  <c r="V1595" i="17"/>
  <c r="V1596" i="17"/>
  <c r="V1597" i="17"/>
  <c r="V1598" i="17"/>
  <c r="V1599" i="17"/>
  <c r="V1600" i="17"/>
  <c r="V1601" i="17"/>
  <c r="V1602" i="17"/>
  <c r="V1603" i="17"/>
  <c r="V1604" i="17"/>
  <c r="V1605" i="17"/>
  <c r="V1606" i="17"/>
  <c r="V1607" i="17"/>
  <c r="V1608" i="17"/>
  <c r="V1609" i="17"/>
  <c r="V1610" i="17"/>
  <c r="V1611" i="17"/>
  <c r="V1612" i="17"/>
  <c r="V1613" i="17"/>
  <c r="V1614" i="17"/>
  <c r="V1615" i="17"/>
  <c r="V1616" i="17"/>
  <c r="V1617" i="17"/>
  <c r="V1618" i="17"/>
  <c r="V1619" i="17"/>
  <c r="V1620" i="17"/>
  <c r="V1621" i="17"/>
  <c r="V1622" i="17"/>
  <c r="V1623" i="17"/>
  <c r="V1624" i="17"/>
  <c r="V1625" i="17"/>
  <c r="V1626" i="17"/>
  <c r="V1627" i="17"/>
  <c r="V1628" i="17"/>
  <c r="V1629" i="17"/>
  <c r="V1630" i="17"/>
  <c r="V1631" i="17"/>
  <c r="V1632" i="17"/>
  <c r="V1633" i="17"/>
  <c r="V1634" i="17"/>
  <c r="V1635" i="17"/>
  <c r="V1636" i="17"/>
  <c r="V1637" i="17"/>
  <c r="V1638" i="17"/>
  <c r="V1639" i="17"/>
  <c r="V1640" i="17"/>
  <c r="V1641" i="17"/>
  <c r="V1642" i="17"/>
  <c r="V1643" i="17"/>
  <c r="V1644" i="17"/>
  <c r="V1645" i="17"/>
  <c r="V1646" i="17"/>
  <c r="V1647" i="17"/>
  <c r="V1648" i="17"/>
  <c r="V1649" i="17"/>
  <c r="V1650" i="17"/>
  <c r="V1651" i="17"/>
  <c r="V1652" i="17"/>
  <c r="V1653" i="17"/>
  <c r="V1654" i="17"/>
  <c r="V1655" i="17"/>
  <c r="V1656" i="17"/>
  <c r="V1657" i="17"/>
  <c r="V1658" i="17"/>
  <c r="V1659" i="17"/>
  <c r="V1660" i="17"/>
  <c r="V1661" i="17"/>
  <c r="V1662" i="17"/>
  <c r="V1663" i="17"/>
  <c r="V1664" i="17"/>
  <c r="V1665" i="17"/>
  <c r="V1666" i="17"/>
  <c r="V1667" i="17"/>
  <c r="V1668" i="17"/>
  <c r="V1669" i="17"/>
  <c r="V1670" i="17"/>
  <c r="V1671" i="17"/>
  <c r="V1672" i="17"/>
  <c r="V1673" i="17"/>
  <c r="V1674" i="17"/>
  <c r="V1675" i="17"/>
  <c r="V1676" i="17"/>
  <c r="V1677" i="17"/>
  <c r="V1678" i="17"/>
  <c r="V1679" i="17"/>
  <c r="V1680" i="17"/>
  <c r="V1681" i="17"/>
  <c r="V1682" i="17"/>
  <c r="V1683" i="17"/>
  <c r="V1684" i="17"/>
  <c r="V1685" i="17"/>
  <c r="V1686" i="17"/>
  <c r="V1687" i="17"/>
  <c r="V1688" i="17"/>
  <c r="V1689" i="17"/>
  <c r="V1690" i="17"/>
  <c r="V1691" i="17"/>
  <c r="V1692" i="17"/>
  <c r="V1693" i="17"/>
  <c r="V1694" i="17"/>
  <c r="V1695" i="17"/>
  <c r="V1696" i="17"/>
  <c r="V1697" i="17"/>
  <c r="V1698" i="17"/>
  <c r="V1699" i="17"/>
  <c r="V1700" i="17"/>
  <c r="V1701" i="17"/>
  <c r="V1702" i="17"/>
  <c r="V1703" i="17"/>
  <c r="V1704" i="17"/>
  <c r="V1705" i="17"/>
  <c r="V1706" i="17"/>
  <c r="V1707" i="17"/>
  <c r="V1708" i="17"/>
  <c r="V1709" i="17"/>
  <c r="V1710" i="17"/>
  <c r="V1711" i="17"/>
  <c r="V1712" i="17"/>
  <c r="V1713" i="17"/>
  <c r="V1714" i="17"/>
  <c r="V1715" i="17"/>
  <c r="V1716" i="17"/>
  <c r="V1717" i="17"/>
  <c r="V1718" i="17"/>
  <c r="V1719" i="17"/>
  <c r="V1720" i="17"/>
  <c r="V1721" i="17"/>
  <c r="V1722" i="17"/>
  <c r="V1723" i="17"/>
  <c r="V1724" i="17"/>
  <c r="V1725" i="17"/>
  <c r="V1726" i="17"/>
  <c r="V1727" i="17"/>
  <c r="V1728" i="17"/>
  <c r="V1729" i="17"/>
  <c r="V1730" i="17"/>
  <c r="V1731" i="17"/>
  <c r="V1732" i="17"/>
  <c r="V1733" i="17"/>
  <c r="V1734" i="17"/>
  <c r="V1735" i="17"/>
  <c r="V1736" i="17"/>
  <c r="V1737" i="17"/>
  <c r="V1738" i="17"/>
  <c r="V1739" i="17"/>
  <c r="V1740" i="17"/>
  <c r="V1741" i="17"/>
  <c r="V1742" i="17"/>
  <c r="V1743" i="17"/>
  <c r="V1744" i="17"/>
  <c r="V1745" i="17"/>
  <c r="V1746" i="17"/>
  <c r="V1747" i="17"/>
  <c r="V1748" i="17"/>
  <c r="V1749" i="17"/>
  <c r="V1750" i="17"/>
  <c r="V1751" i="17"/>
  <c r="V1752" i="17"/>
  <c r="V1753" i="17"/>
  <c r="V1754" i="17"/>
  <c r="V1755" i="17"/>
  <c r="V1756" i="17"/>
  <c r="V1757" i="17"/>
  <c r="V1758" i="17"/>
  <c r="V1759" i="17"/>
  <c r="V1760" i="17"/>
  <c r="V1761" i="17"/>
  <c r="V1762" i="17"/>
  <c r="V1763" i="17"/>
  <c r="V1764" i="17"/>
  <c r="V1765" i="17"/>
  <c r="V1766" i="17"/>
  <c r="V1767" i="17"/>
  <c r="V1768" i="17"/>
  <c r="V1769" i="17"/>
  <c r="V1770" i="17"/>
  <c r="V1771" i="17"/>
  <c r="V1772" i="17"/>
  <c r="V1773" i="17"/>
  <c r="V1774" i="17"/>
  <c r="V1775" i="17"/>
  <c r="V1776" i="17"/>
  <c r="V1777" i="17"/>
  <c r="V1778" i="17"/>
  <c r="V1779" i="17"/>
  <c r="V1780" i="17"/>
  <c r="V1781" i="17"/>
  <c r="V1782" i="17"/>
  <c r="V1783" i="17"/>
  <c r="V1784" i="17"/>
  <c r="V1785" i="17"/>
  <c r="V1786" i="17"/>
  <c r="V1787" i="17"/>
  <c r="V1788" i="17"/>
  <c r="V1789" i="17"/>
  <c r="V1790" i="17"/>
  <c r="V1791" i="17"/>
  <c r="V1792" i="17"/>
  <c r="V1793" i="17"/>
  <c r="V1794" i="17"/>
  <c r="V1795" i="17"/>
  <c r="V1796" i="17"/>
  <c r="V1797" i="17"/>
  <c r="V1798" i="17"/>
  <c r="V1799" i="17"/>
  <c r="V1800" i="17"/>
  <c r="V1801" i="17"/>
  <c r="V1802" i="17"/>
  <c r="V1803" i="17"/>
  <c r="V1804" i="17"/>
  <c r="V1805" i="17"/>
  <c r="V1806" i="17"/>
  <c r="V1807" i="17"/>
  <c r="V1808" i="17"/>
  <c r="V1809" i="17"/>
  <c r="V1810" i="17"/>
  <c r="V1811" i="17"/>
  <c r="V1812" i="17"/>
  <c r="V1813" i="17"/>
  <c r="V1814" i="17"/>
  <c r="V1815" i="17"/>
  <c r="V1816" i="17"/>
  <c r="V1817" i="17"/>
  <c r="V1818" i="17"/>
  <c r="V1819" i="17"/>
  <c r="V1820" i="17"/>
  <c r="V1821" i="17"/>
  <c r="V1822" i="17"/>
  <c r="V1823" i="17"/>
  <c r="V1824" i="17"/>
  <c r="V1825" i="17"/>
  <c r="V1826" i="17"/>
  <c r="V1827" i="17"/>
  <c r="V1828" i="17"/>
  <c r="V1829" i="17"/>
  <c r="V1830" i="17"/>
  <c r="V1831" i="17"/>
  <c r="V1832" i="17"/>
  <c r="V1833" i="17"/>
  <c r="V1834" i="17"/>
  <c r="V1835" i="17"/>
  <c r="V1836" i="17"/>
  <c r="V1837" i="17"/>
  <c r="V1838" i="17"/>
  <c r="V1839" i="17"/>
  <c r="V1840" i="17"/>
  <c r="V1841" i="17"/>
  <c r="V1842" i="17"/>
  <c r="V1843" i="17"/>
  <c r="V1844" i="17"/>
  <c r="V1845" i="17"/>
  <c r="V1846" i="17"/>
  <c r="V1847" i="17"/>
  <c r="V1848" i="17"/>
  <c r="V1849" i="17"/>
  <c r="V1850" i="17"/>
  <c r="V1851" i="17"/>
  <c r="V1852" i="17"/>
  <c r="V1853" i="17"/>
  <c r="V1854" i="17"/>
  <c r="V1855" i="17"/>
  <c r="V1856" i="17"/>
  <c r="V1857" i="17"/>
  <c r="V1858" i="17"/>
  <c r="V1859" i="17"/>
  <c r="V1860" i="17"/>
  <c r="V1861" i="17"/>
  <c r="V1862" i="17"/>
  <c r="V1863" i="17"/>
  <c r="V1864" i="17"/>
  <c r="V1865" i="17"/>
  <c r="V1866" i="17"/>
  <c r="V1867" i="17"/>
  <c r="V1868" i="17"/>
  <c r="V1869" i="17"/>
  <c r="V1870" i="17"/>
  <c r="V1871" i="17"/>
  <c r="V1872" i="17"/>
  <c r="V1873" i="17"/>
  <c r="V1874" i="17"/>
  <c r="V1875" i="17"/>
  <c r="V1876" i="17"/>
  <c r="V1877" i="17"/>
  <c r="V1878" i="17"/>
  <c r="V1879" i="17"/>
  <c r="V1880" i="17"/>
  <c r="V1881" i="17"/>
  <c r="V1882" i="17"/>
  <c r="V1883" i="17"/>
  <c r="V1884" i="17"/>
  <c r="V1885" i="17"/>
  <c r="V1886" i="17"/>
  <c r="V1887" i="17"/>
  <c r="V1888" i="17"/>
  <c r="V1889" i="17"/>
  <c r="V1890" i="17"/>
  <c r="V1891" i="17"/>
  <c r="V1892" i="17"/>
  <c r="V1893" i="17"/>
  <c r="V1894" i="17"/>
  <c r="V1895" i="17"/>
  <c r="V1896" i="17"/>
  <c r="V1897" i="17"/>
  <c r="V1898" i="17"/>
  <c r="V1899" i="17"/>
  <c r="V1900" i="17"/>
  <c r="V1901" i="17"/>
  <c r="V1902" i="17"/>
  <c r="V1903" i="17"/>
  <c r="V1904" i="17"/>
  <c r="V1905" i="17"/>
  <c r="V1906" i="17"/>
  <c r="V1907" i="17"/>
  <c r="V1908" i="17"/>
  <c r="V1909" i="17"/>
  <c r="V1910" i="17"/>
  <c r="V1911" i="17"/>
  <c r="V1912" i="17"/>
  <c r="V1913" i="17"/>
  <c r="V1914" i="17"/>
  <c r="V1915" i="17"/>
  <c r="V1916" i="17"/>
  <c r="V1917" i="17"/>
  <c r="V1918" i="17"/>
  <c r="V1919" i="17"/>
  <c r="V1920" i="17"/>
  <c r="V1921" i="17"/>
  <c r="V1922" i="17"/>
  <c r="V1923" i="17"/>
  <c r="V1924" i="17"/>
  <c r="V1925" i="17"/>
  <c r="V1926" i="17"/>
  <c r="V1927" i="17"/>
  <c r="V1928" i="17"/>
  <c r="V1929" i="17"/>
  <c r="V1930" i="17"/>
  <c r="V1931" i="17"/>
  <c r="V1932" i="17"/>
  <c r="V1933" i="17"/>
  <c r="V1934" i="17"/>
  <c r="V1935" i="17"/>
  <c r="V1936" i="17"/>
  <c r="V1937" i="17"/>
  <c r="V1938" i="17"/>
  <c r="V1939" i="17"/>
  <c r="V1940" i="17"/>
  <c r="V1941" i="17"/>
  <c r="V1942" i="17"/>
  <c r="V1943" i="17"/>
  <c r="V1944" i="17"/>
  <c r="V1945" i="17"/>
  <c r="V1946" i="17"/>
  <c r="V1947" i="17"/>
  <c r="V1948" i="17"/>
  <c r="V1949" i="17"/>
  <c r="V1950" i="17"/>
  <c r="V1951" i="17"/>
  <c r="V1952" i="17"/>
  <c r="V1953" i="17"/>
  <c r="V1954" i="17"/>
  <c r="V1955" i="17"/>
  <c r="V1956" i="17"/>
  <c r="V1957" i="17"/>
  <c r="V1958" i="17"/>
  <c r="V1959" i="17"/>
  <c r="V1960" i="17"/>
  <c r="V1961" i="17"/>
  <c r="V1962" i="17"/>
  <c r="V1963" i="17"/>
  <c r="V1964" i="17"/>
  <c r="V1965" i="17"/>
  <c r="V1966" i="17"/>
  <c r="V1967" i="17"/>
  <c r="V1968" i="17"/>
  <c r="V1969" i="17"/>
  <c r="V1970" i="17"/>
  <c r="V1971" i="17"/>
  <c r="V1972" i="17"/>
  <c r="V1973" i="17"/>
  <c r="V1974" i="17"/>
  <c r="V1975" i="17"/>
  <c r="V1976" i="17"/>
  <c r="V1977" i="17"/>
  <c r="V1978" i="17"/>
  <c r="V1979" i="17"/>
  <c r="V1980" i="17"/>
  <c r="V1981" i="17"/>
  <c r="V1982" i="17"/>
  <c r="V1983" i="17"/>
  <c r="V1984" i="17"/>
  <c r="V1985" i="17"/>
  <c r="V1986" i="17"/>
  <c r="V1987" i="17"/>
  <c r="V1988" i="17"/>
  <c r="V1989" i="17"/>
  <c r="V1990" i="17"/>
  <c r="V1991" i="17"/>
  <c r="V1992" i="17"/>
  <c r="V1993" i="17"/>
  <c r="V1994" i="17"/>
  <c r="V1995" i="17"/>
  <c r="V1996" i="17"/>
  <c r="V1997" i="17"/>
  <c r="V1998" i="17"/>
  <c r="V1999" i="17"/>
  <c r="V2000" i="17"/>
  <c r="V2001" i="17"/>
  <c r="O2" i="17"/>
  <c r="P2" i="17" s="1"/>
  <c r="O3" i="17"/>
  <c r="P3" i="17" s="1"/>
  <c r="O4" i="17"/>
  <c r="P4" i="17" s="1"/>
  <c r="O5" i="17"/>
  <c r="P5" i="17" s="1"/>
  <c r="O6" i="17"/>
  <c r="P6" i="17" s="1"/>
  <c r="O7" i="17"/>
  <c r="P7" i="17" s="1"/>
  <c r="O8" i="17"/>
  <c r="P8" i="17" s="1"/>
  <c r="O9" i="17"/>
  <c r="P9" i="17" s="1"/>
  <c r="O10" i="17"/>
  <c r="P10" i="17" s="1"/>
  <c r="O11" i="17"/>
  <c r="P11" i="17" s="1"/>
  <c r="O12" i="17"/>
  <c r="P12" i="17" s="1"/>
  <c r="O13" i="17"/>
  <c r="P13" i="17" s="1"/>
  <c r="O14" i="17"/>
  <c r="P14" i="17" s="1"/>
  <c r="O15" i="17"/>
  <c r="P15" i="17" s="1"/>
  <c r="O16" i="17"/>
  <c r="P16" i="17" s="1"/>
  <c r="O17" i="17"/>
  <c r="P17" i="17" s="1"/>
  <c r="O18" i="17"/>
  <c r="P18" i="17" s="1"/>
  <c r="O19" i="17"/>
  <c r="P19" i="17" s="1"/>
  <c r="O20" i="17"/>
  <c r="P20" i="17" s="1"/>
  <c r="O21" i="17"/>
  <c r="P21" i="17" s="1"/>
  <c r="O22" i="17"/>
  <c r="P22" i="17" s="1"/>
  <c r="O23" i="17"/>
  <c r="P23" i="17" s="1"/>
  <c r="O24" i="17"/>
  <c r="P24" i="17" s="1"/>
  <c r="O25" i="17"/>
  <c r="P25" i="17" s="1"/>
  <c r="O26" i="17"/>
  <c r="P26" i="17" s="1"/>
  <c r="O27" i="17"/>
  <c r="P27" i="17" s="1"/>
  <c r="O28" i="17"/>
  <c r="P28" i="17" s="1"/>
  <c r="O29" i="17"/>
  <c r="P29" i="17" s="1"/>
  <c r="O30" i="17"/>
  <c r="P30" i="17" s="1"/>
  <c r="O31" i="17"/>
  <c r="P31" i="17" s="1"/>
  <c r="O32" i="17"/>
  <c r="P32" i="17" s="1"/>
  <c r="O33" i="17"/>
  <c r="P33" i="17" s="1"/>
  <c r="O34" i="17"/>
  <c r="P34" i="17" s="1"/>
  <c r="O35" i="17"/>
  <c r="P35" i="17" s="1"/>
  <c r="O36" i="17"/>
  <c r="P36" i="17" s="1"/>
  <c r="O37" i="17"/>
  <c r="P37" i="17" s="1"/>
  <c r="O38" i="17"/>
  <c r="P38" i="17" s="1"/>
  <c r="O39" i="17"/>
  <c r="P39" i="17" s="1"/>
  <c r="O40" i="17"/>
  <c r="P40" i="17" s="1"/>
  <c r="O41" i="17"/>
  <c r="P41" i="17" s="1"/>
  <c r="O42" i="17"/>
  <c r="P42" i="17" s="1"/>
  <c r="O43" i="17"/>
  <c r="P43" i="17" s="1"/>
  <c r="O44" i="17"/>
  <c r="P44" i="17" s="1"/>
  <c r="O45" i="17"/>
  <c r="P45" i="17" s="1"/>
  <c r="O46" i="17"/>
  <c r="P46" i="17" s="1"/>
  <c r="O47" i="17"/>
  <c r="P47" i="17" s="1"/>
  <c r="O48" i="17"/>
  <c r="P48" i="17" s="1"/>
  <c r="Q48" i="17" s="1"/>
  <c r="R48" i="17" s="1"/>
  <c r="O49" i="17"/>
  <c r="P49" i="17" s="1"/>
  <c r="O50" i="17"/>
  <c r="P50" i="17" s="1"/>
  <c r="O51" i="17"/>
  <c r="P51" i="17" s="1"/>
  <c r="O52" i="17"/>
  <c r="P52" i="17" s="1"/>
  <c r="O53" i="17"/>
  <c r="P53" i="17" s="1"/>
  <c r="O54" i="17"/>
  <c r="P54" i="17" s="1"/>
  <c r="O55" i="17"/>
  <c r="P55" i="17" s="1"/>
  <c r="O56" i="17"/>
  <c r="P56" i="17" s="1"/>
  <c r="O57" i="17"/>
  <c r="P57" i="17" s="1"/>
  <c r="O58" i="17"/>
  <c r="P58" i="17" s="1"/>
  <c r="O59" i="17"/>
  <c r="P59" i="17" s="1"/>
  <c r="O60" i="17"/>
  <c r="P60" i="17" s="1"/>
  <c r="O61" i="17"/>
  <c r="P61" i="17" s="1"/>
  <c r="O62" i="17"/>
  <c r="P62" i="17" s="1"/>
  <c r="O63" i="17"/>
  <c r="P63" i="17" s="1"/>
  <c r="O64" i="17"/>
  <c r="P64" i="17" s="1"/>
  <c r="O65" i="17"/>
  <c r="P65" i="17" s="1"/>
  <c r="O66" i="17"/>
  <c r="P66" i="17" s="1"/>
  <c r="O67" i="17"/>
  <c r="P67" i="17" s="1"/>
  <c r="O68" i="17"/>
  <c r="P68" i="17" s="1"/>
  <c r="O69" i="17"/>
  <c r="P69" i="17" s="1"/>
  <c r="O70" i="17"/>
  <c r="P70" i="17" s="1"/>
  <c r="O71" i="17"/>
  <c r="P71" i="17" s="1"/>
  <c r="O72" i="17"/>
  <c r="P72" i="17" s="1"/>
  <c r="O73" i="17"/>
  <c r="P73" i="17" s="1"/>
  <c r="O74" i="17"/>
  <c r="P74" i="17" s="1"/>
  <c r="O75" i="17"/>
  <c r="P75" i="17" s="1"/>
  <c r="O76" i="17"/>
  <c r="P76" i="17" s="1"/>
  <c r="O77" i="17"/>
  <c r="P77" i="17" s="1"/>
  <c r="O78" i="17"/>
  <c r="P78" i="17" s="1"/>
  <c r="O79" i="17"/>
  <c r="P79" i="17" s="1"/>
  <c r="O80" i="17"/>
  <c r="P80" i="17" s="1"/>
  <c r="O81" i="17"/>
  <c r="P81" i="17" s="1"/>
  <c r="O82" i="17"/>
  <c r="P82" i="17" s="1"/>
  <c r="O83" i="17"/>
  <c r="P83" i="17" s="1"/>
  <c r="O84" i="17"/>
  <c r="P84" i="17" s="1"/>
  <c r="O85" i="17"/>
  <c r="P85" i="17" s="1"/>
  <c r="O86" i="17"/>
  <c r="P86" i="17" s="1"/>
  <c r="O87" i="17"/>
  <c r="P87" i="17" s="1"/>
  <c r="O88" i="17"/>
  <c r="P88" i="17" s="1"/>
  <c r="O89" i="17"/>
  <c r="P89" i="17" s="1"/>
  <c r="O90" i="17"/>
  <c r="P90" i="17" s="1"/>
  <c r="O91" i="17"/>
  <c r="P91" i="17" s="1"/>
  <c r="O92" i="17"/>
  <c r="P92" i="17" s="1"/>
  <c r="O93" i="17"/>
  <c r="P93" i="17" s="1"/>
  <c r="O94" i="17"/>
  <c r="P94" i="17" s="1"/>
  <c r="O95" i="17"/>
  <c r="P95" i="17" s="1"/>
  <c r="O96" i="17"/>
  <c r="P96" i="17" s="1"/>
  <c r="Q96" i="17" s="1"/>
  <c r="R96" i="17" s="1"/>
  <c r="O97" i="17"/>
  <c r="P97" i="17" s="1"/>
  <c r="Q97" i="17" s="1"/>
  <c r="R97" i="17" s="1"/>
  <c r="O98" i="17"/>
  <c r="P98" i="17" s="1"/>
  <c r="O99" i="17"/>
  <c r="P99" i="17" s="1"/>
  <c r="O100" i="17"/>
  <c r="P100" i="17" s="1"/>
  <c r="O101" i="17"/>
  <c r="P101" i="17" s="1"/>
  <c r="O102" i="17"/>
  <c r="P102" i="17" s="1"/>
  <c r="O103" i="17"/>
  <c r="P103" i="17" s="1"/>
  <c r="O104" i="17"/>
  <c r="P104" i="17" s="1"/>
  <c r="O105" i="17"/>
  <c r="P105" i="17" s="1"/>
  <c r="O106" i="17"/>
  <c r="P106" i="17" s="1"/>
  <c r="O107" i="17"/>
  <c r="P107" i="17" s="1"/>
  <c r="O108" i="17"/>
  <c r="P108" i="17" s="1"/>
  <c r="O109" i="17"/>
  <c r="P109" i="17" s="1"/>
  <c r="O110" i="17"/>
  <c r="P110" i="17" s="1"/>
  <c r="O111" i="17"/>
  <c r="P111" i="17" s="1"/>
  <c r="O112" i="17"/>
  <c r="P112" i="17" s="1"/>
  <c r="O113" i="17"/>
  <c r="P113" i="17" s="1"/>
  <c r="O114" i="17"/>
  <c r="P114" i="17" s="1"/>
  <c r="O115" i="17"/>
  <c r="P115" i="17" s="1"/>
  <c r="O116" i="17"/>
  <c r="P116" i="17" s="1"/>
  <c r="O117" i="17"/>
  <c r="P117" i="17" s="1"/>
  <c r="O118" i="17"/>
  <c r="P118" i="17" s="1"/>
  <c r="O119" i="17"/>
  <c r="P119" i="17" s="1"/>
  <c r="O120" i="17"/>
  <c r="P120" i="17" s="1"/>
  <c r="O121" i="17"/>
  <c r="P121" i="17" s="1"/>
  <c r="O122" i="17"/>
  <c r="P122" i="17" s="1"/>
  <c r="O123" i="17"/>
  <c r="P123" i="17" s="1"/>
  <c r="O124" i="17"/>
  <c r="P124" i="17" s="1"/>
  <c r="O125" i="17"/>
  <c r="P125" i="17" s="1"/>
  <c r="O126" i="17"/>
  <c r="P126" i="17" s="1"/>
  <c r="O127" i="17"/>
  <c r="P127" i="17" s="1"/>
  <c r="O128" i="17"/>
  <c r="P128" i="17" s="1"/>
  <c r="O129" i="17"/>
  <c r="P129" i="17" s="1"/>
  <c r="O130" i="17"/>
  <c r="P130" i="17" s="1"/>
  <c r="O131" i="17"/>
  <c r="P131" i="17" s="1"/>
  <c r="O132" i="17"/>
  <c r="P132" i="17" s="1"/>
  <c r="O133" i="17"/>
  <c r="P133" i="17" s="1"/>
  <c r="O134" i="17"/>
  <c r="P134" i="17" s="1"/>
  <c r="O135" i="17"/>
  <c r="P135" i="17" s="1"/>
  <c r="O136" i="17"/>
  <c r="P136" i="17" s="1"/>
  <c r="O137" i="17"/>
  <c r="P137" i="17" s="1"/>
  <c r="O138" i="17"/>
  <c r="P138" i="17" s="1"/>
  <c r="O139" i="17"/>
  <c r="P139" i="17" s="1"/>
  <c r="O140" i="17"/>
  <c r="P140" i="17" s="1"/>
  <c r="O141" i="17"/>
  <c r="P141" i="17" s="1"/>
  <c r="O142" i="17"/>
  <c r="P142" i="17" s="1"/>
  <c r="O143" i="17"/>
  <c r="P143" i="17" s="1"/>
  <c r="O144" i="17"/>
  <c r="P144" i="17" s="1"/>
  <c r="Q144" i="17" s="1"/>
  <c r="R144" i="17" s="1"/>
  <c r="O145" i="17"/>
  <c r="P145" i="17" s="1"/>
  <c r="Q145" i="17" s="1"/>
  <c r="R145" i="17" s="1"/>
  <c r="O146" i="17"/>
  <c r="P146" i="17" s="1"/>
  <c r="O147" i="17"/>
  <c r="P147" i="17" s="1"/>
  <c r="O148" i="17"/>
  <c r="P148" i="17" s="1"/>
  <c r="O149" i="17"/>
  <c r="P149" i="17" s="1"/>
  <c r="O150" i="17"/>
  <c r="P150" i="17" s="1"/>
  <c r="O151" i="17"/>
  <c r="P151" i="17" s="1"/>
  <c r="O152" i="17"/>
  <c r="P152" i="17" s="1"/>
  <c r="O153" i="17"/>
  <c r="P153" i="17" s="1"/>
  <c r="O154" i="17"/>
  <c r="P154" i="17" s="1"/>
  <c r="O155" i="17"/>
  <c r="P155" i="17" s="1"/>
  <c r="O156" i="17"/>
  <c r="P156" i="17" s="1"/>
  <c r="O157" i="17"/>
  <c r="P157" i="17" s="1"/>
  <c r="O158" i="17"/>
  <c r="P158" i="17" s="1"/>
  <c r="O159" i="17"/>
  <c r="P159" i="17" s="1"/>
  <c r="O160" i="17"/>
  <c r="P160" i="17" s="1"/>
  <c r="O161" i="17"/>
  <c r="P161" i="17" s="1"/>
  <c r="O162" i="17"/>
  <c r="P162" i="17" s="1"/>
  <c r="O163" i="17"/>
  <c r="P163" i="17" s="1"/>
  <c r="O164" i="17"/>
  <c r="P164" i="17" s="1"/>
  <c r="O165" i="17"/>
  <c r="P165" i="17" s="1"/>
  <c r="O166" i="17"/>
  <c r="P166" i="17" s="1"/>
  <c r="O167" i="17"/>
  <c r="P167" i="17" s="1"/>
  <c r="O168" i="17"/>
  <c r="P168" i="17" s="1"/>
  <c r="O169" i="17"/>
  <c r="P169" i="17" s="1"/>
  <c r="O170" i="17"/>
  <c r="P170" i="17" s="1"/>
  <c r="O171" i="17"/>
  <c r="P171" i="17" s="1"/>
  <c r="O172" i="17"/>
  <c r="P172" i="17" s="1"/>
  <c r="O173" i="17"/>
  <c r="P173" i="17" s="1"/>
  <c r="O174" i="17"/>
  <c r="P174" i="17" s="1"/>
  <c r="O175" i="17"/>
  <c r="P175" i="17" s="1"/>
  <c r="O176" i="17"/>
  <c r="P176" i="17" s="1"/>
  <c r="O177" i="17"/>
  <c r="P177" i="17" s="1"/>
  <c r="O178" i="17"/>
  <c r="P178" i="17" s="1"/>
  <c r="O179" i="17"/>
  <c r="P179" i="17" s="1"/>
  <c r="O180" i="17"/>
  <c r="P180" i="17" s="1"/>
  <c r="O181" i="17"/>
  <c r="P181" i="17" s="1"/>
  <c r="O182" i="17"/>
  <c r="P182" i="17" s="1"/>
  <c r="O183" i="17"/>
  <c r="P183" i="17" s="1"/>
  <c r="O184" i="17"/>
  <c r="P184" i="17" s="1"/>
  <c r="O185" i="17"/>
  <c r="P185" i="17" s="1"/>
  <c r="O186" i="17"/>
  <c r="P186" i="17" s="1"/>
  <c r="O187" i="17"/>
  <c r="P187" i="17" s="1"/>
  <c r="O188" i="17"/>
  <c r="P188" i="17" s="1"/>
  <c r="O189" i="17"/>
  <c r="P189" i="17" s="1"/>
  <c r="O190" i="17"/>
  <c r="P190" i="17" s="1"/>
  <c r="O191" i="17"/>
  <c r="P191" i="17" s="1"/>
  <c r="O192" i="17"/>
  <c r="P192" i="17" s="1"/>
  <c r="Q192" i="17" s="1"/>
  <c r="R192" i="17" s="1"/>
  <c r="O193" i="17"/>
  <c r="P193" i="17" s="1"/>
  <c r="Q193" i="17" s="1"/>
  <c r="R193" i="17" s="1"/>
  <c r="O194" i="17"/>
  <c r="P194" i="17" s="1"/>
  <c r="O195" i="17"/>
  <c r="P195" i="17" s="1"/>
  <c r="O196" i="17"/>
  <c r="P196" i="17" s="1"/>
  <c r="O197" i="17"/>
  <c r="P197" i="17" s="1"/>
  <c r="O198" i="17"/>
  <c r="P198" i="17" s="1"/>
  <c r="O199" i="17"/>
  <c r="P199" i="17" s="1"/>
  <c r="O200" i="17"/>
  <c r="P200" i="17" s="1"/>
  <c r="O201" i="17"/>
  <c r="P201" i="17" s="1"/>
  <c r="O202" i="17"/>
  <c r="P202" i="17" s="1"/>
  <c r="O203" i="17"/>
  <c r="P203" i="17" s="1"/>
  <c r="O204" i="17"/>
  <c r="P204" i="17" s="1"/>
  <c r="O205" i="17"/>
  <c r="P205" i="17" s="1"/>
  <c r="O206" i="17"/>
  <c r="P206" i="17" s="1"/>
  <c r="O207" i="17"/>
  <c r="P207" i="17" s="1"/>
  <c r="O208" i="17"/>
  <c r="P208" i="17" s="1"/>
  <c r="O209" i="17"/>
  <c r="P209" i="17" s="1"/>
  <c r="O210" i="17"/>
  <c r="P210" i="17" s="1"/>
  <c r="O211" i="17"/>
  <c r="P211" i="17" s="1"/>
  <c r="O212" i="17"/>
  <c r="P212" i="17" s="1"/>
  <c r="O213" i="17"/>
  <c r="P213" i="17" s="1"/>
  <c r="O214" i="17"/>
  <c r="P214" i="17" s="1"/>
  <c r="O215" i="17"/>
  <c r="P215" i="17" s="1"/>
  <c r="O216" i="17"/>
  <c r="P216" i="17" s="1"/>
  <c r="O217" i="17"/>
  <c r="P217" i="17" s="1"/>
  <c r="O218" i="17"/>
  <c r="P218" i="17" s="1"/>
  <c r="O219" i="17"/>
  <c r="P219" i="17" s="1"/>
  <c r="O220" i="17"/>
  <c r="P220" i="17" s="1"/>
  <c r="O221" i="17"/>
  <c r="P221" i="17" s="1"/>
  <c r="O222" i="17"/>
  <c r="P222" i="17" s="1"/>
  <c r="O223" i="17"/>
  <c r="P223" i="17" s="1"/>
  <c r="O224" i="17"/>
  <c r="P224" i="17" s="1"/>
  <c r="O225" i="17"/>
  <c r="P225" i="17" s="1"/>
  <c r="O226" i="17"/>
  <c r="P226" i="17" s="1"/>
  <c r="O227" i="17"/>
  <c r="P227" i="17" s="1"/>
  <c r="O228" i="17"/>
  <c r="P228" i="17" s="1"/>
  <c r="O229" i="17"/>
  <c r="P229" i="17" s="1"/>
  <c r="O230" i="17"/>
  <c r="P230" i="17" s="1"/>
  <c r="O231" i="17"/>
  <c r="P231" i="17" s="1"/>
  <c r="O232" i="17"/>
  <c r="P232" i="17" s="1"/>
  <c r="O233" i="17"/>
  <c r="P233" i="17" s="1"/>
  <c r="O234" i="17"/>
  <c r="P234" i="17" s="1"/>
  <c r="O235" i="17"/>
  <c r="P235" i="17" s="1"/>
  <c r="O236" i="17"/>
  <c r="P236" i="17" s="1"/>
  <c r="O237" i="17"/>
  <c r="P237" i="17" s="1"/>
  <c r="O238" i="17"/>
  <c r="P238" i="17" s="1"/>
  <c r="O239" i="17"/>
  <c r="P239" i="17" s="1"/>
  <c r="O240" i="17"/>
  <c r="P240" i="17" s="1"/>
  <c r="Q240" i="17" s="1"/>
  <c r="R240" i="17" s="1"/>
  <c r="O241" i="17"/>
  <c r="P241" i="17" s="1"/>
  <c r="Q241" i="17" s="1"/>
  <c r="R241" i="17" s="1"/>
  <c r="O242" i="17"/>
  <c r="P242" i="17" s="1"/>
  <c r="O243" i="17"/>
  <c r="P243" i="17" s="1"/>
  <c r="O244" i="17"/>
  <c r="P244" i="17" s="1"/>
  <c r="O245" i="17"/>
  <c r="P245" i="17" s="1"/>
  <c r="O246" i="17"/>
  <c r="P246" i="17" s="1"/>
  <c r="O247" i="17"/>
  <c r="P247" i="17" s="1"/>
  <c r="O248" i="17"/>
  <c r="P248" i="17" s="1"/>
  <c r="O249" i="17"/>
  <c r="P249" i="17" s="1"/>
  <c r="O250" i="17"/>
  <c r="P250" i="17" s="1"/>
  <c r="O251" i="17"/>
  <c r="P251" i="17" s="1"/>
  <c r="O252" i="17"/>
  <c r="P252" i="17" s="1"/>
  <c r="Q252" i="17" s="1"/>
  <c r="R252" i="17" s="1"/>
  <c r="O253" i="17"/>
  <c r="P253" i="17" s="1"/>
  <c r="O254" i="17"/>
  <c r="P254" i="17" s="1"/>
  <c r="O255" i="17"/>
  <c r="P255" i="17" s="1"/>
  <c r="O256" i="17"/>
  <c r="P256" i="17" s="1"/>
  <c r="O257" i="17"/>
  <c r="P257" i="17" s="1"/>
  <c r="O258" i="17"/>
  <c r="P258" i="17" s="1"/>
  <c r="O259" i="17"/>
  <c r="P259" i="17" s="1"/>
  <c r="O260" i="17"/>
  <c r="P260" i="17" s="1"/>
  <c r="O261" i="17"/>
  <c r="P261" i="17" s="1"/>
  <c r="Q261" i="17" s="1"/>
  <c r="R261" i="17" s="1"/>
  <c r="O262" i="17"/>
  <c r="P262" i="17" s="1"/>
  <c r="O263" i="17"/>
  <c r="P263" i="17" s="1"/>
  <c r="O264" i="17"/>
  <c r="P264" i="17" s="1"/>
  <c r="O265" i="17"/>
  <c r="P265" i="17" s="1"/>
  <c r="O266" i="17"/>
  <c r="P266" i="17" s="1"/>
  <c r="O267" i="17"/>
  <c r="P267" i="17" s="1"/>
  <c r="O268" i="17"/>
  <c r="P268" i="17" s="1"/>
  <c r="O269" i="17"/>
  <c r="P269" i="17" s="1"/>
  <c r="O270" i="17"/>
  <c r="P270" i="17" s="1"/>
  <c r="O271" i="17"/>
  <c r="P271" i="17" s="1"/>
  <c r="O272" i="17"/>
  <c r="P272" i="17" s="1"/>
  <c r="O273" i="17"/>
  <c r="P273" i="17" s="1"/>
  <c r="O274" i="17"/>
  <c r="P274" i="17" s="1"/>
  <c r="O275" i="17"/>
  <c r="P275" i="17" s="1"/>
  <c r="O276" i="17"/>
  <c r="P276" i="17" s="1"/>
  <c r="O277" i="17"/>
  <c r="P277" i="17" s="1"/>
  <c r="O278" i="17"/>
  <c r="P278" i="17" s="1"/>
  <c r="O279" i="17"/>
  <c r="P279" i="17" s="1"/>
  <c r="O280" i="17"/>
  <c r="P280" i="17" s="1"/>
  <c r="O281" i="17"/>
  <c r="P281" i="17" s="1"/>
  <c r="O282" i="17"/>
  <c r="P282" i="17" s="1"/>
  <c r="O283" i="17"/>
  <c r="P283" i="17" s="1"/>
  <c r="O284" i="17"/>
  <c r="P284" i="17" s="1"/>
  <c r="O285" i="17"/>
  <c r="P285" i="17" s="1"/>
  <c r="O286" i="17"/>
  <c r="P286" i="17" s="1"/>
  <c r="O287" i="17"/>
  <c r="P287" i="17" s="1"/>
  <c r="O288" i="17"/>
  <c r="P288" i="17" s="1"/>
  <c r="Q288" i="17" s="1"/>
  <c r="R288" i="17" s="1"/>
  <c r="O289" i="17"/>
  <c r="P289" i="17" s="1"/>
  <c r="Q289" i="17" s="1"/>
  <c r="R289" i="17" s="1"/>
  <c r="O290" i="17"/>
  <c r="P290" i="17" s="1"/>
  <c r="O291" i="17"/>
  <c r="P291" i="17" s="1"/>
  <c r="O292" i="17"/>
  <c r="P292" i="17" s="1"/>
  <c r="O293" i="17"/>
  <c r="P293" i="17" s="1"/>
  <c r="O294" i="17"/>
  <c r="P294" i="17" s="1"/>
  <c r="O295" i="17"/>
  <c r="P295" i="17" s="1"/>
  <c r="O296" i="17"/>
  <c r="P296" i="17" s="1"/>
  <c r="O297" i="17"/>
  <c r="P297" i="17" s="1"/>
  <c r="O298" i="17"/>
  <c r="P298" i="17" s="1"/>
  <c r="O299" i="17"/>
  <c r="P299" i="17" s="1"/>
  <c r="O300" i="17"/>
  <c r="P300" i="17" s="1"/>
  <c r="Q300" i="17" s="1"/>
  <c r="R300" i="17" s="1"/>
  <c r="O301" i="17"/>
  <c r="P301" i="17" s="1"/>
  <c r="O302" i="17"/>
  <c r="P302" i="17" s="1"/>
  <c r="O303" i="17"/>
  <c r="P303" i="17" s="1"/>
  <c r="O304" i="17"/>
  <c r="P304" i="17" s="1"/>
  <c r="O305" i="17"/>
  <c r="P305" i="17" s="1"/>
  <c r="O306" i="17"/>
  <c r="P306" i="17" s="1"/>
  <c r="O307" i="17"/>
  <c r="P307" i="17" s="1"/>
  <c r="O308" i="17"/>
  <c r="P308" i="17" s="1"/>
  <c r="O309" i="17"/>
  <c r="P309" i="17" s="1"/>
  <c r="Q309" i="17" s="1"/>
  <c r="R309" i="17" s="1"/>
  <c r="O310" i="17"/>
  <c r="P310" i="17" s="1"/>
  <c r="O311" i="17"/>
  <c r="P311" i="17" s="1"/>
  <c r="O312" i="17"/>
  <c r="P312" i="17" s="1"/>
  <c r="O313" i="17"/>
  <c r="P313" i="17" s="1"/>
  <c r="O314" i="17"/>
  <c r="P314" i="17" s="1"/>
  <c r="O315" i="17"/>
  <c r="P315" i="17" s="1"/>
  <c r="O316" i="17"/>
  <c r="P316" i="17" s="1"/>
  <c r="O317" i="17"/>
  <c r="P317" i="17" s="1"/>
  <c r="O318" i="17"/>
  <c r="P318" i="17" s="1"/>
  <c r="O319" i="17"/>
  <c r="P319" i="17" s="1"/>
  <c r="O320" i="17"/>
  <c r="P320" i="17" s="1"/>
  <c r="O321" i="17"/>
  <c r="P321" i="17" s="1"/>
  <c r="O322" i="17"/>
  <c r="P322" i="17" s="1"/>
  <c r="O323" i="17"/>
  <c r="P323" i="17" s="1"/>
  <c r="O324" i="17"/>
  <c r="P324" i="17" s="1"/>
  <c r="O325" i="17"/>
  <c r="P325" i="17" s="1"/>
  <c r="O326" i="17"/>
  <c r="P326" i="17" s="1"/>
  <c r="O327" i="17"/>
  <c r="P327" i="17" s="1"/>
  <c r="O328" i="17"/>
  <c r="P328" i="17" s="1"/>
  <c r="O329" i="17"/>
  <c r="P329" i="17" s="1"/>
  <c r="O330" i="17"/>
  <c r="P330" i="17" s="1"/>
  <c r="O331" i="17"/>
  <c r="P331" i="17" s="1"/>
  <c r="O332" i="17"/>
  <c r="P332" i="17" s="1"/>
  <c r="O333" i="17"/>
  <c r="P333" i="17" s="1"/>
  <c r="O334" i="17"/>
  <c r="P334" i="17" s="1"/>
  <c r="O335" i="17"/>
  <c r="P335" i="17" s="1"/>
  <c r="O336" i="17"/>
  <c r="P336" i="17" s="1"/>
  <c r="Q336" i="17" s="1"/>
  <c r="R336" i="17" s="1"/>
  <c r="O337" i="17"/>
  <c r="P337" i="17" s="1"/>
  <c r="Q337" i="17" s="1"/>
  <c r="R337" i="17" s="1"/>
  <c r="O338" i="17"/>
  <c r="P338" i="17" s="1"/>
  <c r="O339" i="17"/>
  <c r="P339" i="17" s="1"/>
  <c r="O340" i="17"/>
  <c r="P340" i="17" s="1"/>
  <c r="O341" i="17"/>
  <c r="P341" i="17" s="1"/>
  <c r="O342" i="17"/>
  <c r="P342" i="17" s="1"/>
  <c r="O343" i="17"/>
  <c r="P343" i="17" s="1"/>
  <c r="O344" i="17"/>
  <c r="P344" i="17" s="1"/>
  <c r="O345" i="17"/>
  <c r="P345" i="17" s="1"/>
  <c r="O346" i="17"/>
  <c r="P346" i="17" s="1"/>
  <c r="O347" i="17"/>
  <c r="P347" i="17" s="1"/>
  <c r="O348" i="17"/>
  <c r="P348" i="17" s="1"/>
  <c r="Q348" i="17" s="1"/>
  <c r="R348" i="17" s="1"/>
  <c r="O349" i="17"/>
  <c r="P349" i="17" s="1"/>
  <c r="O350" i="17"/>
  <c r="P350" i="17" s="1"/>
  <c r="O351" i="17"/>
  <c r="P351" i="17" s="1"/>
  <c r="O352" i="17"/>
  <c r="P352" i="17" s="1"/>
  <c r="O353" i="17"/>
  <c r="P353" i="17" s="1"/>
  <c r="O354" i="17"/>
  <c r="P354" i="17" s="1"/>
  <c r="O355" i="17"/>
  <c r="P355" i="17" s="1"/>
  <c r="O356" i="17"/>
  <c r="P356" i="17" s="1"/>
  <c r="O357" i="17"/>
  <c r="P357" i="17" s="1"/>
  <c r="Q357" i="17" s="1"/>
  <c r="R357" i="17" s="1"/>
  <c r="O358" i="17"/>
  <c r="P358" i="17" s="1"/>
  <c r="O359" i="17"/>
  <c r="P359" i="17" s="1"/>
  <c r="O360" i="17"/>
  <c r="P360" i="17" s="1"/>
  <c r="O361" i="17"/>
  <c r="P361" i="17" s="1"/>
  <c r="O362" i="17"/>
  <c r="P362" i="17" s="1"/>
  <c r="O363" i="17"/>
  <c r="P363" i="17" s="1"/>
  <c r="O364" i="17"/>
  <c r="P364" i="17" s="1"/>
  <c r="O365" i="17"/>
  <c r="P365" i="17" s="1"/>
  <c r="O366" i="17"/>
  <c r="P366" i="17" s="1"/>
  <c r="O367" i="17"/>
  <c r="P367" i="17" s="1"/>
  <c r="O368" i="17"/>
  <c r="P368" i="17" s="1"/>
  <c r="O369" i="17"/>
  <c r="P369" i="17" s="1"/>
  <c r="O370" i="17"/>
  <c r="P370" i="17" s="1"/>
  <c r="O371" i="17"/>
  <c r="P371" i="17" s="1"/>
  <c r="O372" i="17"/>
  <c r="P372" i="17" s="1"/>
  <c r="O373" i="17"/>
  <c r="P373" i="17" s="1"/>
  <c r="O374" i="17"/>
  <c r="P374" i="17" s="1"/>
  <c r="O375" i="17"/>
  <c r="P375" i="17" s="1"/>
  <c r="O376" i="17"/>
  <c r="P376" i="17" s="1"/>
  <c r="O377" i="17"/>
  <c r="P377" i="17" s="1"/>
  <c r="O378" i="17"/>
  <c r="P378" i="17" s="1"/>
  <c r="O379" i="17"/>
  <c r="P379" i="17" s="1"/>
  <c r="O380" i="17"/>
  <c r="P380" i="17" s="1"/>
  <c r="O381" i="17"/>
  <c r="P381" i="17" s="1"/>
  <c r="O382" i="17"/>
  <c r="P382" i="17" s="1"/>
  <c r="O383" i="17"/>
  <c r="P383" i="17" s="1"/>
  <c r="O384" i="17"/>
  <c r="P384" i="17" s="1"/>
  <c r="Q384" i="17" s="1"/>
  <c r="R384" i="17" s="1"/>
  <c r="O385" i="17"/>
  <c r="P385" i="17" s="1"/>
  <c r="Q385" i="17" s="1"/>
  <c r="R385" i="17" s="1"/>
  <c r="O386" i="17"/>
  <c r="P386" i="17" s="1"/>
  <c r="O387" i="17"/>
  <c r="P387" i="17" s="1"/>
  <c r="O388" i="17"/>
  <c r="P388" i="17" s="1"/>
  <c r="O389" i="17"/>
  <c r="P389" i="17" s="1"/>
  <c r="O390" i="17"/>
  <c r="P390" i="17" s="1"/>
  <c r="O391" i="17"/>
  <c r="P391" i="17" s="1"/>
  <c r="O392" i="17"/>
  <c r="P392" i="17" s="1"/>
  <c r="O393" i="17"/>
  <c r="P393" i="17" s="1"/>
  <c r="O394" i="17"/>
  <c r="P394" i="17" s="1"/>
  <c r="O395" i="17"/>
  <c r="P395" i="17" s="1"/>
  <c r="O396" i="17"/>
  <c r="P396" i="17" s="1"/>
  <c r="Q396" i="17" s="1"/>
  <c r="R396" i="17" s="1"/>
  <c r="O397" i="17"/>
  <c r="P397" i="17" s="1"/>
  <c r="O398" i="17"/>
  <c r="P398" i="17" s="1"/>
  <c r="O399" i="17"/>
  <c r="P399" i="17" s="1"/>
  <c r="O400" i="17"/>
  <c r="P400" i="17" s="1"/>
  <c r="O401" i="17"/>
  <c r="P401" i="17" s="1"/>
  <c r="O402" i="17"/>
  <c r="P402" i="17" s="1"/>
  <c r="O403" i="17"/>
  <c r="P403" i="17" s="1"/>
  <c r="O404" i="17"/>
  <c r="P404" i="17" s="1"/>
  <c r="O405" i="17"/>
  <c r="P405" i="17" s="1"/>
  <c r="Q405" i="17" s="1"/>
  <c r="R405" i="17" s="1"/>
  <c r="O406" i="17"/>
  <c r="P406" i="17" s="1"/>
  <c r="O407" i="17"/>
  <c r="P407" i="17" s="1"/>
  <c r="O408" i="17"/>
  <c r="P408" i="17" s="1"/>
  <c r="O409" i="17"/>
  <c r="P409" i="17" s="1"/>
  <c r="O410" i="17"/>
  <c r="P410" i="17" s="1"/>
  <c r="O411" i="17"/>
  <c r="P411" i="17" s="1"/>
  <c r="O412" i="17"/>
  <c r="P412" i="17" s="1"/>
  <c r="O413" i="17"/>
  <c r="P413" i="17" s="1"/>
  <c r="O414" i="17"/>
  <c r="P414" i="17" s="1"/>
  <c r="O415" i="17"/>
  <c r="P415" i="17" s="1"/>
  <c r="O416" i="17"/>
  <c r="P416" i="17" s="1"/>
  <c r="O417" i="17"/>
  <c r="P417" i="17" s="1"/>
  <c r="O418" i="17"/>
  <c r="P418" i="17" s="1"/>
  <c r="O419" i="17"/>
  <c r="P419" i="17" s="1"/>
  <c r="O420" i="17"/>
  <c r="P420" i="17" s="1"/>
  <c r="O421" i="17"/>
  <c r="P421" i="17" s="1"/>
  <c r="O422" i="17"/>
  <c r="P422" i="17" s="1"/>
  <c r="O423" i="17"/>
  <c r="P423" i="17" s="1"/>
  <c r="O424" i="17"/>
  <c r="P424" i="17" s="1"/>
  <c r="O425" i="17"/>
  <c r="P425" i="17" s="1"/>
  <c r="O426" i="17"/>
  <c r="P426" i="17" s="1"/>
  <c r="O427" i="17"/>
  <c r="P427" i="17" s="1"/>
  <c r="O428" i="17"/>
  <c r="P428" i="17" s="1"/>
  <c r="O429" i="17"/>
  <c r="P429" i="17" s="1"/>
  <c r="O430" i="17"/>
  <c r="P430" i="17" s="1"/>
  <c r="O431" i="17"/>
  <c r="P431" i="17" s="1"/>
  <c r="O432" i="17"/>
  <c r="P432" i="17" s="1"/>
  <c r="Q432" i="17" s="1"/>
  <c r="R432" i="17" s="1"/>
  <c r="O433" i="17"/>
  <c r="P433" i="17" s="1"/>
  <c r="Q433" i="17" s="1"/>
  <c r="R433" i="17" s="1"/>
  <c r="O434" i="17"/>
  <c r="P434" i="17" s="1"/>
  <c r="O435" i="17"/>
  <c r="P435" i="17" s="1"/>
  <c r="O436" i="17"/>
  <c r="P436" i="17" s="1"/>
  <c r="O437" i="17"/>
  <c r="P437" i="17" s="1"/>
  <c r="O438" i="17"/>
  <c r="P438" i="17" s="1"/>
  <c r="O439" i="17"/>
  <c r="P439" i="17" s="1"/>
  <c r="O440" i="17"/>
  <c r="P440" i="17" s="1"/>
  <c r="O441" i="17"/>
  <c r="P441" i="17" s="1"/>
  <c r="O442" i="17"/>
  <c r="P442" i="17" s="1"/>
  <c r="O443" i="17"/>
  <c r="P443" i="17" s="1"/>
  <c r="O444" i="17"/>
  <c r="P444" i="17" s="1"/>
  <c r="Q444" i="17" s="1"/>
  <c r="R444" i="17" s="1"/>
  <c r="O445" i="17"/>
  <c r="P445" i="17" s="1"/>
  <c r="O446" i="17"/>
  <c r="P446" i="17" s="1"/>
  <c r="O447" i="17"/>
  <c r="P447" i="17" s="1"/>
  <c r="O448" i="17"/>
  <c r="P448" i="17" s="1"/>
  <c r="O449" i="17"/>
  <c r="P449" i="17" s="1"/>
  <c r="O450" i="17"/>
  <c r="P450" i="17" s="1"/>
  <c r="O451" i="17"/>
  <c r="P451" i="17" s="1"/>
  <c r="O452" i="17"/>
  <c r="P452" i="17" s="1"/>
  <c r="O453" i="17"/>
  <c r="P453" i="17" s="1"/>
  <c r="Q453" i="17" s="1"/>
  <c r="R453" i="17" s="1"/>
  <c r="O454" i="17"/>
  <c r="P454" i="17" s="1"/>
  <c r="O455" i="17"/>
  <c r="P455" i="17" s="1"/>
  <c r="O456" i="17"/>
  <c r="P456" i="17" s="1"/>
  <c r="O457" i="17"/>
  <c r="P457" i="17" s="1"/>
  <c r="O458" i="17"/>
  <c r="P458" i="17" s="1"/>
  <c r="O459" i="17"/>
  <c r="P459" i="17" s="1"/>
  <c r="O460" i="17"/>
  <c r="P460" i="17" s="1"/>
  <c r="O461" i="17"/>
  <c r="P461" i="17" s="1"/>
  <c r="O462" i="17"/>
  <c r="P462" i="17" s="1"/>
  <c r="O463" i="17"/>
  <c r="P463" i="17" s="1"/>
  <c r="O464" i="17"/>
  <c r="P464" i="17" s="1"/>
  <c r="O465" i="17"/>
  <c r="P465" i="17" s="1"/>
  <c r="O466" i="17"/>
  <c r="P466" i="17" s="1"/>
  <c r="O467" i="17"/>
  <c r="P467" i="17" s="1"/>
  <c r="O468" i="17"/>
  <c r="P468" i="17" s="1"/>
  <c r="O469" i="17"/>
  <c r="P469" i="17" s="1"/>
  <c r="O470" i="17"/>
  <c r="P470" i="17" s="1"/>
  <c r="O471" i="17"/>
  <c r="P471" i="17" s="1"/>
  <c r="O472" i="17"/>
  <c r="P472" i="17" s="1"/>
  <c r="O473" i="17"/>
  <c r="P473" i="17" s="1"/>
  <c r="O474" i="17"/>
  <c r="P474" i="17" s="1"/>
  <c r="O475" i="17"/>
  <c r="P475" i="17" s="1"/>
  <c r="O476" i="17"/>
  <c r="P476" i="17" s="1"/>
  <c r="O477" i="17"/>
  <c r="P477" i="17" s="1"/>
  <c r="O478" i="17"/>
  <c r="P478" i="17" s="1"/>
  <c r="O479" i="17"/>
  <c r="P479" i="17" s="1"/>
  <c r="O480" i="17"/>
  <c r="P480" i="17" s="1"/>
  <c r="Q480" i="17" s="1"/>
  <c r="R480" i="17" s="1"/>
  <c r="O481" i="17"/>
  <c r="P481" i="17" s="1"/>
  <c r="Q481" i="17" s="1"/>
  <c r="R481" i="17" s="1"/>
  <c r="O482" i="17"/>
  <c r="P482" i="17" s="1"/>
  <c r="O483" i="17"/>
  <c r="P483" i="17" s="1"/>
  <c r="O484" i="17"/>
  <c r="P484" i="17" s="1"/>
  <c r="O485" i="17"/>
  <c r="P485" i="17" s="1"/>
  <c r="O486" i="17"/>
  <c r="P486" i="17" s="1"/>
  <c r="O487" i="17"/>
  <c r="P487" i="17" s="1"/>
  <c r="O488" i="17"/>
  <c r="P488" i="17" s="1"/>
  <c r="O489" i="17"/>
  <c r="P489" i="17" s="1"/>
  <c r="O490" i="17"/>
  <c r="P490" i="17" s="1"/>
  <c r="O491" i="17"/>
  <c r="P491" i="17" s="1"/>
  <c r="O492" i="17"/>
  <c r="P492" i="17" s="1"/>
  <c r="Q492" i="17" s="1"/>
  <c r="R492" i="17" s="1"/>
  <c r="O493" i="17"/>
  <c r="P493" i="17" s="1"/>
  <c r="O494" i="17"/>
  <c r="P494" i="17" s="1"/>
  <c r="O495" i="17"/>
  <c r="P495" i="17" s="1"/>
  <c r="O496" i="17"/>
  <c r="P496" i="17" s="1"/>
  <c r="O497" i="17"/>
  <c r="P497" i="17" s="1"/>
  <c r="O498" i="17"/>
  <c r="P498" i="17" s="1"/>
  <c r="O499" i="17"/>
  <c r="P499" i="17" s="1"/>
  <c r="O500" i="17"/>
  <c r="P500" i="17" s="1"/>
  <c r="O501" i="17"/>
  <c r="P501" i="17" s="1"/>
  <c r="Q501" i="17" s="1"/>
  <c r="R501" i="17" s="1"/>
  <c r="O502" i="17"/>
  <c r="P502" i="17" s="1"/>
  <c r="O503" i="17"/>
  <c r="P503" i="17" s="1"/>
  <c r="O504" i="17"/>
  <c r="P504" i="17" s="1"/>
  <c r="O505" i="17"/>
  <c r="P505" i="17" s="1"/>
  <c r="O506" i="17"/>
  <c r="P506" i="17" s="1"/>
  <c r="O507" i="17"/>
  <c r="P507" i="17" s="1"/>
  <c r="O508" i="17"/>
  <c r="P508" i="17" s="1"/>
  <c r="O509" i="17"/>
  <c r="P509" i="17" s="1"/>
  <c r="O510" i="17"/>
  <c r="P510" i="17" s="1"/>
  <c r="O511" i="17"/>
  <c r="P511" i="17" s="1"/>
  <c r="O512" i="17"/>
  <c r="P512" i="17" s="1"/>
  <c r="O513" i="17"/>
  <c r="P513" i="17" s="1"/>
  <c r="O514" i="17"/>
  <c r="P514" i="17" s="1"/>
  <c r="O515" i="17"/>
  <c r="P515" i="17" s="1"/>
  <c r="O516" i="17"/>
  <c r="P516" i="17" s="1"/>
  <c r="O517" i="17"/>
  <c r="P517" i="17" s="1"/>
  <c r="O518" i="17"/>
  <c r="P518" i="17" s="1"/>
  <c r="O519" i="17"/>
  <c r="P519" i="17" s="1"/>
  <c r="O520" i="17"/>
  <c r="P520" i="17" s="1"/>
  <c r="O521" i="17"/>
  <c r="P521" i="17" s="1"/>
  <c r="O522" i="17"/>
  <c r="P522" i="17" s="1"/>
  <c r="O523" i="17"/>
  <c r="P523" i="17" s="1"/>
  <c r="O524" i="17"/>
  <c r="P524" i="17" s="1"/>
  <c r="O525" i="17"/>
  <c r="P525" i="17" s="1"/>
  <c r="O526" i="17"/>
  <c r="P526" i="17" s="1"/>
  <c r="O527" i="17"/>
  <c r="P527" i="17" s="1"/>
  <c r="O528" i="17"/>
  <c r="P528" i="17" s="1"/>
  <c r="Q528" i="17" s="1"/>
  <c r="R528" i="17" s="1"/>
  <c r="O529" i="17"/>
  <c r="P529" i="17" s="1"/>
  <c r="Q529" i="17" s="1"/>
  <c r="R529" i="17" s="1"/>
  <c r="O530" i="17"/>
  <c r="P530" i="17" s="1"/>
  <c r="O531" i="17"/>
  <c r="P531" i="17" s="1"/>
  <c r="O532" i="17"/>
  <c r="P532" i="17" s="1"/>
  <c r="O533" i="17"/>
  <c r="P533" i="17" s="1"/>
  <c r="O534" i="17"/>
  <c r="P534" i="17" s="1"/>
  <c r="O535" i="17"/>
  <c r="P535" i="17" s="1"/>
  <c r="O536" i="17"/>
  <c r="P536" i="17" s="1"/>
  <c r="O537" i="17"/>
  <c r="P537" i="17" s="1"/>
  <c r="O538" i="17"/>
  <c r="P538" i="17" s="1"/>
  <c r="O539" i="17"/>
  <c r="P539" i="17" s="1"/>
  <c r="O540" i="17"/>
  <c r="P540" i="17" s="1"/>
  <c r="Q540" i="17" s="1"/>
  <c r="R540" i="17" s="1"/>
  <c r="O541" i="17"/>
  <c r="P541" i="17" s="1"/>
  <c r="O542" i="17"/>
  <c r="P542" i="17" s="1"/>
  <c r="O543" i="17"/>
  <c r="P543" i="17" s="1"/>
  <c r="O544" i="17"/>
  <c r="P544" i="17" s="1"/>
  <c r="O545" i="17"/>
  <c r="P545" i="17" s="1"/>
  <c r="O546" i="17"/>
  <c r="P546" i="17" s="1"/>
  <c r="O547" i="17"/>
  <c r="P547" i="17" s="1"/>
  <c r="O548" i="17"/>
  <c r="P548" i="17" s="1"/>
  <c r="O549" i="17"/>
  <c r="P549" i="17" s="1"/>
  <c r="Q549" i="17" s="1"/>
  <c r="R549" i="17" s="1"/>
  <c r="O550" i="17"/>
  <c r="P550" i="17" s="1"/>
  <c r="O551" i="17"/>
  <c r="P551" i="17" s="1"/>
  <c r="O552" i="17"/>
  <c r="P552" i="17" s="1"/>
  <c r="O553" i="17"/>
  <c r="P553" i="17" s="1"/>
  <c r="O554" i="17"/>
  <c r="P554" i="17" s="1"/>
  <c r="O555" i="17"/>
  <c r="P555" i="17" s="1"/>
  <c r="O556" i="17"/>
  <c r="P556" i="17" s="1"/>
  <c r="O557" i="17"/>
  <c r="P557" i="17" s="1"/>
  <c r="O558" i="17"/>
  <c r="P558" i="17" s="1"/>
  <c r="O559" i="17"/>
  <c r="P559" i="17" s="1"/>
  <c r="O560" i="17"/>
  <c r="P560" i="17" s="1"/>
  <c r="O561" i="17"/>
  <c r="P561" i="17" s="1"/>
  <c r="O562" i="17"/>
  <c r="P562" i="17" s="1"/>
  <c r="O563" i="17"/>
  <c r="P563" i="17" s="1"/>
  <c r="O564" i="17"/>
  <c r="P564" i="17" s="1"/>
  <c r="O565" i="17"/>
  <c r="P565" i="17" s="1"/>
  <c r="O566" i="17"/>
  <c r="P566" i="17" s="1"/>
  <c r="O567" i="17"/>
  <c r="P567" i="17" s="1"/>
  <c r="O568" i="17"/>
  <c r="P568" i="17" s="1"/>
  <c r="O569" i="17"/>
  <c r="P569" i="17" s="1"/>
  <c r="O570" i="17"/>
  <c r="P570" i="17" s="1"/>
  <c r="O571" i="17"/>
  <c r="P571" i="17" s="1"/>
  <c r="O572" i="17"/>
  <c r="P572" i="17" s="1"/>
  <c r="O573" i="17"/>
  <c r="P573" i="17" s="1"/>
  <c r="O574" i="17"/>
  <c r="P574" i="17" s="1"/>
  <c r="O575" i="17"/>
  <c r="P575" i="17" s="1"/>
  <c r="O576" i="17"/>
  <c r="P576" i="17" s="1"/>
  <c r="Q576" i="17" s="1"/>
  <c r="R576" i="17" s="1"/>
  <c r="O577" i="17"/>
  <c r="P577" i="17" s="1"/>
  <c r="Q577" i="17" s="1"/>
  <c r="R577" i="17" s="1"/>
  <c r="O578" i="17"/>
  <c r="P578" i="17" s="1"/>
  <c r="O579" i="17"/>
  <c r="P579" i="17" s="1"/>
  <c r="O580" i="17"/>
  <c r="P580" i="17" s="1"/>
  <c r="O581" i="17"/>
  <c r="P581" i="17" s="1"/>
  <c r="O582" i="17"/>
  <c r="P582" i="17" s="1"/>
  <c r="O583" i="17"/>
  <c r="P583" i="17" s="1"/>
  <c r="O584" i="17"/>
  <c r="P584" i="17" s="1"/>
  <c r="O585" i="17"/>
  <c r="P585" i="17" s="1"/>
  <c r="O586" i="17"/>
  <c r="P586" i="17" s="1"/>
  <c r="O587" i="17"/>
  <c r="P587" i="17" s="1"/>
  <c r="O588" i="17"/>
  <c r="P588" i="17" s="1"/>
  <c r="Q588" i="17" s="1"/>
  <c r="R588" i="17" s="1"/>
  <c r="O589" i="17"/>
  <c r="P589" i="17" s="1"/>
  <c r="O590" i="17"/>
  <c r="P590" i="17" s="1"/>
  <c r="O591" i="17"/>
  <c r="P591" i="17" s="1"/>
  <c r="O592" i="17"/>
  <c r="P592" i="17" s="1"/>
  <c r="O593" i="17"/>
  <c r="P593" i="17" s="1"/>
  <c r="O594" i="17"/>
  <c r="P594" i="17" s="1"/>
  <c r="O595" i="17"/>
  <c r="P595" i="17" s="1"/>
  <c r="O596" i="17"/>
  <c r="P596" i="17" s="1"/>
  <c r="O597" i="17"/>
  <c r="P597" i="17" s="1"/>
  <c r="Q597" i="17" s="1"/>
  <c r="R597" i="17" s="1"/>
  <c r="O598" i="17"/>
  <c r="P598" i="17" s="1"/>
  <c r="O599" i="17"/>
  <c r="P599" i="17" s="1"/>
  <c r="O600" i="17"/>
  <c r="P600" i="17" s="1"/>
  <c r="O601" i="17"/>
  <c r="P601" i="17" s="1"/>
  <c r="O602" i="17"/>
  <c r="P602" i="17" s="1"/>
  <c r="O603" i="17"/>
  <c r="P603" i="17" s="1"/>
  <c r="O604" i="17"/>
  <c r="P604" i="17" s="1"/>
  <c r="O605" i="17"/>
  <c r="P605" i="17" s="1"/>
  <c r="O606" i="17"/>
  <c r="P606" i="17" s="1"/>
  <c r="O607" i="17"/>
  <c r="P607" i="17" s="1"/>
  <c r="O608" i="17"/>
  <c r="P608" i="17" s="1"/>
  <c r="O609" i="17"/>
  <c r="P609" i="17" s="1"/>
  <c r="O610" i="17"/>
  <c r="P610" i="17" s="1"/>
  <c r="O611" i="17"/>
  <c r="P611" i="17" s="1"/>
  <c r="O612" i="17"/>
  <c r="P612" i="17" s="1"/>
  <c r="O613" i="17"/>
  <c r="P613" i="17" s="1"/>
  <c r="O614" i="17"/>
  <c r="P614" i="17" s="1"/>
  <c r="O615" i="17"/>
  <c r="P615" i="17" s="1"/>
  <c r="O616" i="17"/>
  <c r="P616" i="17" s="1"/>
  <c r="O617" i="17"/>
  <c r="P617" i="17" s="1"/>
  <c r="O618" i="17"/>
  <c r="P618" i="17" s="1"/>
  <c r="O619" i="17"/>
  <c r="P619" i="17" s="1"/>
  <c r="O620" i="17"/>
  <c r="P620" i="17" s="1"/>
  <c r="O621" i="17"/>
  <c r="P621" i="17" s="1"/>
  <c r="O622" i="17"/>
  <c r="P622" i="17" s="1"/>
  <c r="O623" i="17"/>
  <c r="P623" i="17" s="1"/>
  <c r="O624" i="17"/>
  <c r="P624" i="17" s="1"/>
  <c r="Q624" i="17" s="1"/>
  <c r="R624" i="17" s="1"/>
  <c r="O625" i="17"/>
  <c r="P625" i="17" s="1"/>
  <c r="Q625" i="17" s="1"/>
  <c r="R625" i="17" s="1"/>
  <c r="O626" i="17"/>
  <c r="P626" i="17" s="1"/>
  <c r="O627" i="17"/>
  <c r="P627" i="17" s="1"/>
  <c r="O628" i="17"/>
  <c r="P628" i="17" s="1"/>
  <c r="O629" i="17"/>
  <c r="P629" i="17" s="1"/>
  <c r="O630" i="17"/>
  <c r="P630" i="17" s="1"/>
  <c r="O631" i="17"/>
  <c r="P631" i="17" s="1"/>
  <c r="O632" i="17"/>
  <c r="P632" i="17" s="1"/>
  <c r="O633" i="17"/>
  <c r="P633" i="17" s="1"/>
  <c r="O634" i="17"/>
  <c r="P634" i="17" s="1"/>
  <c r="O635" i="17"/>
  <c r="P635" i="17" s="1"/>
  <c r="O636" i="17"/>
  <c r="P636" i="17" s="1"/>
  <c r="Q636" i="17" s="1"/>
  <c r="R636" i="17" s="1"/>
  <c r="O637" i="17"/>
  <c r="P637" i="17" s="1"/>
  <c r="O638" i="17"/>
  <c r="P638" i="17" s="1"/>
  <c r="O639" i="17"/>
  <c r="P639" i="17" s="1"/>
  <c r="O640" i="17"/>
  <c r="P640" i="17" s="1"/>
  <c r="O641" i="17"/>
  <c r="P641" i="17" s="1"/>
  <c r="O642" i="17"/>
  <c r="P642" i="17" s="1"/>
  <c r="O643" i="17"/>
  <c r="P643" i="17" s="1"/>
  <c r="O644" i="17"/>
  <c r="P644" i="17" s="1"/>
  <c r="O645" i="17"/>
  <c r="P645" i="17" s="1"/>
  <c r="Q645" i="17" s="1"/>
  <c r="R645" i="17" s="1"/>
  <c r="O646" i="17"/>
  <c r="P646" i="17" s="1"/>
  <c r="O647" i="17"/>
  <c r="P647" i="17" s="1"/>
  <c r="O648" i="17"/>
  <c r="P648" i="17" s="1"/>
  <c r="O649" i="17"/>
  <c r="P649" i="17" s="1"/>
  <c r="O650" i="17"/>
  <c r="P650" i="17" s="1"/>
  <c r="O651" i="17"/>
  <c r="P651" i="17" s="1"/>
  <c r="O652" i="17"/>
  <c r="P652" i="17" s="1"/>
  <c r="O653" i="17"/>
  <c r="P653" i="17" s="1"/>
  <c r="O654" i="17"/>
  <c r="P654" i="17" s="1"/>
  <c r="O655" i="17"/>
  <c r="P655" i="17" s="1"/>
  <c r="O656" i="17"/>
  <c r="P656" i="17" s="1"/>
  <c r="O657" i="17"/>
  <c r="P657" i="17" s="1"/>
  <c r="O658" i="17"/>
  <c r="P658" i="17" s="1"/>
  <c r="O659" i="17"/>
  <c r="P659" i="17" s="1"/>
  <c r="O660" i="17"/>
  <c r="P660" i="17" s="1"/>
  <c r="O661" i="17"/>
  <c r="P661" i="17" s="1"/>
  <c r="O662" i="17"/>
  <c r="P662" i="17" s="1"/>
  <c r="O663" i="17"/>
  <c r="P663" i="17" s="1"/>
  <c r="O664" i="17"/>
  <c r="P664" i="17" s="1"/>
  <c r="O665" i="17"/>
  <c r="P665" i="17" s="1"/>
  <c r="O666" i="17"/>
  <c r="P666" i="17" s="1"/>
  <c r="O667" i="17"/>
  <c r="P667" i="17" s="1"/>
  <c r="O668" i="17"/>
  <c r="P668" i="17" s="1"/>
  <c r="O669" i="17"/>
  <c r="P669" i="17" s="1"/>
  <c r="O670" i="17"/>
  <c r="P670" i="17" s="1"/>
  <c r="O671" i="17"/>
  <c r="P671" i="17" s="1"/>
  <c r="O672" i="17"/>
  <c r="P672" i="17" s="1"/>
  <c r="Q672" i="17" s="1"/>
  <c r="R672" i="17" s="1"/>
  <c r="O673" i="17"/>
  <c r="P673" i="17" s="1"/>
  <c r="Q673" i="17" s="1"/>
  <c r="R673" i="17" s="1"/>
  <c r="O674" i="17"/>
  <c r="P674" i="17" s="1"/>
  <c r="O675" i="17"/>
  <c r="P675" i="17" s="1"/>
  <c r="O676" i="17"/>
  <c r="P676" i="17" s="1"/>
  <c r="O677" i="17"/>
  <c r="P677" i="17" s="1"/>
  <c r="O678" i="17"/>
  <c r="P678" i="17" s="1"/>
  <c r="O679" i="17"/>
  <c r="P679" i="17" s="1"/>
  <c r="O680" i="17"/>
  <c r="P680" i="17" s="1"/>
  <c r="O681" i="17"/>
  <c r="P681" i="17" s="1"/>
  <c r="O682" i="17"/>
  <c r="P682" i="17" s="1"/>
  <c r="O683" i="17"/>
  <c r="P683" i="17" s="1"/>
  <c r="O684" i="17"/>
  <c r="P684" i="17" s="1"/>
  <c r="Q684" i="17" s="1"/>
  <c r="R684" i="17" s="1"/>
  <c r="O685" i="17"/>
  <c r="P685" i="17" s="1"/>
  <c r="O686" i="17"/>
  <c r="P686" i="17" s="1"/>
  <c r="O687" i="17"/>
  <c r="P687" i="17" s="1"/>
  <c r="O688" i="17"/>
  <c r="P688" i="17" s="1"/>
  <c r="O689" i="17"/>
  <c r="P689" i="17" s="1"/>
  <c r="O690" i="17"/>
  <c r="P690" i="17" s="1"/>
  <c r="O691" i="17"/>
  <c r="P691" i="17" s="1"/>
  <c r="O692" i="17"/>
  <c r="P692" i="17" s="1"/>
  <c r="O693" i="17"/>
  <c r="P693" i="17" s="1"/>
  <c r="Q693" i="17" s="1"/>
  <c r="R693" i="17" s="1"/>
  <c r="O694" i="17"/>
  <c r="P694" i="17" s="1"/>
  <c r="O695" i="17"/>
  <c r="P695" i="17" s="1"/>
  <c r="O696" i="17"/>
  <c r="P696" i="17" s="1"/>
  <c r="O697" i="17"/>
  <c r="P697" i="17" s="1"/>
  <c r="O698" i="17"/>
  <c r="P698" i="17" s="1"/>
  <c r="O699" i="17"/>
  <c r="P699" i="17" s="1"/>
  <c r="O700" i="17"/>
  <c r="P700" i="17" s="1"/>
  <c r="O701" i="17"/>
  <c r="P701" i="17" s="1"/>
  <c r="O702" i="17"/>
  <c r="P702" i="17" s="1"/>
  <c r="O703" i="17"/>
  <c r="P703" i="17" s="1"/>
  <c r="O704" i="17"/>
  <c r="P704" i="17" s="1"/>
  <c r="O705" i="17"/>
  <c r="P705" i="17" s="1"/>
  <c r="O706" i="17"/>
  <c r="P706" i="17" s="1"/>
  <c r="O707" i="17"/>
  <c r="P707" i="17" s="1"/>
  <c r="O708" i="17"/>
  <c r="P708" i="17" s="1"/>
  <c r="O709" i="17"/>
  <c r="P709" i="17" s="1"/>
  <c r="O710" i="17"/>
  <c r="P710" i="17" s="1"/>
  <c r="O711" i="17"/>
  <c r="P711" i="17" s="1"/>
  <c r="O712" i="17"/>
  <c r="P712" i="17" s="1"/>
  <c r="O713" i="17"/>
  <c r="P713" i="17" s="1"/>
  <c r="O714" i="17"/>
  <c r="P714" i="17" s="1"/>
  <c r="O715" i="17"/>
  <c r="P715" i="17" s="1"/>
  <c r="O716" i="17"/>
  <c r="P716" i="17" s="1"/>
  <c r="O717" i="17"/>
  <c r="P717" i="17" s="1"/>
  <c r="O718" i="17"/>
  <c r="P718" i="17" s="1"/>
  <c r="O719" i="17"/>
  <c r="P719" i="17" s="1"/>
  <c r="O720" i="17"/>
  <c r="P720" i="17" s="1"/>
  <c r="Q720" i="17" s="1"/>
  <c r="R720" i="17" s="1"/>
  <c r="O721" i="17"/>
  <c r="P721" i="17" s="1"/>
  <c r="Q721" i="17" s="1"/>
  <c r="R721" i="17" s="1"/>
  <c r="O722" i="17"/>
  <c r="P722" i="17" s="1"/>
  <c r="O723" i="17"/>
  <c r="P723" i="17" s="1"/>
  <c r="O724" i="17"/>
  <c r="P724" i="17" s="1"/>
  <c r="O725" i="17"/>
  <c r="P725" i="17" s="1"/>
  <c r="O726" i="17"/>
  <c r="P726" i="17" s="1"/>
  <c r="O727" i="17"/>
  <c r="P727" i="17" s="1"/>
  <c r="O728" i="17"/>
  <c r="P728" i="17" s="1"/>
  <c r="O729" i="17"/>
  <c r="P729" i="17" s="1"/>
  <c r="O730" i="17"/>
  <c r="P730" i="17" s="1"/>
  <c r="O731" i="17"/>
  <c r="P731" i="17" s="1"/>
  <c r="O732" i="17"/>
  <c r="P732" i="17" s="1"/>
  <c r="Q732" i="17" s="1"/>
  <c r="R732" i="17" s="1"/>
  <c r="O733" i="17"/>
  <c r="P733" i="17" s="1"/>
  <c r="O734" i="17"/>
  <c r="P734" i="17" s="1"/>
  <c r="O735" i="17"/>
  <c r="P735" i="17" s="1"/>
  <c r="O736" i="17"/>
  <c r="P736" i="17" s="1"/>
  <c r="O737" i="17"/>
  <c r="P737" i="17" s="1"/>
  <c r="O738" i="17"/>
  <c r="P738" i="17" s="1"/>
  <c r="O739" i="17"/>
  <c r="P739" i="17" s="1"/>
  <c r="O740" i="17"/>
  <c r="P740" i="17" s="1"/>
  <c r="O741" i="17"/>
  <c r="P741" i="17" s="1"/>
  <c r="Q741" i="17" s="1"/>
  <c r="R741" i="17" s="1"/>
  <c r="O742" i="17"/>
  <c r="P742" i="17" s="1"/>
  <c r="O743" i="17"/>
  <c r="P743" i="17" s="1"/>
  <c r="O744" i="17"/>
  <c r="P744" i="17" s="1"/>
  <c r="O745" i="17"/>
  <c r="P745" i="17" s="1"/>
  <c r="O746" i="17"/>
  <c r="P746" i="17" s="1"/>
  <c r="O747" i="17"/>
  <c r="P747" i="17" s="1"/>
  <c r="O748" i="17"/>
  <c r="P748" i="17" s="1"/>
  <c r="O749" i="17"/>
  <c r="P749" i="17" s="1"/>
  <c r="O750" i="17"/>
  <c r="P750" i="17" s="1"/>
  <c r="O751" i="17"/>
  <c r="P751" i="17" s="1"/>
  <c r="O752" i="17"/>
  <c r="P752" i="17" s="1"/>
  <c r="O753" i="17"/>
  <c r="P753" i="17" s="1"/>
  <c r="O754" i="17"/>
  <c r="P754" i="17" s="1"/>
  <c r="O755" i="17"/>
  <c r="P755" i="17" s="1"/>
  <c r="O756" i="17"/>
  <c r="P756" i="17" s="1"/>
  <c r="O757" i="17"/>
  <c r="P757" i="17" s="1"/>
  <c r="O758" i="17"/>
  <c r="P758" i="17" s="1"/>
  <c r="O759" i="17"/>
  <c r="P759" i="17" s="1"/>
  <c r="O760" i="17"/>
  <c r="P760" i="17" s="1"/>
  <c r="O761" i="17"/>
  <c r="P761" i="17" s="1"/>
  <c r="O762" i="17"/>
  <c r="P762" i="17" s="1"/>
  <c r="O763" i="17"/>
  <c r="P763" i="17" s="1"/>
  <c r="O764" i="17"/>
  <c r="P764" i="17" s="1"/>
  <c r="O765" i="17"/>
  <c r="P765" i="17" s="1"/>
  <c r="O766" i="17"/>
  <c r="P766" i="17" s="1"/>
  <c r="O767" i="17"/>
  <c r="P767" i="17" s="1"/>
  <c r="O768" i="17"/>
  <c r="P768" i="17" s="1"/>
  <c r="Q768" i="17" s="1"/>
  <c r="R768" i="17" s="1"/>
  <c r="O769" i="17"/>
  <c r="P769" i="17" s="1"/>
  <c r="Q769" i="17" s="1"/>
  <c r="R769" i="17" s="1"/>
  <c r="O770" i="17"/>
  <c r="P770" i="17" s="1"/>
  <c r="O771" i="17"/>
  <c r="P771" i="17" s="1"/>
  <c r="O772" i="17"/>
  <c r="P772" i="17" s="1"/>
  <c r="O773" i="17"/>
  <c r="P773" i="17" s="1"/>
  <c r="O774" i="17"/>
  <c r="P774" i="17" s="1"/>
  <c r="O775" i="17"/>
  <c r="P775" i="17" s="1"/>
  <c r="O776" i="17"/>
  <c r="P776" i="17" s="1"/>
  <c r="O777" i="17"/>
  <c r="P777" i="17" s="1"/>
  <c r="O778" i="17"/>
  <c r="P778" i="17" s="1"/>
  <c r="O779" i="17"/>
  <c r="P779" i="17" s="1"/>
  <c r="O780" i="17"/>
  <c r="P780" i="17" s="1"/>
  <c r="Q780" i="17" s="1"/>
  <c r="R780" i="17" s="1"/>
  <c r="O781" i="17"/>
  <c r="P781" i="17" s="1"/>
  <c r="O782" i="17"/>
  <c r="P782" i="17" s="1"/>
  <c r="O783" i="17"/>
  <c r="P783" i="17" s="1"/>
  <c r="O784" i="17"/>
  <c r="P784" i="17" s="1"/>
  <c r="O785" i="17"/>
  <c r="P785" i="17" s="1"/>
  <c r="O786" i="17"/>
  <c r="P786" i="17" s="1"/>
  <c r="O787" i="17"/>
  <c r="P787" i="17" s="1"/>
  <c r="O788" i="17"/>
  <c r="P788" i="17" s="1"/>
  <c r="O789" i="17"/>
  <c r="P789" i="17" s="1"/>
  <c r="Q789" i="17" s="1"/>
  <c r="R789" i="17" s="1"/>
  <c r="O790" i="17"/>
  <c r="P790" i="17" s="1"/>
  <c r="O791" i="17"/>
  <c r="P791" i="17" s="1"/>
  <c r="O792" i="17"/>
  <c r="P792" i="17" s="1"/>
  <c r="O793" i="17"/>
  <c r="P793" i="17" s="1"/>
  <c r="O794" i="17"/>
  <c r="P794" i="17" s="1"/>
  <c r="O795" i="17"/>
  <c r="P795" i="17" s="1"/>
  <c r="O796" i="17"/>
  <c r="P796" i="17" s="1"/>
  <c r="O797" i="17"/>
  <c r="P797" i="17" s="1"/>
  <c r="O798" i="17"/>
  <c r="P798" i="17" s="1"/>
  <c r="O799" i="17"/>
  <c r="P799" i="17" s="1"/>
  <c r="O800" i="17"/>
  <c r="P800" i="17" s="1"/>
  <c r="O801" i="17"/>
  <c r="P801" i="17" s="1"/>
  <c r="O802" i="17"/>
  <c r="P802" i="17" s="1"/>
  <c r="O803" i="17"/>
  <c r="P803" i="17" s="1"/>
  <c r="O804" i="17"/>
  <c r="P804" i="17" s="1"/>
  <c r="O805" i="17"/>
  <c r="P805" i="17" s="1"/>
  <c r="O806" i="17"/>
  <c r="P806" i="17" s="1"/>
  <c r="O807" i="17"/>
  <c r="P807" i="17" s="1"/>
  <c r="O808" i="17"/>
  <c r="P808" i="17" s="1"/>
  <c r="O809" i="17"/>
  <c r="P809" i="17" s="1"/>
  <c r="O810" i="17"/>
  <c r="P810" i="17" s="1"/>
  <c r="O811" i="17"/>
  <c r="P811" i="17" s="1"/>
  <c r="O812" i="17"/>
  <c r="P812" i="17" s="1"/>
  <c r="O813" i="17"/>
  <c r="P813" i="17" s="1"/>
  <c r="O814" i="17"/>
  <c r="P814" i="17" s="1"/>
  <c r="O815" i="17"/>
  <c r="P815" i="17" s="1"/>
  <c r="O816" i="17"/>
  <c r="P816" i="17" s="1"/>
  <c r="Q816" i="17" s="1"/>
  <c r="R816" i="17" s="1"/>
  <c r="O817" i="17"/>
  <c r="P817" i="17" s="1"/>
  <c r="Q817" i="17" s="1"/>
  <c r="R817" i="17" s="1"/>
  <c r="O818" i="17"/>
  <c r="P818" i="17" s="1"/>
  <c r="O819" i="17"/>
  <c r="P819" i="17" s="1"/>
  <c r="O820" i="17"/>
  <c r="P820" i="17" s="1"/>
  <c r="O821" i="17"/>
  <c r="P821" i="17" s="1"/>
  <c r="O822" i="17"/>
  <c r="P822" i="17" s="1"/>
  <c r="O823" i="17"/>
  <c r="P823" i="17" s="1"/>
  <c r="O824" i="17"/>
  <c r="P824" i="17" s="1"/>
  <c r="O825" i="17"/>
  <c r="P825" i="17" s="1"/>
  <c r="O826" i="17"/>
  <c r="P826" i="17" s="1"/>
  <c r="O827" i="17"/>
  <c r="P827" i="17" s="1"/>
  <c r="O828" i="17"/>
  <c r="P828" i="17" s="1"/>
  <c r="Q828" i="17" s="1"/>
  <c r="R828" i="17" s="1"/>
  <c r="S828" i="17" s="1"/>
  <c r="O829" i="17"/>
  <c r="P829" i="17" s="1"/>
  <c r="O830" i="17"/>
  <c r="P830" i="17" s="1"/>
  <c r="O831" i="17"/>
  <c r="P831" i="17" s="1"/>
  <c r="O832" i="17"/>
  <c r="P832" i="17" s="1"/>
  <c r="O833" i="17"/>
  <c r="P833" i="17" s="1"/>
  <c r="O834" i="17"/>
  <c r="P834" i="17" s="1"/>
  <c r="O835" i="17"/>
  <c r="P835" i="17" s="1"/>
  <c r="O836" i="17"/>
  <c r="P836" i="17" s="1"/>
  <c r="O837" i="17"/>
  <c r="P837" i="17" s="1"/>
  <c r="Q837" i="17" s="1"/>
  <c r="R837" i="17" s="1"/>
  <c r="O838" i="17"/>
  <c r="P838" i="17" s="1"/>
  <c r="O839" i="17"/>
  <c r="P839" i="17" s="1"/>
  <c r="O840" i="17"/>
  <c r="P840" i="17" s="1"/>
  <c r="O841" i="17"/>
  <c r="P841" i="17" s="1"/>
  <c r="O842" i="17"/>
  <c r="P842" i="17" s="1"/>
  <c r="O843" i="17"/>
  <c r="P843" i="17" s="1"/>
  <c r="O844" i="17"/>
  <c r="P844" i="17" s="1"/>
  <c r="O845" i="17"/>
  <c r="P845" i="17" s="1"/>
  <c r="O846" i="17"/>
  <c r="P846" i="17" s="1"/>
  <c r="O847" i="17"/>
  <c r="P847" i="17" s="1"/>
  <c r="O848" i="17"/>
  <c r="P848" i="17" s="1"/>
  <c r="O849" i="17"/>
  <c r="P849" i="17" s="1"/>
  <c r="O850" i="17"/>
  <c r="P850" i="17" s="1"/>
  <c r="O851" i="17"/>
  <c r="P851" i="17" s="1"/>
  <c r="O852" i="17"/>
  <c r="P852" i="17" s="1"/>
  <c r="O853" i="17"/>
  <c r="P853" i="17" s="1"/>
  <c r="O854" i="17"/>
  <c r="P854" i="17" s="1"/>
  <c r="O855" i="17"/>
  <c r="P855" i="17" s="1"/>
  <c r="O856" i="17"/>
  <c r="P856" i="17" s="1"/>
  <c r="O857" i="17"/>
  <c r="P857" i="17" s="1"/>
  <c r="O858" i="17"/>
  <c r="P858" i="17" s="1"/>
  <c r="O859" i="17"/>
  <c r="P859" i="17" s="1"/>
  <c r="O860" i="17"/>
  <c r="P860" i="17" s="1"/>
  <c r="O861" i="17"/>
  <c r="P861" i="17" s="1"/>
  <c r="O862" i="17"/>
  <c r="P862" i="17" s="1"/>
  <c r="O863" i="17"/>
  <c r="P863" i="17" s="1"/>
  <c r="O864" i="17"/>
  <c r="P864" i="17" s="1"/>
  <c r="O865" i="17"/>
  <c r="P865" i="17" s="1"/>
  <c r="Q865" i="17" s="1"/>
  <c r="R865" i="17" s="1"/>
  <c r="O866" i="17"/>
  <c r="P866" i="17" s="1"/>
  <c r="O867" i="17"/>
  <c r="P867" i="17" s="1"/>
  <c r="O868" i="17"/>
  <c r="P868" i="17" s="1"/>
  <c r="O869" i="17"/>
  <c r="P869" i="17" s="1"/>
  <c r="O870" i="17"/>
  <c r="P870" i="17" s="1"/>
  <c r="O871" i="17"/>
  <c r="P871" i="17" s="1"/>
  <c r="O872" i="17"/>
  <c r="P872" i="17" s="1"/>
  <c r="O873" i="17"/>
  <c r="P873" i="17" s="1"/>
  <c r="O874" i="17"/>
  <c r="P874" i="17" s="1"/>
  <c r="O875" i="17"/>
  <c r="P875" i="17" s="1"/>
  <c r="O876" i="17"/>
  <c r="P876" i="17" s="1"/>
  <c r="O877" i="17"/>
  <c r="P877" i="17" s="1"/>
  <c r="O878" i="17"/>
  <c r="P878" i="17" s="1"/>
  <c r="O879" i="17"/>
  <c r="P879" i="17" s="1"/>
  <c r="O880" i="17"/>
  <c r="P880" i="17" s="1"/>
  <c r="O881" i="17"/>
  <c r="P881" i="17" s="1"/>
  <c r="O882" i="17"/>
  <c r="P882" i="17" s="1"/>
  <c r="O883" i="17"/>
  <c r="P883" i="17" s="1"/>
  <c r="O884" i="17"/>
  <c r="P884" i="17" s="1"/>
  <c r="O885" i="17"/>
  <c r="P885" i="17" s="1"/>
  <c r="O886" i="17"/>
  <c r="P886" i="17" s="1"/>
  <c r="O887" i="17"/>
  <c r="P887" i="17" s="1"/>
  <c r="O888" i="17"/>
  <c r="P888" i="17" s="1"/>
  <c r="O889" i="17"/>
  <c r="P889" i="17" s="1"/>
  <c r="O890" i="17"/>
  <c r="P890" i="17" s="1"/>
  <c r="O891" i="17"/>
  <c r="P891" i="17" s="1"/>
  <c r="O892" i="17"/>
  <c r="P892" i="17" s="1"/>
  <c r="O893" i="17"/>
  <c r="P893" i="17" s="1"/>
  <c r="O894" i="17"/>
  <c r="P894" i="17" s="1"/>
  <c r="O895" i="17"/>
  <c r="P895" i="17" s="1"/>
  <c r="O896" i="17"/>
  <c r="P896" i="17" s="1"/>
  <c r="O897" i="17"/>
  <c r="P897" i="17" s="1"/>
  <c r="O898" i="17"/>
  <c r="P898" i="17" s="1"/>
  <c r="O899" i="17"/>
  <c r="P899" i="17" s="1"/>
  <c r="O900" i="17"/>
  <c r="P900" i="17" s="1"/>
  <c r="O901" i="17"/>
  <c r="P901" i="17" s="1"/>
  <c r="O902" i="17"/>
  <c r="P902" i="17" s="1"/>
  <c r="O903" i="17"/>
  <c r="P903" i="17" s="1"/>
  <c r="O904" i="17"/>
  <c r="P904" i="17" s="1"/>
  <c r="O905" i="17"/>
  <c r="P905" i="17" s="1"/>
  <c r="O906" i="17"/>
  <c r="P906" i="17" s="1"/>
  <c r="O907" i="17"/>
  <c r="P907" i="17" s="1"/>
  <c r="O908" i="17"/>
  <c r="P908" i="17" s="1"/>
  <c r="O909" i="17"/>
  <c r="P909" i="17" s="1"/>
  <c r="O910" i="17"/>
  <c r="P910" i="17" s="1"/>
  <c r="O911" i="17"/>
  <c r="P911" i="17" s="1"/>
  <c r="O912" i="17"/>
  <c r="P912" i="17" s="1"/>
  <c r="O913" i="17"/>
  <c r="P913" i="17" s="1"/>
  <c r="Q913" i="17" s="1"/>
  <c r="R913" i="17" s="1"/>
  <c r="O914" i="17"/>
  <c r="P914" i="17" s="1"/>
  <c r="O915" i="17"/>
  <c r="P915" i="17" s="1"/>
  <c r="O916" i="17"/>
  <c r="P916" i="17" s="1"/>
  <c r="O917" i="17"/>
  <c r="P917" i="17" s="1"/>
  <c r="O918" i="17"/>
  <c r="P918" i="17" s="1"/>
  <c r="O919" i="17"/>
  <c r="P919" i="17" s="1"/>
  <c r="O920" i="17"/>
  <c r="P920" i="17" s="1"/>
  <c r="O921" i="17"/>
  <c r="P921" i="17" s="1"/>
  <c r="O922" i="17"/>
  <c r="P922" i="17" s="1"/>
  <c r="O923" i="17"/>
  <c r="P923" i="17" s="1"/>
  <c r="O924" i="17"/>
  <c r="P924" i="17" s="1"/>
  <c r="O925" i="17"/>
  <c r="P925" i="17" s="1"/>
  <c r="O926" i="17"/>
  <c r="P926" i="17" s="1"/>
  <c r="O927" i="17"/>
  <c r="P927" i="17" s="1"/>
  <c r="O928" i="17"/>
  <c r="P928" i="17" s="1"/>
  <c r="O929" i="17"/>
  <c r="P929" i="17" s="1"/>
  <c r="O930" i="17"/>
  <c r="P930" i="17" s="1"/>
  <c r="O931" i="17"/>
  <c r="P931" i="17" s="1"/>
  <c r="O932" i="17"/>
  <c r="P932" i="17" s="1"/>
  <c r="O933" i="17"/>
  <c r="P933" i="17" s="1"/>
  <c r="O934" i="17"/>
  <c r="P934" i="17" s="1"/>
  <c r="O935" i="17"/>
  <c r="P935" i="17" s="1"/>
  <c r="O936" i="17"/>
  <c r="P936" i="17" s="1"/>
  <c r="O937" i="17"/>
  <c r="P937" i="17" s="1"/>
  <c r="O938" i="17"/>
  <c r="P938" i="17" s="1"/>
  <c r="O939" i="17"/>
  <c r="P939" i="17" s="1"/>
  <c r="O940" i="17"/>
  <c r="P940" i="17" s="1"/>
  <c r="O941" i="17"/>
  <c r="P941" i="17" s="1"/>
  <c r="O942" i="17"/>
  <c r="P942" i="17" s="1"/>
  <c r="O943" i="17"/>
  <c r="P943" i="17" s="1"/>
  <c r="O944" i="17"/>
  <c r="P944" i="17" s="1"/>
  <c r="O945" i="17"/>
  <c r="P945" i="17" s="1"/>
  <c r="O946" i="17"/>
  <c r="P946" i="17" s="1"/>
  <c r="O947" i="17"/>
  <c r="P947" i="17" s="1"/>
  <c r="O948" i="17"/>
  <c r="P948" i="17" s="1"/>
  <c r="O949" i="17"/>
  <c r="P949" i="17" s="1"/>
  <c r="O950" i="17"/>
  <c r="P950" i="17" s="1"/>
  <c r="O951" i="17"/>
  <c r="P951" i="17" s="1"/>
  <c r="O952" i="17"/>
  <c r="P952" i="17" s="1"/>
  <c r="Q952" i="17" s="1"/>
  <c r="R952" i="17" s="1"/>
  <c r="O953" i="17"/>
  <c r="P953" i="17" s="1"/>
  <c r="O954" i="17"/>
  <c r="P954" i="17" s="1"/>
  <c r="O955" i="17"/>
  <c r="P955" i="17" s="1"/>
  <c r="O956" i="17"/>
  <c r="P956" i="17" s="1"/>
  <c r="O957" i="17"/>
  <c r="P957" i="17" s="1"/>
  <c r="O958" i="17"/>
  <c r="P958" i="17" s="1"/>
  <c r="O959" i="17"/>
  <c r="P959" i="17" s="1"/>
  <c r="O960" i="17"/>
  <c r="P960" i="17" s="1"/>
  <c r="O961" i="17"/>
  <c r="P961" i="17" s="1"/>
  <c r="O962" i="17"/>
  <c r="P962" i="17" s="1"/>
  <c r="O963" i="17"/>
  <c r="P963" i="17" s="1"/>
  <c r="O964" i="17"/>
  <c r="P964" i="17" s="1"/>
  <c r="O965" i="17"/>
  <c r="P965" i="17" s="1"/>
  <c r="O966" i="17"/>
  <c r="P966" i="17" s="1"/>
  <c r="O967" i="17"/>
  <c r="P967" i="17" s="1"/>
  <c r="O968" i="17"/>
  <c r="P968" i="17" s="1"/>
  <c r="O969" i="17"/>
  <c r="P969" i="17" s="1"/>
  <c r="Q969" i="17" s="1"/>
  <c r="R969" i="17" s="1"/>
  <c r="O970" i="17"/>
  <c r="P970" i="17" s="1"/>
  <c r="O971" i="17"/>
  <c r="P971" i="17" s="1"/>
  <c r="O972" i="17"/>
  <c r="P972" i="17" s="1"/>
  <c r="O973" i="17"/>
  <c r="P973" i="17" s="1"/>
  <c r="O974" i="17"/>
  <c r="P974" i="17" s="1"/>
  <c r="O975" i="17"/>
  <c r="P975" i="17" s="1"/>
  <c r="O976" i="17"/>
  <c r="P976" i="17" s="1"/>
  <c r="O977" i="17"/>
  <c r="P977" i="17" s="1"/>
  <c r="O978" i="17"/>
  <c r="P978" i="17" s="1"/>
  <c r="O979" i="17"/>
  <c r="P979" i="17" s="1"/>
  <c r="O980" i="17"/>
  <c r="P980" i="17" s="1"/>
  <c r="O981" i="17"/>
  <c r="P981" i="17" s="1"/>
  <c r="O982" i="17"/>
  <c r="P982" i="17" s="1"/>
  <c r="O983" i="17"/>
  <c r="P983" i="17" s="1"/>
  <c r="O984" i="17"/>
  <c r="P984" i="17" s="1"/>
  <c r="O985" i="17"/>
  <c r="P985" i="17" s="1"/>
  <c r="O986" i="17"/>
  <c r="P986" i="17" s="1"/>
  <c r="O987" i="17"/>
  <c r="P987" i="17" s="1"/>
  <c r="O988" i="17"/>
  <c r="P988" i="17" s="1"/>
  <c r="Q988" i="17" s="1"/>
  <c r="R988" i="17" s="1"/>
  <c r="O989" i="17"/>
  <c r="P989" i="17" s="1"/>
  <c r="O990" i="17"/>
  <c r="P990" i="17" s="1"/>
  <c r="O991" i="17"/>
  <c r="P991" i="17" s="1"/>
  <c r="O992" i="17"/>
  <c r="P992" i="17" s="1"/>
  <c r="O993" i="17"/>
  <c r="P993" i="17" s="1"/>
  <c r="O994" i="17"/>
  <c r="P994" i="17" s="1"/>
  <c r="O995" i="17"/>
  <c r="P995" i="17" s="1"/>
  <c r="O996" i="17"/>
  <c r="P996" i="17" s="1"/>
  <c r="O997" i="17"/>
  <c r="P997" i="17" s="1"/>
  <c r="O998" i="17"/>
  <c r="P998" i="17" s="1"/>
  <c r="O999" i="17"/>
  <c r="P999" i="17" s="1"/>
  <c r="O1000" i="17"/>
  <c r="P1000" i="17" s="1"/>
  <c r="Q1000" i="17" s="1"/>
  <c r="R1000" i="17" s="1"/>
  <c r="O1001" i="17"/>
  <c r="P1001" i="17" s="1"/>
  <c r="O1002" i="17"/>
  <c r="P1002" i="17" s="1"/>
  <c r="O1003" i="17"/>
  <c r="P1003" i="17" s="1"/>
  <c r="O1004" i="17"/>
  <c r="P1004" i="17" s="1"/>
  <c r="O1005" i="17"/>
  <c r="P1005" i="17" s="1"/>
  <c r="O1006" i="17"/>
  <c r="P1006" i="17" s="1"/>
  <c r="O1007" i="17"/>
  <c r="P1007" i="17" s="1"/>
  <c r="O1008" i="17"/>
  <c r="P1008" i="17" s="1"/>
  <c r="O1009" i="17"/>
  <c r="P1009" i="17" s="1"/>
  <c r="O1010" i="17"/>
  <c r="P1010" i="17" s="1"/>
  <c r="O1011" i="17"/>
  <c r="P1011" i="17" s="1"/>
  <c r="O1012" i="17"/>
  <c r="P1012" i="17" s="1"/>
  <c r="O1013" i="17"/>
  <c r="P1013" i="17" s="1"/>
  <c r="O1014" i="17"/>
  <c r="P1014" i="17" s="1"/>
  <c r="O1015" i="17"/>
  <c r="P1015" i="17" s="1"/>
  <c r="O1016" i="17"/>
  <c r="P1016" i="17" s="1"/>
  <c r="O1017" i="17"/>
  <c r="P1017" i="17" s="1"/>
  <c r="O1018" i="17"/>
  <c r="P1018" i="17" s="1"/>
  <c r="O1019" i="17"/>
  <c r="P1019" i="17" s="1"/>
  <c r="O1020" i="17"/>
  <c r="P1020" i="17" s="1"/>
  <c r="O1021" i="17"/>
  <c r="P1021" i="17" s="1"/>
  <c r="O1022" i="17"/>
  <c r="P1022" i="17" s="1"/>
  <c r="Q1022" i="17" s="1"/>
  <c r="R1022" i="17" s="1"/>
  <c r="O1023" i="17"/>
  <c r="P1023" i="17" s="1"/>
  <c r="O1024" i="17"/>
  <c r="P1024" i="17" s="1"/>
  <c r="Q1024" i="17" s="1"/>
  <c r="R1024" i="17" s="1"/>
  <c r="O1025" i="17"/>
  <c r="P1025" i="17" s="1"/>
  <c r="O1026" i="17"/>
  <c r="P1026" i="17" s="1"/>
  <c r="O1027" i="17"/>
  <c r="P1027" i="17" s="1"/>
  <c r="O1028" i="17"/>
  <c r="P1028" i="17" s="1"/>
  <c r="O1029" i="17"/>
  <c r="P1029" i="17" s="1"/>
  <c r="O1030" i="17"/>
  <c r="P1030" i="17" s="1"/>
  <c r="O1031" i="17"/>
  <c r="P1031" i="17" s="1"/>
  <c r="O1032" i="17"/>
  <c r="P1032" i="17" s="1"/>
  <c r="O1033" i="17"/>
  <c r="P1033" i="17" s="1"/>
  <c r="O1034" i="17"/>
  <c r="P1034" i="17" s="1"/>
  <c r="Q1034" i="17" s="1"/>
  <c r="R1034" i="17" s="1"/>
  <c r="O1035" i="17"/>
  <c r="P1035" i="17" s="1"/>
  <c r="O1036" i="17"/>
  <c r="P1036" i="17" s="1"/>
  <c r="Q1036" i="17" s="1"/>
  <c r="R1036" i="17" s="1"/>
  <c r="O1037" i="17"/>
  <c r="P1037" i="17" s="1"/>
  <c r="O1038" i="17"/>
  <c r="P1038" i="17" s="1"/>
  <c r="O1039" i="17"/>
  <c r="P1039" i="17" s="1"/>
  <c r="O1040" i="17"/>
  <c r="P1040" i="17" s="1"/>
  <c r="O1041" i="17"/>
  <c r="P1041" i="17" s="1"/>
  <c r="O1042" i="17"/>
  <c r="P1042" i="17" s="1"/>
  <c r="O1043" i="17"/>
  <c r="P1043" i="17" s="1"/>
  <c r="O1044" i="17"/>
  <c r="P1044" i="17" s="1"/>
  <c r="O1045" i="17"/>
  <c r="P1045" i="17" s="1"/>
  <c r="O1046" i="17"/>
  <c r="P1046" i="17" s="1"/>
  <c r="Q1046" i="17" s="1"/>
  <c r="R1046" i="17" s="1"/>
  <c r="O1047" i="17"/>
  <c r="P1047" i="17" s="1"/>
  <c r="O1048" i="17"/>
  <c r="P1048" i="17" s="1"/>
  <c r="O1049" i="17"/>
  <c r="P1049" i="17" s="1"/>
  <c r="O1050" i="17"/>
  <c r="P1050" i="17" s="1"/>
  <c r="O1051" i="17"/>
  <c r="P1051" i="17" s="1"/>
  <c r="O1052" i="17"/>
  <c r="P1052" i="17" s="1"/>
  <c r="O1053" i="17"/>
  <c r="P1053" i="17" s="1"/>
  <c r="O1054" i="17"/>
  <c r="P1054" i="17" s="1"/>
  <c r="O1055" i="17"/>
  <c r="P1055" i="17" s="1"/>
  <c r="O1056" i="17"/>
  <c r="P1056" i="17" s="1"/>
  <c r="O1057" i="17"/>
  <c r="P1057" i="17" s="1"/>
  <c r="O1058" i="17"/>
  <c r="P1058" i="17" s="1"/>
  <c r="O1059" i="17"/>
  <c r="P1059" i="17" s="1"/>
  <c r="O1060" i="17"/>
  <c r="P1060" i="17" s="1"/>
  <c r="O1061" i="17"/>
  <c r="P1061" i="17" s="1"/>
  <c r="O1062" i="17"/>
  <c r="P1062" i="17" s="1"/>
  <c r="O1063" i="17"/>
  <c r="P1063" i="17" s="1"/>
  <c r="O1064" i="17"/>
  <c r="P1064" i="17" s="1"/>
  <c r="O1065" i="17"/>
  <c r="P1065" i="17" s="1"/>
  <c r="O1066" i="17"/>
  <c r="P1066" i="17" s="1"/>
  <c r="O1067" i="17"/>
  <c r="P1067" i="17" s="1"/>
  <c r="O1068" i="17"/>
  <c r="P1068" i="17" s="1"/>
  <c r="O1069" i="17"/>
  <c r="P1069" i="17" s="1"/>
  <c r="O1070" i="17"/>
  <c r="P1070" i="17" s="1"/>
  <c r="Q1070" i="17" s="1"/>
  <c r="R1070" i="17" s="1"/>
  <c r="O1071" i="17"/>
  <c r="P1071" i="17" s="1"/>
  <c r="O1072" i="17"/>
  <c r="P1072" i="17" s="1"/>
  <c r="Q1072" i="17" s="1"/>
  <c r="R1072" i="17" s="1"/>
  <c r="O1073" i="17"/>
  <c r="P1073" i="17" s="1"/>
  <c r="O1074" i="17"/>
  <c r="P1074" i="17" s="1"/>
  <c r="O1075" i="17"/>
  <c r="P1075" i="17" s="1"/>
  <c r="O1076" i="17"/>
  <c r="P1076" i="17" s="1"/>
  <c r="O1077" i="17"/>
  <c r="P1077" i="17" s="1"/>
  <c r="O1078" i="17"/>
  <c r="P1078" i="17" s="1"/>
  <c r="O1079" i="17"/>
  <c r="P1079" i="17" s="1"/>
  <c r="O1080" i="17"/>
  <c r="P1080" i="17" s="1"/>
  <c r="O1081" i="17"/>
  <c r="P1081" i="17" s="1"/>
  <c r="O1082" i="17"/>
  <c r="P1082" i="17" s="1"/>
  <c r="O1083" i="17"/>
  <c r="P1083" i="17" s="1"/>
  <c r="O1084" i="17"/>
  <c r="P1084" i="17" s="1"/>
  <c r="O1085" i="17"/>
  <c r="P1085" i="17" s="1"/>
  <c r="O1086" i="17"/>
  <c r="P1086" i="17" s="1"/>
  <c r="O1087" i="17"/>
  <c r="P1087" i="17" s="1"/>
  <c r="O1088" i="17"/>
  <c r="P1088" i="17" s="1"/>
  <c r="O1089" i="17"/>
  <c r="P1089" i="17" s="1"/>
  <c r="O1090" i="17"/>
  <c r="P1090" i="17" s="1"/>
  <c r="O1091" i="17"/>
  <c r="P1091" i="17" s="1"/>
  <c r="O1092" i="17"/>
  <c r="P1092" i="17" s="1"/>
  <c r="O1093" i="17"/>
  <c r="P1093" i="17" s="1"/>
  <c r="O1094" i="17"/>
  <c r="P1094" i="17" s="1"/>
  <c r="O1095" i="17"/>
  <c r="P1095" i="17" s="1"/>
  <c r="O1096" i="17"/>
  <c r="P1096" i="17" s="1"/>
  <c r="O1097" i="17"/>
  <c r="P1097" i="17" s="1"/>
  <c r="O1098" i="17"/>
  <c r="P1098" i="17" s="1"/>
  <c r="O1099" i="17"/>
  <c r="P1099" i="17" s="1"/>
  <c r="O1100" i="17"/>
  <c r="P1100" i="17" s="1"/>
  <c r="O1101" i="17"/>
  <c r="P1101" i="17" s="1"/>
  <c r="O1102" i="17"/>
  <c r="P1102" i="17" s="1"/>
  <c r="O1103" i="17"/>
  <c r="P1103" i="17" s="1"/>
  <c r="O1104" i="17"/>
  <c r="P1104" i="17" s="1"/>
  <c r="O1105" i="17"/>
  <c r="P1105" i="17" s="1"/>
  <c r="O1106" i="17"/>
  <c r="P1106" i="17" s="1"/>
  <c r="Q1106" i="17" s="1"/>
  <c r="R1106" i="17" s="1"/>
  <c r="O1107" i="17"/>
  <c r="P1107" i="17" s="1"/>
  <c r="O1108" i="17"/>
  <c r="P1108" i="17" s="1"/>
  <c r="Q1108" i="17" s="1"/>
  <c r="R1108" i="17" s="1"/>
  <c r="O1109" i="17"/>
  <c r="P1109" i="17" s="1"/>
  <c r="O1110" i="17"/>
  <c r="P1110" i="17" s="1"/>
  <c r="O1111" i="17"/>
  <c r="P1111" i="17" s="1"/>
  <c r="O1112" i="17"/>
  <c r="P1112" i="17" s="1"/>
  <c r="O1113" i="17"/>
  <c r="P1113" i="17" s="1"/>
  <c r="O1114" i="17"/>
  <c r="P1114" i="17" s="1"/>
  <c r="O1115" i="17"/>
  <c r="P1115" i="17" s="1"/>
  <c r="O1116" i="17"/>
  <c r="P1116" i="17" s="1"/>
  <c r="O1117" i="17"/>
  <c r="P1117" i="17" s="1"/>
  <c r="O1118" i="17"/>
  <c r="P1118" i="17" s="1"/>
  <c r="O1119" i="17"/>
  <c r="P1119" i="17" s="1"/>
  <c r="O1120" i="17"/>
  <c r="P1120" i="17" s="1"/>
  <c r="O1121" i="17"/>
  <c r="P1121" i="17" s="1"/>
  <c r="O1122" i="17"/>
  <c r="P1122" i="17" s="1"/>
  <c r="O1123" i="17"/>
  <c r="P1123" i="17" s="1"/>
  <c r="O1124" i="17"/>
  <c r="P1124" i="17" s="1"/>
  <c r="O1125" i="17"/>
  <c r="P1125" i="17" s="1"/>
  <c r="O1126" i="17"/>
  <c r="P1126" i="17" s="1"/>
  <c r="O1127" i="17"/>
  <c r="P1127" i="17" s="1"/>
  <c r="O1128" i="17"/>
  <c r="P1128" i="17" s="1"/>
  <c r="O1129" i="17"/>
  <c r="P1129" i="17" s="1"/>
  <c r="O1130" i="17"/>
  <c r="P1130" i="17" s="1"/>
  <c r="O1131" i="17"/>
  <c r="P1131" i="17" s="1"/>
  <c r="O1132" i="17"/>
  <c r="P1132" i="17" s="1"/>
  <c r="O1133" i="17"/>
  <c r="P1133" i="17" s="1"/>
  <c r="O1134" i="17"/>
  <c r="P1134" i="17" s="1"/>
  <c r="O1135" i="17"/>
  <c r="P1135" i="17" s="1"/>
  <c r="O1136" i="17"/>
  <c r="P1136" i="17" s="1"/>
  <c r="O1137" i="17"/>
  <c r="P1137" i="17" s="1"/>
  <c r="O1138" i="17"/>
  <c r="P1138" i="17" s="1"/>
  <c r="O1139" i="17"/>
  <c r="P1139" i="17" s="1"/>
  <c r="O1140" i="17"/>
  <c r="P1140" i="17" s="1"/>
  <c r="O1141" i="17"/>
  <c r="P1141" i="17" s="1"/>
  <c r="O1142" i="17"/>
  <c r="P1142" i="17" s="1"/>
  <c r="Q1142" i="17" s="1"/>
  <c r="R1142" i="17" s="1"/>
  <c r="O1143" i="17"/>
  <c r="P1143" i="17" s="1"/>
  <c r="O1144" i="17"/>
  <c r="P1144" i="17" s="1"/>
  <c r="Q1144" i="17" s="1"/>
  <c r="R1144" i="17" s="1"/>
  <c r="O1145" i="17"/>
  <c r="P1145" i="17" s="1"/>
  <c r="O1146" i="17"/>
  <c r="P1146" i="17" s="1"/>
  <c r="O1147" i="17"/>
  <c r="P1147" i="17" s="1"/>
  <c r="O1148" i="17"/>
  <c r="P1148" i="17" s="1"/>
  <c r="O1149" i="17"/>
  <c r="P1149" i="17" s="1"/>
  <c r="O1150" i="17"/>
  <c r="P1150" i="17" s="1"/>
  <c r="O1151" i="17"/>
  <c r="P1151" i="17" s="1"/>
  <c r="O1152" i="17"/>
  <c r="P1152" i="17" s="1"/>
  <c r="O1153" i="17"/>
  <c r="P1153" i="17" s="1"/>
  <c r="O1154" i="17"/>
  <c r="P1154" i="17" s="1"/>
  <c r="O1155" i="17"/>
  <c r="P1155" i="17" s="1"/>
  <c r="O1156" i="17"/>
  <c r="P1156" i="17" s="1"/>
  <c r="O1157" i="17"/>
  <c r="P1157" i="17" s="1"/>
  <c r="O1158" i="17"/>
  <c r="P1158" i="17" s="1"/>
  <c r="O1159" i="17"/>
  <c r="P1159" i="17" s="1"/>
  <c r="O1160" i="17"/>
  <c r="P1160" i="17" s="1"/>
  <c r="O1161" i="17"/>
  <c r="P1161" i="17" s="1"/>
  <c r="O1162" i="17"/>
  <c r="P1162" i="17" s="1"/>
  <c r="O1163" i="17"/>
  <c r="P1163" i="17" s="1"/>
  <c r="O1164" i="17"/>
  <c r="P1164" i="17" s="1"/>
  <c r="O1165" i="17"/>
  <c r="P1165" i="17" s="1"/>
  <c r="O1166" i="17"/>
  <c r="P1166" i="17" s="1"/>
  <c r="O1167" i="17"/>
  <c r="P1167" i="17" s="1"/>
  <c r="O1168" i="17"/>
  <c r="P1168" i="17" s="1"/>
  <c r="O1169" i="17"/>
  <c r="P1169" i="17" s="1"/>
  <c r="O1170" i="17"/>
  <c r="P1170" i="17" s="1"/>
  <c r="O1171" i="17"/>
  <c r="P1171" i="17" s="1"/>
  <c r="O1172" i="17"/>
  <c r="P1172" i="17" s="1"/>
  <c r="O1173" i="17"/>
  <c r="P1173" i="17" s="1"/>
  <c r="O1174" i="17"/>
  <c r="P1174" i="17" s="1"/>
  <c r="O1175" i="17"/>
  <c r="P1175" i="17" s="1"/>
  <c r="O1176" i="17"/>
  <c r="P1176" i="17" s="1"/>
  <c r="O1177" i="17"/>
  <c r="P1177" i="17" s="1"/>
  <c r="O1178" i="17"/>
  <c r="P1178" i="17" s="1"/>
  <c r="Q1178" i="17" s="1"/>
  <c r="R1178" i="17" s="1"/>
  <c r="O1179" i="17"/>
  <c r="P1179" i="17" s="1"/>
  <c r="O1180" i="17"/>
  <c r="P1180" i="17" s="1"/>
  <c r="O1181" i="17"/>
  <c r="P1181" i="17" s="1"/>
  <c r="O1182" i="17"/>
  <c r="P1182" i="17" s="1"/>
  <c r="O1183" i="17"/>
  <c r="P1183" i="17" s="1"/>
  <c r="O1184" i="17"/>
  <c r="P1184" i="17" s="1"/>
  <c r="O1185" i="17"/>
  <c r="P1185" i="17" s="1"/>
  <c r="O1186" i="17"/>
  <c r="P1186" i="17" s="1"/>
  <c r="O1187" i="17"/>
  <c r="P1187" i="17" s="1"/>
  <c r="O1188" i="17"/>
  <c r="P1188" i="17" s="1"/>
  <c r="O1189" i="17"/>
  <c r="P1189" i="17" s="1"/>
  <c r="O1190" i="17"/>
  <c r="P1190" i="17" s="1"/>
  <c r="O1191" i="17"/>
  <c r="P1191" i="17" s="1"/>
  <c r="O1192" i="17"/>
  <c r="P1192" i="17" s="1"/>
  <c r="O1193" i="17"/>
  <c r="P1193" i="17" s="1"/>
  <c r="O1194" i="17"/>
  <c r="P1194" i="17" s="1"/>
  <c r="O1195" i="17"/>
  <c r="P1195" i="17" s="1"/>
  <c r="O1196" i="17"/>
  <c r="P1196" i="17" s="1"/>
  <c r="O1197" i="17"/>
  <c r="P1197" i="17" s="1"/>
  <c r="O1198" i="17"/>
  <c r="P1198" i="17" s="1"/>
  <c r="O1199" i="17"/>
  <c r="P1199" i="17" s="1"/>
  <c r="O1200" i="17"/>
  <c r="P1200" i="17" s="1"/>
  <c r="O1201" i="17"/>
  <c r="P1201" i="17" s="1"/>
  <c r="O1202" i="17"/>
  <c r="P1202" i="17" s="1"/>
  <c r="O1203" i="17"/>
  <c r="P1203" i="17" s="1"/>
  <c r="O1204" i="17"/>
  <c r="P1204" i="17" s="1"/>
  <c r="O1205" i="17"/>
  <c r="P1205" i="17" s="1"/>
  <c r="O1206" i="17"/>
  <c r="P1206" i="17" s="1"/>
  <c r="O1207" i="17"/>
  <c r="P1207" i="17" s="1"/>
  <c r="O1208" i="17"/>
  <c r="P1208" i="17" s="1"/>
  <c r="O1209" i="17"/>
  <c r="P1209" i="17" s="1"/>
  <c r="O1210" i="17"/>
  <c r="P1210" i="17" s="1"/>
  <c r="O1211" i="17"/>
  <c r="P1211" i="17" s="1"/>
  <c r="O1212" i="17"/>
  <c r="P1212" i="17" s="1"/>
  <c r="O1213" i="17"/>
  <c r="P1213" i="17" s="1"/>
  <c r="O1214" i="17"/>
  <c r="P1214" i="17" s="1"/>
  <c r="Q1214" i="17" s="1"/>
  <c r="R1214" i="17" s="1"/>
  <c r="O1215" i="17"/>
  <c r="P1215" i="17" s="1"/>
  <c r="O1216" i="17"/>
  <c r="P1216" i="17" s="1"/>
  <c r="O1217" i="17"/>
  <c r="P1217" i="17" s="1"/>
  <c r="O1218" i="17"/>
  <c r="P1218" i="17" s="1"/>
  <c r="O1219" i="17"/>
  <c r="P1219" i="17" s="1"/>
  <c r="O1220" i="17"/>
  <c r="P1220" i="17" s="1"/>
  <c r="O1221" i="17"/>
  <c r="P1221" i="17" s="1"/>
  <c r="O1222" i="17"/>
  <c r="P1222" i="17" s="1"/>
  <c r="O1223" i="17"/>
  <c r="P1223" i="17" s="1"/>
  <c r="O1224" i="17"/>
  <c r="P1224" i="17" s="1"/>
  <c r="O1225" i="17"/>
  <c r="P1225" i="17" s="1"/>
  <c r="O1226" i="17"/>
  <c r="P1226" i="17" s="1"/>
  <c r="O1227" i="17"/>
  <c r="P1227" i="17" s="1"/>
  <c r="O1228" i="17"/>
  <c r="P1228" i="17" s="1"/>
  <c r="O1229" i="17"/>
  <c r="P1229" i="17" s="1"/>
  <c r="O1230" i="17"/>
  <c r="P1230" i="17" s="1"/>
  <c r="O1231" i="17"/>
  <c r="P1231" i="17" s="1"/>
  <c r="O1232" i="17"/>
  <c r="P1232" i="17" s="1"/>
  <c r="O1233" i="17"/>
  <c r="P1233" i="17" s="1"/>
  <c r="O1234" i="17"/>
  <c r="P1234" i="17" s="1"/>
  <c r="O1235" i="17"/>
  <c r="P1235" i="17" s="1"/>
  <c r="O1236" i="17"/>
  <c r="P1236" i="17" s="1"/>
  <c r="O1237" i="17"/>
  <c r="P1237" i="17" s="1"/>
  <c r="O1238" i="17"/>
  <c r="P1238" i="17" s="1"/>
  <c r="O1239" i="17"/>
  <c r="P1239" i="17" s="1"/>
  <c r="O1240" i="17"/>
  <c r="P1240" i="17" s="1"/>
  <c r="O1241" i="17"/>
  <c r="P1241" i="17" s="1"/>
  <c r="O1242" i="17"/>
  <c r="P1242" i="17" s="1"/>
  <c r="O1243" i="17"/>
  <c r="P1243" i="17" s="1"/>
  <c r="O1244" i="17"/>
  <c r="P1244" i="17" s="1"/>
  <c r="O1245" i="17"/>
  <c r="P1245" i="17" s="1"/>
  <c r="O1246" i="17"/>
  <c r="P1246" i="17" s="1"/>
  <c r="O1247" i="17"/>
  <c r="P1247" i="17" s="1"/>
  <c r="O1248" i="17"/>
  <c r="P1248" i="17" s="1"/>
  <c r="O1249" i="17"/>
  <c r="P1249" i="17" s="1"/>
  <c r="O1250" i="17"/>
  <c r="P1250" i="17" s="1"/>
  <c r="Q1250" i="17" s="1"/>
  <c r="R1250" i="17" s="1"/>
  <c r="O1251" i="17"/>
  <c r="P1251" i="17" s="1"/>
  <c r="O1252" i="17"/>
  <c r="P1252" i="17" s="1"/>
  <c r="Q1252" i="17" s="1"/>
  <c r="R1252" i="17" s="1"/>
  <c r="O1253" i="17"/>
  <c r="P1253" i="17" s="1"/>
  <c r="O1254" i="17"/>
  <c r="P1254" i="17" s="1"/>
  <c r="O1255" i="17"/>
  <c r="P1255" i="17" s="1"/>
  <c r="O1256" i="17"/>
  <c r="P1256" i="17" s="1"/>
  <c r="O1257" i="17"/>
  <c r="P1257" i="17" s="1"/>
  <c r="O1258" i="17"/>
  <c r="P1258" i="17" s="1"/>
  <c r="O1259" i="17"/>
  <c r="P1259" i="17" s="1"/>
  <c r="O1260" i="17"/>
  <c r="P1260" i="17" s="1"/>
  <c r="O1261" i="17"/>
  <c r="P1261" i="17" s="1"/>
  <c r="O1262" i="17"/>
  <c r="P1262" i="17" s="1"/>
  <c r="O1263" i="17"/>
  <c r="P1263" i="17" s="1"/>
  <c r="O1264" i="17"/>
  <c r="P1264" i="17" s="1"/>
  <c r="O1265" i="17"/>
  <c r="P1265" i="17" s="1"/>
  <c r="O1266" i="17"/>
  <c r="P1266" i="17" s="1"/>
  <c r="O1267" i="17"/>
  <c r="P1267" i="17" s="1"/>
  <c r="O1268" i="17"/>
  <c r="P1268" i="17" s="1"/>
  <c r="O1269" i="17"/>
  <c r="P1269" i="17" s="1"/>
  <c r="O1270" i="17"/>
  <c r="P1270" i="17" s="1"/>
  <c r="O1271" i="17"/>
  <c r="P1271" i="17" s="1"/>
  <c r="O1272" i="17"/>
  <c r="P1272" i="17" s="1"/>
  <c r="O1273" i="17"/>
  <c r="P1273" i="17" s="1"/>
  <c r="O1274" i="17"/>
  <c r="P1274" i="17" s="1"/>
  <c r="O1275" i="17"/>
  <c r="P1275" i="17" s="1"/>
  <c r="O1276" i="17"/>
  <c r="P1276" i="17" s="1"/>
  <c r="O1277" i="17"/>
  <c r="P1277" i="17" s="1"/>
  <c r="O1278" i="17"/>
  <c r="P1278" i="17" s="1"/>
  <c r="O1279" i="17"/>
  <c r="P1279" i="17" s="1"/>
  <c r="O1280" i="17"/>
  <c r="P1280" i="17" s="1"/>
  <c r="O1281" i="17"/>
  <c r="P1281" i="17" s="1"/>
  <c r="O1282" i="17"/>
  <c r="P1282" i="17" s="1"/>
  <c r="O1283" i="17"/>
  <c r="P1283" i="17" s="1"/>
  <c r="O1284" i="17"/>
  <c r="P1284" i="17" s="1"/>
  <c r="O1285" i="17"/>
  <c r="P1285" i="17" s="1"/>
  <c r="O1286" i="17"/>
  <c r="P1286" i="17" s="1"/>
  <c r="Q1286" i="17" s="1"/>
  <c r="R1286" i="17" s="1"/>
  <c r="O1287" i="17"/>
  <c r="P1287" i="17" s="1"/>
  <c r="O1288" i="17"/>
  <c r="P1288" i="17" s="1"/>
  <c r="Q1288" i="17" s="1"/>
  <c r="R1288" i="17" s="1"/>
  <c r="O1289" i="17"/>
  <c r="P1289" i="17" s="1"/>
  <c r="O1290" i="17"/>
  <c r="P1290" i="17" s="1"/>
  <c r="O1291" i="17"/>
  <c r="P1291" i="17" s="1"/>
  <c r="O1292" i="17"/>
  <c r="P1292" i="17" s="1"/>
  <c r="O1293" i="17"/>
  <c r="P1293" i="17" s="1"/>
  <c r="O1294" i="17"/>
  <c r="P1294" i="17" s="1"/>
  <c r="O1295" i="17"/>
  <c r="P1295" i="17" s="1"/>
  <c r="O1296" i="17"/>
  <c r="P1296" i="17" s="1"/>
  <c r="O1297" i="17"/>
  <c r="P1297" i="17" s="1"/>
  <c r="O1298" i="17"/>
  <c r="P1298" i="17" s="1"/>
  <c r="O1299" i="17"/>
  <c r="P1299" i="17" s="1"/>
  <c r="O1300" i="17"/>
  <c r="P1300" i="17" s="1"/>
  <c r="O1301" i="17"/>
  <c r="P1301" i="17" s="1"/>
  <c r="O1302" i="17"/>
  <c r="P1302" i="17" s="1"/>
  <c r="O1303" i="17"/>
  <c r="P1303" i="17" s="1"/>
  <c r="O1304" i="17"/>
  <c r="P1304" i="17" s="1"/>
  <c r="O1305" i="17"/>
  <c r="P1305" i="17" s="1"/>
  <c r="O1306" i="17"/>
  <c r="P1306" i="17" s="1"/>
  <c r="O1307" i="17"/>
  <c r="P1307" i="17" s="1"/>
  <c r="O1308" i="17"/>
  <c r="P1308" i="17" s="1"/>
  <c r="O1309" i="17"/>
  <c r="P1309" i="17" s="1"/>
  <c r="O1310" i="17"/>
  <c r="P1310" i="17" s="1"/>
  <c r="O1311" i="17"/>
  <c r="P1311" i="17" s="1"/>
  <c r="O1312" i="17"/>
  <c r="P1312" i="17" s="1"/>
  <c r="O1313" i="17"/>
  <c r="P1313" i="17" s="1"/>
  <c r="O1314" i="17"/>
  <c r="P1314" i="17" s="1"/>
  <c r="O1315" i="17"/>
  <c r="P1315" i="17" s="1"/>
  <c r="O1316" i="17"/>
  <c r="P1316" i="17" s="1"/>
  <c r="O1317" i="17"/>
  <c r="P1317" i="17" s="1"/>
  <c r="O1318" i="17"/>
  <c r="P1318" i="17" s="1"/>
  <c r="O1319" i="17"/>
  <c r="P1319" i="17" s="1"/>
  <c r="O1320" i="17"/>
  <c r="P1320" i="17" s="1"/>
  <c r="O1321" i="17"/>
  <c r="P1321" i="17" s="1"/>
  <c r="O1322" i="17"/>
  <c r="P1322" i="17" s="1"/>
  <c r="Q1322" i="17" s="1"/>
  <c r="R1322" i="17" s="1"/>
  <c r="O1323" i="17"/>
  <c r="P1323" i="17" s="1"/>
  <c r="O1324" i="17"/>
  <c r="P1324" i="17" s="1"/>
  <c r="Q1324" i="17" s="1"/>
  <c r="R1324" i="17" s="1"/>
  <c r="O1325" i="17"/>
  <c r="P1325" i="17" s="1"/>
  <c r="O1326" i="17"/>
  <c r="P1326" i="17" s="1"/>
  <c r="O1327" i="17"/>
  <c r="P1327" i="17" s="1"/>
  <c r="O1328" i="17"/>
  <c r="P1328" i="17" s="1"/>
  <c r="O1329" i="17"/>
  <c r="P1329" i="17" s="1"/>
  <c r="O1330" i="17"/>
  <c r="P1330" i="17" s="1"/>
  <c r="O1331" i="17"/>
  <c r="P1331" i="17" s="1"/>
  <c r="O1332" i="17"/>
  <c r="P1332" i="17" s="1"/>
  <c r="O1333" i="17"/>
  <c r="P1333" i="17" s="1"/>
  <c r="O1334" i="17"/>
  <c r="P1334" i="17" s="1"/>
  <c r="O1335" i="17"/>
  <c r="P1335" i="17" s="1"/>
  <c r="O1336" i="17"/>
  <c r="P1336" i="17" s="1"/>
  <c r="O1337" i="17"/>
  <c r="P1337" i="17" s="1"/>
  <c r="O1338" i="17"/>
  <c r="P1338" i="17" s="1"/>
  <c r="O1339" i="17"/>
  <c r="P1339" i="17" s="1"/>
  <c r="O1340" i="17"/>
  <c r="P1340" i="17" s="1"/>
  <c r="O1341" i="17"/>
  <c r="P1341" i="17" s="1"/>
  <c r="O1342" i="17"/>
  <c r="P1342" i="17" s="1"/>
  <c r="O1343" i="17"/>
  <c r="P1343" i="17" s="1"/>
  <c r="O1344" i="17"/>
  <c r="P1344" i="17" s="1"/>
  <c r="O1345" i="17"/>
  <c r="P1345" i="17" s="1"/>
  <c r="O1346" i="17"/>
  <c r="P1346" i="17" s="1"/>
  <c r="O1347" i="17"/>
  <c r="P1347" i="17" s="1"/>
  <c r="O1348" i="17"/>
  <c r="P1348" i="17" s="1"/>
  <c r="O1349" i="17"/>
  <c r="P1349" i="17" s="1"/>
  <c r="O1350" i="17"/>
  <c r="P1350" i="17" s="1"/>
  <c r="O1351" i="17"/>
  <c r="P1351" i="17" s="1"/>
  <c r="O1352" i="17"/>
  <c r="P1352" i="17" s="1"/>
  <c r="O1353" i="17"/>
  <c r="P1353" i="17" s="1"/>
  <c r="O1354" i="17"/>
  <c r="P1354" i="17" s="1"/>
  <c r="O1355" i="17"/>
  <c r="P1355" i="17" s="1"/>
  <c r="Q1355" i="17" s="1"/>
  <c r="R1355" i="17" s="1"/>
  <c r="O1356" i="17"/>
  <c r="P1356" i="17" s="1"/>
  <c r="Q1356" i="17" s="1"/>
  <c r="R1356" i="17" s="1"/>
  <c r="O1357" i="17"/>
  <c r="P1357" i="17" s="1"/>
  <c r="O1358" i="17"/>
  <c r="P1358" i="17" s="1"/>
  <c r="O1359" i="17"/>
  <c r="P1359" i="17" s="1"/>
  <c r="O1360" i="17"/>
  <c r="P1360" i="17" s="1"/>
  <c r="O1361" i="17"/>
  <c r="P1361" i="17" s="1"/>
  <c r="O1362" i="17"/>
  <c r="P1362" i="17" s="1"/>
  <c r="O1363" i="17"/>
  <c r="P1363" i="17" s="1"/>
  <c r="O1364" i="17"/>
  <c r="P1364" i="17" s="1"/>
  <c r="O1365" i="17"/>
  <c r="P1365" i="17" s="1"/>
  <c r="O1366" i="17"/>
  <c r="P1366" i="17" s="1"/>
  <c r="O1367" i="17"/>
  <c r="P1367" i="17" s="1"/>
  <c r="O1368" i="17"/>
  <c r="P1368" i="17" s="1"/>
  <c r="O1369" i="17"/>
  <c r="P1369" i="17" s="1"/>
  <c r="O1370" i="17"/>
  <c r="P1370" i="17" s="1"/>
  <c r="O1371" i="17"/>
  <c r="P1371" i="17" s="1"/>
  <c r="O1372" i="17"/>
  <c r="P1372" i="17" s="1"/>
  <c r="O1373" i="17"/>
  <c r="P1373" i="17" s="1"/>
  <c r="O1374" i="17"/>
  <c r="P1374" i="17" s="1"/>
  <c r="O1375" i="17"/>
  <c r="P1375" i="17" s="1"/>
  <c r="O1376" i="17"/>
  <c r="P1376" i="17" s="1"/>
  <c r="O1377" i="17"/>
  <c r="P1377" i="17" s="1"/>
  <c r="O1378" i="17"/>
  <c r="P1378" i="17" s="1"/>
  <c r="O1379" i="17"/>
  <c r="P1379" i="17" s="1"/>
  <c r="O1380" i="17"/>
  <c r="P1380" i="17" s="1"/>
  <c r="O1381" i="17"/>
  <c r="P1381" i="17" s="1"/>
  <c r="O1382" i="17"/>
  <c r="P1382" i="17" s="1"/>
  <c r="Q1382" i="17" s="1"/>
  <c r="R1382" i="17" s="1"/>
  <c r="O1383" i="17"/>
  <c r="P1383" i="17" s="1"/>
  <c r="O1384" i="17"/>
  <c r="P1384" i="17" s="1"/>
  <c r="Q1384" i="17" s="1"/>
  <c r="R1384" i="17" s="1"/>
  <c r="O1385" i="17"/>
  <c r="P1385" i="17" s="1"/>
  <c r="O1386" i="17"/>
  <c r="P1386" i="17" s="1"/>
  <c r="O1387" i="17"/>
  <c r="P1387" i="17" s="1"/>
  <c r="O1388" i="17"/>
  <c r="P1388" i="17" s="1"/>
  <c r="O1389" i="17"/>
  <c r="P1389" i="17" s="1"/>
  <c r="O1390" i="17"/>
  <c r="P1390" i="17" s="1"/>
  <c r="O1391" i="17"/>
  <c r="P1391" i="17" s="1"/>
  <c r="O1392" i="17"/>
  <c r="P1392" i="17" s="1"/>
  <c r="O1393" i="17"/>
  <c r="P1393" i="17" s="1"/>
  <c r="O1394" i="17"/>
  <c r="P1394" i="17" s="1"/>
  <c r="O1395" i="17"/>
  <c r="P1395" i="17" s="1"/>
  <c r="O1396" i="17"/>
  <c r="P1396" i="17" s="1"/>
  <c r="O1397" i="17"/>
  <c r="P1397" i="17" s="1"/>
  <c r="O1398" i="17"/>
  <c r="P1398" i="17" s="1"/>
  <c r="O1399" i="17"/>
  <c r="P1399" i="17" s="1"/>
  <c r="O1400" i="17"/>
  <c r="P1400" i="17" s="1"/>
  <c r="O1401" i="17"/>
  <c r="P1401" i="17" s="1"/>
  <c r="O1402" i="17"/>
  <c r="P1402" i="17" s="1"/>
  <c r="O1403" i="17"/>
  <c r="P1403" i="17" s="1"/>
  <c r="O1404" i="17"/>
  <c r="P1404" i="17" s="1"/>
  <c r="O1405" i="17"/>
  <c r="P1405" i="17" s="1"/>
  <c r="O1406" i="17"/>
  <c r="P1406" i="17" s="1"/>
  <c r="O1407" i="17"/>
  <c r="P1407" i="17" s="1"/>
  <c r="O1408" i="17"/>
  <c r="P1408" i="17" s="1"/>
  <c r="O1409" i="17"/>
  <c r="P1409" i="17" s="1"/>
  <c r="O1410" i="17"/>
  <c r="P1410" i="17" s="1"/>
  <c r="O1411" i="17"/>
  <c r="P1411" i="17" s="1"/>
  <c r="O1412" i="17"/>
  <c r="P1412" i="17" s="1"/>
  <c r="O1413" i="17"/>
  <c r="P1413" i="17" s="1"/>
  <c r="O1414" i="17"/>
  <c r="P1414" i="17" s="1"/>
  <c r="Q1414" i="17" s="1"/>
  <c r="R1414" i="17" s="1"/>
  <c r="O1415" i="17"/>
  <c r="P1415" i="17" s="1"/>
  <c r="Q1415" i="17" s="1"/>
  <c r="R1415" i="17" s="1"/>
  <c r="O1416" i="17"/>
  <c r="P1416" i="17" s="1"/>
  <c r="O1417" i="17"/>
  <c r="P1417" i="17" s="1"/>
  <c r="O1418" i="17"/>
  <c r="P1418" i="17" s="1"/>
  <c r="O1419" i="17"/>
  <c r="P1419" i="17" s="1"/>
  <c r="O1420" i="17"/>
  <c r="P1420" i="17" s="1"/>
  <c r="O1421" i="17"/>
  <c r="P1421" i="17" s="1"/>
  <c r="O1422" i="17"/>
  <c r="P1422" i="17" s="1"/>
  <c r="O1423" i="17"/>
  <c r="P1423" i="17" s="1"/>
  <c r="O1424" i="17"/>
  <c r="P1424" i="17" s="1"/>
  <c r="O1425" i="17"/>
  <c r="P1425" i="17" s="1"/>
  <c r="O1426" i="17"/>
  <c r="P1426" i="17" s="1"/>
  <c r="O1427" i="17"/>
  <c r="P1427" i="17" s="1"/>
  <c r="O1428" i="17"/>
  <c r="P1428" i="17" s="1"/>
  <c r="O1429" i="17"/>
  <c r="P1429" i="17" s="1"/>
  <c r="O1430" i="17"/>
  <c r="P1430" i="17" s="1"/>
  <c r="O1431" i="17"/>
  <c r="P1431" i="17" s="1"/>
  <c r="O1432" i="17"/>
  <c r="P1432" i="17" s="1"/>
  <c r="O1433" i="17"/>
  <c r="P1433" i="17" s="1"/>
  <c r="O1434" i="17"/>
  <c r="P1434" i="17" s="1"/>
  <c r="O1435" i="17"/>
  <c r="P1435" i="17" s="1"/>
  <c r="O1436" i="17"/>
  <c r="P1436" i="17" s="1"/>
  <c r="O1437" i="17"/>
  <c r="P1437" i="17" s="1"/>
  <c r="O1438" i="17"/>
  <c r="P1438" i="17" s="1"/>
  <c r="O1439" i="17"/>
  <c r="P1439" i="17" s="1"/>
  <c r="O1440" i="17"/>
  <c r="P1440" i="17" s="1"/>
  <c r="Q1440" i="17" s="1"/>
  <c r="R1440" i="17" s="1"/>
  <c r="O1441" i="17"/>
  <c r="P1441" i="17" s="1"/>
  <c r="O1442" i="17"/>
  <c r="P1442" i="17" s="1"/>
  <c r="Q1442" i="17" s="1"/>
  <c r="R1442" i="17" s="1"/>
  <c r="O1443" i="17"/>
  <c r="P1443" i="17" s="1"/>
  <c r="O1444" i="17"/>
  <c r="P1444" i="17" s="1"/>
  <c r="O1445" i="17"/>
  <c r="P1445" i="17" s="1"/>
  <c r="O1446" i="17"/>
  <c r="P1446" i="17" s="1"/>
  <c r="O1447" i="17"/>
  <c r="P1447" i="17" s="1"/>
  <c r="O1448" i="17"/>
  <c r="P1448" i="17" s="1"/>
  <c r="O1449" i="17"/>
  <c r="P1449" i="17" s="1"/>
  <c r="O1450" i="17"/>
  <c r="P1450" i="17" s="1"/>
  <c r="O1451" i="17"/>
  <c r="P1451" i="17" s="1"/>
  <c r="O1452" i="17"/>
  <c r="P1452" i="17" s="1"/>
  <c r="O1453" i="17"/>
  <c r="P1453" i="17" s="1"/>
  <c r="O1454" i="17"/>
  <c r="P1454" i="17" s="1"/>
  <c r="O1455" i="17"/>
  <c r="P1455" i="17" s="1"/>
  <c r="O1456" i="17"/>
  <c r="P1456" i="17" s="1"/>
  <c r="O1457" i="17"/>
  <c r="P1457" i="17" s="1"/>
  <c r="O1458" i="17"/>
  <c r="P1458" i="17" s="1"/>
  <c r="O1459" i="17"/>
  <c r="P1459" i="17" s="1"/>
  <c r="O1460" i="17"/>
  <c r="P1460" i="17" s="1"/>
  <c r="O1461" i="17"/>
  <c r="P1461" i="17" s="1"/>
  <c r="O1462" i="17"/>
  <c r="P1462" i="17" s="1"/>
  <c r="O1463" i="17"/>
  <c r="P1463" i="17" s="1"/>
  <c r="O1464" i="17"/>
  <c r="P1464" i="17" s="1"/>
  <c r="O1465" i="17"/>
  <c r="P1465" i="17" s="1"/>
  <c r="O1466" i="17"/>
  <c r="P1466" i="17" s="1"/>
  <c r="O1467" i="17"/>
  <c r="P1467" i="17" s="1"/>
  <c r="O1468" i="17"/>
  <c r="P1468" i="17" s="1"/>
  <c r="Q1468" i="17" s="1"/>
  <c r="R1468" i="17" s="1"/>
  <c r="O1469" i="17"/>
  <c r="P1469" i="17" s="1"/>
  <c r="O1470" i="17"/>
  <c r="P1470" i="17" s="1"/>
  <c r="O1471" i="17"/>
  <c r="P1471" i="17" s="1"/>
  <c r="O1472" i="17"/>
  <c r="P1472" i="17" s="1"/>
  <c r="O1473" i="17"/>
  <c r="P1473" i="17" s="1"/>
  <c r="O1474" i="17"/>
  <c r="P1474" i="17" s="1"/>
  <c r="Q1474" i="17" s="1"/>
  <c r="R1474" i="17" s="1"/>
  <c r="O1475" i="17"/>
  <c r="P1475" i="17" s="1"/>
  <c r="O1476" i="17"/>
  <c r="P1476" i="17" s="1"/>
  <c r="O1477" i="17"/>
  <c r="P1477" i="17" s="1"/>
  <c r="O1478" i="17"/>
  <c r="P1478" i="17" s="1"/>
  <c r="O1479" i="17"/>
  <c r="P1479" i="17" s="1"/>
  <c r="O1480" i="17"/>
  <c r="P1480" i="17" s="1"/>
  <c r="O1481" i="17"/>
  <c r="P1481" i="17" s="1"/>
  <c r="O1482" i="17"/>
  <c r="P1482" i="17" s="1"/>
  <c r="O1483" i="17"/>
  <c r="P1483" i="17" s="1"/>
  <c r="O1484" i="17"/>
  <c r="P1484" i="17" s="1"/>
  <c r="O1485" i="17"/>
  <c r="P1485" i="17" s="1"/>
  <c r="O1486" i="17"/>
  <c r="P1486" i="17" s="1"/>
  <c r="O1487" i="17"/>
  <c r="P1487" i="17" s="1"/>
  <c r="O1488" i="17"/>
  <c r="P1488" i="17" s="1"/>
  <c r="O1489" i="17"/>
  <c r="P1489" i="17" s="1"/>
  <c r="O1490" i="17"/>
  <c r="P1490" i="17" s="1"/>
  <c r="O1491" i="17"/>
  <c r="P1491" i="17" s="1"/>
  <c r="O1492" i="17"/>
  <c r="P1492" i="17" s="1"/>
  <c r="O1493" i="17"/>
  <c r="P1493" i="17" s="1"/>
  <c r="O1494" i="17"/>
  <c r="P1494" i="17" s="1"/>
  <c r="O1495" i="17"/>
  <c r="P1495" i="17" s="1"/>
  <c r="O1496" i="17"/>
  <c r="P1496" i="17" s="1"/>
  <c r="O1497" i="17"/>
  <c r="P1497" i="17" s="1"/>
  <c r="O1498" i="17"/>
  <c r="P1498" i="17" s="1"/>
  <c r="O1499" i="17"/>
  <c r="P1499" i="17" s="1"/>
  <c r="Q1499" i="17" s="1"/>
  <c r="R1499" i="17" s="1"/>
  <c r="O1500" i="17"/>
  <c r="P1500" i="17" s="1"/>
  <c r="Q1500" i="17" s="1"/>
  <c r="R1500" i="17" s="1"/>
  <c r="O1501" i="17"/>
  <c r="P1501" i="17" s="1"/>
  <c r="O1502" i="17"/>
  <c r="P1502" i="17" s="1"/>
  <c r="O1503" i="17"/>
  <c r="P1503" i="17" s="1"/>
  <c r="O1504" i="17"/>
  <c r="P1504" i="17" s="1"/>
  <c r="O1505" i="17"/>
  <c r="P1505" i="17" s="1"/>
  <c r="O1506" i="17"/>
  <c r="P1506" i="17" s="1"/>
  <c r="O1507" i="17"/>
  <c r="P1507" i="17" s="1"/>
  <c r="O1508" i="17"/>
  <c r="P1508" i="17" s="1"/>
  <c r="O1509" i="17"/>
  <c r="P1509" i="17" s="1"/>
  <c r="O1510" i="17"/>
  <c r="P1510" i="17" s="1"/>
  <c r="O1511" i="17"/>
  <c r="P1511" i="17" s="1"/>
  <c r="O1512" i="17"/>
  <c r="P1512" i="17" s="1"/>
  <c r="O1513" i="17"/>
  <c r="P1513" i="17" s="1"/>
  <c r="O1514" i="17"/>
  <c r="P1514" i="17" s="1"/>
  <c r="O1515" i="17"/>
  <c r="P1515" i="17" s="1"/>
  <c r="O1516" i="17"/>
  <c r="P1516" i="17" s="1"/>
  <c r="O1517" i="17"/>
  <c r="P1517" i="17" s="1"/>
  <c r="O1518" i="17"/>
  <c r="P1518" i="17" s="1"/>
  <c r="O1519" i="17"/>
  <c r="P1519" i="17" s="1"/>
  <c r="O1520" i="17"/>
  <c r="P1520" i="17" s="1"/>
  <c r="O1521" i="17"/>
  <c r="P1521" i="17" s="1"/>
  <c r="O1522" i="17"/>
  <c r="P1522" i="17" s="1"/>
  <c r="O1523" i="17"/>
  <c r="P1523" i="17" s="1"/>
  <c r="O1524" i="17"/>
  <c r="P1524" i="17" s="1"/>
  <c r="O1525" i="17"/>
  <c r="P1525" i="17" s="1"/>
  <c r="O1526" i="17"/>
  <c r="P1526" i="17" s="1"/>
  <c r="Q1526" i="17" s="1"/>
  <c r="R1526" i="17" s="1"/>
  <c r="O1527" i="17"/>
  <c r="P1527" i="17" s="1"/>
  <c r="O1528" i="17"/>
  <c r="P1528" i="17" s="1"/>
  <c r="Q1528" i="17" s="1"/>
  <c r="R1528" i="17" s="1"/>
  <c r="O1529" i="17"/>
  <c r="P1529" i="17" s="1"/>
  <c r="O1530" i="17"/>
  <c r="P1530" i="17" s="1"/>
  <c r="O1531" i="17"/>
  <c r="P1531" i="17" s="1"/>
  <c r="O1532" i="17"/>
  <c r="P1532" i="17" s="1"/>
  <c r="O1533" i="17"/>
  <c r="P1533" i="17" s="1"/>
  <c r="O1534" i="17"/>
  <c r="P1534" i="17" s="1"/>
  <c r="O1535" i="17"/>
  <c r="P1535" i="17" s="1"/>
  <c r="O1536" i="17"/>
  <c r="P1536" i="17" s="1"/>
  <c r="O1537" i="17"/>
  <c r="P1537" i="17" s="1"/>
  <c r="O1538" i="17"/>
  <c r="P1538" i="17" s="1"/>
  <c r="O1539" i="17"/>
  <c r="P1539" i="17" s="1"/>
  <c r="O1540" i="17"/>
  <c r="P1540" i="17" s="1"/>
  <c r="O1541" i="17"/>
  <c r="P1541" i="17" s="1"/>
  <c r="O1542" i="17"/>
  <c r="P1542" i="17" s="1"/>
  <c r="O1543" i="17"/>
  <c r="P1543" i="17" s="1"/>
  <c r="O1544" i="17"/>
  <c r="P1544" i="17" s="1"/>
  <c r="O1545" i="17"/>
  <c r="P1545" i="17" s="1"/>
  <c r="O1546" i="17"/>
  <c r="P1546" i="17" s="1"/>
  <c r="O1547" i="17"/>
  <c r="P1547" i="17" s="1"/>
  <c r="O1548" i="17"/>
  <c r="P1548" i="17" s="1"/>
  <c r="O1549" i="17"/>
  <c r="P1549" i="17" s="1"/>
  <c r="O1550" i="17"/>
  <c r="P1550" i="17" s="1"/>
  <c r="O1551" i="17"/>
  <c r="P1551" i="17" s="1"/>
  <c r="O1552" i="17"/>
  <c r="P1552" i="17" s="1"/>
  <c r="O1553" i="17"/>
  <c r="P1553" i="17" s="1"/>
  <c r="O1554" i="17"/>
  <c r="P1554" i="17" s="1"/>
  <c r="O1555" i="17"/>
  <c r="P1555" i="17" s="1"/>
  <c r="O1556" i="17"/>
  <c r="P1556" i="17" s="1"/>
  <c r="O1557" i="17"/>
  <c r="P1557" i="17" s="1"/>
  <c r="O1558" i="17"/>
  <c r="P1558" i="17" s="1"/>
  <c r="Q1558" i="17" s="1"/>
  <c r="R1558" i="17" s="1"/>
  <c r="O1559" i="17"/>
  <c r="P1559" i="17" s="1"/>
  <c r="Q1559" i="17" s="1"/>
  <c r="R1559" i="17" s="1"/>
  <c r="O1560" i="17"/>
  <c r="P1560" i="17" s="1"/>
  <c r="O1561" i="17"/>
  <c r="P1561" i="17" s="1"/>
  <c r="O1562" i="17"/>
  <c r="P1562" i="17" s="1"/>
  <c r="O1563" i="17"/>
  <c r="P1563" i="17" s="1"/>
  <c r="O1564" i="17"/>
  <c r="P1564" i="17" s="1"/>
  <c r="O1565" i="17"/>
  <c r="P1565" i="17" s="1"/>
  <c r="O1566" i="17"/>
  <c r="P1566" i="17" s="1"/>
  <c r="O1567" i="17"/>
  <c r="P1567" i="17" s="1"/>
  <c r="O1568" i="17"/>
  <c r="P1568" i="17" s="1"/>
  <c r="O1569" i="17"/>
  <c r="P1569" i="17" s="1"/>
  <c r="O1570" i="17"/>
  <c r="P1570" i="17" s="1"/>
  <c r="O1571" i="17"/>
  <c r="P1571" i="17" s="1"/>
  <c r="O1572" i="17"/>
  <c r="P1572" i="17" s="1"/>
  <c r="O1573" i="17"/>
  <c r="P1573" i="17" s="1"/>
  <c r="O1574" i="17"/>
  <c r="P1574" i="17" s="1"/>
  <c r="O1575" i="17"/>
  <c r="P1575" i="17" s="1"/>
  <c r="O1576" i="17"/>
  <c r="P1576" i="17" s="1"/>
  <c r="O1577" i="17"/>
  <c r="P1577" i="17" s="1"/>
  <c r="O1578" i="17"/>
  <c r="P1578" i="17" s="1"/>
  <c r="O1579" i="17"/>
  <c r="P1579" i="17" s="1"/>
  <c r="O1580" i="17"/>
  <c r="P1580" i="17" s="1"/>
  <c r="O1581" i="17"/>
  <c r="P1581" i="17" s="1"/>
  <c r="O1582" i="17"/>
  <c r="P1582" i="17" s="1"/>
  <c r="O1583" i="17"/>
  <c r="P1583" i="17" s="1"/>
  <c r="O1584" i="17"/>
  <c r="P1584" i="17" s="1"/>
  <c r="Q1584" i="17" s="1"/>
  <c r="R1584" i="17" s="1"/>
  <c r="O1585" i="17"/>
  <c r="P1585" i="17" s="1"/>
  <c r="O1586" i="17"/>
  <c r="P1586" i="17" s="1"/>
  <c r="Q1586" i="17" s="1"/>
  <c r="R1586" i="17" s="1"/>
  <c r="O1587" i="17"/>
  <c r="P1587" i="17" s="1"/>
  <c r="O1588" i="17"/>
  <c r="P1588" i="17" s="1"/>
  <c r="O1589" i="17"/>
  <c r="P1589" i="17" s="1"/>
  <c r="O1590" i="17"/>
  <c r="P1590" i="17" s="1"/>
  <c r="O1591" i="17"/>
  <c r="P1591" i="17" s="1"/>
  <c r="O1592" i="17"/>
  <c r="P1592" i="17" s="1"/>
  <c r="O1593" i="17"/>
  <c r="P1593" i="17" s="1"/>
  <c r="O1594" i="17"/>
  <c r="P1594" i="17" s="1"/>
  <c r="O1595" i="17"/>
  <c r="P1595" i="17" s="1"/>
  <c r="O1596" i="17"/>
  <c r="P1596" i="17" s="1"/>
  <c r="O1597" i="17"/>
  <c r="P1597" i="17" s="1"/>
  <c r="O1598" i="17"/>
  <c r="P1598" i="17" s="1"/>
  <c r="O1599" i="17"/>
  <c r="P1599" i="17" s="1"/>
  <c r="O1600" i="17"/>
  <c r="P1600" i="17" s="1"/>
  <c r="O1601" i="17"/>
  <c r="P1601" i="17" s="1"/>
  <c r="O1602" i="17"/>
  <c r="P1602" i="17" s="1"/>
  <c r="O1603" i="17"/>
  <c r="P1603" i="17" s="1"/>
  <c r="O1604" i="17"/>
  <c r="P1604" i="17" s="1"/>
  <c r="O1605" i="17"/>
  <c r="P1605" i="17" s="1"/>
  <c r="O1606" i="17"/>
  <c r="P1606" i="17" s="1"/>
  <c r="O1607" i="17"/>
  <c r="P1607" i="17" s="1"/>
  <c r="O1608" i="17"/>
  <c r="P1608" i="17" s="1"/>
  <c r="O1609" i="17"/>
  <c r="P1609" i="17" s="1"/>
  <c r="O1610" i="17"/>
  <c r="P1610" i="17" s="1"/>
  <c r="O1611" i="17"/>
  <c r="P1611" i="17" s="1"/>
  <c r="O1612" i="17"/>
  <c r="P1612" i="17" s="1"/>
  <c r="Q1612" i="17" s="1"/>
  <c r="R1612" i="17" s="1"/>
  <c r="O1613" i="17"/>
  <c r="P1613" i="17" s="1"/>
  <c r="O1614" i="17"/>
  <c r="P1614" i="17" s="1"/>
  <c r="O1615" i="17"/>
  <c r="P1615" i="17" s="1"/>
  <c r="O1616" i="17"/>
  <c r="P1616" i="17" s="1"/>
  <c r="O1617" i="17"/>
  <c r="P1617" i="17" s="1"/>
  <c r="O1618" i="17"/>
  <c r="P1618" i="17" s="1"/>
  <c r="Q1618" i="17" s="1"/>
  <c r="R1618" i="17" s="1"/>
  <c r="O1619" i="17"/>
  <c r="P1619" i="17" s="1"/>
  <c r="O1620" i="17"/>
  <c r="P1620" i="17" s="1"/>
  <c r="O1621" i="17"/>
  <c r="P1621" i="17" s="1"/>
  <c r="O1622" i="17"/>
  <c r="P1622" i="17" s="1"/>
  <c r="O1623" i="17"/>
  <c r="P1623" i="17" s="1"/>
  <c r="O1624" i="17"/>
  <c r="P1624" i="17" s="1"/>
  <c r="O1625" i="17"/>
  <c r="P1625" i="17" s="1"/>
  <c r="O1626" i="17"/>
  <c r="P1626" i="17" s="1"/>
  <c r="O1627" i="17"/>
  <c r="P1627" i="17" s="1"/>
  <c r="O1628" i="17"/>
  <c r="P1628" i="17" s="1"/>
  <c r="O1629" i="17"/>
  <c r="P1629" i="17" s="1"/>
  <c r="O1630" i="17"/>
  <c r="P1630" i="17" s="1"/>
  <c r="O1631" i="17"/>
  <c r="P1631" i="17" s="1"/>
  <c r="O1632" i="17"/>
  <c r="P1632" i="17" s="1"/>
  <c r="O1633" i="17"/>
  <c r="P1633" i="17" s="1"/>
  <c r="O1634" i="17"/>
  <c r="P1634" i="17" s="1"/>
  <c r="O1635" i="17"/>
  <c r="P1635" i="17" s="1"/>
  <c r="O1636" i="17"/>
  <c r="P1636" i="17" s="1"/>
  <c r="O1637" i="17"/>
  <c r="P1637" i="17" s="1"/>
  <c r="O1638" i="17"/>
  <c r="P1638" i="17" s="1"/>
  <c r="O1639" i="17"/>
  <c r="P1639" i="17" s="1"/>
  <c r="Q1639" i="17" s="1"/>
  <c r="R1639" i="17" s="1"/>
  <c r="O1640" i="17"/>
  <c r="P1640" i="17" s="1"/>
  <c r="O1641" i="17"/>
  <c r="P1641" i="17" s="1"/>
  <c r="O1642" i="17"/>
  <c r="P1642" i="17" s="1"/>
  <c r="Q1642" i="17" s="1"/>
  <c r="R1642" i="17" s="1"/>
  <c r="O1643" i="17"/>
  <c r="P1643" i="17" s="1"/>
  <c r="O1644" i="17"/>
  <c r="P1644" i="17" s="1"/>
  <c r="O1645" i="17"/>
  <c r="P1645" i="17" s="1"/>
  <c r="O1646" i="17"/>
  <c r="P1646" i="17" s="1"/>
  <c r="O1647" i="17"/>
  <c r="P1647" i="17" s="1"/>
  <c r="O1648" i="17"/>
  <c r="P1648" i="17" s="1"/>
  <c r="O1649" i="17"/>
  <c r="P1649" i="17" s="1"/>
  <c r="O1650" i="17"/>
  <c r="P1650" i="17" s="1"/>
  <c r="O1651" i="17"/>
  <c r="P1651" i="17" s="1"/>
  <c r="O1652" i="17"/>
  <c r="P1652" i="17" s="1"/>
  <c r="O1653" i="17"/>
  <c r="P1653" i="17" s="1"/>
  <c r="O1654" i="17"/>
  <c r="P1654" i="17" s="1"/>
  <c r="O1655" i="17"/>
  <c r="P1655" i="17" s="1"/>
  <c r="O1656" i="17"/>
  <c r="P1656" i="17" s="1"/>
  <c r="O1657" i="17"/>
  <c r="P1657" i="17" s="1"/>
  <c r="O1658" i="17"/>
  <c r="P1658" i="17" s="1"/>
  <c r="Q1658" i="17" s="1"/>
  <c r="R1658" i="17" s="1"/>
  <c r="O1659" i="17"/>
  <c r="P1659" i="17" s="1"/>
  <c r="O1660" i="17"/>
  <c r="P1660" i="17" s="1"/>
  <c r="Q1660" i="17" s="1"/>
  <c r="R1660" i="17" s="1"/>
  <c r="O1661" i="17"/>
  <c r="P1661" i="17" s="1"/>
  <c r="O1662" i="17"/>
  <c r="P1662" i="17" s="1"/>
  <c r="O1663" i="17"/>
  <c r="P1663" i="17" s="1"/>
  <c r="O1664" i="17"/>
  <c r="P1664" i="17" s="1"/>
  <c r="O1665" i="17"/>
  <c r="P1665" i="17" s="1"/>
  <c r="O1666" i="17"/>
  <c r="P1666" i="17" s="1"/>
  <c r="O1667" i="17"/>
  <c r="P1667" i="17" s="1"/>
  <c r="O1668" i="17"/>
  <c r="P1668" i="17" s="1"/>
  <c r="O1669" i="17"/>
  <c r="P1669" i="17" s="1"/>
  <c r="O1670" i="17"/>
  <c r="P1670" i="17" s="1"/>
  <c r="O1671" i="17"/>
  <c r="P1671" i="17" s="1"/>
  <c r="O1672" i="17"/>
  <c r="P1672" i="17" s="1"/>
  <c r="O1673" i="17"/>
  <c r="P1673" i="17" s="1"/>
  <c r="O1674" i="17"/>
  <c r="P1674" i="17" s="1"/>
  <c r="O1675" i="17"/>
  <c r="P1675" i="17" s="1"/>
  <c r="O1676" i="17"/>
  <c r="P1676" i="17" s="1"/>
  <c r="O1677" i="17"/>
  <c r="P1677" i="17" s="1"/>
  <c r="O1678" i="17"/>
  <c r="P1678" i="17" s="1"/>
  <c r="O1679" i="17"/>
  <c r="P1679" i="17" s="1"/>
  <c r="O1680" i="17"/>
  <c r="P1680" i="17" s="1"/>
  <c r="Q1680" i="17" s="1"/>
  <c r="R1680" i="17" s="1"/>
  <c r="O1681" i="17"/>
  <c r="P1681" i="17" s="1"/>
  <c r="Q1681" i="17" s="1"/>
  <c r="R1681" i="17" s="1"/>
  <c r="O1682" i="17"/>
  <c r="P1682" i="17" s="1"/>
  <c r="O1683" i="17"/>
  <c r="P1683" i="17" s="1"/>
  <c r="O1684" i="17"/>
  <c r="P1684" i="17" s="1"/>
  <c r="O1685" i="17"/>
  <c r="P1685" i="17" s="1"/>
  <c r="O1686" i="17"/>
  <c r="P1686" i="17" s="1"/>
  <c r="O1687" i="17"/>
  <c r="P1687" i="17" s="1"/>
  <c r="O1688" i="17"/>
  <c r="P1688" i="17" s="1"/>
  <c r="O1689" i="17"/>
  <c r="P1689" i="17" s="1"/>
  <c r="O1690" i="17"/>
  <c r="P1690" i="17" s="1"/>
  <c r="O1691" i="17"/>
  <c r="P1691" i="17" s="1"/>
  <c r="O1692" i="17"/>
  <c r="P1692" i="17" s="1"/>
  <c r="O1693" i="17"/>
  <c r="P1693" i="17" s="1"/>
  <c r="O1694" i="17"/>
  <c r="P1694" i="17" s="1"/>
  <c r="O1695" i="17"/>
  <c r="P1695" i="17" s="1"/>
  <c r="O1696" i="17"/>
  <c r="P1696" i="17" s="1"/>
  <c r="O1697" i="17"/>
  <c r="P1697" i="17" s="1"/>
  <c r="O1698" i="17"/>
  <c r="P1698" i="17" s="1"/>
  <c r="O1699" i="17"/>
  <c r="P1699" i="17" s="1"/>
  <c r="O1700" i="17"/>
  <c r="P1700" i="17" s="1"/>
  <c r="O1701" i="17"/>
  <c r="P1701" i="17" s="1"/>
  <c r="O1702" i="17"/>
  <c r="P1702" i="17" s="1"/>
  <c r="Q1702" i="17" s="1"/>
  <c r="R1702" i="17" s="1"/>
  <c r="O1703" i="17"/>
  <c r="P1703" i="17" s="1"/>
  <c r="Q1703" i="17" s="1"/>
  <c r="R1703" i="17" s="1"/>
  <c r="O1704" i="17"/>
  <c r="P1704" i="17" s="1"/>
  <c r="O1705" i="17"/>
  <c r="P1705" i="17" s="1"/>
  <c r="O1706" i="17"/>
  <c r="P1706" i="17" s="1"/>
  <c r="O1707" i="17"/>
  <c r="P1707" i="17" s="1"/>
  <c r="O1708" i="17"/>
  <c r="P1708" i="17" s="1"/>
  <c r="O1709" i="17"/>
  <c r="P1709" i="17" s="1"/>
  <c r="O1710" i="17"/>
  <c r="P1710" i="17" s="1"/>
  <c r="O1711" i="17"/>
  <c r="P1711" i="17" s="1"/>
  <c r="O1712" i="17"/>
  <c r="P1712" i="17" s="1"/>
  <c r="O1713" i="17"/>
  <c r="P1713" i="17" s="1"/>
  <c r="O1714" i="17"/>
  <c r="P1714" i="17" s="1"/>
  <c r="O1715" i="17"/>
  <c r="P1715" i="17" s="1"/>
  <c r="O1716" i="17"/>
  <c r="P1716" i="17" s="1"/>
  <c r="O1717" i="17"/>
  <c r="P1717" i="17" s="1"/>
  <c r="O1718" i="17"/>
  <c r="P1718" i="17" s="1"/>
  <c r="O1719" i="17"/>
  <c r="P1719" i="17" s="1"/>
  <c r="O1720" i="17"/>
  <c r="P1720" i="17" s="1"/>
  <c r="Q1720" i="17" s="1"/>
  <c r="R1720" i="17" s="1"/>
  <c r="O1721" i="17"/>
  <c r="P1721" i="17" s="1"/>
  <c r="O1722" i="17"/>
  <c r="P1722" i="17" s="1"/>
  <c r="O1723" i="17"/>
  <c r="P1723" i="17" s="1"/>
  <c r="Q1723" i="17" s="1"/>
  <c r="R1723" i="17" s="1"/>
  <c r="O1724" i="17"/>
  <c r="P1724" i="17" s="1"/>
  <c r="O1725" i="17"/>
  <c r="P1725" i="17" s="1"/>
  <c r="O1726" i="17"/>
  <c r="P1726" i="17" s="1"/>
  <c r="O1727" i="17"/>
  <c r="P1727" i="17" s="1"/>
  <c r="O1728" i="17"/>
  <c r="P1728" i="17" s="1"/>
  <c r="O1729" i="17"/>
  <c r="P1729" i="17" s="1"/>
  <c r="O1730" i="17"/>
  <c r="P1730" i="17" s="1"/>
  <c r="O1731" i="17"/>
  <c r="P1731" i="17" s="1"/>
  <c r="O1732" i="17"/>
  <c r="P1732" i="17" s="1"/>
  <c r="O1733" i="17"/>
  <c r="P1733" i="17" s="1"/>
  <c r="O1734" i="17"/>
  <c r="P1734" i="17" s="1"/>
  <c r="O1735" i="17"/>
  <c r="P1735" i="17" s="1"/>
  <c r="O1736" i="17"/>
  <c r="P1736" i="17" s="1"/>
  <c r="O1737" i="17"/>
  <c r="P1737" i="17" s="1"/>
  <c r="O1738" i="17"/>
  <c r="P1738" i="17" s="1"/>
  <c r="O1739" i="17"/>
  <c r="P1739" i="17" s="1"/>
  <c r="O1740" i="17"/>
  <c r="P1740" i="17" s="1"/>
  <c r="O1741" i="17"/>
  <c r="P1741" i="17" s="1"/>
  <c r="Q1741" i="17" s="1"/>
  <c r="R1741" i="17" s="1"/>
  <c r="O1742" i="17"/>
  <c r="P1742" i="17" s="1"/>
  <c r="Q1742" i="17" s="1"/>
  <c r="R1742" i="17" s="1"/>
  <c r="O1743" i="17"/>
  <c r="P1743" i="17" s="1"/>
  <c r="O1744" i="17"/>
  <c r="P1744" i="17" s="1"/>
  <c r="O1745" i="17"/>
  <c r="P1745" i="17" s="1"/>
  <c r="O1746" i="17"/>
  <c r="P1746" i="17" s="1"/>
  <c r="O1747" i="17"/>
  <c r="P1747" i="17" s="1"/>
  <c r="O1748" i="17"/>
  <c r="P1748" i="17" s="1"/>
  <c r="O1749" i="17"/>
  <c r="P1749" i="17" s="1"/>
  <c r="O1750" i="17"/>
  <c r="P1750" i="17" s="1"/>
  <c r="O1751" i="17"/>
  <c r="P1751" i="17" s="1"/>
  <c r="O1752" i="17"/>
  <c r="P1752" i="17" s="1"/>
  <c r="O1753" i="17"/>
  <c r="P1753" i="17" s="1"/>
  <c r="O1754" i="17"/>
  <c r="P1754" i="17" s="1"/>
  <c r="O1755" i="17"/>
  <c r="P1755" i="17" s="1"/>
  <c r="O1756" i="17"/>
  <c r="P1756" i="17" s="1"/>
  <c r="O1757" i="17"/>
  <c r="P1757" i="17" s="1"/>
  <c r="O1758" i="17"/>
  <c r="P1758" i="17" s="1"/>
  <c r="O1759" i="17"/>
  <c r="P1759" i="17" s="1"/>
  <c r="O1760" i="17"/>
  <c r="P1760" i="17" s="1"/>
  <c r="O1761" i="17"/>
  <c r="P1761" i="17" s="1"/>
  <c r="O1762" i="17"/>
  <c r="P1762" i="17" s="1"/>
  <c r="O1763" i="17"/>
  <c r="P1763" i="17" s="1"/>
  <c r="Q1763" i="17" s="1"/>
  <c r="R1763" i="17" s="1"/>
  <c r="O1764" i="17"/>
  <c r="P1764" i="17" s="1"/>
  <c r="Q1764" i="17" s="1"/>
  <c r="R1764" i="17" s="1"/>
  <c r="O1765" i="17"/>
  <c r="P1765" i="17" s="1"/>
  <c r="O1766" i="17"/>
  <c r="P1766" i="17" s="1"/>
  <c r="O1767" i="17"/>
  <c r="P1767" i="17" s="1"/>
  <c r="O1768" i="17"/>
  <c r="P1768" i="17" s="1"/>
  <c r="O1769" i="17"/>
  <c r="P1769" i="17" s="1"/>
  <c r="O1770" i="17"/>
  <c r="P1770" i="17" s="1"/>
  <c r="O1771" i="17"/>
  <c r="P1771" i="17" s="1"/>
  <c r="O1772" i="17"/>
  <c r="P1772" i="17" s="1"/>
  <c r="O1773" i="17"/>
  <c r="P1773" i="17" s="1"/>
  <c r="O1774" i="17"/>
  <c r="P1774" i="17" s="1"/>
  <c r="O1775" i="17"/>
  <c r="P1775" i="17" s="1"/>
  <c r="O1776" i="17"/>
  <c r="P1776" i="17" s="1"/>
  <c r="O1777" i="17"/>
  <c r="P1777" i="17" s="1"/>
  <c r="O1778" i="17"/>
  <c r="P1778" i="17" s="1"/>
  <c r="O1779" i="17"/>
  <c r="P1779" i="17" s="1"/>
  <c r="O1780" i="17"/>
  <c r="P1780" i="17" s="1"/>
  <c r="Q1780" i="17" s="1"/>
  <c r="R1780" i="17" s="1"/>
  <c r="O1781" i="17"/>
  <c r="P1781" i="17" s="1"/>
  <c r="Q1781" i="17" s="1"/>
  <c r="R1781" i="17" s="1"/>
  <c r="O1782" i="17"/>
  <c r="P1782" i="17" s="1"/>
  <c r="O1783" i="17"/>
  <c r="P1783" i="17" s="1"/>
  <c r="O1784" i="17"/>
  <c r="P1784" i="17" s="1"/>
  <c r="O1785" i="17"/>
  <c r="P1785" i="17" s="1"/>
  <c r="O1786" i="17"/>
  <c r="P1786" i="17" s="1"/>
  <c r="O1787" i="17"/>
  <c r="P1787" i="17" s="1"/>
  <c r="O1788" i="17"/>
  <c r="P1788" i="17" s="1"/>
  <c r="O1789" i="17"/>
  <c r="P1789" i="17" s="1"/>
  <c r="O1790" i="17"/>
  <c r="P1790" i="17" s="1"/>
  <c r="O1791" i="17"/>
  <c r="P1791" i="17" s="1"/>
  <c r="O1792" i="17"/>
  <c r="P1792" i="17" s="1"/>
  <c r="Q1792" i="17" s="1"/>
  <c r="R1792" i="17" s="1"/>
  <c r="O1793" i="17"/>
  <c r="P1793" i="17" s="1"/>
  <c r="Q1793" i="17" s="1"/>
  <c r="R1793" i="17" s="1"/>
  <c r="O1794" i="17"/>
  <c r="P1794" i="17" s="1"/>
  <c r="O1795" i="17"/>
  <c r="P1795" i="17" s="1"/>
  <c r="O1796" i="17"/>
  <c r="P1796" i="17" s="1"/>
  <c r="O1797" i="17"/>
  <c r="P1797" i="17" s="1"/>
  <c r="O1798" i="17"/>
  <c r="P1798" i="17" s="1"/>
  <c r="O1799" i="17"/>
  <c r="P1799" i="17" s="1"/>
  <c r="O1800" i="17"/>
  <c r="P1800" i="17" s="1"/>
  <c r="O1801" i="17"/>
  <c r="P1801" i="17" s="1"/>
  <c r="O1802" i="17"/>
  <c r="P1802" i="17" s="1"/>
  <c r="O1803" i="17"/>
  <c r="P1803" i="17" s="1"/>
  <c r="O1804" i="17"/>
  <c r="P1804" i="17" s="1"/>
  <c r="Q1804" i="17" s="1"/>
  <c r="R1804" i="17" s="1"/>
  <c r="O1805" i="17"/>
  <c r="P1805" i="17" s="1"/>
  <c r="Q1805" i="17" s="1"/>
  <c r="R1805" i="17" s="1"/>
  <c r="O1806" i="17"/>
  <c r="P1806" i="17" s="1"/>
  <c r="O1807" i="17"/>
  <c r="P1807" i="17" s="1"/>
  <c r="O1808" i="17"/>
  <c r="P1808" i="17" s="1"/>
  <c r="O1809" i="17"/>
  <c r="P1809" i="17" s="1"/>
  <c r="O1810" i="17"/>
  <c r="P1810" i="17" s="1"/>
  <c r="O1811" i="17"/>
  <c r="P1811" i="17" s="1"/>
  <c r="O1812" i="17"/>
  <c r="P1812" i="17" s="1"/>
  <c r="O1813" i="17"/>
  <c r="P1813" i="17" s="1"/>
  <c r="O1814" i="17"/>
  <c r="P1814" i="17" s="1"/>
  <c r="O1815" i="17"/>
  <c r="P1815" i="17" s="1"/>
  <c r="O1816" i="17"/>
  <c r="P1816" i="17" s="1"/>
  <c r="Q1816" i="17" s="1"/>
  <c r="R1816" i="17" s="1"/>
  <c r="O1817" i="17"/>
  <c r="P1817" i="17" s="1"/>
  <c r="Q1817" i="17" s="1"/>
  <c r="R1817" i="17" s="1"/>
  <c r="O1818" i="17"/>
  <c r="P1818" i="17" s="1"/>
  <c r="O1819" i="17"/>
  <c r="P1819" i="17" s="1"/>
  <c r="O1820" i="17"/>
  <c r="P1820" i="17" s="1"/>
  <c r="O1821" i="17"/>
  <c r="P1821" i="17" s="1"/>
  <c r="O1822" i="17"/>
  <c r="P1822" i="17" s="1"/>
  <c r="O1823" i="17"/>
  <c r="P1823" i="17" s="1"/>
  <c r="O1824" i="17"/>
  <c r="P1824" i="17" s="1"/>
  <c r="O1825" i="17"/>
  <c r="P1825" i="17" s="1"/>
  <c r="O1826" i="17"/>
  <c r="P1826" i="17" s="1"/>
  <c r="O1827" i="17"/>
  <c r="P1827" i="17" s="1"/>
  <c r="O1828" i="17"/>
  <c r="P1828" i="17" s="1"/>
  <c r="Q1828" i="17" s="1"/>
  <c r="R1828" i="17" s="1"/>
  <c r="O1829" i="17"/>
  <c r="P1829" i="17" s="1"/>
  <c r="Q1829" i="17" s="1"/>
  <c r="R1829" i="17" s="1"/>
  <c r="O1830" i="17"/>
  <c r="P1830" i="17" s="1"/>
  <c r="O1831" i="17"/>
  <c r="P1831" i="17" s="1"/>
  <c r="O1832" i="17"/>
  <c r="P1832" i="17" s="1"/>
  <c r="O1833" i="17"/>
  <c r="P1833" i="17" s="1"/>
  <c r="O1834" i="17"/>
  <c r="P1834" i="17" s="1"/>
  <c r="O1835" i="17"/>
  <c r="P1835" i="17" s="1"/>
  <c r="O1836" i="17"/>
  <c r="P1836" i="17" s="1"/>
  <c r="O1837" i="17"/>
  <c r="P1837" i="17" s="1"/>
  <c r="O1838" i="17"/>
  <c r="P1838" i="17" s="1"/>
  <c r="O1839" i="17"/>
  <c r="P1839" i="17" s="1"/>
  <c r="O1840" i="17"/>
  <c r="P1840" i="17" s="1"/>
  <c r="Q1840" i="17" s="1"/>
  <c r="R1840" i="17" s="1"/>
  <c r="O1841" i="17"/>
  <c r="P1841" i="17" s="1"/>
  <c r="Q1841" i="17" s="1"/>
  <c r="R1841" i="17" s="1"/>
  <c r="O1842" i="17"/>
  <c r="P1842" i="17" s="1"/>
  <c r="O1843" i="17"/>
  <c r="P1843" i="17" s="1"/>
  <c r="O1844" i="17"/>
  <c r="P1844" i="17" s="1"/>
  <c r="O1845" i="17"/>
  <c r="P1845" i="17" s="1"/>
  <c r="O1846" i="17"/>
  <c r="P1846" i="17" s="1"/>
  <c r="O1847" i="17"/>
  <c r="P1847" i="17" s="1"/>
  <c r="O1848" i="17"/>
  <c r="P1848" i="17" s="1"/>
  <c r="O1849" i="17"/>
  <c r="P1849" i="17" s="1"/>
  <c r="O1850" i="17"/>
  <c r="P1850" i="17" s="1"/>
  <c r="O1851" i="17"/>
  <c r="P1851" i="17" s="1"/>
  <c r="O1852" i="17"/>
  <c r="P1852" i="17" s="1"/>
  <c r="Q1852" i="17" s="1"/>
  <c r="R1852" i="17" s="1"/>
  <c r="O1853" i="17"/>
  <c r="P1853" i="17" s="1"/>
  <c r="Q1853" i="17" s="1"/>
  <c r="R1853" i="17" s="1"/>
  <c r="O1854" i="17"/>
  <c r="P1854" i="17" s="1"/>
  <c r="O1855" i="17"/>
  <c r="P1855" i="17" s="1"/>
  <c r="O1856" i="17"/>
  <c r="P1856" i="17" s="1"/>
  <c r="O1857" i="17"/>
  <c r="P1857" i="17" s="1"/>
  <c r="O1858" i="17"/>
  <c r="P1858" i="17" s="1"/>
  <c r="O1859" i="17"/>
  <c r="P1859" i="17" s="1"/>
  <c r="O1860" i="17"/>
  <c r="P1860" i="17" s="1"/>
  <c r="O1861" i="17"/>
  <c r="P1861" i="17" s="1"/>
  <c r="O1862" i="17"/>
  <c r="P1862" i="17" s="1"/>
  <c r="O1863" i="17"/>
  <c r="P1863" i="17" s="1"/>
  <c r="O1864" i="17"/>
  <c r="P1864" i="17" s="1"/>
  <c r="Q1864" i="17" s="1"/>
  <c r="R1864" i="17" s="1"/>
  <c r="O1865" i="17"/>
  <c r="P1865" i="17" s="1"/>
  <c r="Q1865" i="17" s="1"/>
  <c r="R1865" i="17" s="1"/>
  <c r="O1866" i="17"/>
  <c r="P1866" i="17" s="1"/>
  <c r="O1867" i="17"/>
  <c r="P1867" i="17" s="1"/>
  <c r="O1868" i="17"/>
  <c r="P1868" i="17" s="1"/>
  <c r="O1869" i="17"/>
  <c r="P1869" i="17" s="1"/>
  <c r="O1870" i="17"/>
  <c r="P1870" i="17" s="1"/>
  <c r="O1871" i="17"/>
  <c r="P1871" i="17" s="1"/>
  <c r="O1872" i="17"/>
  <c r="P1872" i="17" s="1"/>
  <c r="O1873" i="17"/>
  <c r="P1873" i="17" s="1"/>
  <c r="O1874" i="17"/>
  <c r="P1874" i="17" s="1"/>
  <c r="O1875" i="17"/>
  <c r="P1875" i="17" s="1"/>
  <c r="O1876" i="17"/>
  <c r="P1876" i="17" s="1"/>
  <c r="Q1876" i="17" s="1"/>
  <c r="R1876" i="17" s="1"/>
  <c r="O1877" i="17"/>
  <c r="P1877" i="17" s="1"/>
  <c r="Q1877" i="17" s="1"/>
  <c r="R1877" i="17" s="1"/>
  <c r="O1878" i="17"/>
  <c r="P1878" i="17" s="1"/>
  <c r="O1879" i="17"/>
  <c r="P1879" i="17" s="1"/>
  <c r="O1880" i="17"/>
  <c r="P1880" i="17" s="1"/>
  <c r="O1881" i="17"/>
  <c r="P1881" i="17" s="1"/>
  <c r="O1882" i="17"/>
  <c r="P1882" i="17" s="1"/>
  <c r="O1883" i="17"/>
  <c r="P1883" i="17" s="1"/>
  <c r="O1884" i="17"/>
  <c r="P1884" i="17" s="1"/>
  <c r="O1885" i="17"/>
  <c r="P1885" i="17" s="1"/>
  <c r="O1886" i="17"/>
  <c r="P1886" i="17" s="1"/>
  <c r="O1887" i="17"/>
  <c r="P1887" i="17" s="1"/>
  <c r="O1888" i="17"/>
  <c r="P1888" i="17" s="1"/>
  <c r="Q1888" i="17" s="1"/>
  <c r="R1888" i="17" s="1"/>
  <c r="O1889" i="17"/>
  <c r="P1889" i="17" s="1"/>
  <c r="Q1889" i="17" s="1"/>
  <c r="R1889" i="17" s="1"/>
  <c r="O1890" i="17"/>
  <c r="P1890" i="17" s="1"/>
  <c r="O1891" i="17"/>
  <c r="P1891" i="17" s="1"/>
  <c r="O1892" i="17"/>
  <c r="P1892" i="17" s="1"/>
  <c r="O1893" i="17"/>
  <c r="P1893" i="17" s="1"/>
  <c r="O1894" i="17"/>
  <c r="P1894" i="17" s="1"/>
  <c r="O1895" i="17"/>
  <c r="P1895" i="17" s="1"/>
  <c r="O1896" i="17"/>
  <c r="P1896" i="17" s="1"/>
  <c r="O1897" i="17"/>
  <c r="P1897" i="17" s="1"/>
  <c r="O1898" i="17"/>
  <c r="P1898" i="17" s="1"/>
  <c r="O1899" i="17"/>
  <c r="P1899" i="17" s="1"/>
  <c r="O1900" i="17"/>
  <c r="P1900" i="17" s="1"/>
  <c r="Q1900" i="17" s="1"/>
  <c r="R1900" i="17" s="1"/>
  <c r="O1901" i="17"/>
  <c r="P1901" i="17" s="1"/>
  <c r="Q1901" i="17" s="1"/>
  <c r="R1901" i="17" s="1"/>
  <c r="O1902" i="17"/>
  <c r="P1902" i="17" s="1"/>
  <c r="O1903" i="17"/>
  <c r="P1903" i="17" s="1"/>
  <c r="O1904" i="17"/>
  <c r="P1904" i="17" s="1"/>
  <c r="O1905" i="17"/>
  <c r="P1905" i="17" s="1"/>
  <c r="O1906" i="17"/>
  <c r="P1906" i="17" s="1"/>
  <c r="O1907" i="17"/>
  <c r="P1907" i="17" s="1"/>
  <c r="O1908" i="17"/>
  <c r="P1908" i="17" s="1"/>
  <c r="O1909" i="17"/>
  <c r="P1909" i="17" s="1"/>
  <c r="O1910" i="17"/>
  <c r="P1910" i="17" s="1"/>
  <c r="O1911" i="17"/>
  <c r="P1911" i="17" s="1"/>
  <c r="O1912" i="17"/>
  <c r="P1912" i="17" s="1"/>
  <c r="Q1912" i="17" s="1"/>
  <c r="R1912" i="17" s="1"/>
  <c r="O1913" i="17"/>
  <c r="P1913" i="17" s="1"/>
  <c r="Q1913" i="17" s="1"/>
  <c r="R1913" i="17" s="1"/>
  <c r="O1914" i="17"/>
  <c r="P1914" i="17" s="1"/>
  <c r="O1915" i="17"/>
  <c r="P1915" i="17" s="1"/>
  <c r="O1916" i="17"/>
  <c r="P1916" i="17" s="1"/>
  <c r="O1917" i="17"/>
  <c r="P1917" i="17" s="1"/>
  <c r="O1918" i="17"/>
  <c r="P1918" i="17" s="1"/>
  <c r="O1919" i="17"/>
  <c r="P1919" i="17" s="1"/>
  <c r="O1920" i="17"/>
  <c r="P1920" i="17" s="1"/>
  <c r="O1921" i="17"/>
  <c r="P1921" i="17" s="1"/>
  <c r="O1922" i="17"/>
  <c r="P1922" i="17" s="1"/>
  <c r="O1923" i="17"/>
  <c r="P1923" i="17" s="1"/>
  <c r="O1924" i="17"/>
  <c r="P1924" i="17" s="1"/>
  <c r="Q1924" i="17" s="1"/>
  <c r="R1924" i="17" s="1"/>
  <c r="O1925" i="17"/>
  <c r="P1925" i="17" s="1"/>
  <c r="Q1925" i="17" s="1"/>
  <c r="R1925" i="17" s="1"/>
  <c r="O1926" i="17"/>
  <c r="P1926" i="17" s="1"/>
  <c r="O1927" i="17"/>
  <c r="P1927" i="17" s="1"/>
  <c r="O1928" i="17"/>
  <c r="P1928" i="17" s="1"/>
  <c r="O1929" i="17"/>
  <c r="P1929" i="17" s="1"/>
  <c r="O1930" i="17"/>
  <c r="P1930" i="17" s="1"/>
  <c r="O1931" i="17"/>
  <c r="P1931" i="17" s="1"/>
  <c r="O1932" i="17"/>
  <c r="P1932" i="17" s="1"/>
  <c r="O1933" i="17"/>
  <c r="P1933" i="17" s="1"/>
  <c r="O1934" i="17"/>
  <c r="P1934" i="17" s="1"/>
  <c r="O1935" i="17"/>
  <c r="P1935" i="17" s="1"/>
  <c r="O1936" i="17"/>
  <c r="P1936" i="17" s="1"/>
  <c r="Q1936" i="17" s="1"/>
  <c r="R1936" i="17" s="1"/>
  <c r="O1937" i="17"/>
  <c r="P1937" i="17" s="1"/>
  <c r="Q1937" i="17" s="1"/>
  <c r="R1937" i="17" s="1"/>
  <c r="O1938" i="17"/>
  <c r="P1938" i="17" s="1"/>
  <c r="O1939" i="17"/>
  <c r="P1939" i="17" s="1"/>
  <c r="O1940" i="17"/>
  <c r="P1940" i="17" s="1"/>
  <c r="O1941" i="17"/>
  <c r="P1941" i="17" s="1"/>
  <c r="O1942" i="17"/>
  <c r="P1942" i="17" s="1"/>
  <c r="O1943" i="17"/>
  <c r="P1943" i="17" s="1"/>
  <c r="O1944" i="17"/>
  <c r="P1944" i="17" s="1"/>
  <c r="O1945" i="17"/>
  <c r="P1945" i="17" s="1"/>
  <c r="O1946" i="17"/>
  <c r="P1946" i="17" s="1"/>
  <c r="O1947" i="17"/>
  <c r="P1947" i="17" s="1"/>
  <c r="O1948" i="17"/>
  <c r="P1948" i="17" s="1"/>
  <c r="Q1948" i="17" s="1"/>
  <c r="R1948" i="17" s="1"/>
  <c r="O1949" i="17"/>
  <c r="P1949" i="17" s="1"/>
  <c r="O1950" i="17"/>
  <c r="P1950" i="17" s="1"/>
  <c r="O1951" i="17"/>
  <c r="P1951" i="17" s="1"/>
  <c r="O1952" i="17"/>
  <c r="P1952" i="17" s="1"/>
  <c r="O1953" i="17"/>
  <c r="P1953" i="17" s="1"/>
  <c r="O1954" i="17"/>
  <c r="P1954" i="17" s="1"/>
  <c r="O1955" i="17"/>
  <c r="P1955" i="17" s="1"/>
  <c r="O1956" i="17"/>
  <c r="P1956" i="17" s="1"/>
  <c r="O1957" i="17"/>
  <c r="P1957" i="17" s="1"/>
  <c r="O1958" i="17"/>
  <c r="P1958" i="17" s="1"/>
  <c r="O1959" i="17"/>
  <c r="P1959" i="17" s="1"/>
  <c r="O1960" i="17"/>
  <c r="P1960" i="17" s="1"/>
  <c r="Q1960" i="17" s="1"/>
  <c r="R1960" i="17" s="1"/>
  <c r="O1961" i="17"/>
  <c r="P1961" i="17" s="1"/>
  <c r="Q1961" i="17" s="1"/>
  <c r="R1961" i="17" s="1"/>
  <c r="O1962" i="17"/>
  <c r="P1962" i="17" s="1"/>
  <c r="O1963" i="17"/>
  <c r="P1963" i="17" s="1"/>
  <c r="O1964" i="17"/>
  <c r="P1964" i="17" s="1"/>
  <c r="O1965" i="17"/>
  <c r="P1965" i="17" s="1"/>
  <c r="O1966" i="17"/>
  <c r="P1966" i="17" s="1"/>
  <c r="O1967" i="17"/>
  <c r="P1967" i="17" s="1"/>
  <c r="O1968" i="17"/>
  <c r="P1968" i="17" s="1"/>
  <c r="O1969" i="17"/>
  <c r="P1969" i="17" s="1"/>
  <c r="O1970" i="17"/>
  <c r="P1970" i="17" s="1"/>
  <c r="O1971" i="17"/>
  <c r="P1971" i="17" s="1"/>
  <c r="O1972" i="17"/>
  <c r="P1972" i="17" s="1"/>
  <c r="Q1972" i="17" s="1"/>
  <c r="R1972" i="17" s="1"/>
  <c r="O1973" i="17"/>
  <c r="P1973" i="17" s="1"/>
  <c r="Q1973" i="17" s="1"/>
  <c r="R1973" i="17" s="1"/>
  <c r="O1974" i="17"/>
  <c r="P1974" i="17" s="1"/>
  <c r="O1975" i="17"/>
  <c r="P1975" i="17" s="1"/>
  <c r="O1976" i="17"/>
  <c r="P1976" i="17" s="1"/>
  <c r="O1977" i="17"/>
  <c r="P1977" i="17" s="1"/>
  <c r="O1978" i="17"/>
  <c r="P1978" i="17" s="1"/>
  <c r="O1979" i="17"/>
  <c r="P1979" i="17" s="1"/>
  <c r="O1980" i="17"/>
  <c r="P1980" i="17" s="1"/>
  <c r="O1981" i="17"/>
  <c r="P1981" i="17" s="1"/>
  <c r="O1982" i="17"/>
  <c r="P1982" i="17" s="1"/>
  <c r="O1983" i="17"/>
  <c r="P1983" i="17" s="1"/>
  <c r="O1984" i="17"/>
  <c r="P1984" i="17" s="1"/>
  <c r="Q1984" i="17" s="1"/>
  <c r="R1984" i="17" s="1"/>
  <c r="O1985" i="17"/>
  <c r="P1985" i="17" s="1"/>
  <c r="Q1985" i="17" s="1"/>
  <c r="R1985" i="17" s="1"/>
  <c r="O1986" i="17"/>
  <c r="P1986" i="17" s="1"/>
  <c r="O1987" i="17"/>
  <c r="P1987" i="17" s="1"/>
  <c r="O1988" i="17"/>
  <c r="P1988" i="17" s="1"/>
  <c r="O1989" i="17"/>
  <c r="P1989" i="17" s="1"/>
  <c r="O1990" i="17"/>
  <c r="P1990" i="17" s="1"/>
  <c r="O1991" i="17"/>
  <c r="P1991" i="17" s="1"/>
  <c r="O1992" i="17"/>
  <c r="P1992" i="17" s="1"/>
  <c r="O1993" i="17"/>
  <c r="P1993" i="17" s="1"/>
  <c r="O1994" i="17"/>
  <c r="P1994" i="17" s="1"/>
  <c r="O1995" i="17"/>
  <c r="P1995" i="17" s="1"/>
  <c r="O1996" i="17"/>
  <c r="P1996" i="17" s="1"/>
  <c r="Q1996" i="17" s="1"/>
  <c r="R1996" i="17" s="1"/>
  <c r="O1997" i="17"/>
  <c r="P1997" i="17" s="1"/>
  <c r="Q1997" i="17" s="1"/>
  <c r="R1997" i="17" s="1"/>
  <c r="O1998" i="17"/>
  <c r="P1998" i="17" s="1"/>
  <c r="O1999" i="17"/>
  <c r="P1999" i="17" s="1"/>
  <c r="O2000" i="17"/>
  <c r="P2000" i="17" s="1"/>
  <c r="O2001" i="17"/>
  <c r="P2001" i="17" s="1"/>
  <c r="N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1002" i="17"/>
  <c r="N1003" i="17"/>
  <c r="N1004" i="17"/>
  <c r="N1005" i="17"/>
  <c r="N1006" i="17"/>
  <c r="N1007" i="17"/>
  <c r="N1008" i="17"/>
  <c r="N1009" i="17"/>
  <c r="N1010" i="17"/>
  <c r="N1011" i="17"/>
  <c r="N1012" i="17"/>
  <c r="N1013" i="17"/>
  <c r="N1014" i="17"/>
  <c r="N1015" i="17"/>
  <c r="N1016" i="17"/>
  <c r="N1017" i="17"/>
  <c r="N1018" i="17"/>
  <c r="N1019" i="17"/>
  <c r="N1020" i="17"/>
  <c r="N1021" i="17"/>
  <c r="N1022" i="17"/>
  <c r="N1023" i="17"/>
  <c r="N1024" i="17"/>
  <c r="N1025" i="17"/>
  <c r="N1026" i="17"/>
  <c r="N1027" i="17"/>
  <c r="N1028" i="17"/>
  <c r="N1029" i="17"/>
  <c r="N1030" i="17"/>
  <c r="N1031" i="17"/>
  <c r="N1032" i="17"/>
  <c r="N1033" i="17"/>
  <c r="N1034" i="17"/>
  <c r="N1035" i="17"/>
  <c r="N1036" i="17"/>
  <c r="N1037" i="17"/>
  <c r="N1038" i="17"/>
  <c r="N1039" i="17"/>
  <c r="N1040" i="17"/>
  <c r="N1041" i="17"/>
  <c r="N1042" i="17"/>
  <c r="N1043" i="17"/>
  <c r="N1044" i="17"/>
  <c r="N1045" i="17"/>
  <c r="N1046" i="17"/>
  <c r="N1047" i="17"/>
  <c r="N1048" i="17"/>
  <c r="N1049" i="17"/>
  <c r="N1050" i="17"/>
  <c r="N1051" i="17"/>
  <c r="N1052" i="17"/>
  <c r="N1053" i="17"/>
  <c r="N1054" i="17"/>
  <c r="N1055" i="17"/>
  <c r="N1056" i="17"/>
  <c r="N1057" i="17"/>
  <c r="N1058" i="17"/>
  <c r="N1059" i="17"/>
  <c r="N1060" i="17"/>
  <c r="N1061" i="17"/>
  <c r="N1062" i="17"/>
  <c r="N1063" i="17"/>
  <c r="N1064" i="17"/>
  <c r="N1065" i="17"/>
  <c r="N1066" i="17"/>
  <c r="N1067" i="17"/>
  <c r="N1068" i="17"/>
  <c r="N1069" i="17"/>
  <c r="N1070" i="17"/>
  <c r="N1071" i="17"/>
  <c r="N1072" i="17"/>
  <c r="N1073" i="17"/>
  <c r="N1074" i="17"/>
  <c r="N1075" i="17"/>
  <c r="N1076" i="17"/>
  <c r="N1077" i="17"/>
  <c r="N1078" i="17"/>
  <c r="N1079" i="17"/>
  <c r="N1080" i="17"/>
  <c r="N1081" i="17"/>
  <c r="N1082" i="17"/>
  <c r="N1083" i="17"/>
  <c r="N1084" i="17"/>
  <c r="N1085" i="17"/>
  <c r="N1086" i="17"/>
  <c r="N1087" i="17"/>
  <c r="N1088" i="17"/>
  <c r="N1089" i="17"/>
  <c r="N1090" i="17"/>
  <c r="N1091" i="17"/>
  <c r="N1092" i="17"/>
  <c r="N1093" i="17"/>
  <c r="N1094" i="17"/>
  <c r="N1095" i="17"/>
  <c r="N1096" i="17"/>
  <c r="N1097" i="17"/>
  <c r="N1098" i="17"/>
  <c r="N1099" i="17"/>
  <c r="N1100" i="17"/>
  <c r="N1101" i="17"/>
  <c r="N1102" i="17"/>
  <c r="N1103" i="17"/>
  <c r="N1104" i="17"/>
  <c r="N1105" i="17"/>
  <c r="N1106" i="17"/>
  <c r="N1107" i="17"/>
  <c r="N1108" i="17"/>
  <c r="N1109" i="17"/>
  <c r="N1110" i="17"/>
  <c r="N1111" i="17"/>
  <c r="N1112" i="17"/>
  <c r="N1113" i="17"/>
  <c r="N1114" i="17"/>
  <c r="N1115" i="17"/>
  <c r="N1116" i="17"/>
  <c r="N1117" i="17"/>
  <c r="N1118" i="17"/>
  <c r="N1119" i="17"/>
  <c r="N1120" i="17"/>
  <c r="N1121" i="17"/>
  <c r="N1122" i="17"/>
  <c r="N1123" i="17"/>
  <c r="N1124" i="17"/>
  <c r="N1125" i="17"/>
  <c r="N1126" i="17"/>
  <c r="N1127" i="17"/>
  <c r="N1128" i="17"/>
  <c r="N1129" i="17"/>
  <c r="N1130" i="17"/>
  <c r="N1131" i="17"/>
  <c r="N1132" i="17"/>
  <c r="N1133" i="17"/>
  <c r="N1134" i="17"/>
  <c r="N1135" i="17"/>
  <c r="N1136" i="17"/>
  <c r="N1137" i="17"/>
  <c r="N1138" i="17"/>
  <c r="N1139" i="17"/>
  <c r="N1140" i="17"/>
  <c r="N1141" i="17"/>
  <c r="N1142" i="17"/>
  <c r="N1143" i="17"/>
  <c r="N1144" i="17"/>
  <c r="N1145" i="17"/>
  <c r="N1146" i="17"/>
  <c r="N1147" i="17"/>
  <c r="N1148" i="17"/>
  <c r="N1149" i="17"/>
  <c r="N1150" i="17"/>
  <c r="N1151" i="17"/>
  <c r="N1152" i="17"/>
  <c r="N1153" i="17"/>
  <c r="N1154" i="17"/>
  <c r="N1155" i="17"/>
  <c r="N1156" i="17"/>
  <c r="N1157" i="17"/>
  <c r="N1158" i="17"/>
  <c r="N1159" i="17"/>
  <c r="N1160" i="17"/>
  <c r="N1161" i="17"/>
  <c r="N1162" i="17"/>
  <c r="N1163" i="17"/>
  <c r="N1164" i="17"/>
  <c r="N1165" i="17"/>
  <c r="N1166" i="17"/>
  <c r="N1167" i="17"/>
  <c r="N1168" i="17"/>
  <c r="N1169" i="17"/>
  <c r="N1170" i="17"/>
  <c r="N1171" i="17"/>
  <c r="N1172" i="17"/>
  <c r="N1173" i="17"/>
  <c r="N1174" i="17"/>
  <c r="N1175" i="17"/>
  <c r="N1176" i="17"/>
  <c r="N1177" i="17"/>
  <c r="N1178" i="17"/>
  <c r="N1179" i="17"/>
  <c r="N1180" i="17"/>
  <c r="N1181" i="17"/>
  <c r="N1182" i="17"/>
  <c r="N1183" i="17"/>
  <c r="N1184" i="17"/>
  <c r="N1185" i="17"/>
  <c r="N1186" i="17"/>
  <c r="N1187" i="17"/>
  <c r="N1188" i="17"/>
  <c r="N1189" i="17"/>
  <c r="N1190" i="17"/>
  <c r="N1191" i="17"/>
  <c r="N1192" i="17"/>
  <c r="N1193" i="17"/>
  <c r="N1194" i="17"/>
  <c r="N1195" i="17"/>
  <c r="N1196" i="17"/>
  <c r="N1197" i="17"/>
  <c r="N1198" i="17"/>
  <c r="N1199" i="17"/>
  <c r="N1200" i="17"/>
  <c r="N1201" i="17"/>
  <c r="N1202" i="17"/>
  <c r="N1203" i="17"/>
  <c r="N1204" i="17"/>
  <c r="N1205" i="17"/>
  <c r="N1206" i="17"/>
  <c r="N1207" i="17"/>
  <c r="N1208" i="17"/>
  <c r="N1209" i="17"/>
  <c r="N1210" i="17"/>
  <c r="N1211" i="17"/>
  <c r="N1212" i="17"/>
  <c r="N1213" i="17"/>
  <c r="N1214" i="17"/>
  <c r="N1215" i="17"/>
  <c r="N1216" i="17"/>
  <c r="N1217" i="17"/>
  <c r="N1218" i="17"/>
  <c r="N1219" i="17"/>
  <c r="N1220" i="17"/>
  <c r="N1221" i="17"/>
  <c r="N1222" i="17"/>
  <c r="N1223" i="17"/>
  <c r="N1224" i="17"/>
  <c r="N1225" i="17"/>
  <c r="N1226" i="17"/>
  <c r="N1227" i="17"/>
  <c r="N1228" i="17"/>
  <c r="N1229" i="17"/>
  <c r="N1230" i="17"/>
  <c r="N1231" i="17"/>
  <c r="N1232" i="17"/>
  <c r="N1233" i="17"/>
  <c r="N1234" i="17"/>
  <c r="N1235" i="17"/>
  <c r="N1236" i="17"/>
  <c r="N1237" i="17"/>
  <c r="N1238" i="17"/>
  <c r="N1239" i="17"/>
  <c r="N1240" i="17"/>
  <c r="N1241" i="17"/>
  <c r="N1242" i="17"/>
  <c r="N1243" i="17"/>
  <c r="N1244" i="17"/>
  <c r="N1245" i="17"/>
  <c r="N1246" i="17"/>
  <c r="N1247" i="17"/>
  <c r="N1248" i="17"/>
  <c r="N1249" i="17"/>
  <c r="N1250" i="17"/>
  <c r="N1251" i="17"/>
  <c r="N1252" i="17"/>
  <c r="N1253" i="17"/>
  <c r="N1254" i="17"/>
  <c r="N1255" i="17"/>
  <c r="N1256" i="17"/>
  <c r="N1257" i="17"/>
  <c r="N1258" i="17"/>
  <c r="N1259" i="17"/>
  <c r="N1260" i="17"/>
  <c r="N1261" i="17"/>
  <c r="N1262" i="17"/>
  <c r="N1263" i="17"/>
  <c r="N1264" i="17"/>
  <c r="N1265" i="17"/>
  <c r="N1266" i="17"/>
  <c r="N1267" i="17"/>
  <c r="N1268" i="17"/>
  <c r="N1269" i="17"/>
  <c r="N1270" i="17"/>
  <c r="N1271" i="17"/>
  <c r="N1272" i="17"/>
  <c r="N1273" i="17"/>
  <c r="N1274" i="17"/>
  <c r="N1275" i="17"/>
  <c r="N1276" i="17"/>
  <c r="N1277" i="17"/>
  <c r="N1278" i="17"/>
  <c r="N1279" i="17"/>
  <c r="N1280" i="17"/>
  <c r="N1281" i="17"/>
  <c r="N1282" i="17"/>
  <c r="N1283" i="17"/>
  <c r="N1284" i="17"/>
  <c r="N1285" i="17"/>
  <c r="N1286" i="17"/>
  <c r="N1287" i="17"/>
  <c r="N1288" i="17"/>
  <c r="N1289" i="17"/>
  <c r="N1290" i="17"/>
  <c r="N1291" i="17"/>
  <c r="N1292" i="17"/>
  <c r="N1293" i="17"/>
  <c r="N1294" i="17"/>
  <c r="N1295" i="17"/>
  <c r="N1296" i="17"/>
  <c r="N1297" i="17"/>
  <c r="N1298" i="17"/>
  <c r="N1299" i="17"/>
  <c r="N1300" i="17"/>
  <c r="N1301" i="17"/>
  <c r="N1302" i="17"/>
  <c r="N1303" i="17"/>
  <c r="N1304" i="17"/>
  <c r="N1305" i="17"/>
  <c r="N1306" i="17"/>
  <c r="N1307" i="17"/>
  <c r="N1308" i="17"/>
  <c r="N1309" i="17"/>
  <c r="N1310" i="17"/>
  <c r="N1311" i="17"/>
  <c r="N1312" i="17"/>
  <c r="N1313" i="17"/>
  <c r="N1314" i="17"/>
  <c r="N1315" i="17"/>
  <c r="N1316" i="17"/>
  <c r="N1317" i="17"/>
  <c r="N1318" i="17"/>
  <c r="N1319" i="17"/>
  <c r="N1320" i="17"/>
  <c r="N1321" i="17"/>
  <c r="N1322" i="17"/>
  <c r="N1323" i="17"/>
  <c r="N1324" i="17"/>
  <c r="N1325" i="17"/>
  <c r="N1326" i="17"/>
  <c r="N1327" i="17"/>
  <c r="N1328" i="17"/>
  <c r="N1329" i="17"/>
  <c r="N1330" i="17"/>
  <c r="N1331" i="17"/>
  <c r="N1332" i="17"/>
  <c r="N1333" i="17"/>
  <c r="N1334" i="17"/>
  <c r="N1335" i="17"/>
  <c r="N1336" i="17"/>
  <c r="N1337" i="17"/>
  <c r="N1338" i="17"/>
  <c r="N1339" i="17"/>
  <c r="N1340" i="17"/>
  <c r="N1341" i="17"/>
  <c r="N1342" i="17"/>
  <c r="N1343" i="17"/>
  <c r="N1344" i="17"/>
  <c r="N1345" i="17"/>
  <c r="N1346" i="17"/>
  <c r="N1347" i="17"/>
  <c r="N1348" i="17"/>
  <c r="N1349" i="17"/>
  <c r="N1350" i="17"/>
  <c r="N1351" i="17"/>
  <c r="N1352" i="17"/>
  <c r="N1353" i="17"/>
  <c r="N1354" i="17"/>
  <c r="N1355" i="17"/>
  <c r="N1356" i="17"/>
  <c r="N1357" i="17"/>
  <c r="N1358" i="17"/>
  <c r="N1359" i="17"/>
  <c r="N1360" i="17"/>
  <c r="N1361" i="17"/>
  <c r="N1362" i="17"/>
  <c r="N1363" i="17"/>
  <c r="N1364" i="17"/>
  <c r="N1365" i="17"/>
  <c r="N1366" i="17"/>
  <c r="N1367" i="17"/>
  <c r="N1368" i="17"/>
  <c r="N1369" i="17"/>
  <c r="N1370" i="17"/>
  <c r="N1371" i="17"/>
  <c r="N1372" i="17"/>
  <c r="N1373" i="17"/>
  <c r="N1374" i="17"/>
  <c r="N1375" i="17"/>
  <c r="N1376" i="17"/>
  <c r="N1377" i="17"/>
  <c r="N1378" i="17"/>
  <c r="N1379" i="17"/>
  <c r="N1380" i="17"/>
  <c r="N1381" i="17"/>
  <c r="N1382" i="17"/>
  <c r="N1383" i="17"/>
  <c r="N1384" i="17"/>
  <c r="N1385" i="17"/>
  <c r="N1386" i="17"/>
  <c r="N1387" i="17"/>
  <c r="N1388" i="17"/>
  <c r="N1389" i="17"/>
  <c r="N1390" i="17"/>
  <c r="N1391" i="17"/>
  <c r="N1392" i="17"/>
  <c r="N1393" i="17"/>
  <c r="N1394" i="17"/>
  <c r="N1395" i="17"/>
  <c r="N1396" i="17"/>
  <c r="N1397" i="17"/>
  <c r="N1398" i="17"/>
  <c r="N1399" i="17"/>
  <c r="N1400" i="17"/>
  <c r="N1401" i="17"/>
  <c r="N1402" i="17"/>
  <c r="N1403" i="17"/>
  <c r="N1404" i="17"/>
  <c r="N1405" i="17"/>
  <c r="N1406" i="17"/>
  <c r="N1407" i="17"/>
  <c r="N1408" i="17"/>
  <c r="N1409" i="17"/>
  <c r="N1410" i="17"/>
  <c r="N1411" i="17"/>
  <c r="N1412" i="17"/>
  <c r="N1413" i="17"/>
  <c r="N1414" i="17"/>
  <c r="N1415" i="17"/>
  <c r="N1416" i="17"/>
  <c r="N1417" i="17"/>
  <c r="N1418" i="17"/>
  <c r="N1419" i="17"/>
  <c r="N1420" i="17"/>
  <c r="N1421" i="17"/>
  <c r="N1422" i="17"/>
  <c r="N1423" i="17"/>
  <c r="N1424" i="17"/>
  <c r="N1425" i="17"/>
  <c r="N1426" i="17"/>
  <c r="N1427" i="17"/>
  <c r="N1428" i="17"/>
  <c r="N1429" i="17"/>
  <c r="N1430" i="17"/>
  <c r="N1431" i="17"/>
  <c r="N1432" i="17"/>
  <c r="N1433" i="17"/>
  <c r="N1434" i="17"/>
  <c r="N1435" i="17"/>
  <c r="N1436" i="17"/>
  <c r="N1437" i="17"/>
  <c r="N1438" i="17"/>
  <c r="N1439" i="17"/>
  <c r="N1440" i="17"/>
  <c r="N1441" i="17"/>
  <c r="N1442" i="17"/>
  <c r="N1443" i="17"/>
  <c r="N1444" i="17"/>
  <c r="N1445" i="17"/>
  <c r="N1446" i="17"/>
  <c r="N1447" i="17"/>
  <c r="N1448" i="17"/>
  <c r="N1449" i="17"/>
  <c r="N1450" i="17"/>
  <c r="N1451" i="17"/>
  <c r="N1452" i="17"/>
  <c r="N1453" i="17"/>
  <c r="N1454" i="17"/>
  <c r="N1455" i="17"/>
  <c r="N1456" i="17"/>
  <c r="N1457" i="17"/>
  <c r="N1458" i="17"/>
  <c r="N1459" i="17"/>
  <c r="N1460" i="17"/>
  <c r="N1461" i="17"/>
  <c r="N1462" i="17"/>
  <c r="N1463" i="17"/>
  <c r="N1464" i="17"/>
  <c r="N1465" i="17"/>
  <c r="N1466" i="17"/>
  <c r="N1467" i="17"/>
  <c r="N1468" i="17"/>
  <c r="N1469" i="17"/>
  <c r="N1470" i="17"/>
  <c r="N1471" i="17"/>
  <c r="N1472" i="17"/>
  <c r="N1473" i="17"/>
  <c r="N1474" i="17"/>
  <c r="N1475" i="17"/>
  <c r="N1476" i="17"/>
  <c r="N1477" i="17"/>
  <c r="N1478" i="17"/>
  <c r="N1479" i="17"/>
  <c r="N1480" i="17"/>
  <c r="N1481" i="17"/>
  <c r="N1482" i="17"/>
  <c r="N1483" i="17"/>
  <c r="N1484" i="17"/>
  <c r="N1485" i="17"/>
  <c r="N1486" i="17"/>
  <c r="N1487" i="17"/>
  <c r="N1488" i="17"/>
  <c r="N1489" i="17"/>
  <c r="N1490" i="17"/>
  <c r="N1491" i="17"/>
  <c r="N1492" i="17"/>
  <c r="N1493" i="17"/>
  <c r="N1494" i="17"/>
  <c r="N1495" i="17"/>
  <c r="N1496" i="17"/>
  <c r="N1497" i="17"/>
  <c r="N1498" i="17"/>
  <c r="N1499" i="17"/>
  <c r="N1500" i="17"/>
  <c r="N1501" i="17"/>
  <c r="N1502" i="17"/>
  <c r="N1503" i="17"/>
  <c r="N1504" i="17"/>
  <c r="N1505" i="17"/>
  <c r="N1506" i="17"/>
  <c r="N1507" i="17"/>
  <c r="N1508" i="17"/>
  <c r="N1509" i="17"/>
  <c r="N1510" i="17"/>
  <c r="N1511" i="17"/>
  <c r="N1512" i="17"/>
  <c r="N1513" i="17"/>
  <c r="N1514" i="17"/>
  <c r="N1515" i="17"/>
  <c r="N1516" i="17"/>
  <c r="N1517" i="17"/>
  <c r="N1518" i="17"/>
  <c r="N1519" i="17"/>
  <c r="N1520" i="17"/>
  <c r="N1521" i="17"/>
  <c r="N1522" i="17"/>
  <c r="N1523" i="17"/>
  <c r="N1524" i="17"/>
  <c r="N1525" i="17"/>
  <c r="N1526" i="17"/>
  <c r="N1527" i="17"/>
  <c r="N1528" i="17"/>
  <c r="N1529" i="17"/>
  <c r="N1530" i="17"/>
  <c r="N1531" i="17"/>
  <c r="N1532" i="17"/>
  <c r="N1533" i="17"/>
  <c r="N1534" i="17"/>
  <c r="N1535" i="17"/>
  <c r="N1536" i="17"/>
  <c r="N1537" i="17"/>
  <c r="N1538" i="17"/>
  <c r="N1539" i="17"/>
  <c r="N1540" i="17"/>
  <c r="N1541" i="17"/>
  <c r="N1542" i="17"/>
  <c r="N1543" i="17"/>
  <c r="N1544" i="17"/>
  <c r="N1545" i="17"/>
  <c r="N1546" i="17"/>
  <c r="N1547" i="17"/>
  <c r="N1548" i="17"/>
  <c r="N1549" i="17"/>
  <c r="N1550" i="17"/>
  <c r="N1551" i="17"/>
  <c r="N1552" i="17"/>
  <c r="N1553" i="17"/>
  <c r="N1554" i="17"/>
  <c r="N1555" i="17"/>
  <c r="N1556" i="17"/>
  <c r="N1557" i="17"/>
  <c r="N1558" i="17"/>
  <c r="N1559" i="17"/>
  <c r="N1560" i="17"/>
  <c r="N1561" i="17"/>
  <c r="N1562" i="17"/>
  <c r="N1563" i="17"/>
  <c r="N1564" i="17"/>
  <c r="N1565" i="17"/>
  <c r="N1566" i="17"/>
  <c r="N1567" i="17"/>
  <c r="N1568" i="17"/>
  <c r="N1569" i="17"/>
  <c r="N1570" i="17"/>
  <c r="N1571" i="17"/>
  <c r="N1572" i="17"/>
  <c r="N1573" i="17"/>
  <c r="N1574" i="17"/>
  <c r="N1575" i="17"/>
  <c r="N1576" i="17"/>
  <c r="N1577" i="17"/>
  <c r="N1578" i="17"/>
  <c r="N1579" i="17"/>
  <c r="N1580" i="17"/>
  <c r="N1581" i="17"/>
  <c r="N1582" i="17"/>
  <c r="N1583" i="17"/>
  <c r="N1584" i="17"/>
  <c r="N1585" i="17"/>
  <c r="N1586" i="17"/>
  <c r="N1587" i="17"/>
  <c r="N1588" i="17"/>
  <c r="N1589" i="17"/>
  <c r="N1590" i="17"/>
  <c r="N1591" i="17"/>
  <c r="N1592" i="17"/>
  <c r="N1593" i="17"/>
  <c r="N1594" i="17"/>
  <c r="N1595" i="17"/>
  <c r="N1596" i="17"/>
  <c r="N1597" i="17"/>
  <c r="N1598" i="17"/>
  <c r="N1599" i="17"/>
  <c r="N1600" i="17"/>
  <c r="N1601" i="17"/>
  <c r="N1602" i="17"/>
  <c r="N1603" i="17"/>
  <c r="N1604" i="17"/>
  <c r="N1605" i="17"/>
  <c r="N1606" i="17"/>
  <c r="N1607" i="17"/>
  <c r="N1608" i="17"/>
  <c r="N1609" i="17"/>
  <c r="N1610" i="17"/>
  <c r="N1611" i="17"/>
  <c r="N1612" i="17"/>
  <c r="N1613" i="17"/>
  <c r="N1614" i="17"/>
  <c r="N1615" i="17"/>
  <c r="N1616" i="17"/>
  <c r="N1617" i="17"/>
  <c r="N1618" i="17"/>
  <c r="N1619" i="17"/>
  <c r="N1620" i="17"/>
  <c r="N1621" i="17"/>
  <c r="N1622" i="17"/>
  <c r="N1623" i="17"/>
  <c r="N1624" i="17"/>
  <c r="N1625" i="17"/>
  <c r="N1626" i="17"/>
  <c r="N1627" i="17"/>
  <c r="N1628" i="17"/>
  <c r="N1629" i="17"/>
  <c r="N1630" i="17"/>
  <c r="N1631" i="17"/>
  <c r="N1632" i="17"/>
  <c r="N1633" i="17"/>
  <c r="N1634" i="17"/>
  <c r="N1635" i="17"/>
  <c r="N1636" i="17"/>
  <c r="N1637" i="17"/>
  <c r="N1638" i="17"/>
  <c r="N1639" i="17"/>
  <c r="N1640" i="17"/>
  <c r="N1641" i="17"/>
  <c r="N1642" i="17"/>
  <c r="N1643" i="17"/>
  <c r="N1644" i="17"/>
  <c r="N1645" i="17"/>
  <c r="N1646" i="17"/>
  <c r="N1647" i="17"/>
  <c r="N1648" i="17"/>
  <c r="N1649" i="17"/>
  <c r="N1650" i="17"/>
  <c r="N1651" i="17"/>
  <c r="N1652" i="17"/>
  <c r="N1653" i="17"/>
  <c r="N1654" i="17"/>
  <c r="N1655" i="17"/>
  <c r="N1656" i="17"/>
  <c r="N1657" i="17"/>
  <c r="N1658" i="17"/>
  <c r="N1659" i="17"/>
  <c r="N1660" i="17"/>
  <c r="N1661" i="17"/>
  <c r="N1662" i="17"/>
  <c r="N1663" i="17"/>
  <c r="N1664" i="17"/>
  <c r="N1665" i="17"/>
  <c r="N1666" i="17"/>
  <c r="N1667" i="17"/>
  <c r="N1668" i="17"/>
  <c r="N1669" i="17"/>
  <c r="N1670" i="17"/>
  <c r="N1671" i="17"/>
  <c r="N1672" i="17"/>
  <c r="N1673" i="17"/>
  <c r="N1674" i="17"/>
  <c r="N1675" i="17"/>
  <c r="N1676" i="17"/>
  <c r="N1677" i="17"/>
  <c r="N1678" i="17"/>
  <c r="N1679" i="17"/>
  <c r="N1680" i="17"/>
  <c r="N1681" i="17"/>
  <c r="N1682" i="17"/>
  <c r="N1683" i="17"/>
  <c r="N1684" i="17"/>
  <c r="N1685" i="17"/>
  <c r="N1686" i="17"/>
  <c r="N1687" i="17"/>
  <c r="N1688" i="17"/>
  <c r="N1689" i="17"/>
  <c r="N1690" i="17"/>
  <c r="N1691" i="17"/>
  <c r="N1692" i="17"/>
  <c r="N1693" i="17"/>
  <c r="N1694" i="17"/>
  <c r="N1695" i="17"/>
  <c r="N1696" i="17"/>
  <c r="N1697" i="17"/>
  <c r="N1698" i="17"/>
  <c r="N1699" i="17"/>
  <c r="N1700" i="17"/>
  <c r="N1701" i="17"/>
  <c r="N1702" i="17"/>
  <c r="N1703" i="17"/>
  <c r="N1704" i="17"/>
  <c r="N1705" i="17"/>
  <c r="N1706" i="17"/>
  <c r="N1707" i="17"/>
  <c r="N1708" i="17"/>
  <c r="N1709" i="17"/>
  <c r="N1710" i="17"/>
  <c r="N1711" i="17"/>
  <c r="N1712" i="17"/>
  <c r="N1713" i="17"/>
  <c r="N1714" i="17"/>
  <c r="N1715" i="17"/>
  <c r="N1716" i="17"/>
  <c r="N1717" i="17"/>
  <c r="N1718" i="17"/>
  <c r="N1719" i="17"/>
  <c r="N1720" i="17"/>
  <c r="N1721" i="17"/>
  <c r="N1722" i="17"/>
  <c r="N1723" i="17"/>
  <c r="N1724" i="17"/>
  <c r="N1725" i="17"/>
  <c r="N1726" i="17"/>
  <c r="N1727" i="17"/>
  <c r="N1728" i="17"/>
  <c r="N1729" i="17"/>
  <c r="N1730" i="17"/>
  <c r="N1731" i="17"/>
  <c r="N1732" i="17"/>
  <c r="N1733" i="17"/>
  <c r="N1734" i="17"/>
  <c r="N1735" i="17"/>
  <c r="N1736" i="17"/>
  <c r="N1737" i="17"/>
  <c r="N1738" i="17"/>
  <c r="N1739" i="17"/>
  <c r="N1740" i="17"/>
  <c r="N1741" i="17"/>
  <c r="N1742" i="17"/>
  <c r="N1743" i="17"/>
  <c r="N1744" i="17"/>
  <c r="N1745" i="17"/>
  <c r="N1746" i="17"/>
  <c r="N1747" i="17"/>
  <c r="N1748" i="17"/>
  <c r="N1749" i="17"/>
  <c r="N1750" i="17"/>
  <c r="N1751" i="17"/>
  <c r="N1752" i="17"/>
  <c r="N1753" i="17"/>
  <c r="N1754" i="17"/>
  <c r="N1755" i="17"/>
  <c r="N1756" i="17"/>
  <c r="N1757" i="17"/>
  <c r="N1758" i="17"/>
  <c r="N1759" i="17"/>
  <c r="N1760" i="17"/>
  <c r="N1761" i="17"/>
  <c r="N1762" i="17"/>
  <c r="N1763" i="17"/>
  <c r="N1764" i="17"/>
  <c r="N1765" i="17"/>
  <c r="N1766" i="17"/>
  <c r="N1767" i="17"/>
  <c r="N1768" i="17"/>
  <c r="N1769" i="17"/>
  <c r="N1770" i="17"/>
  <c r="N1771" i="17"/>
  <c r="N1772" i="17"/>
  <c r="N1773" i="17"/>
  <c r="N1774" i="17"/>
  <c r="N1775" i="17"/>
  <c r="N1776" i="17"/>
  <c r="N1777" i="17"/>
  <c r="N1778" i="17"/>
  <c r="N1779" i="17"/>
  <c r="N1780" i="17"/>
  <c r="N1781" i="17"/>
  <c r="N1782" i="17"/>
  <c r="N1783" i="17"/>
  <c r="N1784" i="17"/>
  <c r="N1785" i="17"/>
  <c r="N1786" i="17"/>
  <c r="N1787" i="17"/>
  <c r="N1788" i="17"/>
  <c r="N1789" i="17"/>
  <c r="N1790" i="17"/>
  <c r="N1791" i="17"/>
  <c r="N1792" i="17"/>
  <c r="N1793" i="17"/>
  <c r="N1794" i="17"/>
  <c r="N1795" i="17"/>
  <c r="N1796" i="17"/>
  <c r="N1797" i="17"/>
  <c r="N1798" i="17"/>
  <c r="N1799" i="17"/>
  <c r="N1800" i="17"/>
  <c r="N1801" i="17"/>
  <c r="N1802" i="17"/>
  <c r="N1803" i="17"/>
  <c r="N1804" i="17"/>
  <c r="N1805" i="17"/>
  <c r="N1806" i="17"/>
  <c r="N1807" i="17"/>
  <c r="N1808" i="17"/>
  <c r="N1809" i="17"/>
  <c r="N1810" i="17"/>
  <c r="N1811" i="17"/>
  <c r="N1812" i="17"/>
  <c r="N1813" i="17"/>
  <c r="N1814" i="17"/>
  <c r="N1815" i="17"/>
  <c r="N1816" i="17"/>
  <c r="N1817" i="17"/>
  <c r="N1818" i="17"/>
  <c r="N1819" i="17"/>
  <c r="N1820" i="17"/>
  <c r="N1821" i="17"/>
  <c r="N1822" i="17"/>
  <c r="N1823" i="17"/>
  <c r="N1824" i="17"/>
  <c r="N1825" i="17"/>
  <c r="N1826" i="17"/>
  <c r="N1827" i="17"/>
  <c r="N1828" i="17"/>
  <c r="N1829" i="17"/>
  <c r="N1830" i="17"/>
  <c r="N1831" i="17"/>
  <c r="N1832" i="17"/>
  <c r="N1833" i="17"/>
  <c r="N1834" i="17"/>
  <c r="N1835" i="17"/>
  <c r="N1836" i="17"/>
  <c r="N1837" i="17"/>
  <c r="N1838" i="17"/>
  <c r="N1839" i="17"/>
  <c r="N1840" i="17"/>
  <c r="N1841" i="17"/>
  <c r="N1842" i="17"/>
  <c r="N1843" i="17"/>
  <c r="N1844" i="17"/>
  <c r="N1845" i="17"/>
  <c r="N1846" i="17"/>
  <c r="N1847" i="17"/>
  <c r="N1848" i="17"/>
  <c r="N1849" i="17"/>
  <c r="N1850" i="17"/>
  <c r="N1851" i="17"/>
  <c r="N1852" i="17"/>
  <c r="N1853" i="17"/>
  <c r="N1854" i="17"/>
  <c r="N1855" i="17"/>
  <c r="N1856" i="17"/>
  <c r="N1857" i="17"/>
  <c r="N1858" i="17"/>
  <c r="N1859" i="17"/>
  <c r="N1860" i="17"/>
  <c r="N1861" i="17"/>
  <c r="N1862" i="17"/>
  <c r="N1863" i="17"/>
  <c r="N1864" i="17"/>
  <c r="N1865" i="17"/>
  <c r="N1866" i="17"/>
  <c r="N1867" i="17"/>
  <c r="N1868" i="17"/>
  <c r="N1869" i="17"/>
  <c r="N1870" i="17"/>
  <c r="N1871" i="17"/>
  <c r="N1872" i="17"/>
  <c r="N1873" i="17"/>
  <c r="N1874" i="17"/>
  <c r="N1875" i="17"/>
  <c r="N1876" i="17"/>
  <c r="N1877" i="17"/>
  <c r="N1878" i="17"/>
  <c r="N1879" i="17"/>
  <c r="N1880" i="17"/>
  <c r="N1881" i="17"/>
  <c r="N1882" i="17"/>
  <c r="N1883" i="17"/>
  <c r="N1884" i="17"/>
  <c r="N1885" i="17"/>
  <c r="N1886" i="17"/>
  <c r="N1887" i="17"/>
  <c r="N1888" i="17"/>
  <c r="N1889" i="17"/>
  <c r="N1890" i="17"/>
  <c r="N1891" i="17"/>
  <c r="N1892" i="17"/>
  <c r="N1893" i="17"/>
  <c r="N1894" i="17"/>
  <c r="N1895" i="17"/>
  <c r="N1896" i="17"/>
  <c r="N1897" i="17"/>
  <c r="N1898" i="17"/>
  <c r="N1899" i="17"/>
  <c r="N1900" i="17"/>
  <c r="N1901" i="17"/>
  <c r="N1902" i="17"/>
  <c r="N1903" i="17"/>
  <c r="N1904" i="17"/>
  <c r="N1905" i="17"/>
  <c r="N1906" i="17"/>
  <c r="N1907" i="17"/>
  <c r="N1908" i="17"/>
  <c r="N1909" i="17"/>
  <c r="N1910" i="17"/>
  <c r="N1911" i="17"/>
  <c r="N1912" i="17"/>
  <c r="N1913" i="17"/>
  <c r="N1914" i="17"/>
  <c r="N1915" i="17"/>
  <c r="N1916" i="17"/>
  <c r="N1917" i="17"/>
  <c r="N1918" i="17"/>
  <c r="N1919" i="17"/>
  <c r="N1920" i="17"/>
  <c r="N1921" i="17"/>
  <c r="N1922" i="17"/>
  <c r="N1923" i="17"/>
  <c r="N1924" i="17"/>
  <c r="N1925" i="17"/>
  <c r="N1926" i="17"/>
  <c r="N1927" i="17"/>
  <c r="N1928" i="17"/>
  <c r="N1929" i="17"/>
  <c r="N1930" i="17"/>
  <c r="N1931" i="17"/>
  <c r="N1932" i="17"/>
  <c r="N1933" i="17"/>
  <c r="N1934" i="17"/>
  <c r="N1935" i="17"/>
  <c r="N1936" i="17"/>
  <c r="N1937" i="17"/>
  <c r="N1938" i="17"/>
  <c r="N1939" i="17"/>
  <c r="N1940" i="17"/>
  <c r="N1941" i="17"/>
  <c r="N1942" i="17"/>
  <c r="N1943" i="17"/>
  <c r="N1944" i="17"/>
  <c r="N1945" i="17"/>
  <c r="N1946" i="17"/>
  <c r="N1947" i="17"/>
  <c r="N1948" i="17"/>
  <c r="N1949" i="17"/>
  <c r="N1950" i="17"/>
  <c r="N1951" i="17"/>
  <c r="N1952" i="17"/>
  <c r="N1953" i="17"/>
  <c r="N1954" i="17"/>
  <c r="N1955" i="17"/>
  <c r="N1956" i="17"/>
  <c r="N1957" i="17"/>
  <c r="N1958" i="17"/>
  <c r="N1959" i="17"/>
  <c r="N1960" i="17"/>
  <c r="N1961" i="17"/>
  <c r="N1962" i="17"/>
  <c r="N1963" i="17"/>
  <c r="N1964" i="17"/>
  <c r="N1965" i="17"/>
  <c r="N1966" i="17"/>
  <c r="N1967" i="17"/>
  <c r="N1968" i="17"/>
  <c r="N1969" i="17"/>
  <c r="N1970" i="17"/>
  <c r="N1971" i="17"/>
  <c r="N1972" i="17"/>
  <c r="N1973" i="17"/>
  <c r="N1974" i="17"/>
  <c r="N1975" i="17"/>
  <c r="N1976" i="17"/>
  <c r="N1977" i="17"/>
  <c r="N1978" i="17"/>
  <c r="N1979" i="17"/>
  <c r="N1980" i="17"/>
  <c r="N1981" i="17"/>
  <c r="N1982" i="17"/>
  <c r="N1983" i="17"/>
  <c r="N1984" i="17"/>
  <c r="N1985" i="17"/>
  <c r="N1986" i="17"/>
  <c r="N1987" i="17"/>
  <c r="N1988" i="17"/>
  <c r="N1989" i="17"/>
  <c r="N1990" i="17"/>
  <c r="N1991" i="17"/>
  <c r="N1992" i="17"/>
  <c r="N1993" i="17"/>
  <c r="N1994" i="17"/>
  <c r="N1995" i="17"/>
  <c r="N1996" i="17"/>
  <c r="N1997" i="17"/>
  <c r="N1998" i="17"/>
  <c r="N1999" i="17"/>
  <c r="N2000" i="17"/>
  <c r="N2001" i="17"/>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1002" i="17"/>
  <c r="M1003" i="17"/>
  <c r="M1004" i="17"/>
  <c r="M1005" i="17"/>
  <c r="M1006" i="17"/>
  <c r="M1007" i="17"/>
  <c r="M1008" i="17"/>
  <c r="M1009" i="17"/>
  <c r="M1010" i="17"/>
  <c r="M1011" i="17"/>
  <c r="M1012" i="17"/>
  <c r="M1013" i="17"/>
  <c r="M1014" i="17"/>
  <c r="M1015" i="17"/>
  <c r="M1016" i="17"/>
  <c r="M1017" i="17"/>
  <c r="M1018" i="17"/>
  <c r="M1019" i="17"/>
  <c r="M1020" i="17"/>
  <c r="M1021" i="17"/>
  <c r="M1022" i="17"/>
  <c r="M1023" i="17"/>
  <c r="M1024" i="17"/>
  <c r="M1025" i="17"/>
  <c r="M1026" i="17"/>
  <c r="M1027" i="17"/>
  <c r="M1028" i="17"/>
  <c r="M1029" i="17"/>
  <c r="M1030" i="17"/>
  <c r="M1031" i="17"/>
  <c r="M1032" i="17"/>
  <c r="M1033" i="17"/>
  <c r="M1034" i="17"/>
  <c r="M1035" i="17"/>
  <c r="M1036" i="17"/>
  <c r="M1037" i="17"/>
  <c r="M1038" i="17"/>
  <c r="M1039" i="17"/>
  <c r="M1040" i="17"/>
  <c r="M1041" i="17"/>
  <c r="M1042" i="17"/>
  <c r="M1043" i="17"/>
  <c r="M1044" i="17"/>
  <c r="M1045" i="17"/>
  <c r="M1046" i="17"/>
  <c r="M1047" i="17"/>
  <c r="M1048" i="17"/>
  <c r="M1049" i="17"/>
  <c r="M1050" i="17"/>
  <c r="M1051" i="17"/>
  <c r="M1052" i="17"/>
  <c r="M1053" i="17"/>
  <c r="M1054" i="17"/>
  <c r="M1055" i="17"/>
  <c r="M1056" i="17"/>
  <c r="M1057" i="17"/>
  <c r="M1058" i="17"/>
  <c r="M1059" i="17"/>
  <c r="M1060" i="17"/>
  <c r="M1061" i="17"/>
  <c r="M1062" i="17"/>
  <c r="M1063" i="17"/>
  <c r="M1064" i="17"/>
  <c r="M1065" i="17"/>
  <c r="M1066" i="17"/>
  <c r="M1067" i="17"/>
  <c r="M1068" i="17"/>
  <c r="M1069" i="17"/>
  <c r="M1070" i="17"/>
  <c r="M1071" i="17"/>
  <c r="M1072" i="17"/>
  <c r="M1073" i="17"/>
  <c r="M1074" i="17"/>
  <c r="M1075" i="17"/>
  <c r="M1076" i="17"/>
  <c r="M1077" i="17"/>
  <c r="M1078" i="17"/>
  <c r="M1079" i="17"/>
  <c r="M1080" i="17"/>
  <c r="M1081" i="17"/>
  <c r="M1082" i="17"/>
  <c r="M1083" i="17"/>
  <c r="M1084" i="17"/>
  <c r="M1085" i="17"/>
  <c r="M1086" i="17"/>
  <c r="M1087" i="17"/>
  <c r="M1088" i="17"/>
  <c r="M1089" i="17"/>
  <c r="M1090" i="17"/>
  <c r="M1091" i="17"/>
  <c r="M1092" i="17"/>
  <c r="M1093" i="17"/>
  <c r="M1094" i="17"/>
  <c r="M1095" i="17"/>
  <c r="M1096" i="17"/>
  <c r="M1097" i="17"/>
  <c r="M1098" i="17"/>
  <c r="M1099" i="17"/>
  <c r="M1100" i="17"/>
  <c r="M1101" i="17"/>
  <c r="M1102" i="17"/>
  <c r="M1103" i="17"/>
  <c r="M1104" i="17"/>
  <c r="M1105" i="17"/>
  <c r="M1106" i="17"/>
  <c r="M1107" i="17"/>
  <c r="M1108" i="17"/>
  <c r="M1109" i="17"/>
  <c r="M1110" i="17"/>
  <c r="M1111" i="17"/>
  <c r="M1112" i="17"/>
  <c r="M1113" i="17"/>
  <c r="M1114" i="17"/>
  <c r="M1115" i="17"/>
  <c r="M1116" i="17"/>
  <c r="M1117" i="17"/>
  <c r="M1118" i="17"/>
  <c r="M1119" i="17"/>
  <c r="M1120" i="17"/>
  <c r="M1121" i="17"/>
  <c r="M1122" i="17"/>
  <c r="M1123" i="17"/>
  <c r="M1124" i="17"/>
  <c r="M1125" i="17"/>
  <c r="M1126" i="17"/>
  <c r="M1127" i="17"/>
  <c r="M1128" i="17"/>
  <c r="M1129" i="17"/>
  <c r="M1130" i="17"/>
  <c r="M1131" i="17"/>
  <c r="M1132" i="17"/>
  <c r="M1133" i="17"/>
  <c r="M1134" i="17"/>
  <c r="M1135" i="17"/>
  <c r="M1136" i="17"/>
  <c r="M1137" i="17"/>
  <c r="M1138" i="17"/>
  <c r="M1139" i="17"/>
  <c r="M1140" i="17"/>
  <c r="M1141" i="17"/>
  <c r="M1142" i="17"/>
  <c r="M1143" i="17"/>
  <c r="M1144" i="17"/>
  <c r="M1145" i="17"/>
  <c r="M1146" i="17"/>
  <c r="M1147" i="17"/>
  <c r="M1148" i="17"/>
  <c r="M1149" i="17"/>
  <c r="M1150" i="17"/>
  <c r="M1151" i="17"/>
  <c r="M1152" i="17"/>
  <c r="M1153" i="17"/>
  <c r="M1154" i="17"/>
  <c r="M1155" i="17"/>
  <c r="M1156" i="17"/>
  <c r="M1157" i="17"/>
  <c r="M1158" i="17"/>
  <c r="M1159" i="17"/>
  <c r="M1160" i="17"/>
  <c r="M1161" i="17"/>
  <c r="M1162" i="17"/>
  <c r="M1163" i="17"/>
  <c r="M1164" i="17"/>
  <c r="M1165" i="17"/>
  <c r="M1166" i="17"/>
  <c r="M1167" i="17"/>
  <c r="M1168" i="17"/>
  <c r="M1169" i="17"/>
  <c r="M1170" i="17"/>
  <c r="M1171" i="17"/>
  <c r="M1172" i="17"/>
  <c r="M1173" i="17"/>
  <c r="M1174" i="17"/>
  <c r="M1175" i="17"/>
  <c r="M1176" i="17"/>
  <c r="M1177" i="17"/>
  <c r="M1178" i="17"/>
  <c r="M1179" i="17"/>
  <c r="M1180" i="17"/>
  <c r="M1181" i="17"/>
  <c r="M1182" i="17"/>
  <c r="M1183" i="17"/>
  <c r="M1184" i="17"/>
  <c r="M1185" i="17"/>
  <c r="M1186" i="17"/>
  <c r="M1187" i="17"/>
  <c r="M1188" i="17"/>
  <c r="M1189" i="17"/>
  <c r="M1190" i="17"/>
  <c r="M1191" i="17"/>
  <c r="M1192" i="17"/>
  <c r="M1193" i="17"/>
  <c r="M1194" i="17"/>
  <c r="M1195" i="17"/>
  <c r="M1196" i="17"/>
  <c r="M1197" i="17"/>
  <c r="M1198" i="17"/>
  <c r="M1199" i="17"/>
  <c r="M1200" i="17"/>
  <c r="M1201" i="17"/>
  <c r="M1202" i="17"/>
  <c r="M1203" i="17"/>
  <c r="M1204" i="17"/>
  <c r="M1205" i="17"/>
  <c r="M1206" i="17"/>
  <c r="M1207" i="17"/>
  <c r="M1208" i="17"/>
  <c r="M1209" i="17"/>
  <c r="M1210" i="17"/>
  <c r="M1211" i="17"/>
  <c r="M1212" i="17"/>
  <c r="M1213" i="17"/>
  <c r="M1214" i="17"/>
  <c r="M1215" i="17"/>
  <c r="M1216" i="17"/>
  <c r="M1217" i="17"/>
  <c r="M1218" i="17"/>
  <c r="M1219" i="17"/>
  <c r="M1220" i="17"/>
  <c r="M1221" i="17"/>
  <c r="M1222" i="17"/>
  <c r="M1223" i="17"/>
  <c r="M1224" i="17"/>
  <c r="M1225" i="17"/>
  <c r="M1226" i="17"/>
  <c r="M1227" i="17"/>
  <c r="M1228" i="17"/>
  <c r="M1229" i="17"/>
  <c r="M1230" i="17"/>
  <c r="M1231" i="17"/>
  <c r="M1232" i="17"/>
  <c r="M1233" i="17"/>
  <c r="M1234" i="17"/>
  <c r="M1235" i="17"/>
  <c r="M1236" i="17"/>
  <c r="M1237" i="17"/>
  <c r="M1238" i="17"/>
  <c r="M1239" i="17"/>
  <c r="M1240" i="17"/>
  <c r="M1241" i="17"/>
  <c r="M1242" i="17"/>
  <c r="M1243" i="17"/>
  <c r="M1244" i="17"/>
  <c r="M1245" i="17"/>
  <c r="M1246" i="17"/>
  <c r="M1247" i="17"/>
  <c r="M1248" i="17"/>
  <c r="M1249" i="17"/>
  <c r="M1250" i="17"/>
  <c r="M1251" i="17"/>
  <c r="M1252" i="17"/>
  <c r="M1253" i="17"/>
  <c r="M1254" i="17"/>
  <c r="M1255" i="17"/>
  <c r="M1256" i="17"/>
  <c r="M1257" i="17"/>
  <c r="M1258" i="17"/>
  <c r="M1259" i="17"/>
  <c r="M1260" i="17"/>
  <c r="M1261" i="17"/>
  <c r="M1262" i="17"/>
  <c r="M1263" i="17"/>
  <c r="M1264" i="17"/>
  <c r="M1265" i="17"/>
  <c r="M1266" i="17"/>
  <c r="M1267" i="17"/>
  <c r="M1268" i="17"/>
  <c r="M1269" i="17"/>
  <c r="M1270" i="17"/>
  <c r="M1271" i="17"/>
  <c r="M1272" i="17"/>
  <c r="M1273" i="17"/>
  <c r="M1274" i="17"/>
  <c r="M1275" i="17"/>
  <c r="M1276" i="17"/>
  <c r="M1277" i="17"/>
  <c r="M1278" i="17"/>
  <c r="M1279" i="17"/>
  <c r="M1280" i="17"/>
  <c r="M1281" i="17"/>
  <c r="M1282" i="17"/>
  <c r="M1283" i="17"/>
  <c r="M1284" i="17"/>
  <c r="M1285" i="17"/>
  <c r="M1286" i="17"/>
  <c r="M1287" i="17"/>
  <c r="M1288" i="17"/>
  <c r="M1289" i="17"/>
  <c r="M1290" i="17"/>
  <c r="M1291" i="17"/>
  <c r="M1292" i="17"/>
  <c r="M1293" i="17"/>
  <c r="M1294" i="17"/>
  <c r="M1295" i="17"/>
  <c r="M1296" i="17"/>
  <c r="M1297" i="17"/>
  <c r="M1298" i="17"/>
  <c r="M1299" i="17"/>
  <c r="M1300" i="17"/>
  <c r="M1301" i="17"/>
  <c r="M1302" i="17"/>
  <c r="M1303" i="17"/>
  <c r="M1304" i="17"/>
  <c r="M1305" i="17"/>
  <c r="M1306" i="17"/>
  <c r="M1307" i="17"/>
  <c r="M1308" i="17"/>
  <c r="M1309" i="17"/>
  <c r="M1310" i="17"/>
  <c r="M1311" i="17"/>
  <c r="M1312" i="17"/>
  <c r="M1313" i="17"/>
  <c r="M1314" i="17"/>
  <c r="M1315" i="17"/>
  <c r="M1316" i="17"/>
  <c r="M1317" i="17"/>
  <c r="M1318" i="17"/>
  <c r="M1319" i="17"/>
  <c r="M1320" i="17"/>
  <c r="M1321" i="17"/>
  <c r="M1322" i="17"/>
  <c r="M1323" i="17"/>
  <c r="M1324" i="17"/>
  <c r="M1325" i="17"/>
  <c r="M1326" i="17"/>
  <c r="M1327" i="17"/>
  <c r="M1328" i="17"/>
  <c r="M1329" i="17"/>
  <c r="M1330" i="17"/>
  <c r="M1331" i="17"/>
  <c r="M1332" i="17"/>
  <c r="M1333" i="17"/>
  <c r="M1334" i="17"/>
  <c r="M1335" i="17"/>
  <c r="M1336" i="17"/>
  <c r="M1337" i="17"/>
  <c r="M1338" i="17"/>
  <c r="M1339" i="17"/>
  <c r="M1340" i="17"/>
  <c r="M1341" i="17"/>
  <c r="M1342" i="17"/>
  <c r="M1343" i="17"/>
  <c r="M1344" i="17"/>
  <c r="M1345" i="17"/>
  <c r="M1346" i="17"/>
  <c r="M1347" i="17"/>
  <c r="M1348" i="17"/>
  <c r="M1349" i="17"/>
  <c r="M1350" i="17"/>
  <c r="M1351" i="17"/>
  <c r="M1352" i="17"/>
  <c r="M1353" i="17"/>
  <c r="M1354" i="17"/>
  <c r="M1355" i="17"/>
  <c r="M1356" i="17"/>
  <c r="M1357" i="17"/>
  <c r="M1358" i="17"/>
  <c r="M1359" i="17"/>
  <c r="M1360" i="17"/>
  <c r="M1361" i="17"/>
  <c r="M1362" i="17"/>
  <c r="M1363" i="17"/>
  <c r="M1364" i="17"/>
  <c r="M1365" i="17"/>
  <c r="M1366" i="17"/>
  <c r="M1367" i="17"/>
  <c r="M1368" i="17"/>
  <c r="M1369" i="17"/>
  <c r="M1370" i="17"/>
  <c r="M1371" i="17"/>
  <c r="M1372" i="17"/>
  <c r="M1373" i="17"/>
  <c r="M1374" i="17"/>
  <c r="M1375" i="17"/>
  <c r="M1376" i="17"/>
  <c r="M1377" i="17"/>
  <c r="M1378" i="17"/>
  <c r="M1379" i="17"/>
  <c r="M1380" i="17"/>
  <c r="M1381" i="17"/>
  <c r="M1382" i="17"/>
  <c r="M1383" i="17"/>
  <c r="M1384" i="17"/>
  <c r="M1385" i="17"/>
  <c r="M1386" i="17"/>
  <c r="M1387" i="17"/>
  <c r="M1388" i="17"/>
  <c r="M1389" i="17"/>
  <c r="M1390" i="17"/>
  <c r="M1391" i="17"/>
  <c r="M1392" i="17"/>
  <c r="M1393" i="17"/>
  <c r="M1394" i="17"/>
  <c r="M1395" i="17"/>
  <c r="M1396" i="17"/>
  <c r="M1397" i="17"/>
  <c r="M1398" i="17"/>
  <c r="M1399" i="17"/>
  <c r="M1400" i="17"/>
  <c r="M1401" i="17"/>
  <c r="M1402" i="17"/>
  <c r="M1403" i="17"/>
  <c r="M1404" i="17"/>
  <c r="M1405" i="17"/>
  <c r="M1406" i="17"/>
  <c r="M1407" i="17"/>
  <c r="M1408" i="17"/>
  <c r="M1409" i="17"/>
  <c r="M1410" i="17"/>
  <c r="M1411" i="17"/>
  <c r="M1412" i="17"/>
  <c r="M1413" i="17"/>
  <c r="M1414" i="17"/>
  <c r="M1415" i="17"/>
  <c r="M1416" i="17"/>
  <c r="M1417" i="17"/>
  <c r="M1418" i="17"/>
  <c r="M1419" i="17"/>
  <c r="M1420" i="17"/>
  <c r="M1421" i="17"/>
  <c r="M1422" i="17"/>
  <c r="M1423" i="17"/>
  <c r="M1424" i="17"/>
  <c r="M1425" i="17"/>
  <c r="M1426" i="17"/>
  <c r="M1427" i="17"/>
  <c r="M1428" i="17"/>
  <c r="M1429" i="17"/>
  <c r="M1430" i="17"/>
  <c r="M1431" i="17"/>
  <c r="M1432" i="17"/>
  <c r="M1433" i="17"/>
  <c r="M1434" i="17"/>
  <c r="M1435" i="17"/>
  <c r="M1436" i="17"/>
  <c r="M1437" i="17"/>
  <c r="M1438" i="17"/>
  <c r="M1439" i="17"/>
  <c r="M1440" i="17"/>
  <c r="M1441" i="17"/>
  <c r="M1442" i="17"/>
  <c r="M1443" i="17"/>
  <c r="M1444" i="17"/>
  <c r="M1445" i="17"/>
  <c r="M1446" i="17"/>
  <c r="M1447" i="17"/>
  <c r="M1448" i="17"/>
  <c r="M1449" i="17"/>
  <c r="M1450" i="17"/>
  <c r="M1451" i="17"/>
  <c r="M1452" i="17"/>
  <c r="M1453" i="17"/>
  <c r="M1454" i="17"/>
  <c r="M1455" i="17"/>
  <c r="M1456" i="17"/>
  <c r="M1457" i="17"/>
  <c r="M1458" i="17"/>
  <c r="M1459" i="17"/>
  <c r="M1460" i="17"/>
  <c r="M1461" i="17"/>
  <c r="M1462" i="17"/>
  <c r="M1463" i="17"/>
  <c r="M1464" i="17"/>
  <c r="M1465" i="17"/>
  <c r="M1466" i="17"/>
  <c r="M1467" i="17"/>
  <c r="M1468" i="17"/>
  <c r="M1469" i="17"/>
  <c r="M1470" i="17"/>
  <c r="M1471" i="17"/>
  <c r="M1472" i="17"/>
  <c r="M1473" i="17"/>
  <c r="M1474" i="17"/>
  <c r="M1475" i="17"/>
  <c r="M1476" i="17"/>
  <c r="M1477" i="17"/>
  <c r="M1478" i="17"/>
  <c r="M1479" i="17"/>
  <c r="M1480" i="17"/>
  <c r="M1481" i="17"/>
  <c r="M1482" i="17"/>
  <c r="M1483" i="17"/>
  <c r="M1484" i="17"/>
  <c r="M1485" i="17"/>
  <c r="M1486" i="17"/>
  <c r="M1487" i="17"/>
  <c r="M1488" i="17"/>
  <c r="M1489" i="17"/>
  <c r="M1490" i="17"/>
  <c r="M1491" i="17"/>
  <c r="M1492" i="17"/>
  <c r="M1493" i="17"/>
  <c r="M1494" i="17"/>
  <c r="M1495" i="17"/>
  <c r="M1496" i="17"/>
  <c r="M1497" i="17"/>
  <c r="M1498" i="17"/>
  <c r="M1499" i="17"/>
  <c r="M1500" i="17"/>
  <c r="M1501" i="17"/>
  <c r="M1502" i="17"/>
  <c r="M1503" i="17"/>
  <c r="M1504" i="17"/>
  <c r="M1505" i="17"/>
  <c r="M1506" i="17"/>
  <c r="M1507" i="17"/>
  <c r="M1508" i="17"/>
  <c r="M1509" i="17"/>
  <c r="M1510" i="17"/>
  <c r="M1511" i="17"/>
  <c r="M1512" i="17"/>
  <c r="M1513" i="17"/>
  <c r="M1514" i="17"/>
  <c r="M1515" i="17"/>
  <c r="M1516" i="17"/>
  <c r="M1517" i="17"/>
  <c r="M1518" i="17"/>
  <c r="M1519" i="17"/>
  <c r="M1520" i="17"/>
  <c r="M1521" i="17"/>
  <c r="M1522" i="17"/>
  <c r="M1523" i="17"/>
  <c r="M1524" i="17"/>
  <c r="M1525" i="17"/>
  <c r="M1526" i="17"/>
  <c r="M1527" i="17"/>
  <c r="M1528" i="17"/>
  <c r="M1529" i="17"/>
  <c r="M1530" i="17"/>
  <c r="M1531" i="17"/>
  <c r="M1532" i="17"/>
  <c r="M1533" i="17"/>
  <c r="M1534" i="17"/>
  <c r="M1535" i="17"/>
  <c r="M1536" i="17"/>
  <c r="M1537" i="17"/>
  <c r="M1538" i="17"/>
  <c r="M1539" i="17"/>
  <c r="M1540" i="17"/>
  <c r="M1541" i="17"/>
  <c r="M1542" i="17"/>
  <c r="M1543" i="17"/>
  <c r="M1544" i="17"/>
  <c r="M1545" i="17"/>
  <c r="M1546" i="17"/>
  <c r="M1547" i="17"/>
  <c r="M1548" i="17"/>
  <c r="M1549" i="17"/>
  <c r="M1550" i="17"/>
  <c r="M1551" i="17"/>
  <c r="M1552" i="17"/>
  <c r="M1553" i="17"/>
  <c r="M1554" i="17"/>
  <c r="M1555" i="17"/>
  <c r="M1556" i="17"/>
  <c r="M1557" i="17"/>
  <c r="M1558" i="17"/>
  <c r="M1559" i="17"/>
  <c r="M1560" i="17"/>
  <c r="M1561" i="17"/>
  <c r="M1562" i="17"/>
  <c r="M1563" i="17"/>
  <c r="M1564" i="17"/>
  <c r="M1565" i="17"/>
  <c r="M1566" i="17"/>
  <c r="M1567" i="17"/>
  <c r="M1568" i="17"/>
  <c r="M1569" i="17"/>
  <c r="M1570" i="17"/>
  <c r="M1571" i="17"/>
  <c r="M1572" i="17"/>
  <c r="M1573" i="17"/>
  <c r="M1574" i="17"/>
  <c r="M1575" i="17"/>
  <c r="M1576" i="17"/>
  <c r="M1577" i="17"/>
  <c r="M1578" i="17"/>
  <c r="M1579" i="17"/>
  <c r="M1580" i="17"/>
  <c r="M1581" i="17"/>
  <c r="M1582" i="17"/>
  <c r="M1583" i="17"/>
  <c r="M1584" i="17"/>
  <c r="M1585" i="17"/>
  <c r="M1586" i="17"/>
  <c r="M1587" i="17"/>
  <c r="M1588" i="17"/>
  <c r="M1589" i="17"/>
  <c r="M1590" i="17"/>
  <c r="M1591" i="17"/>
  <c r="M1592" i="17"/>
  <c r="M1593" i="17"/>
  <c r="M1594" i="17"/>
  <c r="M1595" i="17"/>
  <c r="M1596" i="17"/>
  <c r="M1597" i="17"/>
  <c r="M1598" i="17"/>
  <c r="M1599" i="17"/>
  <c r="M1600" i="17"/>
  <c r="M1601" i="17"/>
  <c r="M1602" i="17"/>
  <c r="M1603" i="17"/>
  <c r="M1604" i="17"/>
  <c r="M1605" i="17"/>
  <c r="M1606" i="17"/>
  <c r="M1607" i="17"/>
  <c r="M1608" i="17"/>
  <c r="M1609" i="17"/>
  <c r="M1610" i="17"/>
  <c r="M1611" i="17"/>
  <c r="M1612" i="17"/>
  <c r="M1613" i="17"/>
  <c r="M1614" i="17"/>
  <c r="M1615" i="17"/>
  <c r="M1616" i="17"/>
  <c r="M1617" i="17"/>
  <c r="M1618" i="17"/>
  <c r="M1619" i="17"/>
  <c r="M1620" i="17"/>
  <c r="M1621" i="17"/>
  <c r="M1622" i="17"/>
  <c r="M1623" i="17"/>
  <c r="M1624" i="17"/>
  <c r="M1625" i="17"/>
  <c r="M1626" i="17"/>
  <c r="M1627" i="17"/>
  <c r="M1628" i="17"/>
  <c r="M1629" i="17"/>
  <c r="M1630" i="17"/>
  <c r="M1631" i="17"/>
  <c r="M1632" i="17"/>
  <c r="M1633" i="17"/>
  <c r="M1634" i="17"/>
  <c r="M1635" i="17"/>
  <c r="M1636" i="17"/>
  <c r="M1637" i="17"/>
  <c r="M1638" i="17"/>
  <c r="M1639" i="17"/>
  <c r="M1640" i="17"/>
  <c r="M1641" i="17"/>
  <c r="M1642" i="17"/>
  <c r="M1643" i="17"/>
  <c r="M1644" i="17"/>
  <c r="M1645" i="17"/>
  <c r="M1646" i="17"/>
  <c r="M1647" i="17"/>
  <c r="M1648" i="17"/>
  <c r="M1649" i="17"/>
  <c r="M1650" i="17"/>
  <c r="M1651" i="17"/>
  <c r="M1652" i="17"/>
  <c r="M1653" i="17"/>
  <c r="M1654" i="17"/>
  <c r="M1655" i="17"/>
  <c r="M1656" i="17"/>
  <c r="M1657" i="17"/>
  <c r="M1658" i="17"/>
  <c r="M1659" i="17"/>
  <c r="M1660" i="17"/>
  <c r="M1661" i="17"/>
  <c r="M1662" i="17"/>
  <c r="M1663" i="17"/>
  <c r="M1664" i="17"/>
  <c r="M1665" i="17"/>
  <c r="M1666" i="17"/>
  <c r="M1667" i="17"/>
  <c r="M1668" i="17"/>
  <c r="M1669" i="17"/>
  <c r="M1670" i="17"/>
  <c r="M1671" i="17"/>
  <c r="M1672" i="17"/>
  <c r="M1673" i="17"/>
  <c r="M1674" i="17"/>
  <c r="M1675" i="17"/>
  <c r="M1676" i="17"/>
  <c r="M1677" i="17"/>
  <c r="M1678" i="17"/>
  <c r="M1679" i="17"/>
  <c r="M1680" i="17"/>
  <c r="M1681" i="17"/>
  <c r="M1682" i="17"/>
  <c r="M1683" i="17"/>
  <c r="M1684" i="17"/>
  <c r="M1685" i="17"/>
  <c r="M1686" i="17"/>
  <c r="M1687" i="17"/>
  <c r="M1688" i="17"/>
  <c r="M1689" i="17"/>
  <c r="M1690" i="17"/>
  <c r="M1691" i="17"/>
  <c r="M1692" i="17"/>
  <c r="M1693" i="17"/>
  <c r="M1694" i="17"/>
  <c r="M1695" i="17"/>
  <c r="M1696" i="17"/>
  <c r="M1697" i="17"/>
  <c r="M1698" i="17"/>
  <c r="M1699" i="17"/>
  <c r="M1700" i="17"/>
  <c r="M1701" i="17"/>
  <c r="M1702" i="17"/>
  <c r="M1703" i="17"/>
  <c r="M1704" i="17"/>
  <c r="M1705" i="17"/>
  <c r="M1706" i="17"/>
  <c r="M1707" i="17"/>
  <c r="M1708" i="17"/>
  <c r="M1709" i="17"/>
  <c r="M1710" i="17"/>
  <c r="M1711" i="17"/>
  <c r="M1712" i="17"/>
  <c r="M1713" i="17"/>
  <c r="M1714" i="17"/>
  <c r="M1715" i="17"/>
  <c r="M1716" i="17"/>
  <c r="M1717" i="17"/>
  <c r="M1718" i="17"/>
  <c r="M1719" i="17"/>
  <c r="M1720" i="17"/>
  <c r="M1721" i="17"/>
  <c r="M1722" i="17"/>
  <c r="M1723" i="17"/>
  <c r="M1724" i="17"/>
  <c r="M1725" i="17"/>
  <c r="M1726" i="17"/>
  <c r="M1727" i="17"/>
  <c r="M1728" i="17"/>
  <c r="M1729" i="17"/>
  <c r="M1730" i="17"/>
  <c r="M1731" i="17"/>
  <c r="M1732" i="17"/>
  <c r="M1733" i="17"/>
  <c r="M1734" i="17"/>
  <c r="M1735" i="17"/>
  <c r="M1736" i="17"/>
  <c r="M1737" i="17"/>
  <c r="M1738" i="17"/>
  <c r="M1739" i="17"/>
  <c r="M1740" i="17"/>
  <c r="M1741" i="17"/>
  <c r="M1742" i="17"/>
  <c r="M1743" i="17"/>
  <c r="M1744" i="17"/>
  <c r="M1745" i="17"/>
  <c r="M1746" i="17"/>
  <c r="M1747" i="17"/>
  <c r="M1748" i="17"/>
  <c r="M1749" i="17"/>
  <c r="M1750" i="17"/>
  <c r="M1751" i="17"/>
  <c r="M1752" i="17"/>
  <c r="M1753" i="17"/>
  <c r="M1754" i="17"/>
  <c r="M1755" i="17"/>
  <c r="M1756" i="17"/>
  <c r="M1757" i="17"/>
  <c r="M1758" i="17"/>
  <c r="M1759" i="17"/>
  <c r="M1760" i="17"/>
  <c r="M1761" i="17"/>
  <c r="M1762" i="17"/>
  <c r="M1763" i="17"/>
  <c r="M1764" i="17"/>
  <c r="M1765" i="17"/>
  <c r="M1766" i="17"/>
  <c r="M1767" i="17"/>
  <c r="M1768" i="17"/>
  <c r="M1769" i="17"/>
  <c r="M1770" i="17"/>
  <c r="M1771" i="17"/>
  <c r="M1772" i="17"/>
  <c r="M1773" i="17"/>
  <c r="M1774" i="17"/>
  <c r="M1775" i="17"/>
  <c r="M1776" i="17"/>
  <c r="M1777" i="17"/>
  <c r="M1778" i="17"/>
  <c r="M1779" i="17"/>
  <c r="M1780" i="17"/>
  <c r="M1781" i="17"/>
  <c r="M1782" i="17"/>
  <c r="M1783" i="17"/>
  <c r="M1784" i="17"/>
  <c r="M1785" i="17"/>
  <c r="M1786" i="17"/>
  <c r="M1787" i="17"/>
  <c r="M1788" i="17"/>
  <c r="M1789" i="17"/>
  <c r="M1790" i="17"/>
  <c r="M1791" i="17"/>
  <c r="M1792" i="17"/>
  <c r="M1793" i="17"/>
  <c r="M1794" i="17"/>
  <c r="M1795" i="17"/>
  <c r="M1796" i="17"/>
  <c r="M1797" i="17"/>
  <c r="M1798" i="17"/>
  <c r="M1799" i="17"/>
  <c r="M1800" i="17"/>
  <c r="M1801" i="17"/>
  <c r="M1802" i="17"/>
  <c r="M1803" i="17"/>
  <c r="M1804" i="17"/>
  <c r="M1805" i="17"/>
  <c r="M1806" i="17"/>
  <c r="M1807" i="17"/>
  <c r="M1808" i="17"/>
  <c r="M1809" i="17"/>
  <c r="M1810" i="17"/>
  <c r="M1811" i="17"/>
  <c r="M1812" i="17"/>
  <c r="M1813" i="17"/>
  <c r="M1814" i="17"/>
  <c r="M1815" i="17"/>
  <c r="M1816" i="17"/>
  <c r="M1817" i="17"/>
  <c r="M1818" i="17"/>
  <c r="M1819" i="17"/>
  <c r="M1820" i="17"/>
  <c r="M1821" i="17"/>
  <c r="M1822" i="17"/>
  <c r="M1823" i="17"/>
  <c r="M1824" i="17"/>
  <c r="M1825" i="17"/>
  <c r="M1826" i="17"/>
  <c r="M1827" i="17"/>
  <c r="M1828" i="17"/>
  <c r="M1829" i="17"/>
  <c r="M1830" i="17"/>
  <c r="M1831" i="17"/>
  <c r="M1832" i="17"/>
  <c r="M1833" i="17"/>
  <c r="M1834" i="17"/>
  <c r="M1835" i="17"/>
  <c r="M1836" i="17"/>
  <c r="M1837" i="17"/>
  <c r="M1838" i="17"/>
  <c r="M1839" i="17"/>
  <c r="M1840" i="17"/>
  <c r="M1841" i="17"/>
  <c r="M1842" i="17"/>
  <c r="M1843" i="17"/>
  <c r="M1844" i="17"/>
  <c r="M1845" i="17"/>
  <c r="M1846" i="17"/>
  <c r="M1847" i="17"/>
  <c r="M1848" i="17"/>
  <c r="M1849" i="17"/>
  <c r="M1850" i="17"/>
  <c r="M1851" i="17"/>
  <c r="M1852" i="17"/>
  <c r="M1853" i="17"/>
  <c r="M1854" i="17"/>
  <c r="M1855" i="17"/>
  <c r="M1856" i="17"/>
  <c r="M1857" i="17"/>
  <c r="M1858" i="17"/>
  <c r="M1859" i="17"/>
  <c r="M1860" i="17"/>
  <c r="M1861" i="17"/>
  <c r="M1862" i="17"/>
  <c r="M1863" i="17"/>
  <c r="M1864" i="17"/>
  <c r="M1865" i="17"/>
  <c r="M1866" i="17"/>
  <c r="M1867" i="17"/>
  <c r="M1868" i="17"/>
  <c r="M1869" i="17"/>
  <c r="M1870" i="17"/>
  <c r="M1871" i="17"/>
  <c r="M1872" i="17"/>
  <c r="M1873" i="17"/>
  <c r="M1874" i="17"/>
  <c r="M1875" i="17"/>
  <c r="M1876" i="17"/>
  <c r="M1877" i="17"/>
  <c r="M1878" i="17"/>
  <c r="M1879" i="17"/>
  <c r="M1880" i="17"/>
  <c r="M1881" i="17"/>
  <c r="M1882" i="17"/>
  <c r="M1883" i="17"/>
  <c r="M1884" i="17"/>
  <c r="M1885" i="17"/>
  <c r="M1886" i="17"/>
  <c r="M1887" i="17"/>
  <c r="M1888" i="17"/>
  <c r="M1889" i="17"/>
  <c r="M1890" i="17"/>
  <c r="M1891" i="17"/>
  <c r="M1892" i="17"/>
  <c r="M1893" i="17"/>
  <c r="M1894" i="17"/>
  <c r="M1895" i="17"/>
  <c r="M1896" i="17"/>
  <c r="M1897" i="17"/>
  <c r="M1898" i="17"/>
  <c r="M1899" i="17"/>
  <c r="M1900" i="17"/>
  <c r="M1901" i="17"/>
  <c r="M1902" i="17"/>
  <c r="M1903" i="17"/>
  <c r="M1904" i="17"/>
  <c r="M1905" i="17"/>
  <c r="M1906" i="17"/>
  <c r="M1907" i="17"/>
  <c r="M1908" i="17"/>
  <c r="M1909" i="17"/>
  <c r="M1910" i="17"/>
  <c r="M1911" i="17"/>
  <c r="M1912" i="17"/>
  <c r="M1913" i="17"/>
  <c r="M1914" i="17"/>
  <c r="M1915" i="17"/>
  <c r="M1916" i="17"/>
  <c r="M1917" i="17"/>
  <c r="M1918" i="17"/>
  <c r="M1919" i="17"/>
  <c r="M1920" i="17"/>
  <c r="M1921" i="17"/>
  <c r="M1922" i="17"/>
  <c r="M1923" i="17"/>
  <c r="M1924" i="17"/>
  <c r="M1925" i="17"/>
  <c r="M1926" i="17"/>
  <c r="M1927" i="17"/>
  <c r="M1928" i="17"/>
  <c r="M1929" i="17"/>
  <c r="M1930" i="17"/>
  <c r="M1931" i="17"/>
  <c r="M1932" i="17"/>
  <c r="M1933" i="17"/>
  <c r="M1934" i="17"/>
  <c r="M1935" i="17"/>
  <c r="M1936" i="17"/>
  <c r="M1937" i="17"/>
  <c r="M1938" i="17"/>
  <c r="M1939" i="17"/>
  <c r="M1940" i="17"/>
  <c r="M1941" i="17"/>
  <c r="M1942" i="17"/>
  <c r="M1943" i="17"/>
  <c r="M1944" i="17"/>
  <c r="M1945" i="17"/>
  <c r="M1946" i="17"/>
  <c r="M1947" i="17"/>
  <c r="M1948" i="17"/>
  <c r="M1949" i="17"/>
  <c r="M1950" i="17"/>
  <c r="M1951" i="17"/>
  <c r="M1952" i="17"/>
  <c r="M1953" i="17"/>
  <c r="M1954" i="17"/>
  <c r="M1955" i="17"/>
  <c r="M1956" i="17"/>
  <c r="M1957" i="17"/>
  <c r="M1958" i="17"/>
  <c r="M1959" i="17"/>
  <c r="M1960" i="17"/>
  <c r="M1961" i="17"/>
  <c r="M1962" i="17"/>
  <c r="M1963" i="17"/>
  <c r="M1964" i="17"/>
  <c r="M1965" i="17"/>
  <c r="M1966" i="17"/>
  <c r="M1967" i="17"/>
  <c r="M1968" i="17"/>
  <c r="M1969" i="17"/>
  <c r="M1970" i="17"/>
  <c r="M1971" i="17"/>
  <c r="M1972" i="17"/>
  <c r="M1973" i="17"/>
  <c r="M1974" i="17"/>
  <c r="M1975" i="17"/>
  <c r="M1976" i="17"/>
  <c r="M1977" i="17"/>
  <c r="M1978" i="17"/>
  <c r="M1979" i="17"/>
  <c r="M1980" i="17"/>
  <c r="M1981" i="17"/>
  <c r="M1982" i="17"/>
  <c r="M1983" i="17"/>
  <c r="M1984" i="17"/>
  <c r="M1985" i="17"/>
  <c r="M1986" i="17"/>
  <c r="M1987" i="17"/>
  <c r="M1988" i="17"/>
  <c r="M1989" i="17"/>
  <c r="M1990" i="17"/>
  <c r="M1991" i="17"/>
  <c r="M1992" i="17"/>
  <c r="M1993" i="17"/>
  <c r="M1994" i="17"/>
  <c r="M1995" i="17"/>
  <c r="M1996" i="17"/>
  <c r="M1997" i="17"/>
  <c r="M1998" i="17"/>
  <c r="M1999" i="17"/>
  <c r="M2000" i="17"/>
  <c r="M2001"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1002" i="17"/>
  <c r="L1003" i="17"/>
  <c r="L1004" i="17"/>
  <c r="L1005" i="17"/>
  <c r="L1006" i="17"/>
  <c r="L1007" i="17"/>
  <c r="L1008" i="17"/>
  <c r="L1009" i="17"/>
  <c r="L1010" i="17"/>
  <c r="L1011" i="17"/>
  <c r="L1012" i="17"/>
  <c r="L1013" i="17"/>
  <c r="L1014" i="17"/>
  <c r="L1015" i="17"/>
  <c r="L1016" i="17"/>
  <c r="L1017" i="17"/>
  <c r="L1018" i="17"/>
  <c r="L1019" i="17"/>
  <c r="L1020" i="17"/>
  <c r="L1021" i="17"/>
  <c r="L1022" i="17"/>
  <c r="L1023" i="17"/>
  <c r="L1024" i="17"/>
  <c r="L1025" i="17"/>
  <c r="L1026" i="17"/>
  <c r="L1027" i="17"/>
  <c r="L1028" i="17"/>
  <c r="L1029" i="17"/>
  <c r="L1030" i="17"/>
  <c r="L1031" i="17"/>
  <c r="L1032" i="17"/>
  <c r="L1033" i="17"/>
  <c r="L1034" i="17"/>
  <c r="L1035" i="17"/>
  <c r="L1036" i="17"/>
  <c r="L1037" i="17"/>
  <c r="L1038" i="17"/>
  <c r="L1039" i="17"/>
  <c r="L1040" i="17"/>
  <c r="L1041" i="17"/>
  <c r="L1042" i="17"/>
  <c r="L1043" i="17"/>
  <c r="L1044" i="17"/>
  <c r="L1045" i="17"/>
  <c r="L1046" i="17"/>
  <c r="L1047" i="17"/>
  <c r="L1048" i="17"/>
  <c r="L1049" i="17"/>
  <c r="L1050" i="17"/>
  <c r="L1051" i="17"/>
  <c r="L1052" i="17"/>
  <c r="L1053" i="17"/>
  <c r="L1054" i="17"/>
  <c r="L1055" i="17"/>
  <c r="L1056" i="17"/>
  <c r="L1057" i="17"/>
  <c r="L1058" i="17"/>
  <c r="L1059" i="17"/>
  <c r="L1060" i="17"/>
  <c r="L1061" i="17"/>
  <c r="L1062" i="17"/>
  <c r="L1063" i="17"/>
  <c r="L1064" i="17"/>
  <c r="L1065" i="17"/>
  <c r="L1066" i="17"/>
  <c r="L1067" i="17"/>
  <c r="L1068" i="17"/>
  <c r="L1069" i="17"/>
  <c r="L1070" i="17"/>
  <c r="L1071" i="17"/>
  <c r="L1072" i="17"/>
  <c r="L1073" i="17"/>
  <c r="L1074" i="17"/>
  <c r="L1075" i="17"/>
  <c r="L1076" i="17"/>
  <c r="L1077" i="17"/>
  <c r="L1078" i="17"/>
  <c r="L1079" i="17"/>
  <c r="L1080" i="17"/>
  <c r="L1081" i="17"/>
  <c r="L1082" i="17"/>
  <c r="L1083" i="17"/>
  <c r="L1084" i="17"/>
  <c r="L1085" i="17"/>
  <c r="L1086" i="17"/>
  <c r="L1087" i="17"/>
  <c r="L1088" i="17"/>
  <c r="L1089" i="17"/>
  <c r="L1090" i="17"/>
  <c r="L1091" i="17"/>
  <c r="L1092" i="17"/>
  <c r="L1093" i="17"/>
  <c r="L1094" i="17"/>
  <c r="L1095" i="17"/>
  <c r="L1096" i="17"/>
  <c r="L1097" i="17"/>
  <c r="L1098" i="17"/>
  <c r="L1099" i="17"/>
  <c r="L1100" i="17"/>
  <c r="L1101" i="17"/>
  <c r="L1102" i="17"/>
  <c r="L1103" i="17"/>
  <c r="L1104" i="17"/>
  <c r="L1105" i="17"/>
  <c r="L1106" i="17"/>
  <c r="L1107" i="17"/>
  <c r="L1108" i="17"/>
  <c r="L1109" i="17"/>
  <c r="L1110" i="17"/>
  <c r="L1111" i="17"/>
  <c r="L1112" i="17"/>
  <c r="L1113" i="17"/>
  <c r="L1114" i="17"/>
  <c r="L1115" i="17"/>
  <c r="L1116" i="17"/>
  <c r="L1117" i="17"/>
  <c r="L1118" i="17"/>
  <c r="L1119" i="17"/>
  <c r="L1120" i="17"/>
  <c r="L1121" i="17"/>
  <c r="L1122" i="17"/>
  <c r="L1123" i="17"/>
  <c r="L1124" i="17"/>
  <c r="L1125" i="17"/>
  <c r="L1126" i="17"/>
  <c r="L1127" i="17"/>
  <c r="L1128" i="17"/>
  <c r="L1129" i="17"/>
  <c r="L1130" i="17"/>
  <c r="L1131" i="17"/>
  <c r="L1132" i="17"/>
  <c r="L1133" i="17"/>
  <c r="L1134" i="17"/>
  <c r="L1135" i="17"/>
  <c r="L1136" i="17"/>
  <c r="L1137" i="17"/>
  <c r="L1138" i="17"/>
  <c r="L1139" i="17"/>
  <c r="L1140" i="17"/>
  <c r="L1141" i="17"/>
  <c r="L1142" i="17"/>
  <c r="L1143" i="17"/>
  <c r="L1144" i="17"/>
  <c r="L1145" i="17"/>
  <c r="L1146" i="17"/>
  <c r="L1147" i="17"/>
  <c r="L1148" i="17"/>
  <c r="L1149" i="17"/>
  <c r="L1150" i="17"/>
  <c r="L1151" i="17"/>
  <c r="L1152" i="17"/>
  <c r="L1153" i="17"/>
  <c r="L1154" i="17"/>
  <c r="L1155" i="17"/>
  <c r="L1156" i="17"/>
  <c r="L1157" i="17"/>
  <c r="L1158" i="17"/>
  <c r="L1159" i="17"/>
  <c r="L1160" i="17"/>
  <c r="L1161" i="17"/>
  <c r="L1162" i="17"/>
  <c r="L1163" i="17"/>
  <c r="L1164" i="17"/>
  <c r="L1165" i="17"/>
  <c r="L1166" i="17"/>
  <c r="L1167" i="17"/>
  <c r="L1168" i="17"/>
  <c r="L1169" i="17"/>
  <c r="L1170" i="17"/>
  <c r="L1171" i="17"/>
  <c r="L1172" i="17"/>
  <c r="L1173" i="17"/>
  <c r="L1174" i="17"/>
  <c r="L1175" i="17"/>
  <c r="L1176" i="17"/>
  <c r="L1177" i="17"/>
  <c r="L1178" i="17"/>
  <c r="L1179" i="17"/>
  <c r="L1180" i="17"/>
  <c r="L1181" i="17"/>
  <c r="L1182" i="17"/>
  <c r="L1183" i="17"/>
  <c r="L1184" i="17"/>
  <c r="L1185" i="17"/>
  <c r="L1186" i="17"/>
  <c r="L1187" i="17"/>
  <c r="L1188" i="17"/>
  <c r="L1189" i="17"/>
  <c r="L1190" i="17"/>
  <c r="L1191" i="17"/>
  <c r="L1192" i="17"/>
  <c r="L1193" i="17"/>
  <c r="L1194" i="17"/>
  <c r="L1195" i="17"/>
  <c r="L1196" i="17"/>
  <c r="L1197" i="17"/>
  <c r="L1198" i="17"/>
  <c r="L1199" i="17"/>
  <c r="L1200" i="17"/>
  <c r="L1201" i="17"/>
  <c r="L1202" i="17"/>
  <c r="L1203" i="17"/>
  <c r="L1204" i="17"/>
  <c r="L1205" i="17"/>
  <c r="L1206" i="17"/>
  <c r="L1207" i="17"/>
  <c r="L1208" i="17"/>
  <c r="L1209" i="17"/>
  <c r="L1210" i="17"/>
  <c r="L1211" i="17"/>
  <c r="L1212" i="17"/>
  <c r="L1213" i="17"/>
  <c r="L1214" i="17"/>
  <c r="L1215" i="17"/>
  <c r="L1216" i="17"/>
  <c r="L1217" i="17"/>
  <c r="L1218" i="17"/>
  <c r="L1219" i="17"/>
  <c r="L1220" i="17"/>
  <c r="L1221" i="17"/>
  <c r="L1222" i="17"/>
  <c r="L1223" i="17"/>
  <c r="L1224" i="17"/>
  <c r="L1225" i="17"/>
  <c r="L1226" i="17"/>
  <c r="L1227" i="17"/>
  <c r="L1228" i="17"/>
  <c r="L1229" i="17"/>
  <c r="L1230" i="17"/>
  <c r="L1231" i="17"/>
  <c r="L1232" i="17"/>
  <c r="L1233" i="17"/>
  <c r="L1234" i="17"/>
  <c r="L1235" i="17"/>
  <c r="L1236" i="17"/>
  <c r="L1237" i="17"/>
  <c r="L1238" i="17"/>
  <c r="L1239" i="17"/>
  <c r="L1240" i="17"/>
  <c r="L1241" i="17"/>
  <c r="L1242" i="17"/>
  <c r="L1243" i="17"/>
  <c r="L1244" i="17"/>
  <c r="L1245" i="17"/>
  <c r="L1246" i="17"/>
  <c r="L1247" i="17"/>
  <c r="L1248" i="17"/>
  <c r="L1249" i="17"/>
  <c r="L1250" i="17"/>
  <c r="L1251" i="17"/>
  <c r="L1252" i="17"/>
  <c r="L1253" i="17"/>
  <c r="L1254" i="17"/>
  <c r="L1255" i="17"/>
  <c r="L1256" i="17"/>
  <c r="L1257" i="17"/>
  <c r="L1258" i="17"/>
  <c r="L1259" i="17"/>
  <c r="L1260" i="17"/>
  <c r="L1261" i="17"/>
  <c r="L1262" i="17"/>
  <c r="L1263" i="17"/>
  <c r="L1264" i="17"/>
  <c r="L1265" i="17"/>
  <c r="L1266" i="17"/>
  <c r="L1267" i="17"/>
  <c r="L1268" i="17"/>
  <c r="L1269" i="17"/>
  <c r="L1270" i="17"/>
  <c r="L1271" i="17"/>
  <c r="L1272" i="17"/>
  <c r="L1273" i="17"/>
  <c r="L1274" i="17"/>
  <c r="L1275" i="17"/>
  <c r="L1276" i="17"/>
  <c r="L1277" i="17"/>
  <c r="L1278" i="17"/>
  <c r="L1279" i="17"/>
  <c r="L1280" i="17"/>
  <c r="L1281" i="17"/>
  <c r="L1282" i="17"/>
  <c r="L1283" i="17"/>
  <c r="L1284" i="17"/>
  <c r="L1285" i="17"/>
  <c r="L1286" i="17"/>
  <c r="L1287" i="17"/>
  <c r="L1288" i="17"/>
  <c r="L1289" i="17"/>
  <c r="L1290" i="17"/>
  <c r="L1291" i="17"/>
  <c r="L1292" i="17"/>
  <c r="L1293" i="17"/>
  <c r="L1294" i="17"/>
  <c r="L1295" i="17"/>
  <c r="L1296" i="17"/>
  <c r="L1297" i="17"/>
  <c r="L1298" i="17"/>
  <c r="L1299" i="17"/>
  <c r="L1300" i="17"/>
  <c r="L1301" i="17"/>
  <c r="L1302" i="17"/>
  <c r="L1303" i="17"/>
  <c r="L1304" i="17"/>
  <c r="L1305" i="17"/>
  <c r="L1306" i="17"/>
  <c r="L1307" i="17"/>
  <c r="L1308" i="17"/>
  <c r="L1309" i="17"/>
  <c r="L1310" i="17"/>
  <c r="L1311" i="17"/>
  <c r="L1312" i="17"/>
  <c r="L1313" i="17"/>
  <c r="L1314" i="17"/>
  <c r="L1315" i="17"/>
  <c r="L1316" i="17"/>
  <c r="L1317" i="17"/>
  <c r="L1318" i="17"/>
  <c r="L1319" i="17"/>
  <c r="L1320" i="17"/>
  <c r="L1321" i="17"/>
  <c r="L1322" i="17"/>
  <c r="L1323" i="17"/>
  <c r="L1324" i="17"/>
  <c r="L1325" i="17"/>
  <c r="L1326" i="17"/>
  <c r="L1327" i="17"/>
  <c r="L1328" i="17"/>
  <c r="L1329" i="17"/>
  <c r="L1330" i="17"/>
  <c r="L1331" i="17"/>
  <c r="L1332" i="17"/>
  <c r="L1333" i="17"/>
  <c r="L1334" i="17"/>
  <c r="L1335" i="17"/>
  <c r="L1336" i="17"/>
  <c r="L1337" i="17"/>
  <c r="L1338" i="17"/>
  <c r="L1339" i="17"/>
  <c r="L1340" i="17"/>
  <c r="L1341" i="17"/>
  <c r="L1342" i="17"/>
  <c r="L1343" i="17"/>
  <c r="L1344" i="17"/>
  <c r="L1345" i="17"/>
  <c r="L1346" i="17"/>
  <c r="L1347" i="17"/>
  <c r="L1348" i="17"/>
  <c r="L1349" i="17"/>
  <c r="L1350" i="17"/>
  <c r="L1351" i="17"/>
  <c r="L1352" i="17"/>
  <c r="L1353" i="17"/>
  <c r="L1354" i="17"/>
  <c r="L1355" i="17"/>
  <c r="L1356" i="17"/>
  <c r="L1357" i="17"/>
  <c r="L1358" i="17"/>
  <c r="L1359" i="17"/>
  <c r="L1360" i="17"/>
  <c r="L1361" i="17"/>
  <c r="L1362" i="17"/>
  <c r="L1363" i="17"/>
  <c r="L1364" i="17"/>
  <c r="L1365" i="17"/>
  <c r="L1366" i="17"/>
  <c r="L1367" i="17"/>
  <c r="L1368" i="17"/>
  <c r="L1369" i="17"/>
  <c r="L1370" i="17"/>
  <c r="L1371" i="17"/>
  <c r="L1372" i="17"/>
  <c r="L1373" i="17"/>
  <c r="L1374" i="17"/>
  <c r="L1375" i="17"/>
  <c r="L1376" i="17"/>
  <c r="L1377" i="17"/>
  <c r="L1378" i="17"/>
  <c r="L1379" i="17"/>
  <c r="L1380" i="17"/>
  <c r="L1381" i="17"/>
  <c r="L1382" i="17"/>
  <c r="L1383" i="17"/>
  <c r="L1384" i="17"/>
  <c r="L1385" i="17"/>
  <c r="L1386" i="17"/>
  <c r="L1387" i="17"/>
  <c r="L1388" i="17"/>
  <c r="L1389" i="17"/>
  <c r="L1390" i="17"/>
  <c r="L1391" i="17"/>
  <c r="L1392" i="17"/>
  <c r="L1393" i="17"/>
  <c r="L1394" i="17"/>
  <c r="L1395" i="17"/>
  <c r="L1396" i="17"/>
  <c r="L1397" i="17"/>
  <c r="L1398" i="17"/>
  <c r="L1399" i="17"/>
  <c r="L1400" i="17"/>
  <c r="L1401" i="17"/>
  <c r="L1402" i="17"/>
  <c r="L1403" i="17"/>
  <c r="L1404" i="17"/>
  <c r="L1405" i="17"/>
  <c r="L1406" i="17"/>
  <c r="L1407" i="17"/>
  <c r="L1408" i="17"/>
  <c r="L1409" i="17"/>
  <c r="L1410" i="17"/>
  <c r="L1411" i="17"/>
  <c r="L1412" i="17"/>
  <c r="L1413" i="17"/>
  <c r="L1414" i="17"/>
  <c r="L1415" i="17"/>
  <c r="L1416" i="17"/>
  <c r="L1417" i="17"/>
  <c r="L1418" i="17"/>
  <c r="L1419" i="17"/>
  <c r="L1420" i="17"/>
  <c r="L1421" i="17"/>
  <c r="L1422" i="17"/>
  <c r="L1423" i="17"/>
  <c r="L1424" i="17"/>
  <c r="L1425" i="17"/>
  <c r="L1426" i="17"/>
  <c r="L1427" i="17"/>
  <c r="L1428" i="17"/>
  <c r="L1429" i="17"/>
  <c r="L1430" i="17"/>
  <c r="L1431" i="17"/>
  <c r="L1432" i="17"/>
  <c r="L1433" i="17"/>
  <c r="L1434" i="17"/>
  <c r="L1435" i="17"/>
  <c r="L1436" i="17"/>
  <c r="L1437" i="17"/>
  <c r="L1438" i="17"/>
  <c r="L1439" i="17"/>
  <c r="L1440" i="17"/>
  <c r="L1441" i="17"/>
  <c r="L1442" i="17"/>
  <c r="L1443" i="17"/>
  <c r="L1444" i="17"/>
  <c r="L1445" i="17"/>
  <c r="L1446" i="17"/>
  <c r="L1447" i="17"/>
  <c r="L1448" i="17"/>
  <c r="L1449" i="17"/>
  <c r="L1450" i="17"/>
  <c r="L1451" i="17"/>
  <c r="L1452" i="17"/>
  <c r="L1453" i="17"/>
  <c r="L1454" i="17"/>
  <c r="L1455" i="17"/>
  <c r="L1456" i="17"/>
  <c r="L1457" i="17"/>
  <c r="L1458" i="17"/>
  <c r="L1459" i="17"/>
  <c r="L1460" i="17"/>
  <c r="L1461" i="17"/>
  <c r="L1462" i="17"/>
  <c r="L1463" i="17"/>
  <c r="L1464" i="17"/>
  <c r="L1465" i="17"/>
  <c r="L1466" i="17"/>
  <c r="L1467" i="17"/>
  <c r="L1468" i="17"/>
  <c r="L1469" i="17"/>
  <c r="L1470" i="17"/>
  <c r="L1471" i="17"/>
  <c r="L1472" i="17"/>
  <c r="L1473" i="17"/>
  <c r="L1474" i="17"/>
  <c r="L1475" i="17"/>
  <c r="L1476" i="17"/>
  <c r="L1477" i="17"/>
  <c r="L1478" i="17"/>
  <c r="L1479" i="17"/>
  <c r="L1480" i="17"/>
  <c r="L1481" i="17"/>
  <c r="L1482" i="17"/>
  <c r="L1483" i="17"/>
  <c r="L1484" i="17"/>
  <c r="L1485" i="17"/>
  <c r="L1486" i="17"/>
  <c r="L1487" i="17"/>
  <c r="L1488" i="17"/>
  <c r="L1489" i="17"/>
  <c r="L1490" i="17"/>
  <c r="L1491" i="17"/>
  <c r="L1492" i="17"/>
  <c r="L1493" i="17"/>
  <c r="L1494" i="17"/>
  <c r="L1495" i="17"/>
  <c r="L1496" i="17"/>
  <c r="L1497" i="17"/>
  <c r="L1498" i="17"/>
  <c r="L1499" i="17"/>
  <c r="L1500" i="17"/>
  <c r="L1501" i="17"/>
  <c r="L1502" i="17"/>
  <c r="L1503" i="17"/>
  <c r="L1504" i="17"/>
  <c r="L1505" i="17"/>
  <c r="L1506" i="17"/>
  <c r="L1507" i="17"/>
  <c r="L1508" i="17"/>
  <c r="L1509" i="17"/>
  <c r="L1510" i="17"/>
  <c r="L1511" i="17"/>
  <c r="L1512" i="17"/>
  <c r="L1513" i="17"/>
  <c r="L1514" i="17"/>
  <c r="L1515" i="17"/>
  <c r="L1516" i="17"/>
  <c r="L1517" i="17"/>
  <c r="L1518" i="17"/>
  <c r="L1519" i="17"/>
  <c r="L1520" i="17"/>
  <c r="L1521" i="17"/>
  <c r="L1522" i="17"/>
  <c r="L1523" i="17"/>
  <c r="L1524" i="17"/>
  <c r="L1525" i="17"/>
  <c r="L1526" i="17"/>
  <c r="L1527" i="17"/>
  <c r="L1528" i="17"/>
  <c r="L1529" i="17"/>
  <c r="L1530" i="17"/>
  <c r="L1531" i="17"/>
  <c r="L1532" i="17"/>
  <c r="L1533" i="17"/>
  <c r="L1534" i="17"/>
  <c r="L1535" i="17"/>
  <c r="L1536" i="17"/>
  <c r="L1537" i="17"/>
  <c r="L1538" i="17"/>
  <c r="L1539" i="17"/>
  <c r="L1540" i="17"/>
  <c r="L1541" i="17"/>
  <c r="L1542" i="17"/>
  <c r="L1543" i="17"/>
  <c r="L1544" i="17"/>
  <c r="L1545" i="17"/>
  <c r="L1546" i="17"/>
  <c r="L1547" i="17"/>
  <c r="L1548" i="17"/>
  <c r="L1549" i="17"/>
  <c r="L1550" i="17"/>
  <c r="L1551" i="17"/>
  <c r="L1552" i="17"/>
  <c r="L1553" i="17"/>
  <c r="L1554" i="17"/>
  <c r="L1555" i="17"/>
  <c r="L1556" i="17"/>
  <c r="L1557" i="17"/>
  <c r="L1558" i="17"/>
  <c r="L1559" i="17"/>
  <c r="L1560" i="17"/>
  <c r="L1561" i="17"/>
  <c r="L1562" i="17"/>
  <c r="L1563" i="17"/>
  <c r="L1564" i="17"/>
  <c r="L1565" i="17"/>
  <c r="L1566" i="17"/>
  <c r="L1567" i="17"/>
  <c r="L1568" i="17"/>
  <c r="L1569" i="17"/>
  <c r="L1570" i="17"/>
  <c r="L1571" i="17"/>
  <c r="L1572" i="17"/>
  <c r="L1573" i="17"/>
  <c r="L1574" i="17"/>
  <c r="L1575" i="17"/>
  <c r="L1576" i="17"/>
  <c r="L1577" i="17"/>
  <c r="L1578" i="17"/>
  <c r="L1579" i="17"/>
  <c r="L1580" i="17"/>
  <c r="L1581" i="17"/>
  <c r="L1582" i="17"/>
  <c r="L1583" i="17"/>
  <c r="L1584" i="17"/>
  <c r="L1585" i="17"/>
  <c r="L1586" i="17"/>
  <c r="L1587" i="17"/>
  <c r="L1588" i="17"/>
  <c r="L1589" i="17"/>
  <c r="L1590" i="17"/>
  <c r="L1591" i="17"/>
  <c r="L1592" i="17"/>
  <c r="L1593" i="17"/>
  <c r="L1594" i="17"/>
  <c r="L1595" i="17"/>
  <c r="L1596" i="17"/>
  <c r="L1597" i="17"/>
  <c r="L1598" i="17"/>
  <c r="L1599" i="17"/>
  <c r="L1600" i="17"/>
  <c r="L1601" i="17"/>
  <c r="L1602" i="17"/>
  <c r="L1603" i="17"/>
  <c r="L1604" i="17"/>
  <c r="L1605" i="17"/>
  <c r="L1606" i="17"/>
  <c r="L1607" i="17"/>
  <c r="L1608" i="17"/>
  <c r="L1609" i="17"/>
  <c r="L1610" i="17"/>
  <c r="L1611" i="17"/>
  <c r="L1612" i="17"/>
  <c r="L1613" i="17"/>
  <c r="L1614" i="17"/>
  <c r="L1615" i="17"/>
  <c r="L1616" i="17"/>
  <c r="L1617" i="17"/>
  <c r="L1618" i="17"/>
  <c r="L1619" i="17"/>
  <c r="L1620" i="17"/>
  <c r="L1621" i="17"/>
  <c r="L1622" i="17"/>
  <c r="L1623" i="17"/>
  <c r="L1624" i="17"/>
  <c r="L1625" i="17"/>
  <c r="L1626" i="17"/>
  <c r="L1627" i="17"/>
  <c r="L1628" i="17"/>
  <c r="L1629" i="17"/>
  <c r="L1630" i="17"/>
  <c r="L1631" i="17"/>
  <c r="L1632" i="17"/>
  <c r="L1633" i="17"/>
  <c r="L1634" i="17"/>
  <c r="L1635" i="17"/>
  <c r="L1636" i="17"/>
  <c r="L1637" i="17"/>
  <c r="L1638" i="17"/>
  <c r="L1639" i="17"/>
  <c r="L1640" i="17"/>
  <c r="L1641" i="17"/>
  <c r="L1642" i="17"/>
  <c r="L1643" i="17"/>
  <c r="L1644" i="17"/>
  <c r="L1645" i="17"/>
  <c r="L1646" i="17"/>
  <c r="L1647" i="17"/>
  <c r="L1648" i="17"/>
  <c r="L1649" i="17"/>
  <c r="L1650" i="17"/>
  <c r="L1651" i="17"/>
  <c r="L1652" i="17"/>
  <c r="L1653" i="17"/>
  <c r="L1654" i="17"/>
  <c r="L1655" i="17"/>
  <c r="L1656" i="17"/>
  <c r="L1657" i="17"/>
  <c r="L1658" i="17"/>
  <c r="L1659" i="17"/>
  <c r="L1660" i="17"/>
  <c r="L1661" i="17"/>
  <c r="L1662" i="17"/>
  <c r="L1663" i="17"/>
  <c r="L1664" i="17"/>
  <c r="L1665" i="17"/>
  <c r="L1666" i="17"/>
  <c r="L1667" i="17"/>
  <c r="L1668" i="17"/>
  <c r="L1669" i="17"/>
  <c r="L1670" i="17"/>
  <c r="L1671" i="17"/>
  <c r="L1672" i="17"/>
  <c r="L1673" i="17"/>
  <c r="L1674" i="17"/>
  <c r="L1675" i="17"/>
  <c r="L1676" i="17"/>
  <c r="L1677" i="17"/>
  <c r="L1678" i="17"/>
  <c r="L1679" i="17"/>
  <c r="L1680" i="17"/>
  <c r="L1681" i="17"/>
  <c r="L1682" i="17"/>
  <c r="L1683" i="17"/>
  <c r="L1684" i="17"/>
  <c r="L1685" i="17"/>
  <c r="L1686" i="17"/>
  <c r="L1687" i="17"/>
  <c r="L1688" i="17"/>
  <c r="L1689" i="17"/>
  <c r="L1690" i="17"/>
  <c r="L1691" i="17"/>
  <c r="L1692" i="17"/>
  <c r="L1693" i="17"/>
  <c r="L1694" i="17"/>
  <c r="L1695" i="17"/>
  <c r="L1696" i="17"/>
  <c r="L1697" i="17"/>
  <c r="L1698" i="17"/>
  <c r="L1699" i="17"/>
  <c r="L1700" i="17"/>
  <c r="L1701" i="17"/>
  <c r="L1702" i="17"/>
  <c r="L1703" i="17"/>
  <c r="L1704" i="17"/>
  <c r="L1705" i="17"/>
  <c r="L1706" i="17"/>
  <c r="L1707" i="17"/>
  <c r="L1708" i="17"/>
  <c r="L1709" i="17"/>
  <c r="L1710" i="17"/>
  <c r="L1711" i="17"/>
  <c r="L1712" i="17"/>
  <c r="L1713" i="17"/>
  <c r="L1714" i="17"/>
  <c r="L1715" i="17"/>
  <c r="L1716" i="17"/>
  <c r="L1717" i="17"/>
  <c r="L1718" i="17"/>
  <c r="L1719" i="17"/>
  <c r="L1720" i="17"/>
  <c r="L1721" i="17"/>
  <c r="L1722" i="17"/>
  <c r="L1723" i="17"/>
  <c r="L1724" i="17"/>
  <c r="L1725" i="17"/>
  <c r="L1726" i="17"/>
  <c r="L1727" i="17"/>
  <c r="L1728" i="17"/>
  <c r="L1729" i="17"/>
  <c r="L1730" i="17"/>
  <c r="L1731" i="17"/>
  <c r="L1732" i="17"/>
  <c r="L1733" i="17"/>
  <c r="L1734" i="17"/>
  <c r="L1735" i="17"/>
  <c r="L1736" i="17"/>
  <c r="L1737" i="17"/>
  <c r="L1738" i="17"/>
  <c r="L1739" i="17"/>
  <c r="L1740" i="17"/>
  <c r="L1741" i="17"/>
  <c r="L1742" i="17"/>
  <c r="L1743" i="17"/>
  <c r="L1744" i="17"/>
  <c r="L1745" i="17"/>
  <c r="L1746" i="17"/>
  <c r="L1747" i="17"/>
  <c r="L1748" i="17"/>
  <c r="L1749" i="17"/>
  <c r="L1750" i="17"/>
  <c r="L1751" i="17"/>
  <c r="L1752" i="17"/>
  <c r="L1753" i="17"/>
  <c r="L1754" i="17"/>
  <c r="L1755" i="17"/>
  <c r="L1756" i="17"/>
  <c r="L1757" i="17"/>
  <c r="L1758" i="17"/>
  <c r="L1759" i="17"/>
  <c r="L1760" i="17"/>
  <c r="L1761" i="17"/>
  <c r="L1762" i="17"/>
  <c r="L1763" i="17"/>
  <c r="L1764" i="17"/>
  <c r="L1765" i="17"/>
  <c r="L1766" i="17"/>
  <c r="L1767" i="17"/>
  <c r="L1768" i="17"/>
  <c r="L1769" i="17"/>
  <c r="L1770" i="17"/>
  <c r="L1771" i="17"/>
  <c r="L1772" i="17"/>
  <c r="L1773" i="17"/>
  <c r="L1774" i="17"/>
  <c r="L1775" i="17"/>
  <c r="L1776" i="17"/>
  <c r="L1777" i="17"/>
  <c r="L1778" i="17"/>
  <c r="L1779" i="17"/>
  <c r="L1780" i="17"/>
  <c r="L1781" i="17"/>
  <c r="L1782" i="17"/>
  <c r="L1783" i="17"/>
  <c r="L1784" i="17"/>
  <c r="L1785" i="17"/>
  <c r="L1786" i="17"/>
  <c r="L1787" i="17"/>
  <c r="L1788" i="17"/>
  <c r="L1789" i="17"/>
  <c r="L1790" i="17"/>
  <c r="L1791" i="17"/>
  <c r="L1792" i="17"/>
  <c r="L1793" i="17"/>
  <c r="L1794" i="17"/>
  <c r="L1795" i="17"/>
  <c r="L1796" i="17"/>
  <c r="L1797" i="17"/>
  <c r="L1798" i="17"/>
  <c r="L1799" i="17"/>
  <c r="L1800" i="17"/>
  <c r="L1801" i="17"/>
  <c r="L1802" i="17"/>
  <c r="L1803" i="17"/>
  <c r="L1804" i="17"/>
  <c r="L1805" i="17"/>
  <c r="L1806" i="17"/>
  <c r="L1807" i="17"/>
  <c r="L1808" i="17"/>
  <c r="L1809" i="17"/>
  <c r="L1810" i="17"/>
  <c r="L1811" i="17"/>
  <c r="L1812" i="17"/>
  <c r="L1813" i="17"/>
  <c r="L1814" i="17"/>
  <c r="L1815" i="17"/>
  <c r="L1816" i="17"/>
  <c r="L1817" i="17"/>
  <c r="L1818" i="17"/>
  <c r="L1819" i="17"/>
  <c r="L1820" i="17"/>
  <c r="L1821" i="17"/>
  <c r="L1822" i="17"/>
  <c r="L1823" i="17"/>
  <c r="L1824" i="17"/>
  <c r="L1825" i="17"/>
  <c r="L1826" i="17"/>
  <c r="L1827" i="17"/>
  <c r="L1828" i="17"/>
  <c r="L1829" i="17"/>
  <c r="L1830" i="17"/>
  <c r="L1831" i="17"/>
  <c r="L1832" i="17"/>
  <c r="L1833" i="17"/>
  <c r="L1834" i="17"/>
  <c r="L1835" i="17"/>
  <c r="L1836" i="17"/>
  <c r="L1837" i="17"/>
  <c r="L1838" i="17"/>
  <c r="L1839" i="17"/>
  <c r="L1840" i="17"/>
  <c r="L1841" i="17"/>
  <c r="L1842" i="17"/>
  <c r="L1843" i="17"/>
  <c r="L1844" i="17"/>
  <c r="L1845" i="17"/>
  <c r="L1846" i="17"/>
  <c r="L1847" i="17"/>
  <c r="L1848" i="17"/>
  <c r="L1849" i="17"/>
  <c r="L1850" i="17"/>
  <c r="L1851" i="17"/>
  <c r="L1852" i="17"/>
  <c r="L1853" i="17"/>
  <c r="L1854" i="17"/>
  <c r="L1855" i="17"/>
  <c r="L1856" i="17"/>
  <c r="L1857" i="17"/>
  <c r="L1858" i="17"/>
  <c r="L1859" i="17"/>
  <c r="L1860" i="17"/>
  <c r="L1861" i="17"/>
  <c r="L1862" i="17"/>
  <c r="L1863" i="17"/>
  <c r="L1864" i="17"/>
  <c r="L1865" i="17"/>
  <c r="L1866" i="17"/>
  <c r="L1867" i="17"/>
  <c r="L1868" i="17"/>
  <c r="L1869" i="17"/>
  <c r="L1870" i="17"/>
  <c r="L1871" i="17"/>
  <c r="L1872" i="17"/>
  <c r="L1873" i="17"/>
  <c r="L1874" i="17"/>
  <c r="L1875" i="17"/>
  <c r="L1876" i="17"/>
  <c r="L1877" i="17"/>
  <c r="L1878" i="17"/>
  <c r="L1879" i="17"/>
  <c r="L1880" i="17"/>
  <c r="L1881" i="17"/>
  <c r="L1882" i="17"/>
  <c r="L1883" i="17"/>
  <c r="L1884" i="17"/>
  <c r="L1885" i="17"/>
  <c r="L1886" i="17"/>
  <c r="L1887" i="17"/>
  <c r="L1888" i="17"/>
  <c r="L1889" i="17"/>
  <c r="L1890" i="17"/>
  <c r="L1891" i="17"/>
  <c r="L1892" i="17"/>
  <c r="L1893" i="17"/>
  <c r="L1894" i="17"/>
  <c r="L1895" i="17"/>
  <c r="L1896" i="17"/>
  <c r="L1897" i="17"/>
  <c r="L1898" i="17"/>
  <c r="L1899" i="17"/>
  <c r="L1900" i="17"/>
  <c r="L1901" i="17"/>
  <c r="L1902" i="17"/>
  <c r="L1903" i="17"/>
  <c r="L1904" i="17"/>
  <c r="L1905" i="17"/>
  <c r="L1906" i="17"/>
  <c r="L1907" i="17"/>
  <c r="L1908" i="17"/>
  <c r="L1909" i="17"/>
  <c r="L1910" i="17"/>
  <c r="L1911" i="17"/>
  <c r="L1912" i="17"/>
  <c r="L1913" i="17"/>
  <c r="L1914" i="17"/>
  <c r="L1915" i="17"/>
  <c r="L1916" i="17"/>
  <c r="L1917" i="17"/>
  <c r="L1918" i="17"/>
  <c r="L1919" i="17"/>
  <c r="L1920" i="17"/>
  <c r="L1921" i="17"/>
  <c r="L1922" i="17"/>
  <c r="L1923" i="17"/>
  <c r="L1924" i="17"/>
  <c r="L1925" i="17"/>
  <c r="L1926" i="17"/>
  <c r="L1927" i="17"/>
  <c r="L1928" i="17"/>
  <c r="L1929" i="17"/>
  <c r="L1930" i="17"/>
  <c r="L1931" i="17"/>
  <c r="L1932" i="17"/>
  <c r="L1933" i="17"/>
  <c r="L1934" i="17"/>
  <c r="L1935" i="17"/>
  <c r="L1936" i="17"/>
  <c r="L1937" i="17"/>
  <c r="L1938" i="17"/>
  <c r="L1939" i="17"/>
  <c r="L1940" i="17"/>
  <c r="L1941" i="17"/>
  <c r="L1942" i="17"/>
  <c r="L1943" i="17"/>
  <c r="L1944" i="17"/>
  <c r="L1945" i="17"/>
  <c r="L1946" i="17"/>
  <c r="L1947" i="17"/>
  <c r="L1948" i="17"/>
  <c r="L1949" i="17"/>
  <c r="L1950" i="17"/>
  <c r="L1951" i="17"/>
  <c r="L1952" i="17"/>
  <c r="L1953" i="17"/>
  <c r="L1954" i="17"/>
  <c r="L1955" i="17"/>
  <c r="L1956" i="17"/>
  <c r="L1957" i="17"/>
  <c r="L1958" i="17"/>
  <c r="L1959" i="17"/>
  <c r="L1960" i="17"/>
  <c r="L1961" i="17"/>
  <c r="L1962" i="17"/>
  <c r="L1963" i="17"/>
  <c r="L1964" i="17"/>
  <c r="L1965" i="17"/>
  <c r="L1966" i="17"/>
  <c r="L1967" i="17"/>
  <c r="L1968" i="17"/>
  <c r="L1969" i="17"/>
  <c r="L1970" i="17"/>
  <c r="L1971" i="17"/>
  <c r="L1972" i="17"/>
  <c r="L1973" i="17"/>
  <c r="L1974" i="17"/>
  <c r="L1975" i="17"/>
  <c r="L1976" i="17"/>
  <c r="L1977" i="17"/>
  <c r="L1978" i="17"/>
  <c r="L1979" i="17"/>
  <c r="L1980" i="17"/>
  <c r="L1981" i="17"/>
  <c r="L1982" i="17"/>
  <c r="L1983" i="17"/>
  <c r="L1984" i="17"/>
  <c r="L1985" i="17"/>
  <c r="L1986" i="17"/>
  <c r="L1987" i="17"/>
  <c r="L1988" i="17"/>
  <c r="L1989" i="17"/>
  <c r="L1990" i="17"/>
  <c r="L1991" i="17"/>
  <c r="L1992" i="17"/>
  <c r="L1993" i="17"/>
  <c r="L1994" i="17"/>
  <c r="L1995" i="17"/>
  <c r="L1996" i="17"/>
  <c r="L1997" i="17"/>
  <c r="L1998" i="17"/>
  <c r="L1999" i="17"/>
  <c r="L2000" i="17"/>
  <c r="L2001" i="17"/>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1002" i="17"/>
  <c r="K1003" i="17"/>
  <c r="K1004" i="17"/>
  <c r="K1005" i="17"/>
  <c r="K1006" i="17"/>
  <c r="K1007" i="17"/>
  <c r="K1008" i="17"/>
  <c r="K1009" i="17"/>
  <c r="K1010" i="17"/>
  <c r="K1011" i="17"/>
  <c r="K1012" i="17"/>
  <c r="K1013" i="17"/>
  <c r="K1014" i="17"/>
  <c r="K1015" i="17"/>
  <c r="K1016" i="17"/>
  <c r="K1017" i="17"/>
  <c r="K1018" i="17"/>
  <c r="K1019" i="17"/>
  <c r="K1020" i="17"/>
  <c r="K1021" i="17"/>
  <c r="K1022" i="17"/>
  <c r="K1023" i="17"/>
  <c r="K1024" i="17"/>
  <c r="K1025" i="17"/>
  <c r="K1026" i="17"/>
  <c r="K1027" i="17"/>
  <c r="K1028" i="17"/>
  <c r="K1029" i="17"/>
  <c r="K1030" i="17"/>
  <c r="K1031" i="17"/>
  <c r="K1032" i="17"/>
  <c r="K1033" i="17"/>
  <c r="K1034" i="17"/>
  <c r="K1035" i="17"/>
  <c r="K1036" i="17"/>
  <c r="K1037" i="17"/>
  <c r="K1038" i="17"/>
  <c r="K1039" i="17"/>
  <c r="K1040" i="17"/>
  <c r="K1041" i="17"/>
  <c r="K1042" i="17"/>
  <c r="K1043" i="17"/>
  <c r="K1044" i="17"/>
  <c r="K1045" i="17"/>
  <c r="K1046" i="17"/>
  <c r="K1047" i="17"/>
  <c r="K1048" i="17"/>
  <c r="K1049" i="17"/>
  <c r="K1050" i="17"/>
  <c r="K1051" i="17"/>
  <c r="K1052" i="17"/>
  <c r="K1053" i="17"/>
  <c r="K1054" i="17"/>
  <c r="K1055" i="17"/>
  <c r="K1056" i="17"/>
  <c r="K1057" i="17"/>
  <c r="K1058" i="17"/>
  <c r="K1059" i="17"/>
  <c r="K1060" i="17"/>
  <c r="K1061" i="17"/>
  <c r="K1062" i="17"/>
  <c r="K1063" i="17"/>
  <c r="K1064" i="17"/>
  <c r="K1065" i="17"/>
  <c r="K1066" i="17"/>
  <c r="K1067" i="17"/>
  <c r="K1068" i="17"/>
  <c r="K1069" i="17"/>
  <c r="K1070" i="17"/>
  <c r="K1071" i="17"/>
  <c r="K1072" i="17"/>
  <c r="K1073" i="17"/>
  <c r="K1074" i="17"/>
  <c r="K1075" i="17"/>
  <c r="K1076" i="17"/>
  <c r="K1077" i="17"/>
  <c r="K1078" i="17"/>
  <c r="K1079" i="17"/>
  <c r="K1080" i="17"/>
  <c r="K1081" i="17"/>
  <c r="K1082" i="17"/>
  <c r="K1083" i="17"/>
  <c r="K1084" i="17"/>
  <c r="K1085" i="17"/>
  <c r="K1086" i="17"/>
  <c r="K1087" i="17"/>
  <c r="K1088" i="17"/>
  <c r="K1089" i="17"/>
  <c r="K1090" i="17"/>
  <c r="K1091" i="17"/>
  <c r="K1092" i="17"/>
  <c r="K1093" i="17"/>
  <c r="K1094" i="17"/>
  <c r="K1095" i="17"/>
  <c r="K1096" i="17"/>
  <c r="K1097" i="17"/>
  <c r="K1098" i="17"/>
  <c r="K1099" i="17"/>
  <c r="K1100" i="17"/>
  <c r="K1101" i="17"/>
  <c r="K1102" i="17"/>
  <c r="K1103" i="17"/>
  <c r="K1104" i="17"/>
  <c r="K1105" i="17"/>
  <c r="K1106" i="17"/>
  <c r="K1107" i="17"/>
  <c r="K1108" i="17"/>
  <c r="K1109" i="17"/>
  <c r="K1110" i="17"/>
  <c r="K1111" i="17"/>
  <c r="K1112" i="17"/>
  <c r="K1113" i="17"/>
  <c r="K1114" i="17"/>
  <c r="K1115" i="17"/>
  <c r="K1116" i="17"/>
  <c r="K1117" i="17"/>
  <c r="K1118" i="17"/>
  <c r="K1119" i="17"/>
  <c r="K1120" i="17"/>
  <c r="K1121" i="17"/>
  <c r="K1122" i="17"/>
  <c r="K1123" i="17"/>
  <c r="K1124" i="17"/>
  <c r="K1125" i="17"/>
  <c r="K1126" i="17"/>
  <c r="K1127" i="17"/>
  <c r="K1128" i="17"/>
  <c r="K1129" i="17"/>
  <c r="K1130" i="17"/>
  <c r="K1131" i="17"/>
  <c r="K1132" i="17"/>
  <c r="K1133" i="17"/>
  <c r="K1134" i="17"/>
  <c r="K1135" i="17"/>
  <c r="K1136" i="17"/>
  <c r="K1137" i="17"/>
  <c r="K1138" i="17"/>
  <c r="K1139" i="17"/>
  <c r="K1140" i="17"/>
  <c r="K1141" i="17"/>
  <c r="K1142" i="17"/>
  <c r="K1143" i="17"/>
  <c r="K1144" i="17"/>
  <c r="K1145" i="17"/>
  <c r="K1146" i="17"/>
  <c r="K1147" i="17"/>
  <c r="K1148" i="17"/>
  <c r="K1149" i="17"/>
  <c r="K1150" i="17"/>
  <c r="K1151" i="17"/>
  <c r="K1152" i="17"/>
  <c r="K1153" i="17"/>
  <c r="K1154" i="17"/>
  <c r="K1155" i="17"/>
  <c r="K1156" i="17"/>
  <c r="K1157" i="17"/>
  <c r="K1158" i="17"/>
  <c r="K1159" i="17"/>
  <c r="K1160" i="17"/>
  <c r="K1161" i="17"/>
  <c r="K1162" i="17"/>
  <c r="K1163" i="17"/>
  <c r="K1164" i="17"/>
  <c r="K1165" i="17"/>
  <c r="K1166" i="17"/>
  <c r="K1167" i="17"/>
  <c r="K1168" i="17"/>
  <c r="K1169" i="17"/>
  <c r="K1170" i="17"/>
  <c r="K1171" i="17"/>
  <c r="K1172" i="17"/>
  <c r="K1173" i="17"/>
  <c r="K1174" i="17"/>
  <c r="K1175" i="17"/>
  <c r="K1176" i="17"/>
  <c r="K1177" i="17"/>
  <c r="K1178" i="17"/>
  <c r="K1179" i="17"/>
  <c r="K1180" i="17"/>
  <c r="K1181" i="17"/>
  <c r="K1182" i="17"/>
  <c r="K1183" i="17"/>
  <c r="K1184" i="17"/>
  <c r="K1185" i="17"/>
  <c r="K1186" i="17"/>
  <c r="K1187" i="17"/>
  <c r="K1188" i="17"/>
  <c r="K1189" i="17"/>
  <c r="K1190" i="17"/>
  <c r="K1191" i="17"/>
  <c r="K1192" i="17"/>
  <c r="K1193" i="17"/>
  <c r="K1194" i="17"/>
  <c r="K1195" i="17"/>
  <c r="K1196" i="17"/>
  <c r="K1197" i="17"/>
  <c r="K1198" i="17"/>
  <c r="K1199" i="17"/>
  <c r="K1200" i="17"/>
  <c r="K1201" i="17"/>
  <c r="K1202" i="17"/>
  <c r="K1203" i="17"/>
  <c r="K1204" i="17"/>
  <c r="K1205" i="17"/>
  <c r="K1206" i="17"/>
  <c r="K1207" i="17"/>
  <c r="K1208" i="17"/>
  <c r="K1209" i="17"/>
  <c r="K1210" i="17"/>
  <c r="K1211" i="17"/>
  <c r="K1212" i="17"/>
  <c r="K1213" i="17"/>
  <c r="K1214" i="17"/>
  <c r="K1215" i="17"/>
  <c r="K1216" i="17"/>
  <c r="K1217" i="17"/>
  <c r="K1218" i="17"/>
  <c r="K1219" i="17"/>
  <c r="K1220" i="17"/>
  <c r="K1221" i="17"/>
  <c r="K1222" i="17"/>
  <c r="K1223" i="17"/>
  <c r="K1224" i="17"/>
  <c r="K1225" i="17"/>
  <c r="K1226" i="17"/>
  <c r="K1227" i="17"/>
  <c r="K1228" i="17"/>
  <c r="K1229" i="17"/>
  <c r="K1230" i="17"/>
  <c r="K1231" i="17"/>
  <c r="K1232" i="17"/>
  <c r="K1233" i="17"/>
  <c r="K1234" i="17"/>
  <c r="K1235" i="17"/>
  <c r="K1236" i="17"/>
  <c r="K1237" i="17"/>
  <c r="K1238" i="17"/>
  <c r="K1239" i="17"/>
  <c r="K1240" i="17"/>
  <c r="K1241" i="17"/>
  <c r="K1242" i="17"/>
  <c r="K1243" i="17"/>
  <c r="K1244" i="17"/>
  <c r="K1245" i="17"/>
  <c r="K1246" i="17"/>
  <c r="K1247" i="17"/>
  <c r="K1248" i="17"/>
  <c r="K1249" i="17"/>
  <c r="K1250" i="17"/>
  <c r="K1251" i="17"/>
  <c r="K1252" i="17"/>
  <c r="K1253" i="17"/>
  <c r="K1254" i="17"/>
  <c r="K1255" i="17"/>
  <c r="K1256" i="17"/>
  <c r="K1257" i="17"/>
  <c r="K1258" i="17"/>
  <c r="K1259" i="17"/>
  <c r="K1260" i="17"/>
  <c r="K1261" i="17"/>
  <c r="K1262" i="17"/>
  <c r="K1263" i="17"/>
  <c r="K1264" i="17"/>
  <c r="K1265" i="17"/>
  <c r="K1266" i="17"/>
  <c r="K1267" i="17"/>
  <c r="K1268" i="17"/>
  <c r="K1269" i="17"/>
  <c r="K1270" i="17"/>
  <c r="K1271" i="17"/>
  <c r="K1272" i="17"/>
  <c r="K1273" i="17"/>
  <c r="K1274" i="17"/>
  <c r="K1275" i="17"/>
  <c r="K1276" i="17"/>
  <c r="K1277" i="17"/>
  <c r="K1278" i="17"/>
  <c r="K1279" i="17"/>
  <c r="K1280" i="17"/>
  <c r="K1281" i="17"/>
  <c r="K1282" i="17"/>
  <c r="K1283" i="17"/>
  <c r="K1284" i="17"/>
  <c r="K1285" i="17"/>
  <c r="K1286" i="17"/>
  <c r="K1287" i="17"/>
  <c r="K1288" i="17"/>
  <c r="K1289" i="17"/>
  <c r="K1290" i="17"/>
  <c r="K1291" i="17"/>
  <c r="K1292" i="17"/>
  <c r="K1293" i="17"/>
  <c r="K1294" i="17"/>
  <c r="K1295" i="17"/>
  <c r="K1296" i="17"/>
  <c r="K1297" i="17"/>
  <c r="K1298" i="17"/>
  <c r="K1299" i="17"/>
  <c r="K1300" i="17"/>
  <c r="K1301" i="17"/>
  <c r="K1302" i="17"/>
  <c r="K1303" i="17"/>
  <c r="K1304" i="17"/>
  <c r="K1305" i="17"/>
  <c r="K1306" i="17"/>
  <c r="K1307" i="17"/>
  <c r="K1308" i="17"/>
  <c r="K1309" i="17"/>
  <c r="K1310" i="17"/>
  <c r="K1311" i="17"/>
  <c r="K1312" i="17"/>
  <c r="K1313" i="17"/>
  <c r="K1314" i="17"/>
  <c r="K1315" i="17"/>
  <c r="K1316" i="17"/>
  <c r="K1317" i="17"/>
  <c r="K1318" i="17"/>
  <c r="K1319" i="17"/>
  <c r="K1320" i="17"/>
  <c r="K1321" i="17"/>
  <c r="K1322" i="17"/>
  <c r="K1323" i="17"/>
  <c r="K1324" i="17"/>
  <c r="K1325" i="17"/>
  <c r="K1326" i="17"/>
  <c r="K1327" i="17"/>
  <c r="K1328" i="17"/>
  <c r="K1329" i="17"/>
  <c r="K1330" i="17"/>
  <c r="K1331" i="17"/>
  <c r="K1332" i="17"/>
  <c r="K1333" i="17"/>
  <c r="K1334" i="17"/>
  <c r="K1335" i="17"/>
  <c r="K1336" i="17"/>
  <c r="K1337" i="17"/>
  <c r="K1338" i="17"/>
  <c r="K1339" i="17"/>
  <c r="K1340" i="17"/>
  <c r="K1341" i="17"/>
  <c r="K1342" i="17"/>
  <c r="K1343" i="17"/>
  <c r="K1344" i="17"/>
  <c r="K1345" i="17"/>
  <c r="K1346" i="17"/>
  <c r="K1347" i="17"/>
  <c r="K1348" i="17"/>
  <c r="K1349" i="17"/>
  <c r="K1350" i="17"/>
  <c r="K1351" i="17"/>
  <c r="K1352" i="17"/>
  <c r="K1353" i="17"/>
  <c r="K1354" i="17"/>
  <c r="K1355" i="17"/>
  <c r="K1356" i="17"/>
  <c r="K1357" i="17"/>
  <c r="K1358" i="17"/>
  <c r="K1359" i="17"/>
  <c r="K1360" i="17"/>
  <c r="K1361" i="17"/>
  <c r="K1362" i="17"/>
  <c r="K1363" i="17"/>
  <c r="K1364" i="17"/>
  <c r="K1365" i="17"/>
  <c r="K1366" i="17"/>
  <c r="K1367" i="17"/>
  <c r="K1368" i="17"/>
  <c r="K1369" i="17"/>
  <c r="K1370" i="17"/>
  <c r="K1371" i="17"/>
  <c r="K1372" i="17"/>
  <c r="K1373" i="17"/>
  <c r="K1374" i="17"/>
  <c r="K1375" i="17"/>
  <c r="K1376" i="17"/>
  <c r="K1377" i="17"/>
  <c r="K1378" i="17"/>
  <c r="K1379" i="17"/>
  <c r="K1380" i="17"/>
  <c r="K1381" i="17"/>
  <c r="K1382" i="17"/>
  <c r="K1383" i="17"/>
  <c r="K1384" i="17"/>
  <c r="K1385" i="17"/>
  <c r="K1386" i="17"/>
  <c r="K1387" i="17"/>
  <c r="K1388" i="17"/>
  <c r="K1389" i="17"/>
  <c r="K1390" i="17"/>
  <c r="K1391" i="17"/>
  <c r="K1392" i="17"/>
  <c r="K1393" i="17"/>
  <c r="K1394" i="17"/>
  <c r="K1395" i="17"/>
  <c r="K1396" i="17"/>
  <c r="K1397" i="17"/>
  <c r="K1398" i="17"/>
  <c r="K1399" i="17"/>
  <c r="K1400" i="17"/>
  <c r="K1401" i="17"/>
  <c r="K1402" i="17"/>
  <c r="K1403" i="17"/>
  <c r="K1404" i="17"/>
  <c r="K1405" i="17"/>
  <c r="K1406" i="17"/>
  <c r="K1407" i="17"/>
  <c r="K1408" i="17"/>
  <c r="K1409" i="17"/>
  <c r="K1410" i="17"/>
  <c r="K1411" i="17"/>
  <c r="K1412" i="17"/>
  <c r="K1413" i="17"/>
  <c r="K1414" i="17"/>
  <c r="K1415" i="17"/>
  <c r="K1416" i="17"/>
  <c r="K1417" i="17"/>
  <c r="K1418" i="17"/>
  <c r="K1419" i="17"/>
  <c r="K1420" i="17"/>
  <c r="K1421" i="17"/>
  <c r="K1422" i="17"/>
  <c r="K1423" i="17"/>
  <c r="K1424" i="17"/>
  <c r="K1425" i="17"/>
  <c r="K1426" i="17"/>
  <c r="K1427" i="17"/>
  <c r="K1428" i="17"/>
  <c r="K1429" i="17"/>
  <c r="K1430" i="17"/>
  <c r="K1431" i="17"/>
  <c r="K1432" i="17"/>
  <c r="K1433" i="17"/>
  <c r="K1434" i="17"/>
  <c r="K1435" i="17"/>
  <c r="K1436" i="17"/>
  <c r="K1437" i="17"/>
  <c r="K1438" i="17"/>
  <c r="K1439" i="17"/>
  <c r="K1440" i="17"/>
  <c r="K1441" i="17"/>
  <c r="K1442" i="17"/>
  <c r="K1443" i="17"/>
  <c r="K1444" i="17"/>
  <c r="K1445" i="17"/>
  <c r="K1446" i="17"/>
  <c r="K1447" i="17"/>
  <c r="K1448" i="17"/>
  <c r="K1449" i="17"/>
  <c r="K1450" i="17"/>
  <c r="K1451" i="17"/>
  <c r="K1452" i="17"/>
  <c r="K1453" i="17"/>
  <c r="K1454" i="17"/>
  <c r="K1455" i="17"/>
  <c r="K1456" i="17"/>
  <c r="K1457" i="17"/>
  <c r="K1458" i="17"/>
  <c r="K1459" i="17"/>
  <c r="K1460" i="17"/>
  <c r="K1461" i="17"/>
  <c r="K1462" i="17"/>
  <c r="K1463" i="17"/>
  <c r="K1464" i="17"/>
  <c r="K1465" i="17"/>
  <c r="K1466" i="17"/>
  <c r="K1467" i="17"/>
  <c r="K1468" i="17"/>
  <c r="K1469" i="17"/>
  <c r="K1470" i="17"/>
  <c r="K1471" i="17"/>
  <c r="K1472" i="17"/>
  <c r="K1473" i="17"/>
  <c r="K1474" i="17"/>
  <c r="K1475" i="17"/>
  <c r="K1476" i="17"/>
  <c r="K1477" i="17"/>
  <c r="K1478" i="17"/>
  <c r="K1479" i="17"/>
  <c r="K1480" i="17"/>
  <c r="K1481" i="17"/>
  <c r="K1482" i="17"/>
  <c r="K1483" i="17"/>
  <c r="K1484" i="17"/>
  <c r="K1485" i="17"/>
  <c r="K1486" i="17"/>
  <c r="K1487" i="17"/>
  <c r="K1488" i="17"/>
  <c r="K1489" i="17"/>
  <c r="K1490" i="17"/>
  <c r="K1491" i="17"/>
  <c r="K1492" i="17"/>
  <c r="K1493" i="17"/>
  <c r="K1494" i="17"/>
  <c r="K1495" i="17"/>
  <c r="K1496" i="17"/>
  <c r="K1497" i="17"/>
  <c r="K1498" i="17"/>
  <c r="K1499" i="17"/>
  <c r="K1500" i="17"/>
  <c r="K1501" i="17"/>
  <c r="K1502" i="17"/>
  <c r="K1503" i="17"/>
  <c r="K1504" i="17"/>
  <c r="K1505" i="17"/>
  <c r="K1506" i="17"/>
  <c r="K1507" i="17"/>
  <c r="K1508" i="17"/>
  <c r="K1509" i="17"/>
  <c r="K1510" i="17"/>
  <c r="K1511" i="17"/>
  <c r="K1512" i="17"/>
  <c r="K1513" i="17"/>
  <c r="K1514" i="17"/>
  <c r="K1515" i="17"/>
  <c r="K1516" i="17"/>
  <c r="K1517" i="17"/>
  <c r="K1518" i="17"/>
  <c r="K1519" i="17"/>
  <c r="K1520" i="17"/>
  <c r="K1521" i="17"/>
  <c r="K1522" i="17"/>
  <c r="K1523" i="17"/>
  <c r="K1524" i="17"/>
  <c r="K1525" i="17"/>
  <c r="K1526" i="17"/>
  <c r="K1527" i="17"/>
  <c r="K1528" i="17"/>
  <c r="K1529" i="17"/>
  <c r="K1530" i="17"/>
  <c r="K1531" i="17"/>
  <c r="K1532" i="17"/>
  <c r="K1533" i="17"/>
  <c r="K1534" i="17"/>
  <c r="K1535" i="17"/>
  <c r="K1536" i="17"/>
  <c r="K1537" i="17"/>
  <c r="K1538" i="17"/>
  <c r="K1539" i="17"/>
  <c r="K1540" i="17"/>
  <c r="K1541" i="17"/>
  <c r="K1542" i="17"/>
  <c r="K1543" i="17"/>
  <c r="K1544" i="17"/>
  <c r="K1545" i="17"/>
  <c r="K1546" i="17"/>
  <c r="K1547" i="17"/>
  <c r="K1548" i="17"/>
  <c r="K1549" i="17"/>
  <c r="K1550" i="17"/>
  <c r="K1551" i="17"/>
  <c r="K1552" i="17"/>
  <c r="K1553" i="17"/>
  <c r="K1554" i="17"/>
  <c r="K1555" i="17"/>
  <c r="K1556" i="17"/>
  <c r="K1557" i="17"/>
  <c r="K1558" i="17"/>
  <c r="K1559" i="17"/>
  <c r="K1560" i="17"/>
  <c r="K1561" i="17"/>
  <c r="K1562" i="17"/>
  <c r="K1563" i="17"/>
  <c r="K1564" i="17"/>
  <c r="K1565" i="17"/>
  <c r="K1566" i="17"/>
  <c r="K1567" i="17"/>
  <c r="K1568" i="17"/>
  <c r="K1569" i="17"/>
  <c r="K1570" i="17"/>
  <c r="K1571" i="17"/>
  <c r="K1572" i="17"/>
  <c r="K1573" i="17"/>
  <c r="K1574" i="17"/>
  <c r="K1575" i="17"/>
  <c r="K1576" i="17"/>
  <c r="K1577" i="17"/>
  <c r="K1578" i="17"/>
  <c r="K1579" i="17"/>
  <c r="K1580" i="17"/>
  <c r="K1581" i="17"/>
  <c r="K1582" i="17"/>
  <c r="K1583" i="17"/>
  <c r="K1584" i="17"/>
  <c r="K1585" i="17"/>
  <c r="K1586" i="17"/>
  <c r="K1587" i="17"/>
  <c r="K1588" i="17"/>
  <c r="K1589" i="17"/>
  <c r="K1590" i="17"/>
  <c r="K1591" i="17"/>
  <c r="K1592" i="17"/>
  <c r="K1593" i="17"/>
  <c r="K1594" i="17"/>
  <c r="K1595" i="17"/>
  <c r="K1596" i="17"/>
  <c r="K1597" i="17"/>
  <c r="K1598" i="17"/>
  <c r="K1599" i="17"/>
  <c r="K1600" i="17"/>
  <c r="K1601" i="17"/>
  <c r="K1602" i="17"/>
  <c r="K1603" i="17"/>
  <c r="K1604" i="17"/>
  <c r="K1605" i="17"/>
  <c r="K1606" i="17"/>
  <c r="K1607" i="17"/>
  <c r="K1608" i="17"/>
  <c r="K1609" i="17"/>
  <c r="K1610" i="17"/>
  <c r="K1611" i="17"/>
  <c r="K1612" i="17"/>
  <c r="K1613" i="17"/>
  <c r="K1614" i="17"/>
  <c r="K1615" i="17"/>
  <c r="K1616" i="17"/>
  <c r="K1617" i="17"/>
  <c r="K1618" i="17"/>
  <c r="K1619" i="17"/>
  <c r="K1620" i="17"/>
  <c r="K1621" i="17"/>
  <c r="K1622" i="17"/>
  <c r="K1623" i="17"/>
  <c r="K1624" i="17"/>
  <c r="K1625" i="17"/>
  <c r="K1626" i="17"/>
  <c r="K1627" i="17"/>
  <c r="K1628" i="17"/>
  <c r="K1629" i="17"/>
  <c r="K1630" i="17"/>
  <c r="K1631" i="17"/>
  <c r="K1632" i="17"/>
  <c r="K1633" i="17"/>
  <c r="K1634" i="17"/>
  <c r="K1635" i="17"/>
  <c r="K1636" i="17"/>
  <c r="K1637" i="17"/>
  <c r="K1638" i="17"/>
  <c r="K1639" i="17"/>
  <c r="K1640" i="17"/>
  <c r="K1641" i="17"/>
  <c r="K1642" i="17"/>
  <c r="K1643" i="17"/>
  <c r="K1644" i="17"/>
  <c r="K1645" i="17"/>
  <c r="K1646" i="17"/>
  <c r="K1647" i="17"/>
  <c r="K1648" i="17"/>
  <c r="K1649" i="17"/>
  <c r="K1650" i="17"/>
  <c r="K1651" i="17"/>
  <c r="K1652" i="17"/>
  <c r="K1653" i="17"/>
  <c r="K1654" i="17"/>
  <c r="K1655" i="17"/>
  <c r="K1656" i="17"/>
  <c r="K1657" i="17"/>
  <c r="K1658" i="17"/>
  <c r="K1659" i="17"/>
  <c r="K1660" i="17"/>
  <c r="K1661" i="17"/>
  <c r="K1662" i="17"/>
  <c r="K1663" i="17"/>
  <c r="K1664" i="17"/>
  <c r="K1665" i="17"/>
  <c r="K1666" i="17"/>
  <c r="K1667" i="17"/>
  <c r="K1668" i="17"/>
  <c r="K1669" i="17"/>
  <c r="K1670" i="17"/>
  <c r="K1671" i="17"/>
  <c r="K1672" i="17"/>
  <c r="K1673" i="17"/>
  <c r="K1674" i="17"/>
  <c r="K1675" i="17"/>
  <c r="K1676" i="17"/>
  <c r="K1677" i="17"/>
  <c r="K1678" i="17"/>
  <c r="K1679" i="17"/>
  <c r="K1680" i="17"/>
  <c r="K1681" i="17"/>
  <c r="K1682" i="17"/>
  <c r="K1683" i="17"/>
  <c r="K1684" i="17"/>
  <c r="K1685" i="17"/>
  <c r="K1686" i="17"/>
  <c r="K1687" i="17"/>
  <c r="K1688" i="17"/>
  <c r="K1689" i="17"/>
  <c r="K1690" i="17"/>
  <c r="K1691" i="17"/>
  <c r="K1692" i="17"/>
  <c r="K1693" i="17"/>
  <c r="K1694" i="17"/>
  <c r="K1695" i="17"/>
  <c r="K1696" i="17"/>
  <c r="K1697" i="17"/>
  <c r="K1698" i="17"/>
  <c r="K1699" i="17"/>
  <c r="K1700" i="17"/>
  <c r="K1701" i="17"/>
  <c r="K1702" i="17"/>
  <c r="K1703" i="17"/>
  <c r="K1704" i="17"/>
  <c r="K1705" i="17"/>
  <c r="K1706" i="17"/>
  <c r="K1707" i="17"/>
  <c r="K1708" i="17"/>
  <c r="K1709" i="17"/>
  <c r="K1710" i="17"/>
  <c r="K1711" i="17"/>
  <c r="K1712" i="17"/>
  <c r="K1713" i="17"/>
  <c r="K1714" i="17"/>
  <c r="K1715" i="17"/>
  <c r="K1716" i="17"/>
  <c r="K1717" i="17"/>
  <c r="K1718" i="17"/>
  <c r="K1719" i="17"/>
  <c r="K1720" i="17"/>
  <c r="K1721" i="17"/>
  <c r="K1722" i="17"/>
  <c r="K1723" i="17"/>
  <c r="K1724" i="17"/>
  <c r="K1725" i="17"/>
  <c r="K1726" i="17"/>
  <c r="K1727" i="17"/>
  <c r="K1728" i="17"/>
  <c r="K1729" i="17"/>
  <c r="K1730" i="17"/>
  <c r="K1731" i="17"/>
  <c r="K1732" i="17"/>
  <c r="K1733" i="17"/>
  <c r="K1734" i="17"/>
  <c r="K1735" i="17"/>
  <c r="K1736" i="17"/>
  <c r="K1737" i="17"/>
  <c r="K1738" i="17"/>
  <c r="K1739" i="17"/>
  <c r="K1740" i="17"/>
  <c r="K1741" i="17"/>
  <c r="K1742" i="17"/>
  <c r="K1743" i="17"/>
  <c r="K1744" i="17"/>
  <c r="K1745" i="17"/>
  <c r="K1746" i="17"/>
  <c r="K1747" i="17"/>
  <c r="K1748" i="17"/>
  <c r="K1749" i="17"/>
  <c r="K1750" i="17"/>
  <c r="K1751" i="17"/>
  <c r="K1752" i="17"/>
  <c r="K1753" i="17"/>
  <c r="K1754" i="17"/>
  <c r="K1755" i="17"/>
  <c r="K1756" i="17"/>
  <c r="K1757" i="17"/>
  <c r="K1758" i="17"/>
  <c r="K1759" i="17"/>
  <c r="K1760" i="17"/>
  <c r="K1761" i="17"/>
  <c r="K1762" i="17"/>
  <c r="K1763" i="17"/>
  <c r="K1764" i="17"/>
  <c r="K1765" i="17"/>
  <c r="K1766" i="17"/>
  <c r="K1767" i="17"/>
  <c r="K1768" i="17"/>
  <c r="K1769" i="17"/>
  <c r="K1770" i="17"/>
  <c r="K1771" i="17"/>
  <c r="K1772" i="17"/>
  <c r="K1773" i="17"/>
  <c r="K1774" i="17"/>
  <c r="K1775" i="17"/>
  <c r="K1776" i="17"/>
  <c r="K1777" i="17"/>
  <c r="K1778" i="17"/>
  <c r="K1779" i="17"/>
  <c r="K1780" i="17"/>
  <c r="K1781" i="17"/>
  <c r="K1782" i="17"/>
  <c r="K1783" i="17"/>
  <c r="K1784" i="17"/>
  <c r="K1785" i="17"/>
  <c r="K1786" i="17"/>
  <c r="K1787" i="17"/>
  <c r="K1788" i="17"/>
  <c r="K1789" i="17"/>
  <c r="K1790" i="17"/>
  <c r="K1791" i="17"/>
  <c r="K1792" i="17"/>
  <c r="K1793" i="17"/>
  <c r="K1794" i="17"/>
  <c r="K1795" i="17"/>
  <c r="K1796" i="17"/>
  <c r="K1797" i="17"/>
  <c r="K1798" i="17"/>
  <c r="K1799" i="17"/>
  <c r="K1800" i="17"/>
  <c r="K1801" i="17"/>
  <c r="K1802" i="17"/>
  <c r="K1803" i="17"/>
  <c r="K1804" i="17"/>
  <c r="K1805" i="17"/>
  <c r="K1806" i="17"/>
  <c r="K1807" i="17"/>
  <c r="K1808" i="17"/>
  <c r="K1809" i="17"/>
  <c r="K1810" i="17"/>
  <c r="K1811" i="17"/>
  <c r="K1812" i="17"/>
  <c r="K1813" i="17"/>
  <c r="K1814" i="17"/>
  <c r="K1815" i="17"/>
  <c r="K1816" i="17"/>
  <c r="K1817" i="17"/>
  <c r="K1818" i="17"/>
  <c r="K1819" i="17"/>
  <c r="K1820" i="17"/>
  <c r="K1821" i="17"/>
  <c r="K1822" i="17"/>
  <c r="K1823" i="17"/>
  <c r="K1824" i="17"/>
  <c r="K1825" i="17"/>
  <c r="K1826" i="17"/>
  <c r="K1827" i="17"/>
  <c r="K1828" i="17"/>
  <c r="K1829" i="17"/>
  <c r="K1830" i="17"/>
  <c r="K1831" i="17"/>
  <c r="K1832" i="17"/>
  <c r="K1833" i="17"/>
  <c r="K1834" i="17"/>
  <c r="K1835" i="17"/>
  <c r="K1836" i="17"/>
  <c r="K1837" i="17"/>
  <c r="K1838" i="17"/>
  <c r="K1839" i="17"/>
  <c r="K1840" i="17"/>
  <c r="K1841" i="17"/>
  <c r="K1842" i="17"/>
  <c r="K1843" i="17"/>
  <c r="K1844" i="17"/>
  <c r="K1845" i="17"/>
  <c r="K1846" i="17"/>
  <c r="K1847" i="17"/>
  <c r="K1848" i="17"/>
  <c r="K1849" i="17"/>
  <c r="K1850" i="17"/>
  <c r="K1851" i="17"/>
  <c r="K1852" i="17"/>
  <c r="K1853" i="17"/>
  <c r="K1854" i="17"/>
  <c r="K1855" i="17"/>
  <c r="K1856" i="17"/>
  <c r="K1857" i="17"/>
  <c r="K1858" i="17"/>
  <c r="K1859" i="17"/>
  <c r="K1860" i="17"/>
  <c r="K1861" i="17"/>
  <c r="K1862" i="17"/>
  <c r="K1863" i="17"/>
  <c r="K1864" i="17"/>
  <c r="K1865" i="17"/>
  <c r="K1866" i="17"/>
  <c r="K1867" i="17"/>
  <c r="K1868" i="17"/>
  <c r="K1869" i="17"/>
  <c r="K1870" i="17"/>
  <c r="K1871" i="17"/>
  <c r="K1872" i="17"/>
  <c r="K1873" i="17"/>
  <c r="K1874" i="17"/>
  <c r="K1875" i="17"/>
  <c r="K1876" i="17"/>
  <c r="K1877" i="17"/>
  <c r="K1878" i="17"/>
  <c r="K1879" i="17"/>
  <c r="K1880" i="17"/>
  <c r="K1881" i="17"/>
  <c r="K1882" i="17"/>
  <c r="K1883" i="17"/>
  <c r="K1884" i="17"/>
  <c r="K1885" i="17"/>
  <c r="K1886" i="17"/>
  <c r="K1887" i="17"/>
  <c r="K1888" i="17"/>
  <c r="K1889" i="17"/>
  <c r="K1890" i="17"/>
  <c r="K1891" i="17"/>
  <c r="K1892" i="17"/>
  <c r="K1893" i="17"/>
  <c r="K1894" i="17"/>
  <c r="K1895" i="17"/>
  <c r="K1896" i="17"/>
  <c r="K1897" i="17"/>
  <c r="K1898" i="17"/>
  <c r="K1899" i="17"/>
  <c r="K1900" i="17"/>
  <c r="K1901" i="17"/>
  <c r="K1902" i="17"/>
  <c r="K1903" i="17"/>
  <c r="K1904" i="17"/>
  <c r="K1905" i="17"/>
  <c r="K1906" i="17"/>
  <c r="K1907" i="17"/>
  <c r="K1908" i="17"/>
  <c r="K1909" i="17"/>
  <c r="K1910" i="17"/>
  <c r="K1911" i="17"/>
  <c r="K1912" i="17"/>
  <c r="K1913" i="17"/>
  <c r="K1914" i="17"/>
  <c r="K1915" i="17"/>
  <c r="K1916" i="17"/>
  <c r="K1917" i="17"/>
  <c r="K1918" i="17"/>
  <c r="K1919" i="17"/>
  <c r="K1920" i="17"/>
  <c r="K1921" i="17"/>
  <c r="K1922" i="17"/>
  <c r="K1923" i="17"/>
  <c r="K1924" i="17"/>
  <c r="K1925" i="17"/>
  <c r="K1926" i="17"/>
  <c r="K1927" i="17"/>
  <c r="K1928" i="17"/>
  <c r="K1929" i="17"/>
  <c r="K1930" i="17"/>
  <c r="K1931" i="17"/>
  <c r="K1932" i="17"/>
  <c r="K1933" i="17"/>
  <c r="K1934" i="17"/>
  <c r="K1935" i="17"/>
  <c r="K1936" i="17"/>
  <c r="K1937" i="17"/>
  <c r="K1938" i="17"/>
  <c r="K1939" i="17"/>
  <c r="K1940" i="17"/>
  <c r="K1941" i="17"/>
  <c r="K1942" i="17"/>
  <c r="K1943" i="17"/>
  <c r="K1944" i="17"/>
  <c r="K1945" i="17"/>
  <c r="K1946" i="17"/>
  <c r="K1947" i="17"/>
  <c r="K1948" i="17"/>
  <c r="K1949" i="17"/>
  <c r="K1950" i="17"/>
  <c r="K1951" i="17"/>
  <c r="K1952" i="17"/>
  <c r="K1953" i="17"/>
  <c r="K1954" i="17"/>
  <c r="K1955" i="17"/>
  <c r="K1956" i="17"/>
  <c r="K1957" i="17"/>
  <c r="K1958" i="17"/>
  <c r="K1959" i="17"/>
  <c r="K1960" i="17"/>
  <c r="K1961" i="17"/>
  <c r="K1962" i="17"/>
  <c r="K1963" i="17"/>
  <c r="K1964" i="17"/>
  <c r="K1965" i="17"/>
  <c r="K1966" i="17"/>
  <c r="K1967" i="17"/>
  <c r="K1968" i="17"/>
  <c r="K1969" i="17"/>
  <c r="K1970" i="17"/>
  <c r="K1971" i="17"/>
  <c r="K1972" i="17"/>
  <c r="K1973" i="17"/>
  <c r="K1974" i="17"/>
  <c r="K1975" i="17"/>
  <c r="K1976" i="17"/>
  <c r="K1977" i="17"/>
  <c r="K1978" i="17"/>
  <c r="K1979" i="17"/>
  <c r="K1980" i="17"/>
  <c r="K1981" i="17"/>
  <c r="K1982" i="17"/>
  <c r="K1983" i="17"/>
  <c r="K1984" i="17"/>
  <c r="K1985" i="17"/>
  <c r="K1986" i="17"/>
  <c r="K1987" i="17"/>
  <c r="K1988" i="17"/>
  <c r="K1989" i="17"/>
  <c r="K1990" i="17"/>
  <c r="K1991" i="17"/>
  <c r="K1992" i="17"/>
  <c r="K1993" i="17"/>
  <c r="K1994" i="17"/>
  <c r="K1995" i="17"/>
  <c r="K1996" i="17"/>
  <c r="K1997" i="17"/>
  <c r="K1998" i="17"/>
  <c r="K1999" i="17"/>
  <c r="K2000" i="17"/>
  <c r="K2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1002" i="17"/>
  <c r="J1003" i="17"/>
  <c r="J1004" i="17"/>
  <c r="J1005" i="17"/>
  <c r="J1006" i="17"/>
  <c r="J1007" i="17"/>
  <c r="J1008" i="17"/>
  <c r="J1009" i="17"/>
  <c r="J1010" i="17"/>
  <c r="J1011" i="17"/>
  <c r="J1012" i="17"/>
  <c r="J1013" i="17"/>
  <c r="J1014" i="17"/>
  <c r="J1015" i="17"/>
  <c r="J1016" i="17"/>
  <c r="J1017" i="17"/>
  <c r="J1018" i="17"/>
  <c r="J1019" i="17"/>
  <c r="J1020" i="17"/>
  <c r="J1021" i="17"/>
  <c r="J1022" i="17"/>
  <c r="J1023" i="17"/>
  <c r="J1024" i="17"/>
  <c r="J1025" i="17"/>
  <c r="J1026" i="17"/>
  <c r="J1027" i="17"/>
  <c r="J1028" i="17"/>
  <c r="J1029" i="17"/>
  <c r="J1030" i="17"/>
  <c r="J1031" i="17"/>
  <c r="J1032" i="17"/>
  <c r="J1033" i="17"/>
  <c r="J1034" i="17"/>
  <c r="J1035" i="17"/>
  <c r="J1036" i="17"/>
  <c r="J1037" i="17"/>
  <c r="J1038" i="17"/>
  <c r="J1039" i="17"/>
  <c r="J1040" i="17"/>
  <c r="J1041" i="17"/>
  <c r="J1042" i="17"/>
  <c r="J1043" i="17"/>
  <c r="J1044" i="17"/>
  <c r="J1045" i="17"/>
  <c r="J1046" i="17"/>
  <c r="J1047" i="17"/>
  <c r="J1048" i="17"/>
  <c r="J1049" i="17"/>
  <c r="J1050" i="17"/>
  <c r="J1051" i="17"/>
  <c r="J1052" i="17"/>
  <c r="J1053" i="17"/>
  <c r="J1054" i="17"/>
  <c r="J1055" i="17"/>
  <c r="J1056" i="17"/>
  <c r="J1057" i="17"/>
  <c r="J1058" i="17"/>
  <c r="J1059" i="17"/>
  <c r="J1060" i="17"/>
  <c r="J1061" i="17"/>
  <c r="J1062" i="17"/>
  <c r="J1063" i="17"/>
  <c r="J1064" i="17"/>
  <c r="J1065" i="17"/>
  <c r="J1066" i="17"/>
  <c r="J1067" i="17"/>
  <c r="J1068" i="17"/>
  <c r="J1069" i="17"/>
  <c r="J1070" i="17"/>
  <c r="J1071" i="17"/>
  <c r="J1072" i="17"/>
  <c r="J1073" i="17"/>
  <c r="J1074" i="17"/>
  <c r="J1075" i="17"/>
  <c r="J1076" i="17"/>
  <c r="J1077" i="17"/>
  <c r="J1078" i="17"/>
  <c r="J1079" i="17"/>
  <c r="J1080" i="17"/>
  <c r="J1081" i="17"/>
  <c r="J1082" i="17"/>
  <c r="J1083" i="17"/>
  <c r="J1084" i="17"/>
  <c r="J1085" i="17"/>
  <c r="J1086" i="17"/>
  <c r="J1087" i="17"/>
  <c r="J1088" i="17"/>
  <c r="J1089" i="17"/>
  <c r="J1090" i="17"/>
  <c r="J1091" i="17"/>
  <c r="J1092" i="17"/>
  <c r="J1093" i="17"/>
  <c r="J1094" i="17"/>
  <c r="J1095" i="17"/>
  <c r="J1096" i="17"/>
  <c r="J1097" i="17"/>
  <c r="J1098" i="17"/>
  <c r="J1099" i="17"/>
  <c r="J1100" i="17"/>
  <c r="J1101" i="17"/>
  <c r="J1102" i="17"/>
  <c r="J1103" i="17"/>
  <c r="J1104" i="17"/>
  <c r="J1105" i="17"/>
  <c r="J1106" i="17"/>
  <c r="J1107" i="17"/>
  <c r="J1108" i="17"/>
  <c r="J1109" i="17"/>
  <c r="J1110" i="17"/>
  <c r="J1111" i="17"/>
  <c r="J1112" i="17"/>
  <c r="J1113" i="17"/>
  <c r="J1114" i="17"/>
  <c r="J1115" i="17"/>
  <c r="J1116" i="17"/>
  <c r="J1117" i="17"/>
  <c r="J1118" i="17"/>
  <c r="J1119" i="17"/>
  <c r="J1120" i="17"/>
  <c r="J1121" i="17"/>
  <c r="J1122" i="17"/>
  <c r="J1123" i="17"/>
  <c r="J1124" i="17"/>
  <c r="J1125" i="17"/>
  <c r="J1126" i="17"/>
  <c r="J1127" i="17"/>
  <c r="J1128" i="17"/>
  <c r="J1129" i="17"/>
  <c r="J1130" i="17"/>
  <c r="J1131" i="17"/>
  <c r="J1132" i="17"/>
  <c r="J1133" i="17"/>
  <c r="J1134" i="17"/>
  <c r="J1135" i="17"/>
  <c r="J1136" i="17"/>
  <c r="J1137" i="17"/>
  <c r="J1138" i="17"/>
  <c r="J1139" i="17"/>
  <c r="J1140" i="17"/>
  <c r="J1141" i="17"/>
  <c r="J1142" i="17"/>
  <c r="J1143" i="17"/>
  <c r="J1144" i="17"/>
  <c r="J1145" i="17"/>
  <c r="J1146" i="17"/>
  <c r="J1147" i="17"/>
  <c r="J1148" i="17"/>
  <c r="J1149" i="17"/>
  <c r="J1150" i="17"/>
  <c r="J1151" i="17"/>
  <c r="J1152" i="17"/>
  <c r="J1153" i="17"/>
  <c r="J1154" i="17"/>
  <c r="J1155" i="17"/>
  <c r="J1156" i="17"/>
  <c r="J1157" i="17"/>
  <c r="J1158" i="17"/>
  <c r="J1159" i="17"/>
  <c r="J1160" i="17"/>
  <c r="J1161" i="17"/>
  <c r="J1162" i="17"/>
  <c r="J1163" i="17"/>
  <c r="J1164" i="17"/>
  <c r="J1165" i="17"/>
  <c r="J1166" i="17"/>
  <c r="J1167" i="17"/>
  <c r="J1168" i="17"/>
  <c r="J1169" i="17"/>
  <c r="J1170" i="17"/>
  <c r="J1171" i="17"/>
  <c r="J1172" i="17"/>
  <c r="J1173" i="17"/>
  <c r="J1174" i="17"/>
  <c r="J1175" i="17"/>
  <c r="J1176" i="17"/>
  <c r="J1177" i="17"/>
  <c r="J1178" i="17"/>
  <c r="J1179" i="17"/>
  <c r="J1180" i="17"/>
  <c r="J1181" i="17"/>
  <c r="J1182" i="17"/>
  <c r="J1183" i="17"/>
  <c r="J1184" i="17"/>
  <c r="J1185" i="17"/>
  <c r="J1186" i="17"/>
  <c r="J1187" i="17"/>
  <c r="J1188" i="17"/>
  <c r="J1189" i="17"/>
  <c r="J1190" i="17"/>
  <c r="J1191" i="17"/>
  <c r="J1192" i="17"/>
  <c r="J1193" i="17"/>
  <c r="J1194" i="17"/>
  <c r="J1195" i="17"/>
  <c r="J1196" i="17"/>
  <c r="J1197" i="17"/>
  <c r="J1198" i="17"/>
  <c r="J1199" i="17"/>
  <c r="J1200" i="17"/>
  <c r="J1201" i="17"/>
  <c r="J1202" i="17"/>
  <c r="J1203" i="17"/>
  <c r="J1204" i="17"/>
  <c r="J1205" i="17"/>
  <c r="J1206" i="17"/>
  <c r="J1207" i="17"/>
  <c r="J1208" i="17"/>
  <c r="J1209" i="17"/>
  <c r="J1210" i="17"/>
  <c r="J1211" i="17"/>
  <c r="J1212" i="17"/>
  <c r="J1213" i="17"/>
  <c r="J1214" i="17"/>
  <c r="J1215" i="17"/>
  <c r="J1216" i="17"/>
  <c r="J1217" i="17"/>
  <c r="J1218" i="17"/>
  <c r="J1219" i="17"/>
  <c r="J1220" i="17"/>
  <c r="J1221" i="17"/>
  <c r="J1222" i="17"/>
  <c r="J1223" i="17"/>
  <c r="J1224" i="17"/>
  <c r="J1225" i="17"/>
  <c r="J1226" i="17"/>
  <c r="J1227" i="17"/>
  <c r="J1228" i="17"/>
  <c r="J1229" i="17"/>
  <c r="J1230" i="17"/>
  <c r="J1231" i="17"/>
  <c r="J1232" i="17"/>
  <c r="J1233" i="17"/>
  <c r="J1234" i="17"/>
  <c r="J1235" i="17"/>
  <c r="J1236" i="17"/>
  <c r="J1237" i="17"/>
  <c r="J1238" i="17"/>
  <c r="J1239" i="17"/>
  <c r="J1240" i="17"/>
  <c r="J1241" i="17"/>
  <c r="J1242" i="17"/>
  <c r="J1243" i="17"/>
  <c r="J1244" i="17"/>
  <c r="J1245" i="17"/>
  <c r="J1246" i="17"/>
  <c r="J1247" i="17"/>
  <c r="J1248" i="17"/>
  <c r="J1249" i="17"/>
  <c r="J1250" i="17"/>
  <c r="J1251" i="17"/>
  <c r="J1252" i="17"/>
  <c r="J1253" i="17"/>
  <c r="J1254" i="17"/>
  <c r="J1255" i="17"/>
  <c r="J1256" i="17"/>
  <c r="J1257" i="17"/>
  <c r="J1258" i="17"/>
  <c r="J1259" i="17"/>
  <c r="J1260" i="17"/>
  <c r="J1261" i="17"/>
  <c r="J1262" i="17"/>
  <c r="J1263" i="17"/>
  <c r="J1264" i="17"/>
  <c r="J1265" i="17"/>
  <c r="J1266" i="17"/>
  <c r="J1267" i="17"/>
  <c r="J1268" i="17"/>
  <c r="J1269" i="17"/>
  <c r="J1270" i="17"/>
  <c r="J1271" i="17"/>
  <c r="J1272" i="17"/>
  <c r="J1273" i="17"/>
  <c r="J1274" i="17"/>
  <c r="J1275" i="17"/>
  <c r="J1276" i="17"/>
  <c r="J1277" i="17"/>
  <c r="J1278" i="17"/>
  <c r="J1279" i="17"/>
  <c r="J1280" i="17"/>
  <c r="J1281" i="17"/>
  <c r="J1282" i="17"/>
  <c r="J1283" i="17"/>
  <c r="J1284" i="17"/>
  <c r="J1285" i="17"/>
  <c r="J1286" i="17"/>
  <c r="J1287" i="17"/>
  <c r="J1288" i="17"/>
  <c r="J1289" i="17"/>
  <c r="J1290" i="17"/>
  <c r="J1291" i="17"/>
  <c r="J1292" i="17"/>
  <c r="J1293" i="17"/>
  <c r="J1294" i="17"/>
  <c r="J1295" i="17"/>
  <c r="J1296" i="17"/>
  <c r="J1297" i="17"/>
  <c r="J1298" i="17"/>
  <c r="J1299" i="17"/>
  <c r="J1300" i="17"/>
  <c r="J1301" i="17"/>
  <c r="J1302" i="17"/>
  <c r="J1303" i="17"/>
  <c r="J1304" i="17"/>
  <c r="J1305" i="17"/>
  <c r="J1306" i="17"/>
  <c r="J1307" i="17"/>
  <c r="J1308" i="17"/>
  <c r="J1309" i="17"/>
  <c r="J1310" i="17"/>
  <c r="J1311" i="17"/>
  <c r="J1312" i="17"/>
  <c r="J1313" i="17"/>
  <c r="J1314" i="17"/>
  <c r="J1315" i="17"/>
  <c r="J1316" i="17"/>
  <c r="J1317" i="17"/>
  <c r="J1318" i="17"/>
  <c r="J1319" i="17"/>
  <c r="J1320" i="17"/>
  <c r="J1321" i="17"/>
  <c r="J1322" i="17"/>
  <c r="J1323" i="17"/>
  <c r="J1324" i="17"/>
  <c r="J1325" i="17"/>
  <c r="J1326" i="17"/>
  <c r="J1327" i="17"/>
  <c r="J1328" i="17"/>
  <c r="J1329" i="17"/>
  <c r="J1330" i="17"/>
  <c r="J1331" i="17"/>
  <c r="J1332" i="17"/>
  <c r="J1333" i="17"/>
  <c r="J1334" i="17"/>
  <c r="J1335" i="17"/>
  <c r="J1336" i="17"/>
  <c r="J1337" i="17"/>
  <c r="J1338" i="17"/>
  <c r="J1339" i="17"/>
  <c r="J1340" i="17"/>
  <c r="J1341" i="17"/>
  <c r="J1342" i="17"/>
  <c r="J1343" i="17"/>
  <c r="J1344" i="17"/>
  <c r="J1345" i="17"/>
  <c r="J1346" i="17"/>
  <c r="J1347" i="17"/>
  <c r="J1348" i="17"/>
  <c r="J1349" i="17"/>
  <c r="J1350" i="17"/>
  <c r="J1351" i="17"/>
  <c r="J1352" i="17"/>
  <c r="J1353" i="17"/>
  <c r="J1354" i="17"/>
  <c r="J1355" i="17"/>
  <c r="J1356" i="17"/>
  <c r="J1357" i="17"/>
  <c r="J1358" i="17"/>
  <c r="J1359" i="17"/>
  <c r="J1360" i="17"/>
  <c r="J1361" i="17"/>
  <c r="J1362" i="17"/>
  <c r="J1363" i="17"/>
  <c r="J1364" i="17"/>
  <c r="J1365" i="17"/>
  <c r="J1366" i="17"/>
  <c r="J1367" i="17"/>
  <c r="J1368" i="17"/>
  <c r="J1369" i="17"/>
  <c r="J1370" i="17"/>
  <c r="J1371" i="17"/>
  <c r="J1372" i="17"/>
  <c r="J1373" i="17"/>
  <c r="J1374" i="17"/>
  <c r="J1375" i="17"/>
  <c r="J1376" i="17"/>
  <c r="J1377" i="17"/>
  <c r="J1378" i="17"/>
  <c r="J1379" i="17"/>
  <c r="J1380" i="17"/>
  <c r="J1381" i="17"/>
  <c r="J1382" i="17"/>
  <c r="J1383" i="17"/>
  <c r="J1384" i="17"/>
  <c r="J1385" i="17"/>
  <c r="J1386" i="17"/>
  <c r="J1387" i="17"/>
  <c r="J1388" i="17"/>
  <c r="J1389" i="17"/>
  <c r="J1390" i="17"/>
  <c r="J1391" i="17"/>
  <c r="J1392" i="17"/>
  <c r="J1393" i="17"/>
  <c r="J1394" i="17"/>
  <c r="J1395" i="17"/>
  <c r="J1396" i="17"/>
  <c r="J1397" i="17"/>
  <c r="J1398" i="17"/>
  <c r="J1399" i="17"/>
  <c r="J1400" i="17"/>
  <c r="J1401" i="17"/>
  <c r="J1402" i="17"/>
  <c r="J1403" i="17"/>
  <c r="J1404" i="17"/>
  <c r="J1405" i="17"/>
  <c r="J1406" i="17"/>
  <c r="J1407" i="17"/>
  <c r="J1408" i="17"/>
  <c r="J1409" i="17"/>
  <c r="J1410" i="17"/>
  <c r="J1411" i="17"/>
  <c r="J1412" i="17"/>
  <c r="J1413" i="17"/>
  <c r="J1414" i="17"/>
  <c r="J1415" i="17"/>
  <c r="J1416" i="17"/>
  <c r="J1417" i="17"/>
  <c r="J1418" i="17"/>
  <c r="J1419" i="17"/>
  <c r="J1420" i="17"/>
  <c r="J1421" i="17"/>
  <c r="J1422" i="17"/>
  <c r="J1423" i="17"/>
  <c r="J1424" i="17"/>
  <c r="J1425" i="17"/>
  <c r="J1426" i="17"/>
  <c r="J1427" i="17"/>
  <c r="J1428" i="17"/>
  <c r="J1429" i="17"/>
  <c r="J1430" i="17"/>
  <c r="J1431" i="17"/>
  <c r="J1432" i="17"/>
  <c r="J1433" i="17"/>
  <c r="J1434" i="17"/>
  <c r="J1435" i="17"/>
  <c r="J1436" i="17"/>
  <c r="J1437" i="17"/>
  <c r="J1438" i="17"/>
  <c r="J1439" i="17"/>
  <c r="J1440" i="17"/>
  <c r="J1441" i="17"/>
  <c r="J1442" i="17"/>
  <c r="J1443" i="17"/>
  <c r="J1444" i="17"/>
  <c r="J1445" i="17"/>
  <c r="J1446" i="17"/>
  <c r="J1447" i="17"/>
  <c r="J1448" i="17"/>
  <c r="J1449" i="17"/>
  <c r="J1450" i="17"/>
  <c r="J1451" i="17"/>
  <c r="J1452" i="17"/>
  <c r="J1453" i="17"/>
  <c r="J1454" i="17"/>
  <c r="J1455" i="17"/>
  <c r="J1456" i="17"/>
  <c r="J1457" i="17"/>
  <c r="J1458" i="17"/>
  <c r="J1459" i="17"/>
  <c r="J1460" i="17"/>
  <c r="J1461" i="17"/>
  <c r="J1462" i="17"/>
  <c r="J1463" i="17"/>
  <c r="J1464" i="17"/>
  <c r="J1465" i="17"/>
  <c r="J1466" i="17"/>
  <c r="J1467" i="17"/>
  <c r="J1468" i="17"/>
  <c r="J1469" i="17"/>
  <c r="J1470" i="17"/>
  <c r="J1471" i="17"/>
  <c r="J1472" i="17"/>
  <c r="J1473" i="17"/>
  <c r="J1474" i="17"/>
  <c r="J1475" i="17"/>
  <c r="J1476" i="17"/>
  <c r="J1477" i="17"/>
  <c r="J1478" i="17"/>
  <c r="J1479" i="17"/>
  <c r="J1480" i="17"/>
  <c r="J1481" i="17"/>
  <c r="J1482" i="17"/>
  <c r="J1483" i="17"/>
  <c r="J1484" i="17"/>
  <c r="J1485" i="17"/>
  <c r="J1486" i="17"/>
  <c r="J1487" i="17"/>
  <c r="J1488" i="17"/>
  <c r="J1489" i="17"/>
  <c r="J1490" i="17"/>
  <c r="J1491" i="17"/>
  <c r="J1492" i="17"/>
  <c r="J1493" i="17"/>
  <c r="J1494" i="17"/>
  <c r="J1495" i="17"/>
  <c r="J1496" i="17"/>
  <c r="J1497" i="17"/>
  <c r="J1498" i="17"/>
  <c r="J1499" i="17"/>
  <c r="J1500" i="17"/>
  <c r="J1501" i="17"/>
  <c r="J1502" i="17"/>
  <c r="J1503" i="17"/>
  <c r="J1504" i="17"/>
  <c r="J1505" i="17"/>
  <c r="J1506" i="17"/>
  <c r="J1507" i="17"/>
  <c r="J1508" i="17"/>
  <c r="J1509" i="17"/>
  <c r="J1510" i="17"/>
  <c r="J1511" i="17"/>
  <c r="J1512" i="17"/>
  <c r="J1513" i="17"/>
  <c r="J1514" i="17"/>
  <c r="J1515" i="17"/>
  <c r="J1516" i="17"/>
  <c r="J1517" i="17"/>
  <c r="J1518" i="17"/>
  <c r="J1519" i="17"/>
  <c r="J1520" i="17"/>
  <c r="J1521" i="17"/>
  <c r="J1522" i="17"/>
  <c r="J1523" i="17"/>
  <c r="J1524" i="17"/>
  <c r="J1525" i="17"/>
  <c r="J1526" i="17"/>
  <c r="J1527" i="17"/>
  <c r="J1528" i="17"/>
  <c r="J1529" i="17"/>
  <c r="J1530" i="17"/>
  <c r="J1531" i="17"/>
  <c r="J1532" i="17"/>
  <c r="J1533" i="17"/>
  <c r="J1534" i="17"/>
  <c r="J1535" i="17"/>
  <c r="J1536" i="17"/>
  <c r="J1537" i="17"/>
  <c r="J1538" i="17"/>
  <c r="J1539" i="17"/>
  <c r="J1540" i="17"/>
  <c r="J1541" i="17"/>
  <c r="J1542" i="17"/>
  <c r="J1543" i="17"/>
  <c r="J1544" i="17"/>
  <c r="J1545" i="17"/>
  <c r="J1546" i="17"/>
  <c r="J1547" i="17"/>
  <c r="J1548" i="17"/>
  <c r="J1549" i="17"/>
  <c r="J1550" i="17"/>
  <c r="J1551" i="17"/>
  <c r="J1552" i="17"/>
  <c r="J1553" i="17"/>
  <c r="J1554" i="17"/>
  <c r="J1555" i="17"/>
  <c r="J1556" i="17"/>
  <c r="J1557" i="17"/>
  <c r="J1558" i="17"/>
  <c r="J1559" i="17"/>
  <c r="J1560" i="17"/>
  <c r="J1561" i="17"/>
  <c r="J1562" i="17"/>
  <c r="J1563" i="17"/>
  <c r="J1564" i="17"/>
  <c r="J1565" i="17"/>
  <c r="J1566" i="17"/>
  <c r="J1567" i="17"/>
  <c r="J1568" i="17"/>
  <c r="J1569" i="17"/>
  <c r="J1570" i="17"/>
  <c r="J1571" i="17"/>
  <c r="J1572" i="17"/>
  <c r="J1573" i="17"/>
  <c r="J1574" i="17"/>
  <c r="J1575" i="17"/>
  <c r="J1576" i="17"/>
  <c r="J1577" i="17"/>
  <c r="J1578" i="17"/>
  <c r="J1579" i="17"/>
  <c r="J1580" i="17"/>
  <c r="J1581" i="17"/>
  <c r="J1582" i="17"/>
  <c r="J1583" i="17"/>
  <c r="J1584" i="17"/>
  <c r="J1585" i="17"/>
  <c r="J1586" i="17"/>
  <c r="J1587" i="17"/>
  <c r="J1588" i="17"/>
  <c r="J1589" i="17"/>
  <c r="J1590" i="17"/>
  <c r="J1591" i="17"/>
  <c r="J1592" i="17"/>
  <c r="J1593" i="17"/>
  <c r="J1594" i="17"/>
  <c r="J1595" i="17"/>
  <c r="J1596" i="17"/>
  <c r="J1597" i="17"/>
  <c r="J1598" i="17"/>
  <c r="J1599" i="17"/>
  <c r="J1600" i="17"/>
  <c r="J1601" i="17"/>
  <c r="J1602" i="17"/>
  <c r="J1603" i="17"/>
  <c r="J1604" i="17"/>
  <c r="J1605" i="17"/>
  <c r="J1606" i="17"/>
  <c r="J1607" i="17"/>
  <c r="J1608" i="17"/>
  <c r="J1609" i="17"/>
  <c r="J1610" i="17"/>
  <c r="J1611" i="17"/>
  <c r="J1612" i="17"/>
  <c r="J1613" i="17"/>
  <c r="J1614" i="17"/>
  <c r="J1615" i="17"/>
  <c r="J1616" i="17"/>
  <c r="J1617" i="17"/>
  <c r="J1618" i="17"/>
  <c r="J1619" i="17"/>
  <c r="J1620" i="17"/>
  <c r="J1621" i="17"/>
  <c r="J1622" i="17"/>
  <c r="J1623" i="17"/>
  <c r="J1624" i="17"/>
  <c r="J1625" i="17"/>
  <c r="J1626" i="17"/>
  <c r="J1627" i="17"/>
  <c r="J1628" i="17"/>
  <c r="J1629" i="17"/>
  <c r="J1630" i="17"/>
  <c r="J1631" i="17"/>
  <c r="J1632" i="17"/>
  <c r="J1633" i="17"/>
  <c r="J1634" i="17"/>
  <c r="J1635" i="17"/>
  <c r="J1636" i="17"/>
  <c r="J1637" i="17"/>
  <c r="J1638" i="17"/>
  <c r="J1639" i="17"/>
  <c r="J1640" i="17"/>
  <c r="J1641" i="17"/>
  <c r="J1642" i="17"/>
  <c r="J1643" i="17"/>
  <c r="J1644" i="17"/>
  <c r="J1645" i="17"/>
  <c r="J1646" i="17"/>
  <c r="J1647" i="17"/>
  <c r="J1648" i="17"/>
  <c r="J1649" i="17"/>
  <c r="J1650" i="17"/>
  <c r="J1651" i="17"/>
  <c r="J1652" i="17"/>
  <c r="J1653" i="17"/>
  <c r="J1654" i="17"/>
  <c r="J1655" i="17"/>
  <c r="J1656" i="17"/>
  <c r="J1657" i="17"/>
  <c r="J1658" i="17"/>
  <c r="J1659" i="17"/>
  <c r="J1660" i="17"/>
  <c r="J1661" i="17"/>
  <c r="J1662" i="17"/>
  <c r="J1663" i="17"/>
  <c r="J1664" i="17"/>
  <c r="J1665" i="17"/>
  <c r="J1666" i="17"/>
  <c r="J1667" i="17"/>
  <c r="J1668" i="17"/>
  <c r="J1669" i="17"/>
  <c r="J1670" i="17"/>
  <c r="J1671" i="17"/>
  <c r="J1672" i="17"/>
  <c r="J1673" i="17"/>
  <c r="J1674" i="17"/>
  <c r="J1675" i="17"/>
  <c r="J1676" i="17"/>
  <c r="J1677" i="17"/>
  <c r="J1678" i="17"/>
  <c r="J1679" i="17"/>
  <c r="J1680" i="17"/>
  <c r="J1681" i="17"/>
  <c r="J1682" i="17"/>
  <c r="J1683" i="17"/>
  <c r="J1684" i="17"/>
  <c r="J1685" i="17"/>
  <c r="J1686" i="17"/>
  <c r="J1687" i="17"/>
  <c r="J1688" i="17"/>
  <c r="J1689" i="17"/>
  <c r="J1690" i="17"/>
  <c r="J1691" i="17"/>
  <c r="J1692" i="17"/>
  <c r="J1693" i="17"/>
  <c r="J1694" i="17"/>
  <c r="J1695" i="17"/>
  <c r="J1696" i="17"/>
  <c r="J1697" i="17"/>
  <c r="J1698" i="17"/>
  <c r="J1699" i="17"/>
  <c r="J1700" i="17"/>
  <c r="J1701" i="17"/>
  <c r="J1702" i="17"/>
  <c r="J1703" i="17"/>
  <c r="J1704" i="17"/>
  <c r="J1705" i="17"/>
  <c r="J1706" i="17"/>
  <c r="J1707" i="17"/>
  <c r="J1708" i="17"/>
  <c r="J1709" i="17"/>
  <c r="J1710" i="17"/>
  <c r="J1711" i="17"/>
  <c r="J1712" i="17"/>
  <c r="J1713" i="17"/>
  <c r="J1714" i="17"/>
  <c r="J1715" i="17"/>
  <c r="J1716" i="17"/>
  <c r="J1717" i="17"/>
  <c r="J1718" i="17"/>
  <c r="J1719" i="17"/>
  <c r="J1720" i="17"/>
  <c r="J1721" i="17"/>
  <c r="J1722" i="17"/>
  <c r="J1723" i="17"/>
  <c r="J1724" i="17"/>
  <c r="J1725" i="17"/>
  <c r="J1726" i="17"/>
  <c r="J1727" i="17"/>
  <c r="J1728" i="17"/>
  <c r="J1729" i="17"/>
  <c r="J1730" i="17"/>
  <c r="J1731" i="17"/>
  <c r="J1732" i="17"/>
  <c r="J1733" i="17"/>
  <c r="J1734" i="17"/>
  <c r="J1735" i="17"/>
  <c r="J1736" i="17"/>
  <c r="J1737" i="17"/>
  <c r="J1738" i="17"/>
  <c r="J1739" i="17"/>
  <c r="J1740" i="17"/>
  <c r="J1741" i="17"/>
  <c r="J1742" i="17"/>
  <c r="J1743" i="17"/>
  <c r="J1744" i="17"/>
  <c r="J1745" i="17"/>
  <c r="J1746" i="17"/>
  <c r="J1747" i="17"/>
  <c r="J1748" i="17"/>
  <c r="J1749" i="17"/>
  <c r="J1750" i="17"/>
  <c r="J1751" i="17"/>
  <c r="J1752" i="17"/>
  <c r="J1753" i="17"/>
  <c r="J1754" i="17"/>
  <c r="J1755" i="17"/>
  <c r="J1756" i="17"/>
  <c r="J1757" i="17"/>
  <c r="J1758" i="17"/>
  <c r="J1759" i="17"/>
  <c r="J1760" i="17"/>
  <c r="J1761" i="17"/>
  <c r="J1762" i="17"/>
  <c r="J1763" i="17"/>
  <c r="J1764" i="17"/>
  <c r="J1765" i="17"/>
  <c r="J1766" i="17"/>
  <c r="J1767" i="17"/>
  <c r="J1768" i="17"/>
  <c r="J1769" i="17"/>
  <c r="J1770" i="17"/>
  <c r="J1771" i="17"/>
  <c r="J1772" i="17"/>
  <c r="J1773" i="17"/>
  <c r="J1774" i="17"/>
  <c r="J1775" i="17"/>
  <c r="J1776" i="17"/>
  <c r="J1777" i="17"/>
  <c r="J1778" i="17"/>
  <c r="J1779" i="17"/>
  <c r="J1780" i="17"/>
  <c r="J1781" i="17"/>
  <c r="J1782" i="17"/>
  <c r="J1783" i="17"/>
  <c r="J1784" i="17"/>
  <c r="J1785" i="17"/>
  <c r="J1786" i="17"/>
  <c r="J1787" i="17"/>
  <c r="J1788" i="17"/>
  <c r="J1789" i="17"/>
  <c r="J1790" i="17"/>
  <c r="J1791" i="17"/>
  <c r="J1792" i="17"/>
  <c r="J1793" i="17"/>
  <c r="J1794" i="17"/>
  <c r="J1795" i="17"/>
  <c r="J1796" i="17"/>
  <c r="J1797" i="17"/>
  <c r="J1798" i="17"/>
  <c r="J1799" i="17"/>
  <c r="J1800" i="17"/>
  <c r="J1801" i="17"/>
  <c r="J1802" i="17"/>
  <c r="J1803" i="17"/>
  <c r="J1804" i="17"/>
  <c r="J1805" i="17"/>
  <c r="J1806" i="17"/>
  <c r="J1807" i="17"/>
  <c r="J1808" i="17"/>
  <c r="J1809" i="17"/>
  <c r="J1810" i="17"/>
  <c r="J1811" i="17"/>
  <c r="J1812" i="17"/>
  <c r="J1813" i="17"/>
  <c r="J1814" i="17"/>
  <c r="J1815" i="17"/>
  <c r="J1816" i="17"/>
  <c r="J1817" i="17"/>
  <c r="J1818" i="17"/>
  <c r="J1819" i="17"/>
  <c r="J1820" i="17"/>
  <c r="J1821" i="17"/>
  <c r="J1822" i="17"/>
  <c r="J1823" i="17"/>
  <c r="J1824" i="17"/>
  <c r="J1825" i="17"/>
  <c r="J1826" i="17"/>
  <c r="J1827" i="17"/>
  <c r="J1828" i="17"/>
  <c r="J1829" i="17"/>
  <c r="J1830" i="17"/>
  <c r="J1831" i="17"/>
  <c r="J1832" i="17"/>
  <c r="J1833" i="17"/>
  <c r="J1834" i="17"/>
  <c r="J1835" i="17"/>
  <c r="J1836" i="17"/>
  <c r="J1837" i="17"/>
  <c r="J1838" i="17"/>
  <c r="J1839" i="17"/>
  <c r="J1840" i="17"/>
  <c r="J1841" i="17"/>
  <c r="J1842" i="17"/>
  <c r="J1843" i="17"/>
  <c r="J1844" i="17"/>
  <c r="J1845" i="17"/>
  <c r="J1846" i="17"/>
  <c r="J1847" i="17"/>
  <c r="J1848" i="17"/>
  <c r="J1849" i="17"/>
  <c r="J1850" i="17"/>
  <c r="J1851" i="17"/>
  <c r="J1852" i="17"/>
  <c r="J1853" i="17"/>
  <c r="J1854" i="17"/>
  <c r="J1855" i="17"/>
  <c r="J1856" i="17"/>
  <c r="J1857" i="17"/>
  <c r="J1858" i="17"/>
  <c r="J1859" i="17"/>
  <c r="J1860" i="17"/>
  <c r="J1861" i="17"/>
  <c r="J1862" i="17"/>
  <c r="J1863" i="17"/>
  <c r="J1864" i="17"/>
  <c r="J1865" i="17"/>
  <c r="J1866" i="17"/>
  <c r="J1867" i="17"/>
  <c r="J1868" i="17"/>
  <c r="J1869" i="17"/>
  <c r="J1870" i="17"/>
  <c r="J1871" i="17"/>
  <c r="J1872" i="17"/>
  <c r="J1873" i="17"/>
  <c r="J1874" i="17"/>
  <c r="J1875" i="17"/>
  <c r="J1876" i="17"/>
  <c r="J1877" i="17"/>
  <c r="J1878" i="17"/>
  <c r="J1879" i="17"/>
  <c r="J1880" i="17"/>
  <c r="J1881" i="17"/>
  <c r="J1882" i="17"/>
  <c r="J1883" i="17"/>
  <c r="J1884" i="17"/>
  <c r="J1885" i="17"/>
  <c r="J1886" i="17"/>
  <c r="J1887" i="17"/>
  <c r="J1888" i="17"/>
  <c r="J1889" i="17"/>
  <c r="J1890" i="17"/>
  <c r="J1891" i="17"/>
  <c r="J1892" i="17"/>
  <c r="J1893" i="17"/>
  <c r="J1894" i="17"/>
  <c r="J1895" i="17"/>
  <c r="J1896" i="17"/>
  <c r="J1897" i="17"/>
  <c r="J1898" i="17"/>
  <c r="J1899" i="17"/>
  <c r="J1900" i="17"/>
  <c r="J1901" i="17"/>
  <c r="J1902" i="17"/>
  <c r="J1903" i="17"/>
  <c r="J1904" i="17"/>
  <c r="J1905" i="17"/>
  <c r="J1906" i="17"/>
  <c r="J1907" i="17"/>
  <c r="J1908" i="17"/>
  <c r="J1909" i="17"/>
  <c r="J1910" i="17"/>
  <c r="J1911" i="17"/>
  <c r="J1912" i="17"/>
  <c r="J1913" i="17"/>
  <c r="J1914" i="17"/>
  <c r="J1915" i="17"/>
  <c r="J1916" i="17"/>
  <c r="J1917" i="17"/>
  <c r="J1918" i="17"/>
  <c r="J1919" i="17"/>
  <c r="J1920" i="17"/>
  <c r="J1921" i="17"/>
  <c r="J1922" i="17"/>
  <c r="J1923" i="17"/>
  <c r="J1924" i="17"/>
  <c r="J1925" i="17"/>
  <c r="J1926" i="17"/>
  <c r="J1927" i="17"/>
  <c r="J1928" i="17"/>
  <c r="J1929" i="17"/>
  <c r="J1930" i="17"/>
  <c r="J1931" i="17"/>
  <c r="J1932" i="17"/>
  <c r="J1933" i="17"/>
  <c r="J1934" i="17"/>
  <c r="J1935" i="17"/>
  <c r="J1936" i="17"/>
  <c r="J1937" i="17"/>
  <c r="J1938" i="17"/>
  <c r="J1939" i="17"/>
  <c r="J1940" i="17"/>
  <c r="J1941" i="17"/>
  <c r="J1942" i="17"/>
  <c r="J1943" i="17"/>
  <c r="J1944" i="17"/>
  <c r="J1945" i="17"/>
  <c r="J1946" i="17"/>
  <c r="J1947" i="17"/>
  <c r="J1948" i="17"/>
  <c r="J1949" i="17"/>
  <c r="J1950" i="17"/>
  <c r="J1951" i="17"/>
  <c r="J1952" i="17"/>
  <c r="J1953" i="17"/>
  <c r="J1954" i="17"/>
  <c r="J1955" i="17"/>
  <c r="J1956" i="17"/>
  <c r="J1957" i="17"/>
  <c r="J1958" i="17"/>
  <c r="J1959" i="17"/>
  <c r="J1960" i="17"/>
  <c r="J1961" i="17"/>
  <c r="J1962" i="17"/>
  <c r="J1963" i="17"/>
  <c r="J1964" i="17"/>
  <c r="J1965" i="17"/>
  <c r="J1966" i="17"/>
  <c r="J1967" i="17"/>
  <c r="J1968" i="17"/>
  <c r="J1969" i="17"/>
  <c r="J1970" i="17"/>
  <c r="J1971" i="17"/>
  <c r="J1972" i="17"/>
  <c r="J1973" i="17"/>
  <c r="J1974" i="17"/>
  <c r="J1975" i="17"/>
  <c r="J1976" i="17"/>
  <c r="J1977" i="17"/>
  <c r="J1978" i="17"/>
  <c r="J1979" i="17"/>
  <c r="J1980" i="17"/>
  <c r="J1981" i="17"/>
  <c r="J1982" i="17"/>
  <c r="J1983" i="17"/>
  <c r="J1984" i="17"/>
  <c r="J1985" i="17"/>
  <c r="J1986" i="17"/>
  <c r="J1987" i="17"/>
  <c r="J1988" i="17"/>
  <c r="J1989" i="17"/>
  <c r="J1990" i="17"/>
  <c r="J1991" i="17"/>
  <c r="J1992" i="17"/>
  <c r="J1993" i="17"/>
  <c r="J1994" i="17"/>
  <c r="J1995" i="17"/>
  <c r="J1996" i="17"/>
  <c r="J1997" i="17"/>
  <c r="J1998" i="17"/>
  <c r="J1999" i="17"/>
  <c r="J2000" i="17"/>
  <c r="J2001" i="17"/>
  <c r="I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1002" i="17"/>
  <c r="I1003" i="17"/>
  <c r="I1004" i="17"/>
  <c r="I1005" i="17"/>
  <c r="I1006" i="17"/>
  <c r="I1007" i="17"/>
  <c r="I1008" i="17"/>
  <c r="I1009" i="17"/>
  <c r="I1010" i="17"/>
  <c r="I1011" i="17"/>
  <c r="I1012" i="17"/>
  <c r="I1013" i="17"/>
  <c r="I1014" i="17"/>
  <c r="I1015" i="17"/>
  <c r="I1016" i="17"/>
  <c r="I1017" i="17"/>
  <c r="I1018" i="17"/>
  <c r="I1019" i="17"/>
  <c r="I1020" i="17"/>
  <c r="I1021" i="17"/>
  <c r="I1022" i="17"/>
  <c r="I1023" i="17"/>
  <c r="I1024" i="17"/>
  <c r="I1025" i="17"/>
  <c r="I1026" i="17"/>
  <c r="I1027" i="17"/>
  <c r="I1028" i="17"/>
  <c r="I1029" i="17"/>
  <c r="I1030" i="17"/>
  <c r="I1031" i="17"/>
  <c r="I1032" i="17"/>
  <c r="I1033" i="17"/>
  <c r="I1034" i="17"/>
  <c r="I1035" i="17"/>
  <c r="I1036" i="17"/>
  <c r="I1037" i="17"/>
  <c r="I1038" i="17"/>
  <c r="I1039" i="17"/>
  <c r="I1040" i="17"/>
  <c r="I1041" i="17"/>
  <c r="I1042" i="17"/>
  <c r="I1043" i="17"/>
  <c r="I1044" i="17"/>
  <c r="I1045" i="17"/>
  <c r="I1046" i="17"/>
  <c r="I1047" i="17"/>
  <c r="I1048" i="17"/>
  <c r="I1049" i="17"/>
  <c r="I1050" i="17"/>
  <c r="I1051" i="17"/>
  <c r="I1052" i="17"/>
  <c r="I1053" i="17"/>
  <c r="I1054" i="17"/>
  <c r="I1055" i="17"/>
  <c r="I1056" i="17"/>
  <c r="I1057" i="17"/>
  <c r="I1058" i="17"/>
  <c r="I1059" i="17"/>
  <c r="I1060" i="17"/>
  <c r="I1061" i="17"/>
  <c r="I1062" i="17"/>
  <c r="I1063" i="17"/>
  <c r="I1064" i="17"/>
  <c r="I1065" i="17"/>
  <c r="I1066" i="17"/>
  <c r="I1067" i="17"/>
  <c r="I1068" i="17"/>
  <c r="I1069" i="17"/>
  <c r="I1070" i="17"/>
  <c r="I1071" i="17"/>
  <c r="I1072" i="17"/>
  <c r="I1073" i="17"/>
  <c r="I1074" i="17"/>
  <c r="I1075" i="17"/>
  <c r="I1076" i="17"/>
  <c r="I1077" i="17"/>
  <c r="I1078" i="17"/>
  <c r="I1079" i="17"/>
  <c r="I1080" i="17"/>
  <c r="I1081" i="17"/>
  <c r="I1082" i="17"/>
  <c r="I1083" i="17"/>
  <c r="I1084" i="17"/>
  <c r="I1085" i="17"/>
  <c r="I1086" i="17"/>
  <c r="I1087" i="17"/>
  <c r="I1088" i="17"/>
  <c r="I1089" i="17"/>
  <c r="I1090" i="17"/>
  <c r="I1091" i="17"/>
  <c r="I1092" i="17"/>
  <c r="I1093" i="17"/>
  <c r="I1094" i="17"/>
  <c r="I1095" i="17"/>
  <c r="I1096" i="17"/>
  <c r="I1097" i="17"/>
  <c r="I1098" i="17"/>
  <c r="I1099" i="17"/>
  <c r="I1100" i="17"/>
  <c r="I1101" i="17"/>
  <c r="I1102" i="17"/>
  <c r="I1103" i="17"/>
  <c r="I1104" i="17"/>
  <c r="I1105" i="17"/>
  <c r="I1106" i="17"/>
  <c r="I1107" i="17"/>
  <c r="I1108" i="17"/>
  <c r="I1109" i="17"/>
  <c r="I1110" i="17"/>
  <c r="I1111" i="17"/>
  <c r="I1112" i="17"/>
  <c r="I1113" i="17"/>
  <c r="I1114" i="17"/>
  <c r="I1115" i="17"/>
  <c r="I1116" i="17"/>
  <c r="I1117" i="17"/>
  <c r="I1118" i="17"/>
  <c r="I1119" i="17"/>
  <c r="I1120" i="17"/>
  <c r="I1121" i="17"/>
  <c r="I1122" i="17"/>
  <c r="I1123" i="17"/>
  <c r="I1124" i="17"/>
  <c r="I1125" i="17"/>
  <c r="I1126" i="17"/>
  <c r="I1127" i="17"/>
  <c r="I1128" i="17"/>
  <c r="I1129" i="17"/>
  <c r="I1130" i="17"/>
  <c r="I1131" i="17"/>
  <c r="I1132" i="17"/>
  <c r="I1133" i="17"/>
  <c r="I1134" i="17"/>
  <c r="I1135" i="17"/>
  <c r="I1136" i="17"/>
  <c r="I1137" i="17"/>
  <c r="I1138" i="17"/>
  <c r="I1139" i="17"/>
  <c r="I1140" i="17"/>
  <c r="I1141" i="17"/>
  <c r="I1142" i="17"/>
  <c r="I1143" i="17"/>
  <c r="I1144" i="17"/>
  <c r="I1145" i="17"/>
  <c r="I1146" i="17"/>
  <c r="I1147" i="17"/>
  <c r="I1148" i="17"/>
  <c r="I1149" i="17"/>
  <c r="I1150" i="17"/>
  <c r="I1151" i="17"/>
  <c r="I1152" i="17"/>
  <c r="I1153" i="17"/>
  <c r="I1154" i="17"/>
  <c r="I1155" i="17"/>
  <c r="I1156" i="17"/>
  <c r="I1157" i="17"/>
  <c r="I1158" i="17"/>
  <c r="I1159" i="17"/>
  <c r="I1160" i="17"/>
  <c r="I1161" i="17"/>
  <c r="I1162" i="17"/>
  <c r="I1163" i="17"/>
  <c r="I1164" i="17"/>
  <c r="I1165" i="17"/>
  <c r="I1166" i="17"/>
  <c r="I1167" i="17"/>
  <c r="I1168" i="17"/>
  <c r="I1169" i="17"/>
  <c r="I1170" i="17"/>
  <c r="I1171" i="17"/>
  <c r="I1172" i="17"/>
  <c r="I1173" i="17"/>
  <c r="I1174" i="17"/>
  <c r="I1175" i="17"/>
  <c r="I1176" i="17"/>
  <c r="I1177" i="17"/>
  <c r="I1178" i="17"/>
  <c r="I1179" i="17"/>
  <c r="I1180" i="17"/>
  <c r="I1181" i="17"/>
  <c r="I1182" i="17"/>
  <c r="I1183" i="17"/>
  <c r="I1184" i="17"/>
  <c r="I1185" i="17"/>
  <c r="I1186" i="17"/>
  <c r="I1187" i="17"/>
  <c r="I1188" i="17"/>
  <c r="I1189" i="17"/>
  <c r="I1190" i="17"/>
  <c r="I1191" i="17"/>
  <c r="I1192" i="17"/>
  <c r="I1193" i="17"/>
  <c r="I1194" i="17"/>
  <c r="I1195" i="17"/>
  <c r="I1196" i="17"/>
  <c r="I1197" i="17"/>
  <c r="I1198" i="17"/>
  <c r="I1199" i="17"/>
  <c r="I1200" i="17"/>
  <c r="I1201" i="17"/>
  <c r="I1202" i="17"/>
  <c r="I1203" i="17"/>
  <c r="I1204" i="17"/>
  <c r="I1205" i="17"/>
  <c r="I1206" i="17"/>
  <c r="I1207" i="17"/>
  <c r="I1208" i="17"/>
  <c r="I1209" i="17"/>
  <c r="I1210" i="17"/>
  <c r="I1211" i="17"/>
  <c r="I1212" i="17"/>
  <c r="I1213" i="17"/>
  <c r="I1214" i="17"/>
  <c r="I1215" i="17"/>
  <c r="I1216" i="17"/>
  <c r="I1217" i="17"/>
  <c r="I1218" i="17"/>
  <c r="I1219" i="17"/>
  <c r="I1220" i="17"/>
  <c r="I1221" i="17"/>
  <c r="I1222" i="17"/>
  <c r="I1223" i="17"/>
  <c r="I1224" i="17"/>
  <c r="I1225" i="17"/>
  <c r="I1226" i="17"/>
  <c r="I1227" i="17"/>
  <c r="I1228" i="17"/>
  <c r="I1229" i="17"/>
  <c r="I1230" i="17"/>
  <c r="I1231" i="17"/>
  <c r="I1232" i="17"/>
  <c r="I1233" i="17"/>
  <c r="I1234" i="17"/>
  <c r="I1235" i="17"/>
  <c r="I1236" i="17"/>
  <c r="I1237" i="17"/>
  <c r="I1238" i="17"/>
  <c r="I1239" i="17"/>
  <c r="I1240" i="17"/>
  <c r="I1241" i="17"/>
  <c r="I1242" i="17"/>
  <c r="I1243" i="17"/>
  <c r="I1244" i="17"/>
  <c r="I1245" i="17"/>
  <c r="I1246" i="17"/>
  <c r="I1247" i="17"/>
  <c r="I1248" i="17"/>
  <c r="I1249" i="17"/>
  <c r="I1250" i="17"/>
  <c r="I1251" i="17"/>
  <c r="I1252" i="17"/>
  <c r="I1253" i="17"/>
  <c r="I1254" i="17"/>
  <c r="I1255" i="17"/>
  <c r="I1256" i="17"/>
  <c r="I1257" i="17"/>
  <c r="I1258" i="17"/>
  <c r="I1259" i="17"/>
  <c r="I1260" i="17"/>
  <c r="I1261" i="17"/>
  <c r="I1262" i="17"/>
  <c r="I1263" i="17"/>
  <c r="I1264" i="17"/>
  <c r="I1265" i="17"/>
  <c r="I1266" i="17"/>
  <c r="I1267" i="17"/>
  <c r="I1268" i="17"/>
  <c r="I1269" i="17"/>
  <c r="I1270" i="17"/>
  <c r="I1271" i="17"/>
  <c r="I1272" i="17"/>
  <c r="I1273" i="17"/>
  <c r="I1274" i="17"/>
  <c r="I1275" i="17"/>
  <c r="I1276" i="17"/>
  <c r="I1277" i="17"/>
  <c r="I1278" i="17"/>
  <c r="I1279" i="17"/>
  <c r="I1280" i="17"/>
  <c r="I1281" i="17"/>
  <c r="I1282" i="17"/>
  <c r="I1283" i="17"/>
  <c r="I1284" i="17"/>
  <c r="I1285" i="17"/>
  <c r="I1286" i="17"/>
  <c r="I1287" i="17"/>
  <c r="I1288" i="17"/>
  <c r="I1289" i="17"/>
  <c r="I1290" i="17"/>
  <c r="I1291" i="17"/>
  <c r="I1292" i="17"/>
  <c r="I1293" i="17"/>
  <c r="I1294" i="17"/>
  <c r="I1295" i="17"/>
  <c r="I1296" i="17"/>
  <c r="I1297" i="17"/>
  <c r="I1298" i="17"/>
  <c r="I1299" i="17"/>
  <c r="I1300" i="17"/>
  <c r="I1301" i="17"/>
  <c r="I1302" i="17"/>
  <c r="I1303" i="17"/>
  <c r="I1304" i="17"/>
  <c r="I1305" i="17"/>
  <c r="I1306" i="17"/>
  <c r="I1307" i="17"/>
  <c r="I1308" i="17"/>
  <c r="I1309" i="17"/>
  <c r="I1310" i="17"/>
  <c r="I1311" i="17"/>
  <c r="I1312" i="17"/>
  <c r="I1313" i="17"/>
  <c r="I1314" i="17"/>
  <c r="I1315" i="17"/>
  <c r="I1316" i="17"/>
  <c r="I1317" i="17"/>
  <c r="I1318" i="17"/>
  <c r="I1319" i="17"/>
  <c r="I1320" i="17"/>
  <c r="I1321" i="17"/>
  <c r="I1322" i="17"/>
  <c r="I1323" i="17"/>
  <c r="I1324" i="17"/>
  <c r="I1325" i="17"/>
  <c r="I1326" i="17"/>
  <c r="I1327" i="17"/>
  <c r="I1328" i="17"/>
  <c r="I1329" i="17"/>
  <c r="I1330" i="17"/>
  <c r="I1331" i="17"/>
  <c r="I1332" i="17"/>
  <c r="I1333" i="17"/>
  <c r="I1334" i="17"/>
  <c r="I1335" i="17"/>
  <c r="I1336" i="17"/>
  <c r="I1337" i="17"/>
  <c r="I1338" i="17"/>
  <c r="I1339" i="17"/>
  <c r="I1340" i="17"/>
  <c r="I1341" i="17"/>
  <c r="I1342" i="17"/>
  <c r="I1343" i="17"/>
  <c r="I1344" i="17"/>
  <c r="I1345" i="17"/>
  <c r="I1346" i="17"/>
  <c r="I1347" i="17"/>
  <c r="I1348" i="17"/>
  <c r="I1349" i="17"/>
  <c r="I1350" i="17"/>
  <c r="I1351" i="17"/>
  <c r="I1352" i="17"/>
  <c r="I1353" i="17"/>
  <c r="I1354" i="17"/>
  <c r="I1355" i="17"/>
  <c r="I1356" i="17"/>
  <c r="I1357" i="17"/>
  <c r="I1358" i="17"/>
  <c r="I1359" i="17"/>
  <c r="I1360" i="17"/>
  <c r="I1361" i="17"/>
  <c r="I1362" i="17"/>
  <c r="I1363" i="17"/>
  <c r="I1364" i="17"/>
  <c r="I1365" i="17"/>
  <c r="I1366" i="17"/>
  <c r="I1367" i="17"/>
  <c r="I1368" i="17"/>
  <c r="I1369" i="17"/>
  <c r="I1370" i="17"/>
  <c r="I1371" i="17"/>
  <c r="I1372" i="17"/>
  <c r="I1373" i="17"/>
  <c r="I1374" i="17"/>
  <c r="I1375" i="17"/>
  <c r="I1376" i="17"/>
  <c r="I1377" i="17"/>
  <c r="I1378" i="17"/>
  <c r="I1379" i="17"/>
  <c r="I1380" i="17"/>
  <c r="I1381" i="17"/>
  <c r="I1382" i="17"/>
  <c r="I1383" i="17"/>
  <c r="I1384" i="17"/>
  <c r="I1385" i="17"/>
  <c r="I1386" i="17"/>
  <c r="I1387" i="17"/>
  <c r="I1388" i="17"/>
  <c r="I1389" i="17"/>
  <c r="I1390" i="17"/>
  <c r="I1391" i="17"/>
  <c r="I1392" i="17"/>
  <c r="I1393" i="17"/>
  <c r="I1394" i="17"/>
  <c r="I1395" i="17"/>
  <c r="I1396" i="17"/>
  <c r="I1397" i="17"/>
  <c r="I1398" i="17"/>
  <c r="I1399" i="17"/>
  <c r="I1400" i="17"/>
  <c r="I1401" i="17"/>
  <c r="I1402" i="17"/>
  <c r="I1403" i="17"/>
  <c r="I1404" i="17"/>
  <c r="I1405" i="17"/>
  <c r="I1406" i="17"/>
  <c r="I1407" i="17"/>
  <c r="I1408" i="17"/>
  <c r="I1409" i="17"/>
  <c r="I1410" i="17"/>
  <c r="I1411" i="17"/>
  <c r="I1412" i="17"/>
  <c r="I1413" i="17"/>
  <c r="I1414" i="17"/>
  <c r="I1415" i="17"/>
  <c r="I1416" i="17"/>
  <c r="I1417" i="17"/>
  <c r="I1418" i="17"/>
  <c r="I1419" i="17"/>
  <c r="I1420" i="17"/>
  <c r="I1421" i="17"/>
  <c r="I1422" i="17"/>
  <c r="I1423" i="17"/>
  <c r="I1424" i="17"/>
  <c r="I1425" i="17"/>
  <c r="I1426" i="17"/>
  <c r="I1427" i="17"/>
  <c r="I1428" i="17"/>
  <c r="I1429" i="17"/>
  <c r="I1430" i="17"/>
  <c r="I1431" i="17"/>
  <c r="I1432" i="17"/>
  <c r="I1433" i="17"/>
  <c r="I1434" i="17"/>
  <c r="I1435" i="17"/>
  <c r="I1436" i="17"/>
  <c r="I1437" i="17"/>
  <c r="I1438" i="17"/>
  <c r="I1439" i="17"/>
  <c r="I1440" i="17"/>
  <c r="I1441" i="17"/>
  <c r="I1442" i="17"/>
  <c r="I1443" i="17"/>
  <c r="I1444" i="17"/>
  <c r="I1445" i="17"/>
  <c r="I1446" i="17"/>
  <c r="I1447" i="17"/>
  <c r="I1448" i="17"/>
  <c r="I1449" i="17"/>
  <c r="I1450" i="17"/>
  <c r="I1451" i="17"/>
  <c r="I1452" i="17"/>
  <c r="I1453" i="17"/>
  <c r="I1454" i="17"/>
  <c r="I1455" i="17"/>
  <c r="I1456" i="17"/>
  <c r="I1457" i="17"/>
  <c r="I1458" i="17"/>
  <c r="I1459" i="17"/>
  <c r="I1460" i="17"/>
  <c r="I1461" i="17"/>
  <c r="I1462" i="17"/>
  <c r="I1463" i="17"/>
  <c r="I1464" i="17"/>
  <c r="I1465" i="17"/>
  <c r="I1466" i="17"/>
  <c r="I1467" i="17"/>
  <c r="I1468" i="17"/>
  <c r="I1469" i="17"/>
  <c r="I1470" i="17"/>
  <c r="I1471" i="17"/>
  <c r="I1472" i="17"/>
  <c r="I1473" i="17"/>
  <c r="I1474" i="17"/>
  <c r="I1475" i="17"/>
  <c r="I1476" i="17"/>
  <c r="I1477" i="17"/>
  <c r="I1478" i="17"/>
  <c r="I1479" i="17"/>
  <c r="I1480" i="17"/>
  <c r="I1481" i="17"/>
  <c r="I1482" i="17"/>
  <c r="I1483" i="17"/>
  <c r="I1484" i="17"/>
  <c r="I1485" i="17"/>
  <c r="I1486" i="17"/>
  <c r="I1487" i="17"/>
  <c r="I1488" i="17"/>
  <c r="I1489" i="17"/>
  <c r="I1490" i="17"/>
  <c r="I1491" i="17"/>
  <c r="I1492" i="17"/>
  <c r="I1493" i="17"/>
  <c r="I1494" i="17"/>
  <c r="I1495" i="17"/>
  <c r="I1496" i="17"/>
  <c r="I1497" i="17"/>
  <c r="I1498" i="17"/>
  <c r="I1499" i="17"/>
  <c r="I1500" i="17"/>
  <c r="I1501" i="17"/>
  <c r="I1502" i="17"/>
  <c r="I1503" i="17"/>
  <c r="I1504" i="17"/>
  <c r="I1505" i="17"/>
  <c r="I1506" i="17"/>
  <c r="I1507" i="17"/>
  <c r="I1508" i="17"/>
  <c r="I1509" i="17"/>
  <c r="I1510" i="17"/>
  <c r="I1511" i="17"/>
  <c r="I1512" i="17"/>
  <c r="I1513" i="17"/>
  <c r="I1514" i="17"/>
  <c r="I1515" i="17"/>
  <c r="I1516" i="17"/>
  <c r="I1517" i="17"/>
  <c r="I1518" i="17"/>
  <c r="I1519" i="17"/>
  <c r="I1520" i="17"/>
  <c r="I1521" i="17"/>
  <c r="I1522" i="17"/>
  <c r="I1523" i="17"/>
  <c r="I1524" i="17"/>
  <c r="I1525" i="17"/>
  <c r="I1526" i="17"/>
  <c r="I1527" i="17"/>
  <c r="I1528" i="17"/>
  <c r="I1529" i="17"/>
  <c r="I1530" i="17"/>
  <c r="I1531" i="17"/>
  <c r="I1532" i="17"/>
  <c r="I1533" i="17"/>
  <c r="I1534" i="17"/>
  <c r="I1535" i="17"/>
  <c r="I1536" i="17"/>
  <c r="I1537" i="17"/>
  <c r="I1538" i="17"/>
  <c r="I1539" i="17"/>
  <c r="I1540" i="17"/>
  <c r="I1541" i="17"/>
  <c r="I1542" i="17"/>
  <c r="I1543" i="17"/>
  <c r="I1544" i="17"/>
  <c r="I1545" i="17"/>
  <c r="I1546" i="17"/>
  <c r="I1547" i="17"/>
  <c r="I1548" i="17"/>
  <c r="I1549" i="17"/>
  <c r="I1550" i="17"/>
  <c r="I1551" i="17"/>
  <c r="I1552" i="17"/>
  <c r="I1553" i="17"/>
  <c r="I1554" i="17"/>
  <c r="I1555" i="17"/>
  <c r="I1556" i="17"/>
  <c r="I1557" i="17"/>
  <c r="I1558" i="17"/>
  <c r="I1559" i="17"/>
  <c r="I1560" i="17"/>
  <c r="I1561" i="17"/>
  <c r="I1562" i="17"/>
  <c r="I1563" i="17"/>
  <c r="I1564" i="17"/>
  <c r="I1565" i="17"/>
  <c r="I1566" i="17"/>
  <c r="I1567" i="17"/>
  <c r="I1568" i="17"/>
  <c r="I1569" i="17"/>
  <c r="I1570" i="17"/>
  <c r="I1571" i="17"/>
  <c r="I1572" i="17"/>
  <c r="I1573" i="17"/>
  <c r="I1574" i="17"/>
  <c r="I1575" i="17"/>
  <c r="I1576" i="17"/>
  <c r="I1577" i="17"/>
  <c r="I1578" i="17"/>
  <c r="I1579" i="17"/>
  <c r="I1580" i="17"/>
  <c r="I1581" i="17"/>
  <c r="I1582" i="17"/>
  <c r="I1583" i="17"/>
  <c r="I1584" i="17"/>
  <c r="I1585" i="17"/>
  <c r="I1586" i="17"/>
  <c r="I1587" i="17"/>
  <c r="I1588" i="17"/>
  <c r="I1589" i="17"/>
  <c r="I1590" i="17"/>
  <c r="I1591" i="17"/>
  <c r="I1592" i="17"/>
  <c r="I1593" i="17"/>
  <c r="I1594" i="17"/>
  <c r="I1595" i="17"/>
  <c r="I1596" i="17"/>
  <c r="I1597" i="17"/>
  <c r="I1598" i="17"/>
  <c r="I1599" i="17"/>
  <c r="I1600" i="17"/>
  <c r="I1601" i="17"/>
  <c r="I1602" i="17"/>
  <c r="I1603" i="17"/>
  <c r="I1604" i="17"/>
  <c r="I1605" i="17"/>
  <c r="I1606" i="17"/>
  <c r="I1607" i="17"/>
  <c r="I1608" i="17"/>
  <c r="I1609" i="17"/>
  <c r="I1610" i="17"/>
  <c r="I1611" i="17"/>
  <c r="I1612" i="17"/>
  <c r="I1613" i="17"/>
  <c r="I1614" i="17"/>
  <c r="I1615" i="17"/>
  <c r="I1616" i="17"/>
  <c r="I1617" i="17"/>
  <c r="I1618" i="17"/>
  <c r="I1619" i="17"/>
  <c r="I1620" i="17"/>
  <c r="I1621" i="17"/>
  <c r="I1622" i="17"/>
  <c r="I1623" i="17"/>
  <c r="I1624" i="17"/>
  <c r="I1625" i="17"/>
  <c r="I1626" i="17"/>
  <c r="I1627" i="17"/>
  <c r="I1628" i="17"/>
  <c r="I1629" i="17"/>
  <c r="I1630" i="17"/>
  <c r="I1631" i="17"/>
  <c r="I1632" i="17"/>
  <c r="I1633" i="17"/>
  <c r="I1634" i="17"/>
  <c r="I1635" i="17"/>
  <c r="I1636" i="17"/>
  <c r="I1637" i="17"/>
  <c r="I1638" i="17"/>
  <c r="I1639" i="17"/>
  <c r="I1640" i="17"/>
  <c r="I1641" i="17"/>
  <c r="I1642" i="17"/>
  <c r="I1643" i="17"/>
  <c r="I1644" i="17"/>
  <c r="I1645" i="17"/>
  <c r="I1646" i="17"/>
  <c r="I1647" i="17"/>
  <c r="I1648" i="17"/>
  <c r="I1649" i="17"/>
  <c r="I1650" i="17"/>
  <c r="I1651" i="17"/>
  <c r="I1652" i="17"/>
  <c r="I1653" i="17"/>
  <c r="I1654" i="17"/>
  <c r="I1655" i="17"/>
  <c r="I1656" i="17"/>
  <c r="I1657" i="17"/>
  <c r="I1658" i="17"/>
  <c r="I1659" i="17"/>
  <c r="I1660" i="17"/>
  <c r="I1661" i="17"/>
  <c r="I1662" i="17"/>
  <c r="I1663" i="17"/>
  <c r="I1664" i="17"/>
  <c r="I1665" i="17"/>
  <c r="I1666" i="17"/>
  <c r="I1667" i="17"/>
  <c r="I1668" i="17"/>
  <c r="I1669" i="17"/>
  <c r="I1670" i="17"/>
  <c r="I1671" i="17"/>
  <c r="I1672" i="17"/>
  <c r="I1673" i="17"/>
  <c r="I1674" i="17"/>
  <c r="I1675" i="17"/>
  <c r="I1676" i="17"/>
  <c r="I1677" i="17"/>
  <c r="I1678" i="17"/>
  <c r="I1679" i="17"/>
  <c r="I1680" i="17"/>
  <c r="I1681" i="17"/>
  <c r="I1682" i="17"/>
  <c r="I1683" i="17"/>
  <c r="I1684" i="17"/>
  <c r="I1685" i="17"/>
  <c r="I1686" i="17"/>
  <c r="I1687" i="17"/>
  <c r="I1688" i="17"/>
  <c r="I1689" i="17"/>
  <c r="I1690" i="17"/>
  <c r="I1691" i="17"/>
  <c r="I1692" i="17"/>
  <c r="I1693" i="17"/>
  <c r="I1694" i="17"/>
  <c r="I1695" i="17"/>
  <c r="I1696" i="17"/>
  <c r="I1697" i="17"/>
  <c r="I1698" i="17"/>
  <c r="I1699" i="17"/>
  <c r="I1700" i="17"/>
  <c r="I1701" i="17"/>
  <c r="I1702" i="17"/>
  <c r="I1703" i="17"/>
  <c r="I1704" i="17"/>
  <c r="I1705" i="17"/>
  <c r="I1706" i="17"/>
  <c r="I1707" i="17"/>
  <c r="I1708" i="17"/>
  <c r="I1709" i="17"/>
  <c r="I1710" i="17"/>
  <c r="I1711" i="17"/>
  <c r="I1712" i="17"/>
  <c r="I1713" i="17"/>
  <c r="I1714" i="17"/>
  <c r="I1715" i="17"/>
  <c r="I1716" i="17"/>
  <c r="I1717" i="17"/>
  <c r="I1718" i="17"/>
  <c r="I1719" i="17"/>
  <c r="I1720" i="17"/>
  <c r="I1721" i="17"/>
  <c r="I1722" i="17"/>
  <c r="I1723" i="17"/>
  <c r="I1724" i="17"/>
  <c r="I1725" i="17"/>
  <c r="I1726" i="17"/>
  <c r="I1727" i="17"/>
  <c r="I1728" i="17"/>
  <c r="I1729" i="17"/>
  <c r="I1730" i="17"/>
  <c r="I1731" i="17"/>
  <c r="I1732" i="17"/>
  <c r="I1733" i="17"/>
  <c r="I1734" i="17"/>
  <c r="I1735" i="17"/>
  <c r="I1736" i="17"/>
  <c r="I1737" i="17"/>
  <c r="I1738" i="17"/>
  <c r="I1739" i="17"/>
  <c r="I1740" i="17"/>
  <c r="I1741" i="17"/>
  <c r="I1742" i="17"/>
  <c r="I1743" i="17"/>
  <c r="I1744" i="17"/>
  <c r="I1745" i="17"/>
  <c r="I1746" i="17"/>
  <c r="I1747" i="17"/>
  <c r="I1748" i="17"/>
  <c r="I1749" i="17"/>
  <c r="I1750" i="17"/>
  <c r="I1751" i="17"/>
  <c r="I1752" i="17"/>
  <c r="I1753" i="17"/>
  <c r="I1754" i="17"/>
  <c r="I1755" i="17"/>
  <c r="I1756" i="17"/>
  <c r="I1757" i="17"/>
  <c r="I1758" i="17"/>
  <c r="I1759" i="17"/>
  <c r="I1760" i="17"/>
  <c r="I1761" i="17"/>
  <c r="I1762" i="17"/>
  <c r="I1763" i="17"/>
  <c r="I1764" i="17"/>
  <c r="I1765" i="17"/>
  <c r="I1766" i="17"/>
  <c r="I1767" i="17"/>
  <c r="I1768" i="17"/>
  <c r="I1769" i="17"/>
  <c r="I1770" i="17"/>
  <c r="I1771" i="17"/>
  <c r="I1772" i="17"/>
  <c r="I1773" i="17"/>
  <c r="I1774" i="17"/>
  <c r="I1775" i="17"/>
  <c r="I1776" i="17"/>
  <c r="I1777" i="17"/>
  <c r="I1778" i="17"/>
  <c r="I1779" i="17"/>
  <c r="I1780" i="17"/>
  <c r="I1781" i="17"/>
  <c r="I1782" i="17"/>
  <c r="I1783" i="17"/>
  <c r="I1784" i="17"/>
  <c r="I1785" i="17"/>
  <c r="I1786" i="17"/>
  <c r="I1787" i="17"/>
  <c r="I1788" i="17"/>
  <c r="I1789" i="17"/>
  <c r="I1790" i="17"/>
  <c r="I1791" i="17"/>
  <c r="I1792" i="17"/>
  <c r="I1793" i="17"/>
  <c r="I1794" i="17"/>
  <c r="I1795" i="17"/>
  <c r="I1796" i="17"/>
  <c r="I1797" i="17"/>
  <c r="I1798" i="17"/>
  <c r="I1799" i="17"/>
  <c r="I1800" i="17"/>
  <c r="I1801" i="17"/>
  <c r="I1802" i="17"/>
  <c r="I1803" i="17"/>
  <c r="I1804" i="17"/>
  <c r="I1805" i="17"/>
  <c r="I1806" i="17"/>
  <c r="I1807" i="17"/>
  <c r="I1808" i="17"/>
  <c r="I1809" i="17"/>
  <c r="I1810" i="17"/>
  <c r="I1811" i="17"/>
  <c r="I1812" i="17"/>
  <c r="I1813" i="17"/>
  <c r="I1814" i="17"/>
  <c r="I1815" i="17"/>
  <c r="I1816" i="17"/>
  <c r="I1817" i="17"/>
  <c r="I1818" i="17"/>
  <c r="I1819" i="17"/>
  <c r="I1820" i="17"/>
  <c r="I1821" i="17"/>
  <c r="I1822" i="17"/>
  <c r="I1823" i="17"/>
  <c r="I1824" i="17"/>
  <c r="I1825" i="17"/>
  <c r="I1826" i="17"/>
  <c r="I1827" i="17"/>
  <c r="I1828" i="17"/>
  <c r="I1829" i="17"/>
  <c r="I1830" i="17"/>
  <c r="I1831" i="17"/>
  <c r="I1832" i="17"/>
  <c r="I1833" i="17"/>
  <c r="I1834" i="17"/>
  <c r="I1835" i="17"/>
  <c r="I1836" i="17"/>
  <c r="I1837" i="17"/>
  <c r="I1838" i="17"/>
  <c r="I1839" i="17"/>
  <c r="I1840" i="17"/>
  <c r="I1841" i="17"/>
  <c r="I1842" i="17"/>
  <c r="I1843" i="17"/>
  <c r="I1844" i="17"/>
  <c r="I1845" i="17"/>
  <c r="I1846" i="17"/>
  <c r="I1847" i="17"/>
  <c r="I1848" i="17"/>
  <c r="I1849" i="17"/>
  <c r="I1850" i="17"/>
  <c r="I1851" i="17"/>
  <c r="I1852" i="17"/>
  <c r="I1853" i="17"/>
  <c r="I1854" i="17"/>
  <c r="I1855" i="17"/>
  <c r="I1856" i="17"/>
  <c r="I1857" i="17"/>
  <c r="I1858" i="17"/>
  <c r="I1859" i="17"/>
  <c r="I1860" i="17"/>
  <c r="I1861" i="17"/>
  <c r="I1862" i="17"/>
  <c r="I1863" i="17"/>
  <c r="I1864" i="17"/>
  <c r="I1865" i="17"/>
  <c r="I1866" i="17"/>
  <c r="I1867" i="17"/>
  <c r="I1868" i="17"/>
  <c r="I1869" i="17"/>
  <c r="I1870" i="17"/>
  <c r="I1871" i="17"/>
  <c r="I1872" i="17"/>
  <c r="I1873" i="17"/>
  <c r="I1874" i="17"/>
  <c r="I1875" i="17"/>
  <c r="I1876" i="17"/>
  <c r="I1877" i="17"/>
  <c r="I1878" i="17"/>
  <c r="I1879" i="17"/>
  <c r="I1880" i="17"/>
  <c r="I1881" i="17"/>
  <c r="I1882" i="17"/>
  <c r="I1883" i="17"/>
  <c r="I1884" i="17"/>
  <c r="I1885" i="17"/>
  <c r="I1886" i="17"/>
  <c r="I1887" i="17"/>
  <c r="I1888" i="17"/>
  <c r="I1889" i="17"/>
  <c r="I1890" i="17"/>
  <c r="I1891" i="17"/>
  <c r="I1892" i="17"/>
  <c r="I1893" i="17"/>
  <c r="I1894" i="17"/>
  <c r="I1895" i="17"/>
  <c r="I1896" i="17"/>
  <c r="I1897" i="17"/>
  <c r="I1898" i="17"/>
  <c r="I1899" i="17"/>
  <c r="I1900" i="17"/>
  <c r="I1901" i="17"/>
  <c r="I1902" i="17"/>
  <c r="I1903" i="17"/>
  <c r="I1904" i="17"/>
  <c r="I1905" i="17"/>
  <c r="I1906" i="17"/>
  <c r="I1907" i="17"/>
  <c r="I1908" i="17"/>
  <c r="I1909" i="17"/>
  <c r="I1910" i="17"/>
  <c r="I1911" i="17"/>
  <c r="I1912" i="17"/>
  <c r="I1913" i="17"/>
  <c r="I1914" i="17"/>
  <c r="I1915" i="17"/>
  <c r="I1916" i="17"/>
  <c r="I1917" i="17"/>
  <c r="I1918" i="17"/>
  <c r="I1919" i="17"/>
  <c r="I1920" i="17"/>
  <c r="I1921" i="17"/>
  <c r="I1922" i="17"/>
  <c r="I1923" i="17"/>
  <c r="I1924" i="17"/>
  <c r="I1925" i="17"/>
  <c r="I1926" i="17"/>
  <c r="I1927" i="17"/>
  <c r="I1928" i="17"/>
  <c r="I1929" i="17"/>
  <c r="I1930" i="17"/>
  <c r="I1931" i="17"/>
  <c r="I1932" i="17"/>
  <c r="I1933" i="17"/>
  <c r="I1934" i="17"/>
  <c r="I1935" i="17"/>
  <c r="I1936" i="17"/>
  <c r="I1937" i="17"/>
  <c r="I1938" i="17"/>
  <c r="I1939" i="17"/>
  <c r="I1940" i="17"/>
  <c r="I1941" i="17"/>
  <c r="I1942" i="17"/>
  <c r="I1943" i="17"/>
  <c r="I1944" i="17"/>
  <c r="I1945" i="17"/>
  <c r="I1946" i="17"/>
  <c r="I1947" i="17"/>
  <c r="I1948" i="17"/>
  <c r="I1949" i="17"/>
  <c r="I1950" i="17"/>
  <c r="I1951" i="17"/>
  <c r="I1952" i="17"/>
  <c r="I1953" i="17"/>
  <c r="I1954" i="17"/>
  <c r="I1955" i="17"/>
  <c r="I1956" i="17"/>
  <c r="I1957" i="17"/>
  <c r="I1958" i="17"/>
  <c r="I1959" i="17"/>
  <c r="I1960" i="17"/>
  <c r="I1961" i="17"/>
  <c r="I1962" i="17"/>
  <c r="I1963" i="17"/>
  <c r="I1964" i="17"/>
  <c r="I1965" i="17"/>
  <c r="I1966" i="17"/>
  <c r="I1967" i="17"/>
  <c r="I1968" i="17"/>
  <c r="I1969" i="17"/>
  <c r="I1970" i="17"/>
  <c r="I1971" i="17"/>
  <c r="I1972" i="17"/>
  <c r="I1973" i="17"/>
  <c r="I1974" i="17"/>
  <c r="I1975" i="17"/>
  <c r="I1976" i="17"/>
  <c r="I1977" i="17"/>
  <c r="I1978" i="17"/>
  <c r="I1979" i="17"/>
  <c r="I1980" i="17"/>
  <c r="I1981" i="17"/>
  <c r="I1982" i="17"/>
  <c r="I1983" i="17"/>
  <c r="I1984" i="17"/>
  <c r="I1985" i="17"/>
  <c r="I1986" i="17"/>
  <c r="I1987" i="17"/>
  <c r="I1988" i="17"/>
  <c r="I1989" i="17"/>
  <c r="I1990" i="17"/>
  <c r="I1991" i="17"/>
  <c r="I1992" i="17"/>
  <c r="I1993" i="17"/>
  <c r="I1994" i="17"/>
  <c r="I1995" i="17"/>
  <c r="I1996" i="17"/>
  <c r="I1997" i="17"/>
  <c r="I1998" i="17"/>
  <c r="I1999" i="17"/>
  <c r="I2000" i="17"/>
  <c r="I2001"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1002" i="17"/>
  <c r="H1003" i="17"/>
  <c r="H1004" i="17"/>
  <c r="H1005" i="17"/>
  <c r="H1006" i="17"/>
  <c r="H1007" i="17"/>
  <c r="H1008" i="17"/>
  <c r="H1009" i="17"/>
  <c r="H1010" i="17"/>
  <c r="H1011" i="17"/>
  <c r="H1012" i="17"/>
  <c r="H1013" i="17"/>
  <c r="H1014" i="17"/>
  <c r="H1015" i="17"/>
  <c r="H1016" i="17"/>
  <c r="H1017" i="17"/>
  <c r="H1018" i="17"/>
  <c r="H1019" i="17"/>
  <c r="H1020" i="17"/>
  <c r="H1021" i="17"/>
  <c r="H1022" i="17"/>
  <c r="H1023" i="17"/>
  <c r="H1024" i="17"/>
  <c r="H1025" i="17"/>
  <c r="H1026" i="17"/>
  <c r="H1027" i="17"/>
  <c r="H1028" i="17"/>
  <c r="H1029" i="17"/>
  <c r="H1030" i="17"/>
  <c r="H1031" i="17"/>
  <c r="H1032" i="17"/>
  <c r="H1033" i="17"/>
  <c r="H1034" i="17"/>
  <c r="H1035" i="17"/>
  <c r="H1036" i="17"/>
  <c r="H1037" i="17"/>
  <c r="H1038" i="17"/>
  <c r="H1039" i="17"/>
  <c r="H1040" i="17"/>
  <c r="H1041" i="17"/>
  <c r="H1042" i="17"/>
  <c r="H1043" i="17"/>
  <c r="H1044" i="17"/>
  <c r="H1045" i="17"/>
  <c r="H1046" i="17"/>
  <c r="H1047" i="17"/>
  <c r="H1048" i="17"/>
  <c r="H1049" i="17"/>
  <c r="H1050" i="17"/>
  <c r="H1051" i="17"/>
  <c r="H1052" i="17"/>
  <c r="H1053" i="17"/>
  <c r="H1054" i="17"/>
  <c r="H1055" i="17"/>
  <c r="H1056" i="17"/>
  <c r="H1057" i="17"/>
  <c r="H1058" i="17"/>
  <c r="H1059" i="17"/>
  <c r="H1060" i="17"/>
  <c r="H1061" i="17"/>
  <c r="H1062" i="17"/>
  <c r="H1063" i="17"/>
  <c r="H1064" i="17"/>
  <c r="H1065" i="17"/>
  <c r="H1066" i="17"/>
  <c r="H1067" i="17"/>
  <c r="H1068" i="17"/>
  <c r="H1069" i="17"/>
  <c r="H1070" i="17"/>
  <c r="H1071" i="17"/>
  <c r="H1072" i="17"/>
  <c r="H1073" i="17"/>
  <c r="H1074" i="17"/>
  <c r="H1075" i="17"/>
  <c r="H1076" i="17"/>
  <c r="H1077" i="17"/>
  <c r="H1078" i="17"/>
  <c r="H1079" i="17"/>
  <c r="H1080" i="17"/>
  <c r="H1081" i="17"/>
  <c r="H1082" i="17"/>
  <c r="H1083" i="17"/>
  <c r="H1084" i="17"/>
  <c r="H1085" i="17"/>
  <c r="H1086" i="17"/>
  <c r="H1087" i="17"/>
  <c r="H1088" i="17"/>
  <c r="H1089" i="17"/>
  <c r="H1090" i="17"/>
  <c r="H1091" i="17"/>
  <c r="H1092" i="17"/>
  <c r="H1093" i="17"/>
  <c r="H1094" i="17"/>
  <c r="H1095" i="17"/>
  <c r="H1096" i="17"/>
  <c r="H1097" i="17"/>
  <c r="H1098" i="17"/>
  <c r="H1099" i="17"/>
  <c r="H1100" i="17"/>
  <c r="H1101" i="17"/>
  <c r="H1102" i="17"/>
  <c r="H1103" i="17"/>
  <c r="H1104" i="17"/>
  <c r="H1105" i="17"/>
  <c r="H1106" i="17"/>
  <c r="H1107" i="17"/>
  <c r="H1108" i="17"/>
  <c r="H1109" i="17"/>
  <c r="H1110" i="17"/>
  <c r="H1111" i="17"/>
  <c r="H1112" i="17"/>
  <c r="H1113" i="17"/>
  <c r="H1114" i="17"/>
  <c r="H1115" i="17"/>
  <c r="H1116" i="17"/>
  <c r="H1117" i="17"/>
  <c r="H1118" i="17"/>
  <c r="H1119" i="17"/>
  <c r="H1120" i="17"/>
  <c r="H1121" i="17"/>
  <c r="H1122" i="17"/>
  <c r="H1123" i="17"/>
  <c r="H1124" i="17"/>
  <c r="H1125" i="17"/>
  <c r="H1126" i="17"/>
  <c r="H1127" i="17"/>
  <c r="H1128" i="17"/>
  <c r="H1129" i="17"/>
  <c r="H1130" i="17"/>
  <c r="H1131" i="17"/>
  <c r="H1132" i="17"/>
  <c r="H1133" i="17"/>
  <c r="H1134" i="17"/>
  <c r="H1135" i="17"/>
  <c r="H1136" i="17"/>
  <c r="H1137" i="17"/>
  <c r="H1138" i="17"/>
  <c r="H1139" i="17"/>
  <c r="H1140" i="17"/>
  <c r="H1141" i="17"/>
  <c r="H1142" i="17"/>
  <c r="H1143" i="17"/>
  <c r="H1144" i="17"/>
  <c r="H1145" i="17"/>
  <c r="H1146" i="17"/>
  <c r="H1147" i="17"/>
  <c r="H1148" i="17"/>
  <c r="H1149" i="17"/>
  <c r="H1150" i="17"/>
  <c r="H1151" i="17"/>
  <c r="H1152" i="17"/>
  <c r="H1153" i="17"/>
  <c r="H1154" i="17"/>
  <c r="H1155" i="17"/>
  <c r="H1156" i="17"/>
  <c r="H1157" i="17"/>
  <c r="H1158" i="17"/>
  <c r="H1159" i="17"/>
  <c r="H1160" i="17"/>
  <c r="H1161" i="17"/>
  <c r="H1162" i="17"/>
  <c r="H1163" i="17"/>
  <c r="H1164" i="17"/>
  <c r="H1165" i="17"/>
  <c r="H1166" i="17"/>
  <c r="H1167" i="17"/>
  <c r="H1168" i="17"/>
  <c r="H1169" i="17"/>
  <c r="H1170" i="17"/>
  <c r="H1171" i="17"/>
  <c r="H1172" i="17"/>
  <c r="H1173" i="17"/>
  <c r="H1174" i="17"/>
  <c r="H1175" i="17"/>
  <c r="H1176" i="17"/>
  <c r="H1177" i="17"/>
  <c r="H1178" i="17"/>
  <c r="H1179" i="17"/>
  <c r="H1180" i="17"/>
  <c r="H1181" i="17"/>
  <c r="H1182" i="17"/>
  <c r="H1183" i="17"/>
  <c r="H1184" i="17"/>
  <c r="H1185" i="17"/>
  <c r="H1186" i="17"/>
  <c r="H1187" i="17"/>
  <c r="H1188" i="17"/>
  <c r="H1189" i="17"/>
  <c r="H1190" i="17"/>
  <c r="H1191" i="17"/>
  <c r="H1192" i="17"/>
  <c r="H1193" i="17"/>
  <c r="H1194" i="17"/>
  <c r="H1195" i="17"/>
  <c r="H1196" i="17"/>
  <c r="H1197" i="17"/>
  <c r="H1198" i="17"/>
  <c r="H1199" i="17"/>
  <c r="H1200" i="17"/>
  <c r="H1201" i="17"/>
  <c r="H1202" i="17"/>
  <c r="H1203" i="17"/>
  <c r="H1204" i="17"/>
  <c r="H1205" i="17"/>
  <c r="H1206" i="17"/>
  <c r="H1207" i="17"/>
  <c r="H1208" i="17"/>
  <c r="H1209" i="17"/>
  <c r="H1210" i="17"/>
  <c r="H1211" i="17"/>
  <c r="H1212" i="17"/>
  <c r="H1213" i="17"/>
  <c r="H1214" i="17"/>
  <c r="H1215" i="17"/>
  <c r="H1216" i="17"/>
  <c r="H1217" i="17"/>
  <c r="H1218" i="17"/>
  <c r="H1219" i="17"/>
  <c r="H1220" i="17"/>
  <c r="H1221" i="17"/>
  <c r="H1222" i="17"/>
  <c r="H1223" i="17"/>
  <c r="H1224" i="17"/>
  <c r="H1225" i="17"/>
  <c r="H1226" i="17"/>
  <c r="H1227" i="17"/>
  <c r="H1228" i="17"/>
  <c r="H1229" i="17"/>
  <c r="H1230" i="17"/>
  <c r="H1231" i="17"/>
  <c r="H1232" i="17"/>
  <c r="H1233" i="17"/>
  <c r="H1234" i="17"/>
  <c r="H1235" i="17"/>
  <c r="H1236" i="17"/>
  <c r="H1237" i="17"/>
  <c r="H1238" i="17"/>
  <c r="H1239" i="17"/>
  <c r="H1240" i="17"/>
  <c r="H1241" i="17"/>
  <c r="H1242" i="17"/>
  <c r="H1243" i="17"/>
  <c r="H1244" i="17"/>
  <c r="H1245" i="17"/>
  <c r="H1246" i="17"/>
  <c r="H1247" i="17"/>
  <c r="H1248" i="17"/>
  <c r="H1249" i="17"/>
  <c r="H1250" i="17"/>
  <c r="H1251" i="17"/>
  <c r="H1252" i="17"/>
  <c r="H1253" i="17"/>
  <c r="H1254" i="17"/>
  <c r="H1255" i="17"/>
  <c r="H1256" i="17"/>
  <c r="H1257" i="17"/>
  <c r="H1258" i="17"/>
  <c r="H1259" i="17"/>
  <c r="H1260" i="17"/>
  <c r="H1261" i="17"/>
  <c r="H1262" i="17"/>
  <c r="H1263" i="17"/>
  <c r="H1264" i="17"/>
  <c r="H1265" i="17"/>
  <c r="H1266" i="17"/>
  <c r="H1267" i="17"/>
  <c r="H1268" i="17"/>
  <c r="H1269" i="17"/>
  <c r="H1270" i="17"/>
  <c r="H1271" i="17"/>
  <c r="H1272" i="17"/>
  <c r="H1273" i="17"/>
  <c r="H1274" i="17"/>
  <c r="H1275" i="17"/>
  <c r="H1276" i="17"/>
  <c r="H1277" i="17"/>
  <c r="H1278" i="17"/>
  <c r="H1279" i="17"/>
  <c r="H1280" i="17"/>
  <c r="H1281" i="17"/>
  <c r="H1282" i="17"/>
  <c r="H1283" i="17"/>
  <c r="H1284" i="17"/>
  <c r="H1285" i="17"/>
  <c r="H1286" i="17"/>
  <c r="H1287" i="17"/>
  <c r="H1288" i="17"/>
  <c r="H1289" i="17"/>
  <c r="H1290" i="17"/>
  <c r="H1291" i="17"/>
  <c r="H1292" i="17"/>
  <c r="H1293" i="17"/>
  <c r="H1294" i="17"/>
  <c r="H1295" i="17"/>
  <c r="H1296" i="17"/>
  <c r="H1297" i="17"/>
  <c r="H1298" i="17"/>
  <c r="H1299" i="17"/>
  <c r="H1300" i="17"/>
  <c r="H1301" i="17"/>
  <c r="H1302" i="17"/>
  <c r="H1303" i="17"/>
  <c r="H1304" i="17"/>
  <c r="H1305" i="17"/>
  <c r="H1306" i="17"/>
  <c r="H1307" i="17"/>
  <c r="H1308" i="17"/>
  <c r="H1309" i="17"/>
  <c r="H1310" i="17"/>
  <c r="H1311" i="17"/>
  <c r="H1312" i="17"/>
  <c r="H1313" i="17"/>
  <c r="H1314" i="17"/>
  <c r="H1315" i="17"/>
  <c r="H1316" i="17"/>
  <c r="H1317" i="17"/>
  <c r="H1318" i="17"/>
  <c r="H1319" i="17"/>
  <c r="H1320" i="17"/>
  <c r="H1321" i="17"/>
  <c r="H1322" i="17"/>
  <c r="H1323" i="17"/>
  <c r="H1324" i="17"/>
  <c r="H1325" i="17"/>
  <c r="H1326" i="17"/>
  <c r="H1327" i="17"/>
  <c r="H1328" i="17"/>
  <c r="H1329" i="17"/>
  <c r="H1330" i="17"/>
  <c r="H1331" i="17"/>
  <c r="H1332" i="17"/>
  <c r="H1333" i="17"/>
  <c r="H1334" i="17"/>
  <c r="H1335" i="17"/>
  <c r="H1336" i="17"/>
  <c r="H1337" i="17"/>
  <c r="H1338" i="17"/>
  <c r="H1339" i="17"/>
  <c r="H1340" i="17"/>
  <c r="H1341" i="17"/>
  <c r="H1342" i="17"/>
  <c r="H1343" i="17"/>
  <c r="H1344" i="17"/>
  <c r="H1345" i="17"/>
  <c r="H1346" i="17"/>
  <c r="H1347" i="17"/>
  <c r="H1348" i="17"/>
  <c r="H1349" i="17"/>
  <c r="H1350" i="17"/>
  <c r="H1351" i="17"/>
  <c r="H1352" i="17"/>
  <c r="H1353" i="17"/>
  <c r="H1354" i="17"/>
  <c r="H1355" i="17"/>
  <c r="H1356" i="17"/>
  <c r="H1357" i="17"/>
  <c r="H1358" i="17"/>
  <c r="H1359" i="17"/>
  <c r="H1360" i="17"/>
  <c r="H1361" i="17"/>
  <c r="H1362" i="17"/>
  <c r="H1363" i="17"/>
  <c r="H1364" i="17"/>
  <c r="H1365" i="17"/>
  <c r="H1366" i="17"/>
  <c r="H1367" i="17"/>
  <c r="H1368" i="17"/>
  <c r="H1369" i="17"/>
  <c r="H1370" i="17"/>
  <c r="H1371" i="17"/>
  <c r="H1372" i="17"/>
  <c r="H1373" i="17"/>
  <c r="H1374" i="17"/>
  <c r="H1375" i="17"/>
  <c r="H1376" i="17"/>
  <c r="H1377" i="17"/>
  <c r="H1378" i="17"/>
  <c r="H1379" i="17"/>
  <c r="H1380" i="17"/>
  <c r="H1381" i="17"/>
  <c r="H1382" i="17"/>
  <c r="H1383" i="17"/>
  <c r="H1384" i="17"/>
  <c r="H1385" i="17"/>
  <c r="H1386" i="17"/>
  <c r="H1387" i="17"/>
  <c r="H1388" i="17"/>
  <c r="H1389" i="17"/>
  <c r="H1390" i="17"/>
  <c r="H1391" i="17"/>
  <c r="H1392" i="17"/>
  <c r="H1393" i="17"/>
  <c r="H1394" i="17"/>
  <c r="H1395" i="17"/>
  <c r="H1396" i="17"/>
  <c r="H1397" i="17"/>
  <c r="H1398" i="17"/>
  <c r="H1399" i="17"/>
  <c r="H1400" i="17"/>
  <c r="H1401" i="17"/>
  <c r="H1402" i="17"/>
  <c r="H1403" i="17"/>
  <c r="H1404" i="17"/>
  <c r="H1405" i="17"/>
  <c r="H1406" i="17"/>
  <c r="H1407" i="17"/>
  <c r="H1408" i="17"/>
  <c r="H1409" i="17"/>
  <c r="H1410" i="17"/>
  <c r="H1411" i="17"/>
  <c r="H1412" i="17"/>
  <c r="H1413" i="17"/>
  <c r="H1414" i="17"/>
  <c r="H1415" i="17"/>
  <c r="H1416" i="17"/>
  <c r="H1417" i="17"/>
  <c r="H1418" i="17"/>
  <c r="H1419" i="17"/>
  <c r="H1420" i="17"/>
  <c r="H1421" i="17"/>
  <c r="H1422" i="17"/>
  <c r="H1423" i="17"/>
  <c r="H1424" i="17"/>
  <c r="H1425" i="17"/>
  <c r="H1426" i="17"/>
  <c r="H1427" i="17"/>
  <c r="H1428" i="17"/>
  <c r="H1429" i="17"/>
  <c r="H1430" i="17"/>
  <c r="H1431" i="17"/>
  <c r="H1432" i="17"/>
  <c r="H1433" i="17"/>
  <c r="H1434" i="17"/>
  <c r="H1435" i="17"/>
  <c r="H1436" i="17"/>
  <c r="H1437" i="17"/>
  <c r="H1438" i="17"/>
  <c r="H1439" i="17"/>
  <c r="H1440" i="17"/>
  <c r="H1441" i="17"/>
  <c r="H1442" i="17"/>
  <c r="H1443" i="17"/>
  <c r="H1444" i="17"/>
  <c r="H1445" i="17"/>
  <c r="H1446" i="17"/>
  <c r="H1447" i="17"/>
  <c r="H1448" i="17"/>
  <c r="H1449" i="17"/>
  <c r="H1450" i="17"/>
  <c r="H1451" i="17"/>
  <c r="H1452" i="17"/>
  <c r="H1453" i="17"/>
  <c r="H1454" i="17"/>
  <c r="H1455" i="17"/>
  <c r="H1456" i="17"/>
  <c r="H1457" i="17"/>
  <c r="H1458" i="17"/>
  <c r="H1459" i="17"/>
  <c r="H1460" i="17"/>
  <c r="H1461" i="17"/>
  <c r="H1462" i="17"/>
  <c r="H1463" i="17"/>
  <c r="H1464" i="17"/>
  <c r="H1465" i="17"/>
  <c r="H1466" i="17"/>
  <c r="H1467" i="17"/>
  <c r="H1468" i="17"/>
  <c r="H1469" i="17"/>
  <c r="H1470" i="17"/>
  <c r="H1471" i="17"/>
  <c r="H1472" i="17"/>
  <c r="H1473" i="17"/>
  <c r="H1474" i="17"/>
  <c r="H1475" i="17"/>
  <c r="H1476" i="17"/>
  <c r="H1477" i="17"/>
  <c r="H1478" i="17"/>
  <c r="H1479" i="17"/>
  <c r="H1480" i="17"/>
  <c r="H1481" i="17"/>
  <c r="H1482" i="17"/>
  <c r="H1483" i="17"/>
  <c r="H1484" i="17"/>
  <c r="H1485" i="17"/>
  <c r="H1486" i="17"/>
  <c r="H1487" i="17"/>
  <c r="H1488" i="17"/>
  <c r="H1489" i="17"/>
  <c r="H1490" i="17"/>
  <c r="H1491" i="17"/>
  <c r="H1492" i="17"/>
  <c r="H1493" i="17"/>
  <c r="H1494" i="17"/>
  <c r="H1495" i="17"/>
  <c r="H1496" i="17"/>
  <c r="H1497" i="17"/>
  <c r="H1498" i="17"/>
  <c r="H1499" i="17"/>
  <c r="H1500" i="17"/>
  <c r="H1501" i="17"/>
  <c r="H1502" i="17"/>
  <c r="H1503" i="17"/>
  <c r="H1504" i="17"/>
  <c r="H1505" i="17"/>
  <c r="H1506" i="17"/>
  <c r="H1507" i="17"/>
  <c r="H1508" i="17"/>
  <c r="H1509" i="17"/>
  <c r="H1510" i="17"/>
  <c r="H1511" i="17"/>
  <c r="H1512" i="17"/>
  <c r="H1513" i="17"/>
  <c r="H1514" i="17"/>
  <c r="H1515" i="17"/>
  <c r="H1516" i="17"/>
  <c r="H1517" i="17"/>
  <c r="H1518" i="17"/>
  <c r="H1519" i="17"/>
  <c r="H1520" i="17"/>
  <c r="H1521" i="17"/>
  <c r="H1522" i="17"/>
  <c r="H1523" i="17"/>
  <c r="H1524" i="17"/>
  <c r="H1525" i="17"/>
  <c r="H1526" i="17"/>
  <c r="H1527" i="17"/>
  <c r="H1528" i="17"/>
  <c r="H1529" i="17"/>
  <c r="H1530" i="17"/>
  <c r="H1531" i="17"/>
  <c r="H1532" i="17"/>
  <c r="H1533" i="17"/>
  <c r="H1534" i="17"/>
  <c r="H1535" i="17"/>
  <c r="H1536" i="17"/>
  <c r="H1537" i="17"/>
  <c r="H1538" i="17"/>
  <c r="H1539" i="17"/>
  <c r="H1540" i="17"/>
  <c r="H1541" i="17"/>
  <c r="H1542" i="17"/>
  <c r="H1543" i="17"/>
  <c r="H1544" i="17"/>
  <c r="H1545" i="17"/>
  <c r="H1546" i="17"/>
  <c r="H1547" i="17"/>
  <c r="H1548" i="17"/>
  <c r="H1549" i="17"/>
  <c r="H1550" i="17"/>
  <c r="H1551" i="17"/>
  <c r="H1552" i="17"/>
  <c r="H1553" i="17"/>
  <c r="H1554" i="17"/>
  <c r="H1555" i="17"/>
  <c r="H1556" i="17"/>
  <c r="H1557" i="17"/>
  <c r="H1558" i="17"/>
  <c r="H1559" i="17"/>
  <c r="H1560" i="17"/>
  <c r="H1561" i="17"/>
  <c r="H1562" i="17"/>
  <c r="H1563" i="17"/>
  <c r="H1564" i="17"/>
  <c r="H1565" i="17"/>
  <c r="H1566" i="17"/>
  <c r="H1567" i="17"/>
  <c r="H1568" i="17"/>
  <c r="H1569" i="17"/>
  <c r="H1570" i="17"/>
  <c r="H1571" i="17"/>
  <c r="H1572" i="17"/>
  <c r="H1573" i="17"/>
  <c r="H1574" i="17"/>
  <c r="H1575" i="17"/>
  <c r="H1576" i="17"/>
  <c r="H1577" i="17"/>
  <c r="H1578" i="17"/>
  <c r="H1579" i="17"/>
  <c r="H1580" i="17"/>
  <c r="H1581" i="17"/>
  <c r="H1582" i="17"/>
  <c r="H1583" i="17"/>
  <c r="H1584" i="17"/>
  <c r="H1585" i="17"/>
  <c r="H1586" i="17"/>
  <c r="H1587" i="17"/>
  <c r="H1588" i="17"/>
  <c r="H1589" i="17"/>
  <c r="H1590" i="17"/>
  <c r="H1591" i="17"/>
  <c r="H1592" i="17"/>
  <c r="H1593" i="17"/>
  <c r="H1594" i="17"/>
  <c r="H1595" i="17"/>
  <c r="H1596" i="17"/>
  <c r="H1597" i="17"/>
  <c r="H1598" i="17"/>
  <c r="H1599" i="17"/>
  <c r="H1600" i="17"/>
  <c r="H1601" i="17"/>
  <c r="H1602" i="17"/>
  <c r="H1603" i="17"/>
  <c r="H1604" i="17"/>
  <c r="H1605" i="17"/>
  <c r="H1606" i="17"/>
  <c r="H1607" i="17"/>
  <c r="H1608" i="17"/>
  <c r="H1609" i="17"/>
  <c r="H1610" i="17"/>
  <c r="H1611" i="17"/>
  <c r="H1612" i="17"/>
  <c r="H1613" i="17"/>
  <c r="H1614" i="17"/>
  <c r="H1615" i="17"/>
  <c r="H1616" i="17"/>
  <c r="H1617" i="17"/>
  <c r="H1618" i="17"/>
  <c r="H1619" i="17"/>
  <c r="H1620" i="17"/>
  <c r="H1621" i="17"/>
  <c r="H1622" i="17"/>
  <c r="H1623" i="17"/>
  <c r="H1624" i="17"/>
  <c r="H1625" i="17"/>
  <c r="H1626" i="17"/>
  <c r="H1627" i="17"/>
  <c r="H1628" i="17"/>
  <c r="H1629" i="17"/>
  <c r="H1630" i="17"/>
  <c r="H1631" i="17"/>
  <c r="H1632" i="17"/>
  <c r="H1633" i="17"/>
  <c r="H1634" i="17"/>
  <c r="H1635" i="17"/>
  <c r="H1636" i="17"/>
  <c r="H1637" i="17"/>
  <c r="H1638" i="17"/>
  <c r="H1639" i="17"/>
  <c r="H1640" i="17"/>
  <c r="H1641" i="17"/>
  <c r="H1642" i="17"/>
  <c r="H1643" i="17"/>
  <c r="H1644" i="17"/>
  <c r="H1645" i="17"/>
  <c r="H1646" i="17"/>
  <c r="H1647" i="17"/>
  <c r="H1648" i="17"/>
  <c r="H1649" i="17"/>
  <c r="H1650" i="17"/>
  <c r="H1651" i="17"/>
  <c r="H1652" i="17"/>
  <c r="H1653" i="17"/>
  <c r="H1654" i="17"/>
  <c r="H1655" i="17"/>
  <c r="H1656" i="17"/>
  <c r="H1657" i="17"/>
  <c r="H1658" i="17"/>
  <c r="H1659" i="17"/>
  <c r="H1660" i="17"/>
  <c r="H1661" i="17"/>
  <c r="H1662" i="17"/>
  <c r="H1663" i="17"/>
  <c r="H1664" i="17"/>
  <c r="H1665" i="17"/>
  <c r="H1666" i="17"/>
  <c r="H1667" i="17"/>
  <c r="H1668" i="17"/>
  <c r="H1669" i="17"/>
  <c r="H1670" i="17"/>
  <c r="H1671" i="17"/>
  <c r="H1672" i="17"/>
  <c r="H1673" i="17"/>
  <c r="H1674" i="17"/>
  <c r="H1675" i="17"/>
  <c r="H1676" i="17"/>
  <c r="H1677" i="17"/>
  <c r="H1678" i="17"/>
  <c r="H1679" i="17"/>
  <c r="H1680" i="17"/>
  <c r="H1681" i="17"/>
  <c r="H1682" i="17"/>
  <c r="H1683" i="17"/>
  <c r="H1684" i="17"/>
  <c r="H1685" i="17"/>
  <c r="H1686" i="17"/>
  <c r="H1687" i="17"/>
  <c r="H1688" i="17"/>
  <c r="H1689" i="17"/>
  <c r="H1690" i="17"/>
  <c r="H1691" i="17"/>
  <c r="H1692" i="17"/>
  <c r="H1693" i="17"/>
  <c r="H1694" i="17"/>
  <c r="H1695" i="17"/>
  <c r="H1696" i="17"/>
  <c r="H1697" i="17"/>
  <c r="H1698" i="17"/>
  <c r="H1699" i="17"/>
  <c r="H1700" i="17"/>
  <c r="H1701" i="17"/>
  <c r="H1702" i="17"/>
  <c r="H1703" i="17"/>
  <c r="H1704" i="17"/>
  <c r="H1705" i="17"/>
  <c r="H1706" i="17"/>
  <c r="H1707" i="17"/>
  <c r="H1708" i="17"/>
  <c r="H1709" i="17"/>
  <c r="H1710" i="17"/>
  <c r="H1711" i="17"/>
  <c r="H1712" i="17"/>
  <c r="H1713" i="17"/>
  <c r="H1714" i="17"/>
  <c r="H1715" i="17"/>
  <c r="H1716" i="17"/>
  <c r="H1717" i="17"/>
  <c r="H1718" i="17"/>
  <c r="H1719" i="17"/>
  <c r="H1720" i="17"/>
  <c r="H1721" i="17"/>
  <c r="H1722" i="17"/>
  <c r="H1723" i="17"/>
  <c r="H1724" i="17"/>
  <c r="H1725" i="17"/>
  <c r="H1726" i="17"/>
  <c r="H1727" i="17"/>
  <c r="H1728" i="17"/>
  <c r="H1729" i="17"/>
  <c r="H1730" i="17"/>
  <c r="H1731" i="17"/>
  <c r="H1732" i="17"/>
  <c r="H1733" i="17"/>
  <c r="H1734" i="17"/>
  <c r="H1735" i="17"/>
  <c r="H1736" i="17"/>
  <c r="H1737" i="17"/>
  <c r="H1738" i="17"/>
  <c r="H1739" i="17"/>
  <c r="H1740" i="17"/>
  <c r="H1741" i="17"/>
  <c r="H1742" i="17"/>
  <c r="H1743" i="17"/>
  <c r="H1744" i="17"/>
  <c r="H1745" i="17"/>
  <c r="H1746" i="17"/>
  <c r="H1747" i="17"/>
  <c r="H1748" i="17"/>
  <c r="H1749" i="17"/>
  <c r="H1750" i="17"/>
  <c r="H1751" i="17"/>
  <c r="H1752" i="17"/>
  <c r="H1753" i="17"/>
  <c r="H1754" i="17"/>
  <c r="H1755" i="17"/>
  <c r="H1756" i="17"/>
  <c r="H1757" i="17"/>
  <c r="H1758" i="17"/>
  <c r="H1759" i="17"/>
  <c r="H1760" i="17"/>
  <c r="H1761" i="17"/>
  <c r="H1762" i="17"/>
  <c r="H1763" i="17"/>
  <c r="H1764" i="17"/>
  <c r="H1765" i="17"/>
  <c r="H1766" i="17"/>
  <c r="H1767" i="17"/>
  <c r="H1768" i="17"/>
  <c r="H1769" i="17"/>
  <c r="H1770" i="17"/>
  <c r="H1771" i="17"/>
  <c r="H1772" i="17"/>
  <c r="H1773" i="17"/>
  <c r="H1774" i="17"/>
  <c r="H1775" i="17"/>
  <c r="H1776" i="17"/>
  <c r="H1777" i="17"/>
  <c r="H1778" i="17"/>
  <c r="H1779" i="17"/>
  <c r="H1780" i="17"/>
  <c r="H1781" i="17"/>
  <c r="H1782" i="17"/>
  <c r="H1783" i="17"/>
  <c r="H1784" i="17"/>
  <c r="H1785" i="17"/>
  <c r="H1786" i="17"/>
  <c r="H1787" i="17"/>
  <c r="H1788" i="17"/>
  <c r="H1789" i="17"/>
  <c r="H1790" i="17"/>
  <c r="H1791" i="17"/>
  <c r="H1792" i="17"/>
  <c r="H1793" i="17"/>
  <c r="H1794" i="17"/>
  <c r="H1795" i="17"/>
  <c r="H1796" i="17"/>
  <c r="H1797" i="17"/>
  <c r="H1798" i="17"/>
  <c r="H1799" i="17"/>
  <c r="H1800" i="17"/>
  <c r="H1801" i="17"/>
  <c r="H1802" i="17"/>
  <c r="H1803" i="17"/>
  <c r="H1804" i="17"/>
  <c r="H1805" i="17"/>
  <c r="H1806" i="17"/>
  <c r="H1807" i="17"/>
  <c r="H1808" i="17"/>
  <c r="H1809" i="17"/>
  <c r="H1810" i="17"/>
  <c r="H1811" i="17"/>
  <c r="H1812" i="17"/>
  <c r="H1813" i="17"/>
  <c r="H1814" i="17"/>
  <c r="H1815" i="17"/>
  <c r="H1816" i="17"/>
  <c r="H1817" i="17"/>
  <c r="H1818" i="17"/>
  <c r="H1819" i="17"/>
  <c r="H1820" i="17"/>
  <c r="H1821" i="17"/>
  <c r="H1822" i="17"/>
  <c r="H1823" i="17"/>
  <c r="H1824" i="17"/>
  <c r="H1825" i="17"/>
  <c r="H1826" i="17"/>
  <c r="H1827" i="17"/>
  <c r="H1828" i="17"/>
  <c r="H1829" i="17"/>
  <c r="H1830" i="17"/>
  <c r="H1831" i="17"/>
  <c r="H1832" i="17"/>
  <c r="H1833" i="17"/>
  <c r="H1834" i="17"/>
  <c r="H1835" i="17"/>
  <c r="H1836" i="17"/>
  <c r="H1837" i="17"/>
  <c r="H1838" i="17"/>
  <c r="H1839" i="17"/>
  <c r="H1840" i="17"/>
  <c r="H1841" i="17"/>
  <c r="H1842" i="17"/>
  <c r="H1843" i="17"/>
  <c r="H1844" i="17"/>
  <c r="H1845" i="17"/>
  <c r="H1846" i="17"/>
  <c r="H1847" i="17"/>
  <c r="H1848" i="17"/>
  <c r="H1849" i="17"/>
  <c r="H1850" i="17"/>
  <c r="H1851" i="17"/>
  <c r="H1852" i="17"/>
  <c r="H1853" i="17"/>
  <c r="H1854" i="17"/>
  <c r="H1855" i="17"/>
  <c r="H1856" i="17"/>
  <c r="H1857" i="17"/>
  <c r="H1858" i="17"/>
  <c r="H1859" i="17"/>
  <c r="H1860" i="17"/>
  <c r="H1861" i="17"/>
  <c r="H1862" i="17"/>
  <c r="H1863" i="17"/>
  <c r="H1864" i="17"/>
  <c r="H1865" i="17"/>
  <c r="H1866" i="17"/>
  <c r="H1867" i="17"/>
  <c r="H1868" i="17"/>
  <c r="H1869" i="17"/>
  <c r="H1870" i="17"/>
  <c r="H1871" i="17"/>
  <c r="H1872" i="17"/>
  <c r="H1873" i="17"/>
  <c r="H1874" i="17"/>
  <c r="H1875" i="17"/>
  <c r="H1876" i="17"/>
  <c r="H1877" i="17"/>
  <c r="H1878" i="17"/>
  <c r="H1879" i="17"/>
  <c r="H1880" i="17"/>
  <c r="H1881" i="17"/>
  <c r="H1882" i="17"/>
  <c r="H1883" i="17"/>
  <c r="H1884" i="17"/>
  <c r="H1885" i="17"/>
  <c r="H1886" i="17"/>
  <c r="H1887" i="17"/>
  <c r="H1888" i="17"/>
  <c r="H1889" i="17"/>
  <c r="H1890" i="17"/>
  <c r="H1891" i="17"/>
  <c r="H1892" i="17"/>
  <c r="H1893" i="17"/>
  <c r="H1894" i="17"/>
  <c r="H1895" i="17"/>
  <c r="H1896" i="17"/>
  <c r="H1897" i="17"/>
  <c r="H1898" i="17"/>
  <c r="H1899" i="17"/>
  <c r="H1900" i="17"/>
  <c r="H1901" i="17"/>
  <c r="H1902" i="17"/>
  <c r="H1903" i="17"/>
  <c r="H1904" i="17"/>
  <c r="H1905" i="17"/>
  <c r="H1906" i="17"/>
  <c r="H1907" i="17"/>
  <c r="H1908" i="17"/>
  <c r="H1909" i="17"/>
  <c r="H1910" i="17"/>
  <c r="H1911" i="17"/>
  <c r="H1912" i="17"/>
  <c r="H1913" i="17"/>
  <c r="H1914" i="17"/>
  <c r="H1915" i="17"/>
  <c r="H1916" i="17"/>
  <c r="H1917" i="17"/>
  <c r="H1918" i="17"/>
  <c r="H1919" i="17"/>
  <c r="H1920" i="17"/>
  <c r="H1921" i="17"/>
  <c r="H1922" i="17"/>
  <c r="H1923" i="17"/>
  <c r="H1924" i="17"/>
  <c r="H1925" i="17"/>
  <c r="H1926" i="17"/>
  <c r="H1927" i="17"/>
  <c r="H1928" i="17"/>
  <c r="H1929" i="17"/>
  <c r="H1930" i="17"/>
  <c r="H1931" i="17"/>
  <c r="H1932" i="17"/>
  <c r="H1933" i="17"/>
  <c r="H1934" i="17"/>
  <c r="H1935" i="17"/>
  <c r="H1936" i="17"/>
  <c r="H1937" i="17"/>
  <c r="H1938" i="17"/>
  <c r="H1939" i="17"/>
  <c r="H1940" i="17"/>
  <c r="H1941" i="17"/>
  <c r="H1942" i="17"/>
  <c r="H1943" i="17"/>
  <c r="H1944" i="17"/>
  <c r="H1945" i="17"/>
  <c r="H1946" i="17"/>
  <c r="H1947" i="17"/>
  <c r="H1948" i="17"/>
  <c r="H1949" i="17"/>
  <c r="H1950" i="17"/>
  <c r="H1951" i="17"/>
  <c r="H1952" i="17"/>
  <c r="H1953" i="17"/>
  <c r="H1954" i="17"/>
  <c r="H1955" i="17"/>
  <c r="H1956" i="17"/>
  <c r="H1957" i="17"/>
  <c r="H1958" i="17"/>
  <c r="H1959" i="17"/>
  <c r="H1960" i="17"/>
  <c r="H1961" i="17"/>
  <c r="H1962" i="17"/>
  <c r="H1963" i="17"/>
  <c r="H1964" i="17"/>
  <c r="H1965" i="17"/>
  <c r="H1966" i="17"/>
  <c r="H1967" i="17"/>
  <c r="H1968" i="17"/>
  <c r="H1969" i="17"/>
  <c r="H1970" i="17"/>
  <c r="H1971" i="17"/>
  <c r="H1972" i="17"/>
  <c r="H1973" i="17"/>
  <c r="H1974" i="17"/>
  <c r="H1975" i="17"/>
  <c r="H1976" i="17"/>
  <c r="H1977" i="17"/>
  <c r="H1978" i="17"/>
  <c r="H1979" i="17"/>
  <c r="H1980" i="17"/>
  <c r="H1981" i="17"/>
  <c r="H1982" i="17"/>
  <c r="H1983" i="17"/>
  <c r="H1984" i="17"/>
  <c r="H1985" i="17"/>
  <c r="H1986" i="17"/>
  <c r="H1987" i="17"/>
  <c r="H1988" i="17"/>
  <c r="H1989" i="17"/>
  <c r="H1990" i="17"/>
  <c r="H1991" i="17"/>
  <c r="H1992" i="17"/>
  <c r="H1993" i="17"/>
  <c r="H1994" i="17"/>
  <c r="H1995" i="17"/>
  <c r="H1996" i="17"/>
  <c r="H1997" i="17"/>
  <c r="H1998" i="17"/>
  <c r="H1999" i="17"/>
  <c r="H2000" i="17"/>
  <c r="H2001" i="17"/>
  <c r="T4" i="8"/>
  <c r="T5" i="8"/>
  <c r="S4" i="8"/>
  <c r="S5" i="8"/>
  <c r="R4" i="8"/>
  <c r="R5" i="8"/>
  <c r="Q4" i="8"/>
  <c r="Q5" i="8"/>
  <c r="P4" i="8"/>
  <c r="P5" i="8"/>
  <c r="O4" i="8"/>
  <c r="O5" i="8"/>
  <c r="N3" i="8"/>
  <c r="N4" i="8"/>
  <c r="N5" i="8"/>
  <c r="N2" i="8"/>
  <c r="M3" i="8"/>
  <c r="M4" i="8"/>
  <c r="M5" i="8"/>
  <c r="M2" i="8"/>
  <c r="L4" i="8"/>
  <c r="L5" i="8"/>
  <c r="K5" i="8"/>
  <c r="K4" i="8"/>
  <c r="J5" i="8"/>
  <c r="J4" i="8"/>
  <c r="I5" i="8"/>
  <c r="I4" i="8"/>
  <c r="H4" i="8"/>
  <c r="H5" i="8"/>
  <c r="G4" i="8"/>
  <c r="G5" i="8"/>
  <c r="Q3" i="8"/>
  <c r="K3" i="8"/>
  <c r="I3" i="8"/>
  <c r="H3" i="8"/>
  <c r="G3" i="8"/>
  <c r="F3" i="8"/>
  <c r="F4" i="8"/>
  <c r="F5" i="8"/>
  <c r="F2" i="8"/>
  <c r="I2" i="8"/>
  <c r="H2" i="8"/>
  <c r="G2" i="8"/>
  <c r="Q2" i="8"/>
  <c r="K2" i="8"/>
  <c r="I2" i="6"/>
  <c r="H2" i="6"/>
  <c r="F2" i="6"/>
  <c r="M2" i="5"/>
  <c r="G2" i="5"/>
  <c r="H2" i="4"/>
  <c r="G2" i="4"/>
  <c r="L3" i="4"/>
  <c r="L4" i="4"/>
  <c r="M4" i="4" s="1"/>
  <c r="L5" i="4"/>
  <c r="M5" i="4" s="1"/>
  <c r="L2" i="4"/>
  <c r="J2" i="5" s="1"/>
  <c r="K3" i="4"/>
  <c r="K4" i="4"/>
  <c r="K5" i="4"/>
  <c r="F2" i="4"/>
  <c r="F2" i="3"/>
  <c r="J2" i="4"/>
  <c r="H2" i="3"/>
  <c r="G2" i="3"/>
  <c r="B9" i="1"/>
  <c r="B8" i="1"/>
  <c r="B7" i="1"/>
  <c r="B6" i="1"/>
  <c r="B5" i="1"/>
  <c r="B4" i="1"/>
  <c r="B3" i="1"/>
  <c r="Q1949" i="17" l="1"/>
  <c r="R1949" i="17" s="1"/>
  <c r="S1949" i="17" s="1"/>
  <c r="Q1216" i="17"/>
  <c r="R1216" i="17" s="1"/>
  <c r="S1216" i="17" s="1"/>
  <c r="Q1180" i="17"/>
  <c r="R1180" i="17" s="1"/>
  <c r="S1180" i="17" s="1"/>
  <c r="S252" i="17"/>
  <c r="T828" i="17"/>
  <c r="U828" i="17"/>
  <c r="Q961" i="17"/>
  <c r="R961" i="17" s="1"/>
  <c r="S961" i="17" s="1"/>
  <c r="Q49" i="17"/>
  <c r="R49" i="17" s="1"/>
  <c r="S49" i="17" s="1"/>
  <c r="S1214" i="17"/>
  <c r="S1961" i="17"/>
  <c r="S1034" i="17"/>
  <c r="S1889" i="17"/>
  <c r="S693" i="17"/>
  <c r="S1877" i="17"/>
  <c r="S684" i="17"/>
  <c r="S1817" i="17"/>
  <c r="S549" i="17"/>
  <c r="S1805" i="17"/>
  <c r="S540" i="17"/>
  <c r="S1723" i="17"/>
  <c r="S405" i="17"/>
  <c r="S1586" i="17"/>
  <c r="S396" i="17"/>
  <c r="S1384" i="17"/>
  <c r="S261" i="17"/>
  <c r="Q1991" i="17"/>
  <c r="R1991" i="17" s="1"/>
  <c r="S1991" i="17" s="1"/>
  <c r="Q1715" i="17"/>
  <c r="R1715" i="17" s="1"/>
  <c r="S1715" i="17"/>
  <c r="Q1979" i="17"/>
  <c r="R1979" i="17" s="1"/>
  <c r="S1979" i="17" s="1"/>
  <c r="Q1967" i="17"/>
  <c r="R1967" i="17" s="1"/>
  <c r="S1967" i="17" s="1"/>
  <c r="Q1955" i="17"/>
  <c r="R1955" i="17" s="1"/>
  <c r="S1955" i="17"/>
  <c r="Q1943" i="17"/>
  <c r="R1943" i="17" s="1"/>
  <c r="S1943" i="17" s="1"/>
  <c r="Q1931" i="17"/>
  <c r="R1931" i="17" s="1"/>
  <c r="S1931" i="17" s="1"/>
  <c r="Q1919" i="17"/>
  <c r="R1919" i="17" s="1"/>
  <c r="S1919" i="17" s="1"/>
  <c r="Q1907" i="17"/>
  <c r="R1907" i="17" s="1"/>
  <c r="S1907" i="17" s="1"/>
  <c r="Q1895" i="17"/>
  <c r="R1895" i="17" s="1"/>
  <c r="S1895" i="17" s="1"/>
  <c r="Q1787" i="17"/>
  <c r="R1787" i="17" s="1"/>
  <c r="S1787" i="17"/>
  <c r="Q1775" i="17"/>
  <c r="R1775" i="17" s="1"/>
  <c r="S1775" i="17"/>
  <c r="Q1751" i="17"/>
  <c r="R1751" i="17" s="1"/>
  <c r="S1751" i="17" s="1"/>
  <c r="Q1739" i="17"/>
  <c r="R1739" i="17" s="1"/>
  <c r="S1739" i="17" s="1"/>
  <c r="Q1727" i="17"/>
  <c r="R1727" i="17" s="1"/>
  <c r="S1727" i="17" s="1"/>
  <c r="Q1691" i="17"/>
  <c r="R1691" i="17" s="1"/>
  <c r="S1691" i="17" s="1"/>
  <c r="Q1679" i="17"/>
  <c r="R1679" i="17" s="1"/>
  <c r="S1679" i="17" s="1"/>
  <c r="Q1667" i="17"/>
  <c r="R1667" i="17" s="1"/>
  <c r="S1667" i="17"/>
  <c r="Q1655" i="17"/>
  <c r="R1655" i="17" s="1"/>
  <c r="S1655" i="17" s="1"/>
  <c r="Q1643" i="17"/>
  <c r="R1643" i="17" s="1"/>
  <c r="S1643" i="17" s="1"/>
  <c r="Q1631" i="17"/>
  <c r="R1631" i="17" s="1"/>
  <c r="S1631" i="17" s="1"/>
  <c r="Q1619" i="17"/>
  <c r="R1619" i="17" s="1"/>
  <c r="S1619" i="17" s="1"/>
  <c r="Q1607" i="17"/>
  <c r="R1607" i="17" s="1"/>
  <c r="S1607" i="17" s="1"/>
  <c r="Q1595" i="17"/>
  <c r="R1595" i="17" s="1"/>
  <c r="S1595" i="17" s="1"/>
  <c r="Q1583" i="17"/>
  <c r="R1583" i="17" s="1"/>
  <c r="S1583" i="17" s="1"/>
  <c r="Q1571" i="17"/>
  <c r="R1571" i="17" s="1"/>
  <c r="S1571" i="17" s="1"/>
  <c r="Q1547" i="17"/>
  <c r="R1547" i="17" s="1"/>
  <c r="S1547" i="17" s="1"/>
  <c r="Q1535" i="17"/>
  <c r="R1535" i="17" s="1"/>
  <c r="S1535" i="17" s="1"/>
  <c r="Q1523" i="17"/>
  <c r="R1523" i="17" s="1"/>
  <c r="S1523" i="17"/>
  <c r="Q1511" i="17"/>
  <c r="R1511" i="17" s="1"/>
  <c r="S1511" i="17"/>
  <c r="Q1487" i="17"/>
  <c r="R1487" i="17" s="1"/>
  <c r="S1487" i="17" s="1"/>
  <c r="Q1475" i="17"/>
  <c r="R1475" i="17" s="1"/>
  <c r="S1475" i="17" s="1"/>
  <c r="Q1463" i="17"/>
  <c r="R1463" i="17" s="1"/>
  <c r="S1463" i="17" s="1"/>
  <c r="Q1451" i="17"/>
  <c r="R1451" i="17" s="1"/>
  <c r="S1451" i="17" s="1"/>
  <c r="Q1439" i="17"/>
  <c r="R1439" i="17" s="1"/>
  <c r="S1439" i="17" s="1"/>
  <c r="Q1427" i="17"/>
  <c r="R1427" i="17" s="1"/>
  <c r="S1427" i="17"/>
  <c r="Q1403" i="17"/>
  <c r="R1403" i="17" s="1"/>
  <c r="S1403" i="17" s="1"/>
  <c r="Q1391" i="17"/>
  <c r="R1391" i="17" s="1"/>
  <c r="S1391" i="17" s="1"/>
  <c r="Q1379" i="17"/>
  <c r="R1379" i="17" s="1"/>
  <c r="S1379" i="17" s="1"/>
  <c r="Q1367" i="17"/>
  <c r="R1367" i="17" s="1"/>
  <c r="S1367" i="17" s="1"/>
  <c r="Q1343" i="17"/>
  <c r="R1343" i="17" s="1"/>
  <c r="S1343" i="17" s="1"/>
  <c r="Q1331" i="17"/>
  <c r="R1331" i="17" s="1"/>
  <c r="S1331" i="17" s="1"/>
  <c r="Q1319" i="17"/>
  <c r="R1319" i="17" s="1"/>
  <c r="S1319" i="17" s="1"/>
  <c r="Q1307" i="17"/>
  <c r="R1307" i="17" s="1"/>
  <c r="S1307" i="17" s="1"/>
  <c r="Q1295" i="17"/>
  <c r="R1295" i="17" s="1"/>
  <c r="S1295" i="17" s="1"/>
  <c r="Q1283" i="17"/>
  <c r="R1283" i="17" s="1"/>
  <c r="S1283" i="17" s="1"/>
  <c r="Q1271" i="17"/>
  <c r="R1271" i="17" s="1"/>
  <c r="S1271" i="17" s="1"/>
  <c r="Q1259" i="17"/>
  <c r="R1259" i="17" s="1"/>
  <c r="S1259" i="17"/>
  <c r="Q1247" i="17"/>
  <c r="R1247" i="17" s="1"/>
  <c r="S1247" i="17" s="1"/>
  <c r="Q1235" i="17"/>
  <c r="R1235" i="17" s="1"/>
  <c r="S1235" i="17" s="1"/>
  <c r="Q1223" i="17"/>
  <c r="R1223" i="17" s="1"/>
  <c r="S1223" i="17" s="1"/>
  <c r="Q1211" i="17"/>
  <c r="R1211" i="17" s="1"/>
  <c r="S1211" i="17" s="1"/>
  <c r="Q1199" i="17"/>
  <c r="R1199" i="17" s="1"/>
  <c r="S1199" i="17" s="1"/>
  <c r="Q1187" i="17"/>
  <c r="R1187" i="17" s="1"/>
  <c r="S1187" i="17" s="1"/>
  <c r="Q1175" i="17"/>
  <c r="R1175" i="17" s="1"/>
  <c r="S1175" i="17" s="1"/>
  <c r="Q1163" i="17"/>
  <c r="R1163" i="17" s="1"/>
  <c r="S1163" i="17" s="1"/>
  <c r="Q1151" i="17"/>
  <c r="R1151" i="17" s="1"/>
  <c r="S1151" i="17" s="1"/>
  <c r="Q1139" i="17"/>
  <c r="R1139" i="17" s="1"/>
  <c r="S1139" i="17" s="1"/>
  <c r="Q1127" i="17"/>
  <c r="R1127" i="17" s="1"/>
  <c r="S1127" i="17"/>
  <c r="Q1115" i="17"/>
  <c r="R1115" i="17" s="1"/>
  <c r="S1115" i="17"/>
  <c r="Q1103" i="17"/>
  <c r="R1103" i="17" s="1"/>
  <c r="S1103" i="17" s="1"/>
  <c r="Q1091" i="17"/>
  <c r="R1091" i="17" s="1"/>
  <c r="S1091" i="17" s="1"/>
  <c r="Q1079" i="17"/>
  <c r="R1079" i="17" s="1"/>
  <c r="S1079" i="17" s="1"/>
  <c r="Q1067" i="17"/>
  <c r="R1067" i="17" s="1"/>
  <c r="S1067" i="17" s="1"/>
  <c r="Q1055" i="17"/>
  <c r="R1055" i="17" s="1"/>
  <c r="S1055" i="17" s="1"/>
  <c r="Q1043" i="17"/>
  <c r="R1043" i="17" s="1"/>
  <c r="S1043" i="17"/>
  <c r="Q1031" i="17"/>
  <c r="R1031" i="17" s="1"/>
  <c r="S1031" i="17" s="1"/>
  <c r="Q1019" i="17"/>
  <c r="R1019" i="17" s="1"/>
  <c r="S1019" i="17" s="1"/>
  <c r="Q1007" i="17"/>
  <c r="R1007" i="17" s="1"/>
  <c r="S1007" i="17" s="1"/>
  <c r="Q995" i="17"/>
  <c r="R995" i="17" s="1"/>
  <c r="S995" i="17" s="1"/>
  <c r="S1415" i="17"/>
  <c r="S969" i="17"/>
  <c r="Q1990" i="17"/>
  <c r="R1990" i="17" s="1"/>
  <c r="S1990" i="17" s="1"/>
  <c r="Q1978" i="17"/>
  <c r="R1978" i="17" s="1"/>
  <c r="S1978" i="17" s="1"/>
  <c r="Q1966" i="17"/>
  <c r="R1966" i="17" s="1"/>
  <c r="S1966" i="17" s="1"/>
  <c r="Q1954" i="17"/>
  <c r="R1954" i="17" s="1"/>
  <c r="S1954" i="17" s="1"/>
  <c r="Q1942" i="17"/>
  <c r="R1942" i="17" s="1"/>
  <c r="S1942" i="17" s="1"/>
  <c r="Q1930" i="17"/>
  <c r="R1930" i="17" s="1"/>
  <c r="S1930" i="17"/>
  <c r="Q1918" i="17"/>
  <c r="R1918" i="17" s="1"/>
  <c r="S1918" i="17"/>
  <c r="Q1906" i="17"/>
  <c r="R1906" i="17" s="1"/>
  <c r="S1906" i="17" s="1"/>
  <c r="Q1894" i="17"/>
  <c r="R1894" i="17" s="1"/>
  <c r="S1894" i="17" s="1"/>
  <c r="Q1882" i="17"/>
  <c r="R1882" i="17" s="1"/>
  <c r="S1882" i="17" s="1"/>
  <c r="Q1870" i="17"/>
  <c r="R1870" i="17" s="1"/>
  <c r="S1870" i="17" s="1"/>
  <c r="Q1858" i="17"/>
  <c r="R1858" i="17" s="1"/>
  <c r="S1858" i="17" s="1"/>
  <c r="Q1846" i="17"/>
  <c r="R1846" i="17" s="1"/>
  <c r="S1846" i="17"/>
  <c r="Q1834" i="17"/>
  <c r="R1834" i="17" s="1"/>
  <c r="S1834" i="17" s="1"/>
  <c r="Q1822" i="17"/>
  <c r="R1822" i="17" s="1"/>
  <c r="S1822" i="17" s="1"/>
  <c r="Q1810" i="17"/>
  <c r="R1810" i="17" s="1"/>
  <c r="S1810" i="17" s="1"/>
  <c r="Q1798" i="17"/>
  <c r="R1798" i="17" s="1"/>
  <c r="S1798" i="17" s="1"/>
  <c r="Q1786" i="17"/>
  <c r="R1786" i="17" s="1"/>
  <c r="S1786" i="17" s="1"/>
  <c r="Q1774" i="17"/>
  <c r="R1774" i="17" s="1"/>
  <c r="S1774" i="17" s="1"/>
  <c r="Q1762" i="17"/>
  <c r="R1762" i="17" s="1"/>
  <c r="S1762" i="17" s="1"/>
  <c r="Q1750" i="17"/>
  <c r="R1750" i="17" s="1"/>
  <c r="S1750" i="17" s="1"/>
  <c r="Q1738" i="17"/>
  <c r="R1738" i="17" s="1"/>
  <c r="S1738" i="17" s="1"/>
  <c r="Q1726" i="17"/>
  <c r="R1726" i="17" s="1"/>
  <c r="S1726" i="17" s="1"/>
  <c r="Q1714" i="17"/>
  <c r="R1714" i="17" s="1"/>
  <c r="S1714" i="17"/>
  <c r="Q1690" i="17"/>
  <c r="R1690" i="17" s="1"/>
  <c r="S1690" i="17" s="1"/>
  <c r="Q1678" i="17"/>
  <c r="R1678" i="17" s="1"/>
  <c r="S1678" i="17" s="1"/>
  <c r="Q1666" i="17"/>
  <c r="R1666" i="17" s="1"/>
  <c r="S1666" i="17" s="1"/>
  <c r="Q1654" i="17"/>
  <c r="R1654" i="17" s="1"/>
  <c r="S1654" i="17" s="1"/>
  <c r="Q1630" i="17"/>
  <c r="R1630" i="17" s="1"/>
  <c r="S1630" i="17" s="1"/>
  <c r="Q1606" i="17"/>
  <c r="R1606" i="17" s="1"/>
  <c r="S1606" i="17"/>
  <c r="Q1594" i="17"/>
  <c r="R1594" i="17" s="1"/>
  <c r="S1594" i="17" s="1"/>
  <c r="Q1582" i="17"/>
  <c r="R1582" i="17" s="1"/>
  <c r="S1582" i="17" s="1"/>
  <c r="Q1570" i="17"/>
  <c r="R1570" i="17" s="1"/>
  <c r="S1570" i="17" s="1"/>
  <c r="Q1546" i="17"/>
  <c r="R1546" i="17" s="1"/>
  <c r="S1546" i="17" s="1"/>
  <c r="Q1534" i="17"/>
  <c r="R1534" i="17" s="1"/>
  <c r="S1534" i="17" s="1"/>
  <c r="Q1522" i="17"/>
  <c r="R1522" i="17" s="1"/>
  <c r="S1522" i="17" s="1"/>
  <c r="Q1510" i="17"/>
  <c r="R1510" i="17" s="1"/>
  <c r="S1510" i="17" s="1"/>
  <c r="Q1498" i="17"/>
  <c r="R1498" i="17" s="1"/>
  <c r="S1498" i="17" s="1"/>
  <c r="Q1486" i="17"/>
  <c r="R1486" i="17" s="1"/>
  <c r="S1486" i="17" s="1"/>
  <c r="Q1462" i="17"/>
  <c r="R1462" i="17" s="1"/>
  <c r="S1462" i="17" s="1"/>
  <c r="Q1450" i="17"/>
  <c r="R1450" i="17" s="1"/>
  <c r="S1450" i="17" s="1"/>
  <c r="Q1438" i="17"/>
  <c r="R1438" i="17" s="1"/>
  <c r="S1438" i="17"/>
  <c r="Q1426" i="17"/>
  <c r="R1426" i="17" s="1"/>
  <c r="S1426" i="17"/>
  <c r="Q1402" i="17"/>
  <c r="R1402" i="17" s="1"/>
  <c r="S1402" i="17" s="1"/>
  <c r="Q1390" i="17"/>
  <c r="R1390" i="17" s="1"/>
  <c r="S1390" i="17" s="1"/>
  <c r="Q1378" i="17"/>
  <c r="R1378" i="17" s="1"/>
  <c r="S1378" i="17" s="1"/>
  <c r="Q1366" i="17"/>
  <c r="R1366" i="17" s="1"/>
  <c r="S1366" i="17" s="1"/>
  <c r="Q1354" i="17"/>
  <c r="R1354" i="17" s="1"/>
  <c r="S1354" i="17" s="1"/>
  <c r="Q1342" i="17"/>
  <c r="R1342" i="17" s="1"/>
  <c r="S1342" i="17" s="1"/>
  <c r="Q1330" i="17"/>
  <c r="R1330" i="17" s="1"/>
  <c r="S1330" i="17" s="1"/>
  <c r="Q1318" i="17"/>
  <c r="R1318" i="17" s="1"/>
  <c r="S1318" i="17" s="1"/>
  <c r="Q1306" i="17"/>
  <c r="R1306" i="17" s="1"/>
  <c r="S1306" i="17" s="1"/>
  <c r="Q1294" i="17"/>
  <c r="R1294" i="17" s="1"/>
  <c r="S1294" i="17" s="1"/>
  <c r="Q1282" i="17"/>
  <c r="R1282" i="17" s="1"/>
  <c r="S1282" i="17" s="1"/>
  <c r="Q1270" i="17"/>
  <c r="R1270" i="17" s="1"/>
  <c r="S1270" i="17" s="1"/>
  <c r="Q1258" i="17"/>
  <c r="R1258" i="17" s="1"/>
  <c r="S1258" i="17" s="1"/>
  <c r="Q1246" i="17"/>
  <c r="R1246" i="17" s="1"/>
  <c r="S1246" i="17" s="1"/>
  <c r="Q1234" i="17"/>
  <c r="R1234" i="17" s="1"/>
  <c r="S1234" i="17" s="1"/>
  <c r="Q1222" i="17"/>
  <c r="R1222" i="17" s="1"/>
  <c r="S1222" i="17" s="1"/>
  <c r="Q1210" i="17"/>
  <c r="R1210" i="17" s="1"/>
  <c r="S1210" i="17"/>
  <c r="Q1198" i="17"/>
  <c r="R1198" i="17" s="1"/>
  <c r="S1198" i="17"/>
  <c r="Q1186" i="17"/>
  <c r="R1186" i="17" s="1"/>
  <c r="S1186" i="17" s="1"/>
  <c r="Q1174" i="17"/>
  <c r="R1174" i="17" s="1"/>
  <c r="S1174" i="17" s="1"/>
  <c r="Q1162" i="17"/>
  <c r="R1162" i="17" s="1"/>
  <c r="S1162" i="17" s="1"/>
  <c r="Q1150" i="17"/>
  <c r="R1150" i="17" s="1"/>
  <c r="S1150" i="17" s="1"/>
  <c r="Q1138" i="17"/>
  <c r="R1138" i="17" s="1"/>
  <c r="S1138" i="17" s="1"/>
  <c r="Q1126" i="17"/>
  <c r="R1126" i="17" s="1"/>
  <c r="S1126" i="17"/>
  <c r="Q1114" i="17"/>
  <c r="R1114" i="17" s="1"/>
  <c r="S1114" i="17" s="1"/>
  <c r="Q1102" i="17"/>
  <c r="R1102" i="17" s="1"/>
  <c r="S1102" i="17" s="1"/>
  <c r="Q1090" i="17"/>
  <c r="R1090" i="17" s="1"/>
  <c r="S1090" i="17" s="1"/>
  <c r="S1960" i="17"/>
  <c r="S1888" i="17"/>
  <c r="S1816" i="17"/>
  <c r="S1720" i="17"/>
  <c r="S1584" i="17"/>
  <c r="S1414" i="17"/>
  <c r="Q1847" i="17"/>
  <c r="R1847" i="17" s="1"/>
  <c r="S1847" i="17" s="1"/>
  <c r="Q2001" i="17"/>
  <c r="R2001" i="17" s="1"/>
  <c r="S2001" i="17" s="1"/>
  <c r="Q1929" i="17"/>
  <c r="R1929" i="17" s="1"/>
  <c r="S1929" i="17" s="1"/>
  <c r="Q1857" i="17"/>
  <c r="R1857" i="17" s="1"/>
  <c r="S1857" i="17" s="1"/>
  <c r="Q1749" i="17"/>
  <c r="R1749" i="17" s="1"/>
  <c r="S1749" i="17" s="1"/>
  <c r="Q1653" i="17"/>
  <c r="R1653" i="17" s="1"/>
  <c r="S1653" i="17" s="1"/>
  <c r="Q1557" i="17"/>
  <c r="R1557" i="17" s="1"/>
  <c r="S1557" i="17" s="1"/>
  <c r="Q1449" i="17"/>
  <c r="R1449" i="17" s="1"/>
  <c r="S1449" i="17" s="1"/>
  <c r="Q1353" i="17"/>
  <c r="R1353" i="17" s="1"/>
  <c r="S1353" i="17" s="1"/>
  <c r="Q1233" i="17"/>
  <c r="R1233" i="17" s="1"/>
  <c r="S1233" i="17" s="1"/>
  <c r="Q825" i="17"/>
  <c r="R825" i="17" s="1"/>
  <c r="S825" i="17" s="1"/>
  <c r="Q813" i="17"/>
  <c r="R813" i="17" s="1"/>
  <c r="S813" i="17" s="1"/>
  <c r="Q801" i="17"/>
  <c r="R801" i="17" s="1"/>
  <c r="S801" i="17" s="1"/>
  <c r="S837" i="17"/>
  <c r="Q2000" i="17"/>
  <c r="R2000" i="17" s="1"/>
  <c r="S2000" i="17" s="1"/>
  <c r="Q1988" i="17"/>
  <c r="R1988" i="17" s="1"/>
  <c r="S1988" i="17"/>
  <c r="Q1976" i="17"/>
  <c r="R1976" i="17" s="1"/>
  <c r="S1976" i="17" s="1"/>
  <c r="Q1964" i="17"/>
  <c r="R1964" i="17" s="1"/>
  <c r="S1964" i="17" s="1"/>
  <c r="Q1952" i="17"/>
  <c r="R1952" i="17" s="1"/>
  <c r="S1952" i="17" s="1"/>
  <c r="Q1940" i="17"/>
  <c r="R1940" i="17" s="1"/>
  <c r="S1940" i="17" s="1"/>
  <c r="Q1928" i="17"/>
  <c r="R1928" i="17" s="1"/>
  <c r="S1928" i="17" s="1"/>
  <c r="Q1916" i="17"/>
  <c r="R1916" i="17" s="1"/>
  <c r="S1916" i="17" s="1"/>
  <c r="Q1904" i="17"/>
  <c r="R1904" i="17" s="1"/>
  <c r="S1904" i="17" s="1"/>
  <c r="Q1892" i="17"/>
  <c r="R1892" i="17" s="1"/>
  <c r="S1892" i="17" s="1"/>
  <c r="Q1880" i="17"/>
  <c r="R1880" i="17" s="1"/>
  <c r="S1880" i="17" s="1"/>
  <c r="Q1868" i="17"/>
  <c r="R1868" i="17" s="1"/>
  <c r="S1868" i="17" s="1"/>
  <c r="Q1856" i="17"/>
  <c r="R1856" i="17" s="1"/>
  <c r="S1856" i="17" s="1"/>
  <c r="Q1844" i="17"/>
  <c r="R1844" i="17" s="1"/>
  <c r="S1844" i="17" s="1"/>
  <c r="Q1832" i="17"/>
  <c r="R1832" i="17" s="1"/>
  <c r="S1832" i="17" s="1"/>
  <c r="Q1820" i="17"/>
  <c r="R1820" i="17" s="1"/>
  <c r="S1820" i="17" s="1"/>
  <c r="Q1808" i="17"/>
  <c r="R1808" i="17" s="1"/>
  <c r="S1808" i="17" s="1"/>
  <c r="Q1796" i="17"/>
  <c r="R1796" i="17" s="1"/>
  <c r="S1796" i="17" s="1"/>
  <c r="Q1784" i="17"/>
  <c r="R1784" i="17" s="1"/>
  <c r="S1784" i="17" s="1"/>
  <c r="Q1772" i="17"/>
  <c r="R1772" i="17" s="1"/>
  <c r="S1772" i="17" s="1"/>
  <c r="Q1760" i="17"/>
  <c r="R1760" i="17" s="1"/>
  <c r="S1760" i="17" s="1"/>
  <c r="Q1748" i="17"/>
  <c r="R1748" i="17" s="1"/>
  <c r="S1748" i="17" s="1"/>
  <c r="Q1736" i="17"/>
  <c r="R1736" i="17" s="1"/>
  <c r="S1736" i="17" s="1"/>
  <c r="Q1724" i="17"/>
  <c r="R1724" i="17" s="1"/>
  <c r="S1724" i="17"/>
  <c r="Q1712" i="17"/>
  <c r="R1712" i="17" s="1"/>
  <c r="S1712" i="17" s="1"/>
  <c r="Q1700" i="17"/>
  <c r="R1700" i="17" s="1"/>
  <c r="S1700" i="17" s="1"/>
  <c r="Q1688" i="17"/>
  <c r="R1688" i="17" s="1"/>
  <c r="S1688" i="17" s="1"/>
  <c r="Q1676" i="17"/>
  <c r="R1676" i="17" s="1"/>
  <c r="S1676" i="17" s="1"/>
  <c r="Q1664" i="17"/>
  <c r="R1664" i="17" s="1"/>
  <c r="S1664" i="17" s="1"/>
  <c r="Q1652" i="17"/>
  <c r="R1652" i="17" s="1"/>
  <c r="S1652" i="17" s="1"/>
  <c r="Q1640" i="17"/>
  <c r="R1640" i="17" s="1"/>
  <c r="S1640" i="17" s="1"/>
  <c r="Q1628" i="17"/>
  <c r="R1628" i="17" s="1"/>
  <c r="S1628" i="17" s="1"/>
  <c r="Q1616" i="17"/>
  <c r="R1616" i="17" s="1"/>
  <c r="S1616" i="17" s="1"/>
  <c r="Q1604" i="17"/>
  <c r="R1604" i="17" s="1"/>
  <c r="S1604" i="17" s="1"/>
  <c r="Q1592" i="17"/>
  <c r="R1592" i="17" s="1"/>
  <c r="S1592" i="17" s="1"/>
  <c r="Q1580" i="17"/>
  <c r="R1580" i="17" s="1"/>
  <c r="S1580" i="17" s="1"/>
  <c r="Q1568" i="17"/>
  <c r="R1568" i="17" s="1"/>
  <c r="S1568" i="17" s="1"/>
  <c r="Q1556" i="17"/>
  <c r="R1556" i="17" s="1"/>
  <c r="S1556" i="17" s="1"/>
  <c r="Q1544" i="17"/>
  <c r="R1544" i="17" s="1"/>
  <c r="S1544" i="17" s="1"/>
  <c r="Q1532" i="17"/>
  <c r="R1532" i="17" s="1"/>
  <c r="S1532" i="17" s="1"/>
  <c r="Q1520" i="17"/>
  <c r="R1520" i="17" s="1"/>
  <c r="S1520" i="17" s="1"/>
  <c r="Q1508" i="17"/>
  <c r="R1508" i="17" s="1"/>
  <c r="S1508" i="17" s="1"/>
  <c r="Q1496" i="17"/>
  <c r="R1496" i="17" s="1"/>
  <c r="S1496" i="17" s="1"/>
  <c r="Q1484" i="17"/>
  <c r="R1484" i="17" s="1"/>
  <c r="S1484" i="17" s="1"/>
  <c r="Q1472" i="17"/>
  <c r="R1472" i="17" s="1"/>
  <c r="S1472" i="17" s="1"/>
  <c r="Q1460" i="17"/>
  <c r="R1460" i="17" s="1"/>
  <c r="S1460" i="17" s="1"/>
  <c r="Q1448" i="17"/>
  <c r="R1448" i="17" s="1"/>
  <c r="S1448" i="17" s="1"/>
  <c r="Q1436" i="17"/>
  <c r="R1436" i="17" s="1"/>
  <c r="S1436" i="17" s="1"/>
  <c r="Q1424" i="17"/>
  <c r="R1424" i="17" s="1"/>
  <c r="S1424" i="17" s="1"/>
  <c r="Q1412" i="17"/>
  <c r="R1412" i="17" s="1"/>
  <c r="S1412" i="17" s="1"/>
  <c r="Q1400" i="17"/>
  <c r="R1400" i="17" s="1"/>
  <c r="S1400" i="17" s="1"/>
  <c r="Q1388" i="17"/>
  <c r="R1388" i="17" s="1"/>
  <c r="S1388" i="17" s="1"/>
  <c r="Q1376" i="17"/>
  <c r="R1376" i="17" s="1"/>
  <c r="S1376" i="17" s="1"/>
  <c r="Q1364" i="17"/>
  <c r="R1364" i="17" s="1"/>
  <c r="S1364" i="17" s="1"/>
  <c r="Q1352" i="17"/>
  <c r="R1352" i="17" s="1"/>
  <c r="S1352" i="17" s="1"/>
  <c r="Q1340" i="17"/>
  <c r="R1340" i="17" s="1"/>
  <c r="S1340" i="17" s="1"/>
  <c r="Q1328" i="17"/>
  <c r="R1328" i="17" s="1"/>
  <c r="S1328" i="17" s="1"/>
  <c r="Q1316" i="17"/>
  <c r="R1316" i="17" s="1"/>
  <c r="S1316" i="17" s="1"/>
  <c r="Q1304" i="17"/>
  <c r="R1304" i="17" s="1"/>
  <c r="S1304" i="17" s="1"/>
  <c r="Q1292" i="17"/>
  <c r="R1292" i="17" s="1"/>
  <c r="S1292" i="17" s="1"/>
  <c r="Q1280" i="17"/>
  <c r="R1280" i="17" s="1"/>
  <c r="S1280" i="17" s="1"/>
  <c r="Q1268" i="17"/>
  <c r="R1268" i="17" s="1"/>
  <c r="S1268" i="17" s="1"/>
  <c r="Q1256" i="17"/>
  <c r="R1256" i="17" s="1"/>
  <c r="S1256" i="17" s="1"/>
  <c r="Q1244" i="17"/>
  <c r="R1244" i="17" s="1"/>
  <c r="S1244" i="17" s="1"/>
  <c r="Q1232" i="17"/>
  <c r="R1232" i="17" s="1"/>
  <c r="S1232" i="17" s="1"/>
  <c r="Q1220" i="17"/>
  <c r="R1220" i="17" s="1"/>
  <c r="S1220" i="17" s="1"/>
  <c r="Q1208" i="17"/>
  <c r="R1208" i="17" s="1"/>
  <c r="S1208" i="17" s="1"/>
  <c r="Q1196" i="17"/>
  <c r="R1196" i="17" s="1"/>
  <c r="S1196" i="17" s="1"/>
  <c r="Q1184" i="17"/>
  <c r="R1184" i="17" s="1"/>
  <c r="S1184" i="17" s="1"/>
  <c r="Q1172" i="17"/>
  <c r="R1172" i="17" s="1"/>
  <c r="S1172" i="17" s="1"/>
  <c r="Q1160" i="17"/>
  <c r="R1160" i="17" s="1"/>
  <c r="S1160" i="17" s="1"/>
  <c r="Q1148" i="17"/>
  <c r="R1148" i="17" s="1"/>
  <c r="S1148" i="17" s="1"/>
  <c r="Q1136" i="17"/>
  <c r="R1136" i="17" s="1"/>
  <c r="S1136" i="17" s="1"/>
  <c r="Q1124" i="17"/>
  <c r="R1124" i="17" s="1"/>
  <c r="S1124" i="17" s="1"/>
  <c r="Q1112" i="17"/>
  <c r="R1112" i="17" s="1"/>
  <c r="S1112" i="17" s="1"/>
  <c r="Q1100" i="17"/>
  <c r="R1100" i="17" s="1"/>
  <c r="S1100" i="17" s="1"/>
  <c r="Q1088" i="17"/>
  <c r="R1088" i="17" s="1"/>
  <c r="S1088" i="17" s="1"/>
  <c r="S1948" i="17"/>
  <c r="S1876" i="17"/>
  <c r="S1804" i="17"/>
  <c r="S1702" i="17"/>
  <c r="S1558" i="17"/>
  <c r="S1382" i="17"/>
  <c r="S1178" i="17"/>
  <c r="Q1999" i="17"/>
  <c r="R1999" i="17" s="1"/>
  <c r="S1999" i="17" s="1"/>
  <c r="Q1987" i="17"/>
  <c r="R1987" i="17" s="1"/>
  <c r="S1987" i="17"/>
  <c r="Q1975" i="17"/>
  <c r="R1975" i="17" s="1"/>
  <c r="S1975" i="17" s="1"/>
  <c r="Q1963" i="17"/>
  <c r="R1963" i="17" s="1"/>
  <c r="S1963" i="17" s="1"/>
  <c r="Q1951" i="17"/>
  <c r="R1951" i="17" s="1"/>
  <c r="S1951" i="17" s="1"/>
  <c r="Q1939" i="17"/>
  <c r="R1939" i="17" s="1"/>
  <c r="S1939" i="17" s="1"/>
  <c r="Q1927" i="17"/>
  <c r="R1927" i="17" s="1"/>
  <c r="S1927" i="17" s="1"/>
  <c r="Q1915" i="17"/>
  <c r="R1915" i="17" s="1"/>
  <c r="S1915" i="17" s="1"/>
  <c r="Q1903" i="17"/>
  <c r="R1903" i="17" s="1"/>
  <c r="S1903" i="17" s="1"/>
  <c r="Q1891" i="17"/>
  <c r="R1891" i="17" s="1"/>
  <c r="S1891" i="17" s="1"/>
  <c r="Q1879" i="17"/>
  <c r="R1879" i="17" s="1"/>
  <c r="S1879" i="17" s="1"/>
  <c r="Q1867" i="17"/>
  <c r="R1867" i="17" s="1"/>
  <c r="S1867" i="17" s="1"/>
  <c r="Q1855" i="17"/>
  <c r="R1855" i="17" s="1"/>
  <c r="S1855" i="17" s="1"/>
  <c r="Q1843" i="17"/>
  <c r="R1843" i="17" s="1"/>
  <c r="S1843" i="17"/>
  <c r="Q1831" i="17"/>
  <c r="R1831" i="17" s="1"/>
  <c r="S1831" i="17" s="1"/>
  <c r="Q1819" i="17"/>
  <c r="R1819" i="17" s="1"/>
  <c r="S1819" i="17" s="1"/>
  <c r="Q1807" i="17"/>
  <c r="R1807" i="17" s="1"/>
  <c r="S1807" i="17" s="1"/>
  <c r="Q1795" i="17"/>
  <c r="R1795" i="17" s="1"/>
  <c r="S1795" i="17" s="1"/>
  <c r="Q1783" i="17"/>
  <c r="R1783" i="17" s="1"/>
  <c r="S1783" i="17" s="1"/>
  <c r="Q1771" i="17"/>
  <c r="R1771" i="17" s="1"/>
  <c r="S1771" i="17"/>
  <c r="Q1759" i="17"/>
  <c r="R1759" i="17" s="1"/>
  <c r="S1759" i="17" s="1"/>
  <c r="Q1747" i="17"/>
  <c r="R1747" i="17" s="1"/>
  <c r="S1747" i="17" s="1"/>
  <c r="Q1735" i="17"/>
  <c r="R1735" i="17" s="1"/>
  <c r="S1735" i="17" s="1"/>
  <c r="Q1711" i="17"/>
  <c r="R1711" i="17" s="1"/>
  <c r="S1711" i="17" s="1"/>
  <c r="Q1699" i="17"/>
  <c r="R1699" i="17" s="1"/>
  <c r="S1699" i="17" s="1"/>
  <c r="Q1687" i="17"/>
  <c r="R1687" i="17" s="1"/>
  <c r="S1687" i="17" s="1"/>
  <c r="Q1675" i="17"/>
  <c r="R1675" i="17" s="1"/>
  <c r="S1675" i="17" s="1"/>
  <c r="Q1663" i="17"/>
  <c r="R1663" i="17" s="1"/>
  <c r="S1663" i="17" s="1"/>
  <c r="Q1651" i="17"/>
  <c r="R1651" i="17" s="1"/>
  <c r="S1651" i="17" s="1"/>
  <c r="Q1627" i="17"/>
  <c r="R1627" i="17" s="1"/>
  <c r="S1627" i="17" s="1"/>
  <c r="Q1615" i="17"/>
  <c r="R1615" i="17" s="1"/>
  <c r="S1615" i="17" s="1"/>
  <c r="Q1603" i="17"/>
  <c r="R1603" i="17" s="1"/>
  <c r="S1603" i="17"/>
  <c r="Q1591" i="17"/>
  <c r="R1591" i="17" s="1"/>
  <c r="S1591" i="17" s="1"/>
  <c r="Q1579" i="17"/>
  <c r="R1579" i="17" s="1"/>
  <c r="S1579" i="17" s="1"/>
  <c r="Q1567" i="17"/>
  <c r="R1567" i="17" s="1"/>
  <c r="S1567" i="17" s="1"/>
  <c r="Q1555" i="17"/>
  <c r="R1555" i="17" s="1"/>
  <c r="S1555" i="17" s="1"/>
  <c r="Q1543" i="17"/>
  <c r="R1543" i="17" s="1"/>
  <c r="S1543" i="17" s="1"/>
  <c r="Q1531" i="17"/>
  <c r="R1531" i="17" s="1"/>
  <c r="S1531" i="17"/>
  <c r="Q1519" i="17"/>
  <c r="R1519" i="17" s="1"/>
  <c r="S1519" i="17" s="1"/>
  <c r="Q1507" i="17"/>
  <c r="R1507" i="17" s="1"/>
  <c r="S1507" i="17" s="1"/>
  <c r="Q1495" i="17"/>
  <c r="R1495" i="17" s="1"/>
  <c r="S1495" i="17" s="1"/>
  <c r="Q1483" i="17"/>
  <c r="R1483" i="17" s="1"/>
  <c r="S1483" i="17" s="1"/>
  <c r="Q1471" i="17"/>
  <c r="R1471" i="17" s="1"/>
  <c r="S1471" i="17"/>
  <c r="Q1459" i="17"/>
  <c r="R1459" i="17" s="1"/>
  <c r="S1459" i="17"/>
  <c r="Q1447" i="17"/>
  <c r="R1447" i="17" s="1"/>
  <c r="S1447" i="17" s="1"/>
  <c r="Q1435" i="17"/>
  <c r="R1435" i="17" s="1"/>
  <c r="S1435" i="17" s="1"/>
  <c r="Q1423" i="17"/>
  <c r="R1423" i="17" s="1"/>
  <c r="S1423" i="17" s="1"/>
  <c r="Q1411" i="17"/>
  <c r="R1411" i="17" s="1"/>
  <c r="S1411" i="17" s="1"/>
  <c r="Q1399" i="17"/>
  <c r="R1399" i="17" s="1"/>
  <c r="S1399" i="17" s="1"/>
  <c r="Q1387" i="17"/>
  <c r="R1387" i="17" s="1"/>
  <c r="S1387" i="17"/>
  <c r="Q1375" i="17"/>
  <c r="R1375" i="17" s="1"/>
  <c r="S1375" i="17" s="1"/>
  <c r="Q1363" i="17"/>
  <c r="R1363" i="17" s="1"/>
  <c r="S1363" i="17" s="1"/>
  <c r="Q1351" i="17"/>
  <c r="R1351" i="17" s="1"/>
  <c r="S1351" i="17" s="1"/>
  <c r="Q1339" i="17"/>
  <c r="R1339" i="17" s="1"/>
  <c r="S1339" i="17" s="1"/>
  <c r="Q1327" i="17"/>
  <c r="R1327" i="17" s="1"/>
  <c r="S1327" i="17" s="1"/>
  <c r="Q1315" i="17"/>
  <c r="R1315" i="17" s="1"/>
  <c r="S1315" i="17" s="1"/>
  <c r="Q1303" i="17"/>
  <c r="R1303" i="17" s="1"/>
  <c r="S1303" i="17" s="1"/>
  <c r="Q1291" i="17"/>
  <c r="R1291" i="17" s="1"/>
  <c r="S1291" i="17" s="1"/>
  <c r="Q1279" i="17"/>
  <c r="R1279" i="17" s="1"/>
  <c r="S1279" i="17" s="1"/>
  <c r="Q1267" i="17"/>
  <c r="R1267" i="17" s="1"/>
  <c r="S1267" i="17" s="1"/>
  <c r="Q1255" i="17"/>
  <c r="R1255" i="17" s="1"/>
  <c r="S1255" i="17"/>
  <c r="Q1243" i="17"/>
  <c r="R1243" i="17" s="1"/>
  <c r="S1243" i="17" s="1"/>
  <c r="Q1231" i="17"/>
  <c r="R1231" i="17" s="1"/>
  <c r="S1231" i="17" s="1"/>
  <c r="Q1219" i="17"/>
  <c r="R1219" i="17" s="1"/>
  <c r="S1219" i="17" s="1"/>
  <c r="Q1207" i="17"/>
  <c r="R1207" i="17" s="1"/>
  <c r="S1207" i="17" s="1"/>
  <c r="Q1195" i="17"/>
  <c r="R1195" i="17" s="1"/>
  <c r="S1195" i="17" s="1"/>
  <c r="Q1183" i="17"/>
  <c r="R1183" i="17" s="1"/>
  <c r="S1183" i="17"/>
  <c r="Q1171" i="17"/>
  <c r="R1171" i="17" s="1"/>
  <c r="S1171" i="17"/>
  <c r="Q1159" i="17"/>
  <c r="R1159" i="17" s="1"/>
  <c r="S1159" i="17" s="1"/>
  <c r="Q1147" i="17"/>
  <c r="R1147" i="17" s="1"/>
  <c r="S1147" i="17" s="1"/>
  <c r="Q1135" i="17"/>
  <c r="R1135" i="17" s="1"/>
  <c r="S1135" i="17" s="1"/>
  <c r="Q1123" i="17"/>
  <c r="R1123" i="17" s="1"/>
  <c r="S1123" i="17" s="1"/>
  <c r="Q1111" i="17"/>
  <c r="R1111" i="17" s="1"/>
  <c r="S1111" i="17" s="1"/>
  <c r="Q1099" i="17"/>
  <c r="R1099" i="17" s="1"/>
  <c r="S1099" i="17" s="1"/>
  <c r="Q1087" i="17"/>
  <c r="R1087" i="17" s="1"/>
  <c r="S1087" i="17" s="1"/>
  <c r="Q1075" i="17"/>
  <c r="R1075" i="17" s="1"/>
  <c r="S1075" i="17" s="1"/>
  <c r="Q1063" i="17"/>
  <c r="R1063" i="17" s="1"/>
  <c r="S1063" i="17" s="1"/>
  <c r="Q1051" i="17"/>
  <c r="R1051" i="17" s="1"/>
  <c r="S1051" i="17" s="1"/>
  <c r="Q1039" i="17"/>
  <c r="R1039" i="17" s="1"/>
  <c r="S1039" i="17"/>
  <c r="Q1027" i="17"/>
  <c r="R1027" i="17" s="1"/>
  <c r="S1027" i="17" s="1"/>
  <c r="Q1015" i="17"/>
  <c r="R1015" i="17" s="1"/>
  <c r="S1015" i="17" s="1"/>
  <c r="Q1003" i="17"/>
  <c r="R1003" i="17" s="1"/>
  <c r="S1003" i="17" s="1"/>
  <c r="Q991" i="17"/>
  <c r="R991" i="17" s="1"/>
  <c r="S991" i="17" s="1"/>
  <c r="Q979" i="17"/>
  <c r="R979" i="17" s="1"/>
  <c r="S979" i="17" s="1"/>
  <c r="Q967" i="17"/>
  <c r="R967" i="17" s="1"/>
  <c r="S967" i="17" s="1"/>
  <c r="Q955" i="17"/>
  <c r="R955" i="17" s="1"/>
  <c r="S955" i="17" s="1"/>
  <c r="Q943" i="17"/>
  <c r="R943" i="17" s="1"/>
  <c r="S943" i="17" s="1"/>
  <c r="Q931" i="17"/>
  <c r="R931" i="17" s="1"/>
  <c r="S931" i="17" s="1"/>
  <c r="Q919" i="17"/>
  <c r="R919" i="17" s="1"/>
  <c r="S919" i="17" s="1"/>
  <c r="Q907" i="17"/>
  <c r="R907" i="17" s="1"/>
  <c r="S907" i="17" s="1"/>
  <c r="Q895" i="17"/>
  <c r="R895" i="17" s="1"/>
  <c r="S895" i="17"/>
  <c r="Q883" i="17"/>
  <c r="R883" i="17" s="1"/>
  <c r="S883" i="17" s="1"/>
  <c r="Q871" i="17"/>
  <c r="R871" i="17" s="1"/>
  <c r="S871" i="17" s="1"/>
  <c r="Q859" i="17"/>
  <c r="R859" i="17" s="1"/>
  <c r="S859" i="17" s="1"/>
  <c r="Q847" i="17"/>
  <c r="R847" i="17" s="1"/>
  <c r="S847" i="17" s="1"/>
  <c r="Q835" i="17"/>
  <c r="R835" i="17" s="1"/>
  <c r="S835" i="17" s="1"/>
  <c r="Q823" i="17"/>
  <c r="R823" i="17" s="1"/>
  <c r="S823" i="17" s="1"/>
  <c r="Q811" i="17"/>
  <c r="R811" i="17" s="1"/>
  <c r="S811" i="17" s="1"/>
  <c r="Q799" i="17"/>
  <c r="R799" i="17" s="1"/>
  <c r="S799" i="17" s="1"/>
  <c r="Q787" i="17"/>
  <c r="R787" i="17" s="1"/>
  <c r="S787" i="17" s="1"/>
  <c r="Q775" i="17"/>
  <c r="R775" i="17" s="1"/>
  <c r="S775" i="17" s="1"/>
  <c r="Q763" i="17"/>
  <c r="R763" i="17" s="1"/>
  <c r="S763" i="17" s="1"/>
  <c r="Q751" i="17"/>
  <c r="R751" i="17" s="1"/>
  <c r="S751" i="17"/>
  <c r="Q739" i="17"/>
  <c r="R739" i="17" s="1"/>
  <c r="S739" i="17"/>
  <c r="Q727" i="17"/>
  <c r="R727" i="17" s="1"/>
  <c r="S727" i="17" s="1"/>
  <c r="Q715" i="17"/>
  <c r="R715" i="17" s="1"/>
  <c r="S715" i="17" s="1"/>
  <c r="Q703" i="17"/>
  <c r="R703" i="17" s="1"/>
  <c r="S703" i="17" s="1"/>
  <c r="Q691" i="17"/>
  <c r="R691" i="17" s="1"/>
  <c r="S691" i="17" s="1"/>
  <c r="Q679" i="17"/>
  <c r="R679" i="17" s="1"/>
  <c r="S679" i="17" s="1"/>
  <c r="Q667" i="17"/>
  <c r="R667" i="17" s="1"/>
  <c r="S667" i="17" s="1"/>
  <c r="Q655" i="17"/>
  <c r="R655" i="17" s="1"/>
  <c r="S655" i="17" s="1"/>
  <c r="Q643" i="17"/>
  <c r="R643" i="17" s="1"/>
  <c r="S643" i="17" s="1"/>
  <c r="Q631" i="17"/>
  <c r="R631" i="17" s="1"/>
  <c r="S631" i="17" s="1"/>
  <c r="Q619" i="17"/>
  <c r="R619" i="17" s="1"/>
  <c r="S619" i="17" s="1"/>
  <c r="Q607" i="17"/>
  <c r="R607" i="17" s="1"/>
  <c r="S607" i="17" s="1"/>
  <c r="Q595" i="17"/>
  <c r="R595" i="17" s="1"/>
  <c r="S595" i="17" s="1"/>
  <c r="Q583" i="17"/>
  <c r="R583" i="17" s="1"/>
  <c r="S583" i="17" s="1"/>
  <c r="Q571" i="17"/>
  <c r="R571" i="17" s="1"/>
  <c r="S571" i="17" s="1"/>
  <c r="Q559" i="17"/>
  <c r="R559" i="17" s="1"/>
  <c r="S559" i="17" s="1"/>
  <c r="Q547" i="17"/>
  <c r="R547" i="17" s="1"/>
  <c r="S547" i="17" s="1"/>
  <c r="Q535" i="17"/>
  <c r="R535" i="17" s="1"/>
  <c r="S535" i="17" s="1"/>
  <c r="Q523" i="17"/>
  <c r="R523" i="17" s="1"/>
  <c r="S523" i="17" s="1"/>
  <c r="Q511" i="17"/>
  <c r="R511" i="17" s="1"/>
  <c r="S511" i="17" s="1"/>
  <c r="Q499" i="17"/>
  <c r="R499" i="17" s="1"/>
  <c r="S499" i="17" s="1"/>
  <c r="Q487" i="17"/>
  <c r="R487" i="17" s="1"/>
  <c r="S487" i="17" s="1"/>
  <c r="Q475" i="17"/>
  <c r="R475" i="17" s="1"/>
  <c r="S475" i="17" s="1"/>
  <c r="Q463" i="17"/>
  <c r="R463" i="17" s="1"/>
  <c r="S463" i="17" s="1"/>
  <c r="Q451" i="17"/>
  <c r="R451" i="17" s="1"/>
  <c r="S451" i="17" s="1"/>
  <c r="Q439" i="17"/>
  <c r="R439" i="17" s="1"/>
  <c r="S439" i="17" s="1"/>
  <c r="Q427" i="17"/>
  <c r="R427" i="17" s="1"/>
  <c r="S427" i="17" s="1"/>
  <c r="Q415" i="17"/>
  <c r="R415" i="17" s="1"/>
  <c r="S415" i="17" s="1"/>
  <c r="Q403" i="17"/>
  <c r="R403" i="17" s="1"/>
  <c r="S403" i="17" s="1"/>
  <c r="Q391" i="17"/>
  <c r="R391" i="17" s="1"/>
  <c r="S391" i="17" s="1"/>
  <c r="Q379" i="17"/>
  <c r="R379" i="17" s="1"/>
  <c r="S379" i="17" s="1"/>
  <c r="Q367" i="17"/>
  <c r="R367" i="17" s="1"/>
  <c r="S367" i="17" s="1"/>
  <c r="Q355" i="17"/>
  <c r="R355" i="17" s="1"/>
  <c r="S355" i="17" s="1"/>
  <c r="Q343" i="17"/>
  <c r="R343" i="17" s="1"/>
  <c r="S343" i="17" s="1"/>
  <c r="Q331" i="17"/>
  <c r="R331" i="17" s="1"/>
  <c r="S331" i="17" s="1"/>
  <c r="Q319" i="17"/>
  <c r="R319" i="17" s="1"/>
  <c r="S319" i="17" s="1"/>
  <c r="Q307" i="17"/>
  <c r="R307" i="17" s="1"/>
  <c r="S307" i="17"/>
  <c r="Q295" i="17"/>
  <c r="R295" i="17" s="1"/>
  <c r="S295" i="17" s="1"/>
  <c r="Q283" i="17"/>
  <c r="R283" i="17" s="1"/>
  <c r="S283" i="17" s="1"/>
  <c r="Q271" i="17"/>
  <c r="R271" i="17" s="1"/>
  <c r="S271" i="17" s="1"/>
  <c r="Q259" i="17"/>
  <c r="R259" i="17" s="1"/>
  <c r="S259" i="17" s="1"/>
  <c r="Q247" i="17"/>
  <c r="R247" i="17" s="1"/>
  <c r="S247" i="17" s="1"/>
  <c r="Q235" i="17"/>
  <c r="R235" i="17" s="1"/>
  <c r="S235" i="17" s="1"/>
  <c r="Q223" i="17"/>
  <c r="R223" i="17" s="1"/>
  <c r="S223" i="17" s="1"/>
  <c r="Q211" i="17"/>
  <c r="R211" i="17" s="1"/>
  <c r="S211" i="17" s="1"/>
  <c r="Q199" i="17"/>
  <c r="R199" i="17" s="1"/>
  <c r="S199" i="17" s="1"/>
  <c r="Q187" i="17"/>
  <c r="R187" i="17" s="1"/>
  <c r="S187" i="17" s="1"/>
  <c r="Q175" i="17"/>
  <c r="R175" i="17" s="1"/>
  <c r="S175" i="17" s="1"/>
  <c r="Q163" i="17"/>
  <c r="R163" i="17" s="1"/>
  <c r="S163" i="17" s="1"/>
  <c r="Q151" i="17"/>
  <c r="R151" i="17" s="1"/>
  <c r="S151" i="17" s="1"/>
  <c r="Q139" i="17"/>
  <c r="R139" i="17" s="1"/>
  <c r="S139" i="17" s="1"/>
  <c r="Q127" i="17"/>
  <c r="R127" i="17" s="1"/>
  <c r="S127" i="17" s="1"/>
  <c r="Q115" i="17"/>
  <c r="R115" i="17" s="1"/>
  <c r="S115" i="17" s="1"/>
  <c r="Q103" i="17"/>
  <c r="R103" i="17" s="1"/>
  <c r="S103" i="17" s="1"/>
  <c r="Q91" i="17"/>
  <c r="R91" i="17" s="1"/>
  <c r="S91" i="17" s="1"/>
  <c r="Q79" i="17"/>
  <c r="R79" i="17" s="1"/>
  <c r="S79" i="17" s="1"/>
  <c r="Q67" i="17"/>
  <c r="R67" i="17" s="1"/>
  <c r="S67" i="17" s="1"/>
  <c r="Q55" i="17"/>
  <c r="R55" i="17" s="1"/>
  <c r="S55" i="17" s="1"/>
  <c r="Q43" i="17"/>
  <c r="R43" i="17" s="1"/>
  <c r="S43" i="17" s="1"/>
  <c r="Q31" i="17"/>
  <c r="R31" i="17" s="1"/>
  <c r="S31" i="17" s="1"/>
  <c r="Q19" i="17"/>
  <c r="R19" i="17" s="1"/>
  <c r="S19" i="17"/>
  <c r="Q7" i="17"/>
  <c r="R7" i="17" s="1"/>
  <c r="S7" i="17" s="1"/>
  <c r="S1937" i="17"/>
  <c r="S1865" i="17"/>
  <c r="S1793" i="17"/>
  <c r="S1681" i="17"/>
  <c r="S1528" i="17"/>
  <c r="S1356" i="17"/>
  <c r="S1144" i="17"/>
  <c r="Q1811" i="17"/>
  <c r="R1811" i="17" s="1"/>
  <c r="S1811" i="17" s="1"/>
  <c r="Q1953" i="17"/>
  <c r="R1953" i="17" s="1"/>
  <c r="S1953" i="17" s="1"/>
  <c r="Q1869" i="17"/>
  <c r="R1869" i="17" s="1"/>
  <c r="S1869" i="17" s="1"/>
  <c r="Q1773" i="17"/>
  <c r="R1773" i="17" s="1"/>
  <c r="S1773" i="17" s="1"/>
  <c r="Q1677" i="17"/>
  <c r="R1677" i="17" s="1"/>
  <c r="S1677" i="17" s="1"/>
  <c r="Q1581" i="17"/>
  <c r="R1581" i="17" s="1"/>
  <c r="S1581" i="17" s="1"/>
  <c r="Q1485" i="17"/>
  <c r="R1485" i="17" s="1"/>
  <c r="S1485" i="17" s="1"/>
  <c r="Q1389" i="17"/>
  <c r="R1389" i="17" s="1"/>
  <c r="S1389" i="17" s="1"/>
  <c r="Q1281" i="17"/>
  <c r="R1281" i="17" s="1"/>
  <c r="S1281" i="17" s="1"/>
  <c r="Q1197" i="17"/>
  <c r="R1197" i="17" s="1"/>
  <c r="S1197" i="17" s="1"/>
  <c r="Q1149" i="17"/>
  <c r="R1149" i="17" s="1"/>
  <c r="S1149" i="17"/>
  <c r="Q1053" i="17"/>
  <c r="R1053" i="17" s="1"/>
  <c r="S1053" i="17" s="1"/>
  <c r="Q897" i="17"/>
  <c r="R897" i="17" s="1"/>
  <c r="S897" i="17"/>
  <c r="Q1998" i="17"/>
  <c r="R1998" i="17" s="1"/>
  <c r="S1998" i="17" s="1"/>
  <c r="Q1986" i="17"/>
  <c r="R1986" i="17" s="1"/>
  <c r="S1986" i="17" s="1"/>
  <c r="Q1974" i="17"/>
  <c r="R1974" i="17" s="1"/>
  <c r="S1974" i="17" s="1"/>
  <c r="Q1962" i="17"/>
  <c r="R1962" i="17" s="1"/>
  <c r="S1962" i="17" s="1"/>
  <c r="Q1950" i="17"/>
  <c r="R1950" i="17" s="1"/>
  <c r="S1950" i="17" s="1"/>
  <c r="Q1938" i="17"/>
  <c r="R1938" i="17" s="1"/>
  <c r="S1938" i="17" s="1"/>
  <c r="Q1926" i="17"/>
  <c r="R1926" i="17" s="1"/>
  <c r="S1926" i="17" s="1"/>
  <c r="Q1914" i="17"/>
  <c r="R1914" i="17" s="1"/>
  <c r="S1914" i="17"/>
  <c r="Q1902" i="17"/>
  <c r="R1902" i="17" s="1"/>
  <c r="S1902" i="17"/>
  <c r="Q1890" i="17"/>
  <c r="R1890" i="17" s="1"/>
  <c r="S1890" i="17"/>
  <c r="Q1878" i="17"/>
  <c r="R1878" i="17" s="1"/>
  <c r="S1878" i="17" s="1"/>
  <c r="Q1866" i="17"/>
  <c r="R1866" i="17" s="1"/>
  <c r="S1866" i="17" s="1"/>
  <c r="Q1854" i="17"/>
  <c r="R1854" i="17" s="1"/>
  <c r="S1854" i="17" s="1"/>
  <c r="Q1842" i="17"/>
  <c r="R1842" i="17" s="1"/>
  <c r="S1842" i="17" s="1"/>
  <c r="Q1830" i="17"/>
  <c r="R1830" i="17" s="1"/>
  <c r="S1830" i="17" s="1"/>
  <c r="Q1818" i="17"/>
  <c r="R1818" i="17" s="1"/>
  <c r="S1818" i="17" s="1"/>
  <c r="Q1806" i="17"/>
  <c r="R1806" i="17" s="1"/>
  <c r="S1806" i="17" s="1"/>
  <c r="Q1794" i="17"/>
  <c r="R1794" i="17" s="1"/>
  <c r="S1794" i="17" s="1"/>
  <c r="Q1782" i="17"/>
  <c r="R1782" i="17" s="1"/>
  <c r="S1782" i="17" s="1"/>
  <c r="Q1770" i="17"/>
  <c r="R1770" i="17" s="1"/>
  <c r="S1770" i="17"/>
  <c r="Q1758" i="17"/>
  <c r="R1758" i="17" s="1"/>
  <c r="S1758" i="17" s="1"/>
  <c r="Q1746" i="17"/>
  <c r="R1746" i="17" s="1"/>
  <c r="S1746" i="17" s="1"/>
  <c r="Q1734" i="17"/>
  <c r="R1734" i="17" s="1"/>
  <c r="S1734" i="17" s="1"/>
  <c r="Q1722" i="17"/>
  <c r="R1722" i="17" s="1"/>
  <c r="S1722" i="17"/>
  <c r="Q1710" i="17"/>
  <c r="R1710" i="17" s="1"/>
  <c r="S1710" i="17" s="1"/>
  <c r="Q1698" i="17"/>
  <c r="R1698" i="17" s="1"/>
  <c r="S1698" i="17" s="1"/>
  <c r="Q1686" i="17"/>
  <c r="R1686" i="17" s="1"/>
  <c r="S1686" i="17" s="1"/>
  <c r="Q1674" i="17"/>
  <c r="R1674" i="17" s="1"/>
  <c r="S1674" i="17" s="1"/>
  <c r="Q1662" i="17"/>
  <c r="R1662" i="17" s="1"/>
  <c r="S1662" i="17" s="1"/>
  <c r="Q1650" i="17"/>
  <c r="R1650" i="17" s="1"/>
  <c r="S1650" i="17" s="1"/>
  <c r="Q1638" i="17"/>
  <c r="R1638" i="17" s="1"/>
  <c r="S1638" i="17" s="1"/>
  <c r="Q1626" i="17"/>
  <c r="R1626" i="17" s="1"/>
  <c r="S1626" i="17" s="1"/>
  <c r="Q1614" i="17"/>
  <c r="R1614" i="17" s="1"/>
  <c r="S1614" i="17"/>
  <c r="Q1602" i="17"/>
  <c r="R1602" i="17" s="1"/>
  <c r="S1602" i="17" s="1"/>
  <c r="Q1590" i="17"/>
  <c r="R1590" i="17" s="1"/>
  <c r="S1590" i="17" s="1"/>
  <c r="Q1578" i="17"/>
  <c r="R1578" i="17" s="1"/>
  <c r="S1578" i="17" s="1"/>
  <c r="Q1566" i="17"/>
  <c r="R1566" i="17" s="1"/>
  <c r="S1566" i="17" s="1"/>
  <c r="Q1554" i="17"/>
  <c r="R1554" i="17" s="1"/>
  <c r="S1554" i="17" s="1"/>
  <c r="Q1542" i="17"/>
  <c r="R1542" i="17" s="1"/>
  <c r="S1542" i="17"/>
  <c r="Q1530" i="17"/>
  <c r="R1530" i="17" s="1"/>
  <c r="S1530" i="17" s="1"/>
  <c r="Q1518" i="17"/>
  <c r="R1518" i="17" s="1"/>
  <c r="S1518" i="17" s="1"/>
  <c r="Q1506" i="17"/>
  <c r="R1506" i="17" s="1"/>
  <c r="S1506" i="17" s="1"/>
  <c r="Q1494" i="17"/>
  <c r="R1494" i="17" s="1"/>
  <c r="S1494" i="17" s="1"/>
  <c r="Q1482" i="17"/>
  <c r="R1482" i="17" s="1"/>
  <c r="S1482" i="17" s="1"/>
  <c r="Q1470" i="17"/>
  <c r="R1470" i="17" s="1"/>
  <c r="S1470" i="17" s="1"/>
  <c r="Q1458" i="17"/>
  <c r="R1458" i="17" s="1"/>
  <c r="S1458" i="17" s="1"/>
  <c r="Q1446" i="17"/>
  <c r="R1446" i="17" s="1"/>
  <c r="S1446" i="17" s="1"/>
  <c r="Q1434" i="17"/>
  <c r="R1434" i="17" s="1"/>
  <c r="S1434" i="17" s="1"/>
  <c r="Q1422" i="17"/>
  <c r="R1422" i="17" s="1"/>
  <c r="S1422" i="17" s="1"/>
  <c r="Q1410" i="17"/>
  <c r="R1410" i="17" s="1"/>
  <c r="S1410" i="17" s="1"/>
  <c r="Q1398" i="17"/>
  <c r="R1398" i="17" s="1"/>
  <c r="S1398" i="17" s="1"/>
  <c r="Q1386" i="17"/>
  <c r="R1386" i="17" s="1"/>
  <c r="S1386" i="17" s="1"/>
  <c r="Q1374" i="17"/>
  <c r="R1374" i="17" s="1"/>
  <c r="S1374" i="17" s="1"/>
  <c r="Q1362" i="17"/>
  <c r="R1362" i="17" s="1"/>
  <c r="S1362" i="17" s="1"/>
  <c r="Q1350" i="17"/>
  <c r="R1350" i="17" s="1"/>
  <c r="S1350" i="17" s="1"/>
  <c r="Q1338" i="17"/>
  <c r="R1338" i="17" s="1"/>
  <c r="S1338" i="17" s="1"/>
  <c r="Q1326" i="17"/>
  <c r="R1326" i="17" s="1"/>
  <c r="S1326" i="17" s="1"/>
  <c r="Q1314" i="17"/>
  <c r="R1314" i="17" s="1"/>
  <c r="S1314" i="17" s="1"/>
  <c r="Q1302" i="17"/>
  <c r="R1302" i="17" s="1"/>
  <c r="S1302" i="17" s="1"/>
  <c r="Q1290" i="17"/>
  <c r="R1290" i="17" s="1"/>
  <c r="S1290" i="17" s="1"/>
  <c r="Q1278" i="17"/>
  <c r="R1278" i="17" s="1"/>
  <c r="S1278" i="17" s="1"/>
  <c r="Q1266" i="17"/>
  <c r="R1266" i="17" s="1"/>
  <c r="S1266" i="17" s="1"/>
  <c r="Q1254" i="17"/>
  <c r="R1254" i="17" s="1"/>
  <c r="S1254" i="17" s="1"/>
  <c r="Q1242" i="17"/>
  <c r="R1242" i="17" s="1"/>
  <c r="S1242" i="17" s="1"/>
  <c r="Q1230" i="17"/>
  <c r="R1230" i="17" s="1"/>
  <c r="S1230" i="17"/>
  <c r="Q1218" i="17"/>
  <c r="R1218" i="17" s="1"/>
  <c r="S1218" i="17" s="1"/>
  <c r="Q1206" i="17"/>
  <c r="R1206" i="17" s="1"/>
  <c r="S1206" i="17" s="1"/>
  <c r="Q1194" i="17"/>
  <c r="R1194" i="17" s="1"/>
  <c r="S1194" i="17" s="1"/>
  <c r="Q1182" i="17"/>
  <c r="R1182" i="17" s="1"/>
  <c r="S1182" i="17" s="1"/>
  <c r="Q1170" i="17"/>
  <c r="R1170" i="17" s="1"/>
  <c r="S1170" i="17" s="1"/>
  <c r="Q1158" i="17"/>
  <c r="R1158" i="17" s="1"/>
  <c r="S1158" i="17" s="1"/>
  <c r="Q1146" i="17"/>
  <c r="R1146" i="17" s="1"/>
  <c r="S1146" i="17" s="1"/>
  <c r="Q1134" i="17"/>
  <c r="R1134" i="17" s="1"/>
  <c r="S1134" i="17" s="1"/>
  <c r="Q1122" i="17"/>
  <c r="R1122" i="17" s="1"/>
  <c r="S1122" i="17" s="1"/>
  <c r="Q1110" i="17"/>
  <c r="R1110" i="17" s="1"/>
  <c r="S1110" i="17" s="1"/>
  <c r="Q1098" i="17"/>
  <c r="R1098" i="17" s="1"/>
  <c r="S1098" i="17" s="1"/>
  <c r="Q1086" i="17"/>
  <c r="R1086" i="17" s="1"/>
  <c r="S1086" i="17" s="1"/>
  <c r="Q1074" i="17"/>
  <c r="R1074" i="17" s="1"/>
  <c r="S1074" i="17" s="1"/>
  <c r="Q1062" i="17"/>
  <c r="R1062" i="17" s="1"/>
  <c r="S1062" i="17" s="1"/>
  <c r="Q1050" i="17"/>
  <c r="R1050" i="17" s="1"/>
  <c r="S1050" i="17" s="1"/>
  <c r="Q1038" i="17"/>
  <c r="R1038" i="17" s="1"/>
  <c r="S1038" i="17" s="1"/>
  <c r="Q1026" i="17"/>
  <c r="R1026" i="17" s="1"/>
  <c r="S1026" i="17" s="1"/>
  <c r="Q1014" i="17"/>
  <c r="R1014" i="17" s="1"/>
  <c r="S1014" i="17"/>
  <c r="Q1002" i="17"/>
  <c r="R1002" i="17" s="1"/>
  <c r="S1002" i="17" s="1"/>
  <c r="Q990" i="17"/>
  <c r="R990" i="17" s="1"/>
  <c r="S990" i="17" s="1"/>
  <c r="Q978" i="17"/>
  <c r="R978" i="17" s="1"/>
  <c r="S978" i="17" s="1"/>
  <c r="Q966" i="17"/>
  <c r="R966" i="17" s="1"/>
  <c r="S966" i="17" s="1"/>
  <c r="Q954" i="17"/>
  <c r="R954" i="17" s="1"/>
  <c r="S954" i="17" s="1"/>
  <c r="Q942" i="17"/>
  <c r="R942" i="17" s="1"/>
  <c r="S942" i="17" s="1"/>
  <c r="Q930" i="17"/>
  <c r="R930" i="17" s="1"/>
  <c r="S930" i="17" s="1"/>
  <c r="Q918" i="17"/>
  <c r="R918" i="17" s="1"/>
  <c r="S918" i="17" s="1"/>
  <c r="Q906" i="17"/>
  <c r="R906" i="17" s="1"/>
  <c r="S906" i="17" s="1"/>
  <c r="Q894" i="17"/>
  <c r="R894" i="17" s="1"/>
  <c r="S894" i="17"/>
  <c r="Q882" i="17"/>
  <c r="R882" i="17" s="1"/>
  <c r="S882" i="17"/>
  <c r="Q870" i="17"/>
  <c r="R870" i="17" s="1"/>
  <c r="S870" i="17"/>
  <c r="Q858" i="17"/>
  <c r="R858" i="17" s="1"/>
  <c r="S858" i="17" s="1"/>
  <c r="Q846" i="17"/>
  <c r="R846" i="17" s="1"/>
  <c r="S846" i="17" s="1"/>
  <c r="Q834" i="17"/>
  <c r="R834" i="17" s="1"/>
  <c r="S834" i="17"/>
  <c r="Q822" i="17"/>
  <c r="R822" i="17" s="1"/>
  <c r="S822" i="17" s="1"/>
  <c r="Q810" i="17"/>
  <c r="R810" i="17" s="1"/>
  <c r="S810" i="17" s="1"/>
  <c r="Q798" i="17"/>
  <c r="R798" i="17" s="1"/>
  <c r="S798" i="17" s="1"/>
  <c r="Q786" i="17"/>
  <c r="R786" i="17" s="1"/>
  <c r="S786" i="17" s="1"/>
  <c r="Q774" i="17"/>
  <c r="R774" i="17" s="1"/>
  <c r="S774" i="17" s="1"/>
  <c r="Q762" i="17"/>
  <c r="R762" i="17" s="1"/>
  <c r="S762" i="17" s="1"/>
  <c r="Q750" i="17"/>
  <c r="R750" i="17" s="1"/>
  <c r="S750" i="17" s="1"/>
  <c r="Q738" i="17"/>
  <c r="R738" i="17" s="1"/>
  <c r="S738" i="17" s="1"/>
  <c r="Q726" i="17"/>
  <c r="R726" i="17" s="1"/>
  <c r="S726" i="17"/>
  <c r="Q714" i="17"/>
  <c r="R714" i="17" s="1"/>
  <c r="S714" i="17"/>
  <c r="Q702" i="17"/>
  <c r="R702" i="17" s="1"/>
  <c r="S702" i="17" s="1"/>
  <c r="Q690" i="17"/>
  <c r="R690" i="17" s="1"/>
  <c r="S690" i="17" s="1"/>
  <c r="Q678" i="17"/>
  <c r="R678" i="17" s="1"/>
  <c r="S678" i="17" s="1"/>
  <c r="Q666" i="17"/>
  <c r="R666" i="17" s="1"/>
  <c r="S666" i="17" s="1"/>
  <c r="Q654" i="17"/>
  <c r="R654" i="17" s="1"/>
  <c r="S654" i="17" s="1"/>
  <c r="Q642" i="17"/>
  <c r="R642" i="17" s="1"/>
  <c r="S642" i="17" s="1"/>
  <c r="Q630" i="17"/>
  <c r="R630" i="17" s="1"/>
  <c r="S630" i="17" s="1"/>
  <c r="Q618" i="17"/>
  <c r="R618" i="17" s="1"/>
  <c r="S618" i="17" s="1"/>
  <c r="Q606" i="17"/>
  <c r="R606" i="17" s="1"/>
  <c r="S606" i="17" s="1"/>
  <c r="Q594" i="17"/>
  <c r="R594" i="17" s="1"/>
  <c r="S594" i="17"/>
  <c r="Q582" i="17"/>
  <c r="R582" i="17" s="1"/>
  <c r="S582" i="17" s="1"/>
  <c r="Q570" i="17"/>
  <c r="R570" i="17" s="1"/>
  <c r="S570" i="17" s="1"/>
  <c r="Q558" i="17"/>
  <c r="R558" i="17" s="1"/>
  <c r="S558" i="17" s="1"/>
  <c r="Q546" i="17"/>
  <c r="R546" i="17" s="1"/>
  <c r="S546" i="17" s="1"/>
  <c r="Q534" i="17"/>
  <c r="R534" i="17" s="1"/>
  <c r="S534" i="17" s="1"/>
  <c r="Q522" i="17"/>
  <c r="R522" i="17" s="1"/>
  <c r="S522" i="17" s="1"/>
  <c r="Q510" i="17"/>
  <c r="R510" i="17" s="1"/>
  <c r="S510" i="17" s="1"/>
  <c r="Q498" i="17"/>
  <c r="R498" i="17" s="1"/>
  <c r="S498" i="17" s="1"/>
  <c r="Q486" i="17"/>
  <c r="R486" i="17" s="1"/>
  <c r="S486" i="17" s="1"/>
  <c r="Q474" i="17"/>
  <c r="R474" i="17" s="1"/>
  <c r="S474" i="17" s="1"/>
  <c r="Q462" i="17"/>
  <c r="R462" i="17" s="1"/>
  <c r="S462" i="17" s="1"/>
  <c r="Q450" i="17"/>
  <c r="R450" i="17" s="1"/>
  <c r="S450" i="17" s="1"/>
  <c r="Q438" i="17"/>
  <c r="R438" i="17" s="1"/>
  <c r="S438" i="17" s="1"/>
  <c r="Q426" i="17"/>
  <c r="R426" i="17" s="1"/>
  <c r="S426" i="17" s="1"/>
  <c r="Q414" i="17"/>
  <c r="R414" i="17" s="1"/>
  <c r="S414" i="17" s="1"/>
  <c r="Q402" i="17"/>
  <c r="R402" i="17" s="1"/>
  <c r="S402" i="17" s="1"/>
  <c r="Q390" i="17"/>
  <c r="R390" i="17" s="1"/>
  <c r="S390" i="17" s="1"/>
  <c r="Q378" i="17"/>
  <c r="R378" i="17" s="1"/>
  <c r="S378" i="17" s="1"/>
  <c r="Q366" i="17"/>
  <c r="R366" i="17" s="1"/>
  <c r="S366" i="17" s="1"/>
  <c r="Q354" i="17"/>
  <c r="R354" i="17" s="1"/>
  <c r="S354" i="17" s="1"/>
  <c r="Q342" i="17"/>
  <c r="R342" i="17" s="1"/>
  <c r="S342" i="17" s="1"/>
  <c r="Q330" i="17"/>
  <c r="R330" i="17" s="1"/>
  <c r="S330" i="17"/>
  <c r="Q318" i="17"/>
  <c r="R318" i="17" s="1"/>
  <c r="S318" i="17" s="1"/>
  <c r="Q306" i="17"/>
  <c r="R306" i="17" s="1"/>
  <c r="S306" i="17" s="1"/>
  <c r="Q294" i="17"/>
  <c r="R294" i="17" s="1"/>
  <c r="S294" i="17" s="1"/>
  <c r="Q282" i="17"/>
  <c r="R282" i="17" s="1"/>
  <c r="S282" i="17" s="1"/>
  <c r="Q270" i="17"/>
  <c r="R270" i="17" s="1"/>
  <c r="S270" i="17" s="1"/>
  <c r="Q258" i="17"/>
  <c r="R258" i="17" s="1"/>
  <c r="S258" i="17" s="1"/>
  <c r="Q246" i="17"/>
  <c r="R246" i="17" s="1"/>
  <c r="S246" i="17" s="1"/>
  <c r="Q234" i="17"/>
  <c r="R234" i="17" s="1"/>
  <c r="S234" i="17" s="1"/>
  <c r="Q222" i="17"/>
  <c r="R222" i="17" s="1"/>
  <c r="S222" i="17" s="1"/>
  <c r="Q210" i="17"/>
  <c r="R210" i="17" s="1"/>
  <c r="S210" i="17" s="1"/>
  <c r="Q198" i="17"/>
  <c r="R198" i="17" s="1"/>
  <c r="S198" i="17" s="1"/>
  <c r="Q186" i="17"/>
  <c r="R186" i="17" s="1"/>
  <c r="S186" i="17" s="1"/>
  <c r="Q174" i="17"/>
  <c r="R174" i="17" s="1"/>
  <c r="S174" i="17" s="1"/>
  <c r="Q162" i="17"/>
  <c r="R162" i="17" s="1"/>
  <c r="S162" i="17" s="1"/>
  <c r="Q150" i="17"/>
  <c r="R150" i="17" s="1"/>
  <c r="S150" i="17" s="1"/>
  <c r="Q138" i="17"/>
  <c r="R138" i="17" s="1"/>
  <c r="S138" i="17" s="1"/>
  <c r="Q126" i="17"/>
  <c r="R126" i="17" s="1"/>
  <c r="S126" i="17" s="1"/>
  <c r="Q114" i="17"/>
  <c r="R114" i="17" s="1"/>
  <c r="S114" i="17" s="1"/>
  <c r="Q102" i="17"/>
  <c r="R102" i="17" s="1"/>
  <c r="S102" i="17" s="1"/>
  <c r="Q90" i="17"/>
  <c r="R90" i="17" s="1"/>
  <c r="S90" i="17" s="1"/>
  <c r="Q78" i="17"/>
  <c r="R78" i="17" s="1"/>
  <c r="S78" i="17"/>
  <c r="Q66" i="17"/>
  <c r="R66" i="17" s="1"/>
  <c r="S66" i="17" s="1"/>
  <c r="Q54" i="17"/>
  <c r="R54" i="17" s="1"/>
  <c r="S54" i="17" s="1"/>
  <c r="Q42" i="17"/>
  <c r="R42" i="17" s="1"/>
  <c r="S42" i="17" s="1"/>
  <c r="Q30" i="17"/>
  <c r="R30" i="17" s="1"/>
  <c r="S30" i="17" s="1"/>
  <c r="Q18" i="17"/>
  <c r="R18" i="17" s="1"/>
  <c r="S18" i="17" s="1"/>
  <c r="Q6" i="17"/>
  <c r="R6" i="17" s="1"/>
  <c r="S6" i="17" s="1"/>
  <c r="S1936" i="17"/>
  <c r="S1864" i="17"/>
  <c r="S1792" i="17"/>
  <c r="S1680" i="17"/>
  <c r="S1526" i="17"/>
  <c r="S1355" i="17"/>
  <c r="S1142" i="17"/>
  <c r="Q1823" i="17"/>
  <c r="R1823" i="17" s="1"/>
  <c r="S1823" i="17" s="1"/>
  <c r="Q1989" i="17"/>
  <c r="R1989" i="17" s="1"/>
  <c r="S1989" i="17" s="1"/>
  <c r="Q1893" i="17"/>
  <c r="R1893" i="17" s="1"/>
  <c r="S1893" i="17"/>
  <c r="Q1785" i="17"/>
  <c r="R1785" i="17" s="1"/>
  <c r="S1785" i="17" s="1"/>
  <c r="Q1701" i="17"/>
  <c r="R1701" i="17" s="1"/>
  <c r="S1701" i="17" s="1"/>
  <c r="Q1605" i="17"/>
  <c r="R1605" i="17" s="1"/>
  <c r="S1605" i="17" s="1"/>
  <c r="Q1509" i="17"/>
  <c r="R1509" i="17" s="1"/>
  <c r="S1509" i="17" s="1"/>
  <c r="Q1401" i="17"/>
  <c r="R1401" i="17" s="1"/>
  <c r="S1401" i="17" s="1"/>
  <c r="Q1293" i="17"/>
  <c r="R1293" i="17" s="1"/>
  <c r="S1293" i="17"/>
  <c r="Q1209" i="17"/>
  <c r="R1209" i="17" s="1"/>
  <c r="S1209" i="17" s="1"/>
  <c r="Q1113" i="17"/>
  <c r="R1113" i="17" s="1"/>
  <c r="S1113" i="17" s="1"/>
  <c r="Q921" i="17"/>
  <c r="R921" i="17" s="1"/>
  <c r="S921" i="17" s="1"/>
  <c r="Q861" i="17"/>
  <c r="R861" i="17" s="1"/>
  <c r="S861" i="17" s="1"/>
  <c r="S1559" i="17"/>
  <c r="Q1769" i="17"/>
  <c r="R1769" i="17" s="1"/>
  <c r="S1769" i="17" s="1"/>
  <c r="Q1757" i="17"/>
  <c r="R1757" i="17" s="1"/>
  <c r="S1757" i="17" s="1"/>
  <c r="Q1745" i="17"/>
  <c r="R1745" i="17" s="1"/>
  <c r="S1745" i="17" s="1"/>
  <c r="Q1733" i="17"/>
  <c r="R1733" i="17" s="1"/>
  <c r="S1733" i="17"/>
  <c r="Q1721" i="17"/>
  <c r="R1721" i="17" s="1"/>
  <c r="S1721" i="17" s="1"/>
  <c r="Q1709" i="17"/>
  <c r="R1709" i="17" s="1"/>
  <c r="S1709" i="17" s="1"/>
  <c r="Q1697" i="17"/>
  <c r="R1697" i="17" s="1"/>
  <c r="S1697" i="17" s="1"/>
  <c r="Q1685" i="17"/>
  <c r="R1685" i="17" s="1"/>
  <c r="S1685" i="17" s="1"/>
  <c r="Q1673" i="17"/>
  <c r="R1673" i="17" s="1"/>
  <c r="S1673" i="17" s="1"/>
  <c r="Q1661" i="17"/>
  <c r="R1661" i="17" s="1"/>
  <c r="S1661" i="17"/>
  <c r="Q1649" i="17"/>
  <c r="R1649" i="17" s="1"/>
  <c r="S1649" i="17" s="1"/>
  <c r="Q1637" i="17"/>
  <c r="R1637" i="17" s="1"/>
  <c r="S1637" i="17"/>
  <c r="Q1625" i="17"/>
  <c r="R1625" i="17" s="1"/>
  <c r="S1625" i="17"/>
  <c r="Q1613" i="17"/>
  <c r="R1613" i="17" s="1"/>
  <c r="S1613" i="17" s="1"/>
  <c r="Q1601" i="17"/>
  <c r="R1601" i="17" s="1"/>
  <c r="S1601" i="17" s="1"/>
  <c r="Q1589" i="17"/>
  <c r="R1589" i="17" s="1"/>
  <c r="S1589" i="17" s="1"/>
  <c r="Q1577" i="17"/>
  <c r="R1577" i="17" s="1"/>
  <c r="S1577" i="17"/>
  <c r="Q1565" i="17"/>
  <c r="R1565" i="17" s="1"/>
  <c r="S1565" i="17" s="1"/>
  <c r="Q1553" i="17"/>
  <c r="R1553" i="17" s="1"/>
  <c r="S1553" i="17"/>
  <c r="Q1541" i="17"/>
  <c r="R1541" i="17" s="1"/>
  <c r="S1541" i="17" s="1"/>
  <c r="Q1529" i="17"/>
  <c r="R1529" i="17" s="1"/>
  <c r="S1529" i="17" s="1"/>
  <c r="Q1517" i="17"/>
  <c r="R1517" i="17" s="1"/>
  <c r="S1517" i="17" s="1"/>
  <c r="Q1505" i="17"/>
  <c r="R1505" i="17" s="1"/>
  <c r="S1505" i="17" s="1"/>
  <c r="Q1493" i="17"/>
  <c r="R1493" i="17" s="1"/>
  <c r="S1493" i="17" s="1"/>
  <c r="Q1481" i="17"/>
  <c r="R1481" i="17" s="1"/>
  <c r="S1481" i="17"/>
  <c r="Q1469" i="17"/>
  <c r="R1469" i="17" s="1"/>
  <c r="S1469" i="17" s="1"/>
  <c r="Q1457" i="17"/>
  <c r="R1457" i="17" s="1"/>
  <c r="S1457" i="17" s="1"/>
  <c r="Q1445" i="17"/>
  <c r="R1445" i="17" s="1"/>
  <c r="S1445" i="17" s="1"/>
  <c r="Q1433" i="17"/>
  <c r="R1433" i="17" s="1"/>
  <c r="S1433" i="17" s="1"/>
  <c r="Q1421" i="17"/>
  <c r="R1421" i="17" s="1"/>
  <c r="S1421" i="17"/>
  <c r="Q1409" i="17"/>
  <c r="R1409" i="17" s="1"/>
  <c r="S1409" i="17" s="1"/>
  <c r="Q1397" i="17"/>
  <c r="R1397" i="17" s="1"/>
  <c r="S1397" i="17" s="1"/>
  <c r="Q1385" i="17"/>
  <c r="R1385" i="17" s="1"/>
  <c r="S1385" i="17" s="1"/>
  <c r="Q1373" i="17"/>
  <c r="R1373" i="17" s="1"/>
  <c r="S1373" i="17" s="1"/>
  <c r="Q1361" i="17"/>
  <c r="R1361" i="17" s="1"/>
  <c r="S1361" i="17"/>
  <c r="Q1349" i="17"/>
  <c r="R1349" i="17" s="1"/>
  <c r="S1349" i="17" s="1"/>
  <c r="Q1337" i="17"/>
  <c r="R1337" i="17" s="1"/>
  <c r="S1337" i="17" s="1"/>
  <c r="Q1325" i="17"/>
  <c r="R1325" i="17" s="1"/>
  <c r="S1325" i="17" s="1"/>
  <c r="Q1313" i="17"/>
  <c r="R1313" i="17" s="1"/>
  <c r="S1313" i="17" s="1"/>
  <c r="Q1301" i="17"/>
  <c r="R1301" i="17" s="1"/>
  <c r="S1301" i="17" s="1"/>
  <c r="Q1289" i="17"/>
  <c r="R1289" i="17" s="1"/>
  <c r="S1289" i="17"/>
  <c r="Q1277" i="17"/>
  <c r="R1277" i="17" s="1"/>
  <c r="S1277" i="17"/>
  <c r="Q1265" i="17"/>
  <c r="R1265" i="17" s="1"/>
  <c r="S1265" i="17" s="1"/>
  <c r="Q1253" i="17"/>
  <c r="R1253" i="17" s="1"/>
  <c r="S1253" i="17" s="1"/>
  <c r="Q1241" i="17"/>
  <c r="R1241" i="17" s="1"/>
  <c r="S1241" i="17" s="1"/>
  <c r="Q1229" i="17"/>
  <c r="R1229" i="17" s="1"/>
  <c r="S1229" i="17"/>
  <c r="Q1217" i="17"/>
  <c r="R1217" i="17" s="1"/>
  <c r="S1217" i="17" s="1"/>
  <c r="Q1205" i="17"/>
  <c r="R1205" i="17" s="1"/>
  <c r="S1205" i="17"/>
  <c r="Q1193" i="17"/>
  <c r="R1193" i="17" s="1"/>
  <c r="S1193" i="17" s="1"/>
  <c r="Q1181" i="17"/>
  <c r="R1181" i="17" s="1"/>
  <c r="S1181" i="17" s="1"/>
  <c r="Q1169" i="17"/>
  <c r="R1169" i="17" s="1"/>
  <c r="S1169" i="17" s="1"/>
  <c r="Q1157" i="17"/>
  <c r="R1157" i="17" s="1"/>
  <c r="S1157" i="17"/>
  <c r="Q1145" i="17"/>
  <c r="R1145" i="17" s="1"/>
  <c r="S1145" i="17"/>
  <c r="Q1133" i="17"/>
  <c r="R1133" i="17" s="1"/>
  <c r="S1133" i="17" s="1"/>
  <c r="Q1121" i="17"/>
  <c r="R1121" i="17" s="1"/>
  <c r="S1121" i="17"/>
  <c r="Q1109" i="17"/>
  <c r="R1109" i="17" s="1"/>
  <c r="S1109" i="17" s="1"/>
  <c r="Q1097" i="17"/>
  <c r="R1097" i="17" s="1"/>
  <c r="S1097" i="17" s="1"/>
  <c r="Q1085" i="17"/>
  <c r="R1085" i="17" s="1"/>
  <c r="S1085" i="17" s="1"/>
  <c r="Q221" i="17"/>
  <c r="R221" i="17" s="1"/>
  <c r="S221" i="17" s="1"/>
  <c r="S1997" i="17"/>
  <c r="S1925" i="17"/>
  <c r="S1853" i="17"/>
  <c r="S1781" i="17"/>
  <c r="S1660" i="17"/>
  <c r="S1500" i="17"/>
  <c r="S1324" i="17"/>
  <c r="S1108" i="17"/>
  <c r="Q1883" i="17"/>
  <c r="R1883" i="17" s="1"/>
  <c r="S1883" i="17" s="1"/>
  <c r="Q1905" i="17"/>
  <c r="R1905" i="17" s="1"/>
  <c r="S1905" i="17"/>
  <c r="Q1821" i="17"/>
  <c r="R1821" i="17" s="1"/>
  <c r="S1821" i="17" s="1"/>
  <c r="Q1713" i="17"/>
  <c r="R1713" i="17" s="1"/>
  <c r="S1713" i="17" s="1"/>
  <c r="Q1617" i="17"/>
  <c r="R1617" i="17" s="1"/>
  <c r="S1617" i="17" s="1"/>
  <c r="Q1521" i="17"/>
  <c r="R1521" i="17" s="1"/>
  <c r="S1521" i="17" s="1"/>
  <c r="Q1413" i="17"/>
  <c r="R1413" i="17" s="1"/>
  <c r="S1413" i="17" s="1"/>
  <c r="Q1317" i="17"/>
  <c r="R1317" i="17" s="1"/>
  <c r="S1317" i="17" s="1"/>
  <c r="Q1089" i="17"/>
  <c r="R1089" i="17" s="1"/>
  <c r="S1089" i="17" s="1"/>
  <c r="Q1768" i="17"/>
  <c r="R1768" i="17" s="1"/>
  <c r="S1768" i="17" s="1"/>
  <c r="Q1756" i="17"/>
  <c r="R1756" i="17" s="1"/>
  <c r="S1756" i="17" s="1"/>
  <c r="Q1744" i="17"/>
  <c r="R1744" i="17" s="1"/>
  <c r="S1744" i="17" s="1"/>
  <c r="Q1732" i="17"/>
  <c r="R1732" i="17" s="1"/>
  <c r="S1732" i="17" s="1"/>
  <c r="Q1708" i="17"/>
  <c r="R1708" i="17" s="1"/>
  <c r="S1708" i="17" s="1"/>
  <c r="Q1696" i="17"/>
  <c r="R1696" i="17" s="1"/>
  <c r="S1696" i="17" s="1"/>
  <c r="Q1684" i="17"/>
  <c r="R1684" i="17" s="1"/>
  <c r="S1684" i="17" s="1"/>
  <c r="Q1672" i="17"/>
  <c r="R1672" i="17" s="1"/>
  <c r="S1672" i="17" s="1"/>
  <c r="Q1648" i="17"/>
  <c r="R1648" i="17" s="1"/>
  <c r="S1648" i="17" s="1"/>
  <c r="Q1636" i="17"/>
  <c r="R1636" i="17" s="1"/>
  <c r="S1636" i="17" s="1"/>
  <c r="Q1624" i="17"/>
  <c r="R1624" i="17" s="1"/>
  <c r="S1624" i="17"/>
  <c r="Q1600" i="17"/>
  <c r="R1600" i="17" s="1"/>
  <c r="S1600" i="17"/>
  <c r="Q1588" i="17"/>
  <c r="R1588" i="17" s="1"/>
  <c r="S1588" i="17" s="1"/>
  <c r="Q1576" i="17"/>
  <c r="R1576" i="17" s="1"/>
  <c r="S1576" i="17" s="1"/>
  <c r="Q1564" i="17"/>
  <c r="R1564" i="17" s="1"/>
  <c r="S1564" i="17" s="1"/>
  <c r="Q1552" i="17"/>
  <c r="R1552" i="17" s="1"/>
  <c r="S1552" i="17" s="1"/>
  <c r="Q1540" i="17"/>
  <c r="R1540" i="17" s="1"/>
  <c r="S1540" i="17" s="1"/>
  <c r="Q1516" i="17"/>
  <c r="R1516" i="17" s="1"/>
  <c r="S1516" i="17" s="1"/>
  <c r="Q1504" i="17"/>
  <c r="R1504" i="17" s="1"/>
  <c r="S1504" i="17" s="1"/>
  <c r="Q1492" i="17"/>
  <c r="R1492" i="17" s="1"/>
  <c r="S1492" i="17" s="1"/>
  <c r="Q1480" i="17"/>
  <c r="R1480" i="17" s="1"/>
  <c r="S1480" i="17" s="1"/>
  <c r="Q1456" i="17"/>
  <c r="R1456" i="17" s="1"/>
  <c r="S1456" i="17" s="1"/>
  <c r="Q1444" i="17"/>
  <c r="R1444" i="17" s="1"/>
  <c r="S1444" i="17" s="1"/>
  <c r="Q1432" i="17"/>
  <c r="R1432" i="17" s="1"/>
  <c r="S1432" i="17" s="1"/>
  <c r="Q1420" i="17"/>
  <c r="R1420" i="17" s="1"/>
  <c r="S1420" i="17"/>
  <c r="Q1408" i="17"/>
  <c r="R1408" i="17" s="1"/>
  <c r="S1408" i="17" s="1"/>
  <c r="Q1396" i="17"/>
  <c r="R1396" i="17" s="1"/>
  <c r="S1396" i="17" s="1"/>
  <c r="Q1372" i="17"/>
  <c r="R1372" i="17" s="1"/>
  <c r="S1372" i="17" s="1"/>
  <c r="Q1360" i="17"/>
  <c r="R1360" i="17" s="1"/>
  <c r="S1360" i="17" s="1"/>
  <c r="Q1348" i="17"/>
  <c r="R1348" i="17" s="1"/>
  <c r="S1348" i="17" s="1"/>
  <c r="Q1336" i="17"/>
  <c r="R1336" i="17" s="1"/>
  <c r="S1336" i="17" s="1"/>
  <c r="Q1312" i="17"/>
  <c r="R1312" i="17" s="1"/>
  <c r="S1312" i="17" s="1"/>
  <c r="Q1300" i="17"/>
  <c r="R1300" i="17" s="1"/>
  <c r="S1300" i="17" s="1"/>
  <c r="Q1276" i="17"/>
  <c r="R1276" i="17" s="1"/>
  <c r="S1276" i="17" s="1"/>
  <c r="Q1264" i="17"/>
  <c r="R1264" i="17" s="1"/>
  <c r="S1264" i="17" s="1"/>
  <c r="Q1240" i="17"/>
  <c r="R1240" i="17" s="1"/>
  <c r="S1240" i="17" s="1"/>
  <c r="Q1228" i="17"/>
  <c r="R1228" i="17" s="1"/>
  <c r="S1228" i="17" s="1"/>
  <c r="Q1204" i="17"/>
  <c r="R1204" i="17" s="1"/>
  <c r="S1204" i="17" s="1"/>
  <c r="Q1192" i="17"/>
  <c r="R1192" i="17" s="1"/>
  <c r="S1192" i="17" s="1"/>
  <c r="Q1168" i="17"/>
  <c r="R1168" i="17" s="1"/>
  <c r="S1168" i="17" s="1"/>
  <c r="Q1156" i="17"/>
  <c r="R1156" i="17" s="1"/>
  <c r="S1156" i="17"/>
  <c r="Q1132" i="17"/>
  <c r="R1132" i="17" s="1"/>
  <c r="S1132" i="17" s="1"/>
  <c r="Q1120" i="17"/>
  <c r="R1120" i="17" s="1"/>
  <c r="S1120" i="17" s="1"/>
  <c r="Q1096" i="17"/>
  <c r="R1096" i="17" s="1"/>
  <c r="S1096" i="17" s="1"/>
  <c r="Q1084" i="17"/>
  <c r="R1084" i="17" s="1"/>
  <c r="S1084" i="17" s="1"/>
  <c r="Q1060" i="17"/>
  <c r="R1060" i="17" s="1"/>
  <c r="S1060" i="17" s="1"/>
  <c r="Q1048" i="17"/>
  <c r="R1048" i="17" s="1"/>
  <c r="S1048" i="17" s="1"/>
  <c r="S1996" i="17"/>
  <c r="S1924" i="17"/>
  <c r="S1852" i="17"/>
  <c r="S1780" i="17"/>
  <c r="S1658" i="17"/>
  <c r="S1499" i="17"/>
  <c r="S1322" i="17"/>
  <c r="S1106" i="17"/>
  <c r="Q1871" i="17"/>
  <c r="R1871" i="17" s="1"/>
  <c r="S1871" i="17" s="1"/>
  <c r="Q1917" i="17"/>
  <c r="R1917" i="17" s="1"/>
  <c r="S1917" i="17" s="1"/>
  <c r="Q1809" i="17"/>
  <c r="R1809" i="17" s="1"/>
  <c r="S1809" i="17" s="1"/>
  <c r="Q1725" i="17"/>
  <c r="R1725" i="17" s="1"/>
  <c r="S1725" i="17"/>
  <c r="Q1641" i="17"/>
  <c r="R1641" i="17" s="1"/>
  <c r="S1641" i="17" s="1"/>
  <c r="Q1545" i="17"/>
  <c r="R1545" i="17" s="1"/>
  <c r="S1545" i="17" s="1"/>
  <c r="Q1461" i="17"/>
  <c r="R1461" i="17" s="1"/>
  <c r="S1461" i="17" s="1"/>
  <c r="Q1377" i="17"/>
  <c r="R1377" i="17" s="1"/>
  <c r="S1377" i="17" s="1"/>
  <c r="Q1305" i="17"/>
  <c r="R1305" i="17" s="1"/>
  <c r="S1305" i="17" s="1"/>
  <c r="Q1221" i="17"/>
  <c r="R1221" i="17" s="1"/>
  <c r="S1221" i="17" s="1"/>
  <c r="Q1137" i="17"/>
  <c r="R1137" i="17" s="1"/>
  <c r="S1137" i="17" s="1"/>
  <c r="Q1065" i="17"/>
  <c r="R1065" i="17" s="1"/>
  <c r="S1065" i="17" s="1"/>
  <c r="Q993" i="17"/>
  <c r="R993" i="17" s="1"/>
  <c r="S993" i="17" s="1"/>
  <c r="Q957" i="17"/>
  <c r="R957" i="17" s="1"/>
  <c r="S957" i="17" s="1"/>
  <c r="Q885" i="17"/>
  <c r="R885" i="17" s="1"/>
  <c r="S885" i="17" s="1"/>
  <c r="Q1995" i="17"/>
  <c r="R1995" i="17" s="1"/>
  <c r="S1995" i="17" s="1"/>
  <c r="Q1983" i="17"/>
  <c r="R1983" i="17" s="1"/>
  <c r="S1983" i="17" s="1"/>
  <c r="Q1971" i="17"/>
  <c r="R1971" i="17" s="1"/>
  <c r="S1971" i="17" s="1"/>
  <c r="Q1959" i="17"/>
  <c r="R1959" i="17" s="1"/>
  <c r="S1959" i="17" s="1"/>
  <c r="Q1947" i="17"/>
  <c r="R1947" i="17" s="1"/>
  <c r="S1947" i="17" s="1"/>
  <c r="Q1935" i="17"/>
  <c r="R1935" i="17" s="1"/>
  <c r="S1935" i="17" s="1"/>
  <c r="Q1923" i="17"/>
  <c r="R1923" i="17" s="1"/>
  <c r="S1923" i="17" s="1"/>
  <c r="Q1911" i="17"/>
  <c r="R1911" i="17" s="1"/>
  <c r="S1911" i="17" s="1"/>
  <c r="Q1899" i="17"/>
  <c r="R1899" i="17" s="1"/>
  <c r="S1899" i="17" s="1"/>
  <c r="Q1887" i="17"/>
  <c r="R1887" i="17" s="1"/>
  <c r="S1887" i="17" s="1"/>
  <c r="Q1875" i="17"/>
  <c r="R1875" i="17" s="1"/>
  <c r="S1875" i="17" s="1"/>
  <c r="Q1863" i="17"/>
  <c r="R1863" i="17" s="1"/>
  <c r="S1863" i="17" s="1"/>
  <c r="Q1851" i="17"/>
  <c r="R1851" i="17" s="1"/>
  <c r="S1851" i="17"/>
  <c r="Q1839" i="17"/>
  <c r="R1839" i="17" s="1"/>
  <c r="S1839" i="17" s="1"/>
  <c r="Q1827" i="17"/>
  <c r="R1827" i="17" s="1"/>
  <c r="S1827" i="17" s="1"/>
  <c r="Q1815" i="17"/>
  <c r="R1815" i="17" s="1"/>
  <c r="S1815" i="17" s="1"/>
  <c r="Q1803" i="17"/>
  <c r="R1803" i="17" s="1"/>
  <c r="S1803" i="17" s="1"/>
  <c r="Q1791" i="17"/>
  <c r="R1791" i="17" s="1"/>
  <c r="S1791" i="17"/>
  <c r="Q1779" i="17"/>
  <c r="R1779" i="17" s="1"/>
  <c r="S1779" i="17"/>
  <c r="Q1767" i="17"/>
  <c r="R1767" i="17" s="1"/>
  <c r="S1767" i="17" s="1"/>
  <c r="Q1755" i="17"/>
  <c r="R1755" i="17" s="1"/>
  <c r="S1755" i="17" s="1"/>
  <c r="Q1743" i="17"/>
  <c r="R1743" i="17" s="1"/>
  <c r="S1743" i="17" s="1"/>
  <c r="Q1731" i="17"/>
  <c r="R1731" i="17" s="1"/>
  <c r="S1731" i="17" s="1"/>
  <c r="Q1719" i="17"/>
  <c r="R1719" i="17" s="1"/>
  <c r="S1719" i="17" s="1"/>
  <c r="Q1707" i="17"/>
  <c r="R1707" i="17" s="1"/>
  <c r="S1707" i="17" s="1"/>
  <c r="Q1695" i="17"/>
  <c r="R1695" i="17" s="1"/>
  <c r="S1695" i="17" s="1"/>
  <c r="Q1683" i="17"/>
  <c r="R1683" i="17" s="1"/>
  <c r="S1683" i="17" s="1"/>
  <c r="Q1671" i="17"/>
  <c r="R1671" i="17" s="1"/>
  <c r="S1671" i="17" s="1"/>
  <c r="Q1659" i="17"/>
  <c r="R1659" i="17" s="1"/>
  <c r="S1659" i="17" s="1"/>
  <c r="Q1647" i="17"/>
  <c r="R1647" i="17" s="1"/>
  <c r="S1647" i="17"/>
  <c r="Q1635" i="17"/>
  <c r="R1635" i="17" s="1"/>
  <c r="S1635" i="17" s="1"/>
  <c r="Q1623" i="17"/>
  <c r="R1623" i="17" s="1"/>
  <c r="S1623" i="17" s="1"/>
  <c r="Q1611" i="17"/>
  <c r="R1611" i="17" s="1"/>
  <c r="S1611" i="17" s="1"/>
  <c r="Q1599" i="17"/>
  <c r="R1599" i="17" s="1"/>
  <c r="S1599" i="17" s="1"/>
  <c r="Q1587" i="17"/>
  <c r="R1587" i="17" s="1"/>
  <c r="S1587" i="17" s="1"/>
  <c r="Q1575" i="17"/>
  <c r="R1575" i="17" s="1"/>
  <c r="S1575" i="17" s="1"/>
  <c r="Q1563" i="17"/>
  <c r="R1563" i="17" s="1"/>
  <c r="S1563" i="17"/>
  <c r="Q1551" i="17"/>
  <c r="R1551" i="17" s="1"/>
  <c r="S1551" i="17" s="1"/>
  <c r="Q1539" i="17"/>
  <c r="R1539" i="17" s="1"/>
  <c r="S1539" i="17" s="1"/>
  <c r="Q1527" i="17"/>
  <c r="R1527" i="17" s="1"/>
  <c r="S1527" i="17" s="1"/>
  <c r="Q1515" i="17"/>
  <c r="R1515" i="17" s="1"/>
  <c r="S1515" i="17" s="1"/>
  <c r="Q1503" i="17"/>
  <c r="R1503" i="17" s="1"/>
  <c r="S1503" i="17" s="1"/>
  <c r="Q1491" i="17"/>
  <c r="R1491" i="17" s="1"/>
  <c r="S1491" i="17" s="1"/>
  <c r="Q1479" i="17"/>
  <c r="R1479" i="17" s="1"/>
  <c r="S1479" i="17" s="1"/>
  <c r="Q1467" i="17"/>
  <c r="R1467" i="17" s="1"/>
  <c r="S1467" i="17" s="1"/>
  <c r="Q1455" i="17"/>
  <c r="R1455" i="17" s="1"/>
  <c r="S1455" i="17" s="1"/>
  <c r="Q1443" i="17"/>
  <c r="R1443" i="17" s="1"/>
  <c r="S1443" i="17" s="1"/>
  <c r="Q1431" i="17"/>
  <c r="R1431" i="17" s="1"/>
  <c r="S1431" i="17" s="1"/>
  <c r="Q1419" i="17"/>
  <c r="R1419" i="17" s="1"/>
  <c r="S1419" i="17" s="1"/>
  <c r="Q1407" i="17"/>
  <c r="R1407" i="17" s="1"/>
  <c r="S1407" i="17" s="1"/>
  <c r="Q1395" i="17"/>
  <c r="R1395" i="17" s="1"/>
  <c r="S1395" i="17" s="1"/>
  <c r="Q1383" i="17"/>
  <c r="R1383" i="17" s="1"/>
  <c r="S1383" i="17" s="1"/>
  <c r="Q1371" i="17"/>
  <c r="R1371" i="17" s="1"/>
  <c r="S1371" i="17" s="1"/>
  <c r="Q1359" i="17"/>
  <c r="R1359" i="17" s="1"/>
  <c r="S1359" i="17" s="1"/>
  <c r="Q1347" i="17"/>
  <c r="R1347" i="17" s="1"/>
  <c r="S1347" i="17" s="1"/>
  <c r="Q1335" i="17"/>
  <c r="R1335" i="17" s="1"/>
  <c r="S1335" i="17" s="1"/>
  <c r="Q1323" i="17"/>
  <c r="R1323" i="17" s="1"/>
  <c r="S1323" i="17" s="1"/>
  <c r="Q1311" i="17"/>
  <c r="R1311" i="17" s="1"/>
  <c r="S1311" i="17" s="1"/>
  <c r="Q1299" i="17"/>
  <c r="R1299" i="17" s="1"/>
  <c r="S1299" i="17" s="1"/>
  <c r="Q1287" i="17"/>
  <c r="R1287" i="17" s="1"/>
  <c r="S1287" i="17" s="1"/>
  <c r="Q1275" i="17"/>
  <c r="R1275" i="17" s="1"/>
  <c r="S1275" i="17" s="1"/>
  <c r="Q1263" i="17"/>
  <c r="R1263" i="17" s="1"/>
  <c r="S1263" i="17" s="1"/>
  <c r="Q1251" i="17"/>
  <c r="R1251" i="17" s="1"/>
  <c r="S1251" i="17" s="1"/>
  <c r="Q1239" i="17"/>
  <c r="R1239" i="17" s="1"/>
  <c r="S1239" i="17" s="1"/>
  <c r="Q1227" i="17"/>
  <c r="R1227" i="17" s="1"/>
  <c r="S1227" i="17" s="1"/>
  <c r="Q1215" i="17"/>
  <c r="R1215" i="17" s="1"/>
  <c r="S1215" i="17" s="1"/>
  <c r="Q1203" i="17"/>
  <c r="R1203" i="17" s="1"/>
  <c r="S1203" i="17" s="1"/>
  <c r="Q1191" i="17"/>
  <c r="R1191" i="17" s="1"/>
  <c r="S1191" i="17" s="1"/>
  <c r="Q1179" i="17"/>
  <c r="R1179" i="17" s="1"/>
  <c r="S1179" i="17" s="1"/>
  <c r="Q1167" i="17"/>
  <c r="R1167" i="17" s="1"/>
  <c r="S1167" i="17" s="1"/>
  <c r="Q1155" i="17"/>
  <c r="R1155" i="17" s="1"/>
  <c r="S1155" i="17"/>
  <c r="Q1143" i="17"/>
  <c r="R1143" i="17" s="1"/>
  <c r="S1143" i="17" s="1"/>
  <c r="Q1131" i="17"/>
  <c r="R1131" i="17" s="1"/>
  <c r="S1131" i="17" s="1"/>
  <c r="Q1119" i="17"/>
  <c r="R1119" i="17" s="1"/>
  <c r="S1119" i="17" s="1"/>
  <c r="Q1107" i="17"/>
  <c r="R1107" i="17" s="1"/>
  <c r="S1107" i="17" s="1"/>
  <c r="Q1095" i="17"/>
  <c r="R1095" i="17" s="1"/>
  <c r="S1095" i="17" s="1"/>
  <c r="Q1083" i="17"/>
  <c r="R1083" i="17" s="1"/>
  <c r="S1083" i="17" s="1"/>
  <c r="Q1071" i="17"/>
  <c r="R1071" i="17" s="1"/>
  <c r="S1071" i="17" s="1"/>
  <c r="Q1059" i="17"/>
  <c r="R1059" i="17" s="1"/>
  <c r="S1059" i="17" s="1"/>
  <c r="Q1047" i="17"/>
  <c r="R1047" i="17" s="1"/>
  <c r="S1047" i="17" s="1"/>
  <c r="Q1035" i="17"/>
  <c r="R1035" i="17" s="1"/>
  <c r="S1035" i="17" s="1"/>
  <c r="Q1023" i="17"/>
  <c r="R1023" i="17" s="1"/>
  <c r="S1023" i="17" s="1"/>
  <c r="Q1011" i="17"/>
  <c r="R1011" i="17" s="1"/>
  <c r="S1011" i="17" s="1"/>
  <c r="Q999" i="17"/>
  <c r="R999" i="17" s="1"/>
  <c r="S999" i="17" s="1"/>
  <c r="Q987" i="17"/>
  <c r="R987" i="17" s="1"/>
  <c r="S987" i="17" s="1"/>
  <c r="Q975" i="17"/>
  <c r="R975" i="17" s="1"/>
  <c r="S975" i="17" s="1"/>
  <c r="Q963" i="17"/>
  <c r="R963" i="17" s="1"/>
  <c r="S963" i="17" s="1"/>
  <c r="Q951" i="17"/>
  <c r="R951" i="17" s="1"/>
  <c r="S951" i="17" s="1"/>
  <c r="Q939" i="17"/>
  <c r="R939" i="17" s="1"/>
  <c r="S939" i="17" s="1"/>
  <c r="Q927" i="17"/>
  <c r="R927" i="17" s="1"/>
  <c r="S927" i="17" s="1"/>
  <c r="Q915" i="17"/>
  <c r="R915" i="17" s="1"/>
  <c r="S915" i="17" s="1"/>
  <c r="Q903" i="17"/>
  <c r="R903" i="17" s="1"/>
  <c r="S903" i="17" s="1"/>
  <c r="Q891" i="17"/>
  <c r="R891" i="17" s="1"/>
  <c r="S891" i="17" s="1"/>
  <c r="Q879" i="17"/>
  <c r="R879" i="17" s="1"/>
  <c r="S879" i="17" s="1"/>
  <c r="Q867" i="17"/>
  <c r="R867" i="17" s="1"/>
  <c r="S867" i="17" s="1"/>
  <c r="Q855" i="17"/>
  <c r="R855" i="17" s="1"/>
  <c r="S855" i="17" s="1"/>
  <c r="Q843" i="17"/>
  <c r="R843" i="17" s="1"/>
  <c r="S843" i="17" s="1"/>
  <c r="Q831" i="17"/>
  <c r="R831" i="17" s="1"/>
  <c r="S831" i="17" s="1"/>
  <c r="Q819" i="17"/>
  <c r="R819" i="17" s="1"/>
  <c r="S819" i="17" s="1"/>
  <c r="Q807" i="17"/>
  <c r="R807" i="17" s="1"/>
  <c r="S807" i="17" s="1"/>
  <c r="Q795" i="17"/>
  <c r="R795" i="17" s="1"/>
  <c r="S795" i="17" s="1"/>
  <c r="Q783" i="17"/>
  <c r="R783" i="17" s="1"/>
  <c r="S783" i="17" s="1"/>
  <c r="Q771" i="17"/>
  <c r="R771" i="17" s="1"/>
  <c r="S771" i="17" s="1"/>
  <c r="Q759" i="17"/>
  <c r="R759" i="17" s="1"/>
  <c r="S759" i="17" s="1"/>
  <c r="Q747" i="17"/>
  <c r="R747" i="17" s="1"/>
  <c r="S747" i="17" s="1"/>
  <c r="Q735" i="17"/>
  <c r="R735" i="17" s="1"/>
  <c r="S735" i="17" s="1"/>
  <c r="Q723" i="17"/>
  <c r="R723" i="17" s="1"/>
  <c r="S723" i="17" s="1"/>
  <c r="Q711" i="17"/>
  <c r="R711" i="17" s="1"/>
  <c r="S711" i="17" s="1"/>
  <c r="Q699" i="17"/>
  <c r="R699" i="17" s="1"/>
  <c r="S699" i="17" s="1"/>
  <c r="Q687" i="17"/>
  <c r="R687" i="17" s="1"/>
  <c r="S687" i="17" s="1"/>
  <c r="Q675" i="17"/>
  <c r="R675" i="17" s="1"/>
  <c r="S675" i="17" s="1"/>
  <c r="Q663" i="17"/>
  <c r="R663" i="17" s="1"/>
  <c r="S663" i="17" s="1"/>
  <c r="Q651" i="17"/>
  <c r="R651" i="17" s="1"/>
  <c r="S651" i="17" s="1"/>
  <c r="Q639" i="17"/>
  <c r="R639" i="17" s="1"/>
  <c r="S639" i="17" s="1"/>
  <c r="Q627" i="17"/>
  <c r="R627" i="17" s="1"/>
  <c r="S627" i="17" s="1"/>
  <c r="Q615" i="17"/>
  <c r="R615" i="17" s="1"/>
  <c r="S615" i="17" s="1"/>
  <c r="Q603" i="17"/>
  <c r="R603" i="17" s="1"/>
  <c r="S603" i="17" s="1"/>
  <c r="Q591" i="17"/>
  <c r="R591" i="17" s="1"/>
  <c r="S591" i="17" s="1"/>
  <c r="Q579" i="17"/>
  <c r="R579" i="17" s="1"/>
  <c r="S579" i="17"/>
  <c r="Q567" i="17"/>
  <c r="R567" i="17" s="1"/>
  <c r="S567" i="17" s="1"/>
  <c r="Q555" i="17"/>
  <c r="R555" i="17" s="1"/>
  <c r="S555" i="17" s="1"/>
  <c r="S1985" i="17"/>
  <c r="S1913" i="17"/>
  <c r="S1841" i="17"/>
  <c r="S1764" i="17"/>
  <c r="S1642" i="17"/>
  <c r="S1474" i="17"/>
  <c r="S1288" i="17"/>
  <c r="S1072" i="17"/>
  <c r="Q1799" i="17"/>
  <c r="R1799" i="17" s="1"/>
  <c r="S1799" i="17" s="1"/>
  <c r="Q1965" i="17"/>
  <c r="R1965" i="17" s="1"/>
  <c r="S1965" i="17" s="1"/>
  <c r="Q1833" i="17"/>
  <c r="R1833" i="17" s="1"/>
  <c r="S1833" i="17" s="1"/>
  <c r="Q1761" i="17"/>
  <c r="R1761" i="17" s="1"/>
  <c r="S1761" i="17" s="1"/>
  <c r="Q1665" i="17"/>
  <c r="R1665" i="17" s="1"/>
  <c r="S1665" i="17" s="1"/>
  <c r="Q1569" i="17"/>
  <c r="R1569" i="17" s="1"/>
  <c r="S1569" i="17" s="1"/>
  <c r="Q1473" i="17"/>
  <c r="R1473" i="17" s="1"/>
  <c r="S1473" i="17" s="1"/>
  <c r="Q1365" i="17"/>
  <c r="R1365" i="17" s="1"/>
  <c r="S1365" i="17" s="1"/>
  <c r="Q1269" i="17"/>
  <c r="R1269" i="17" s="1"/>
  <c r="S1269" i="17" s="1"/>
  <c r="Q1185" i="17"/>
  <c r="R1185" i="17" s="1"/>
  <c r="S1185" i="17" s="1"/>
  <c r="Q1101" i="17"/>
  <c r="R1101" i="17" s="1"/>
  <c r="S1101" i="17" s="1"/>
  <c r="Q1017" i="17"/>
  <c r="R1017" i="17" s="1"/>
  <c r="S1017" i="17" s="1"/>
  <c r="Q909" i="17"/>
  <c r="R909" i="17" s="1"/>
  <c r="S909" i="17" s="1"/>
  <c r="Q1994" i="17"/>
  <c r="R1994" i="17" s="1"/>
  <c r="S1994" i="17" s="1"/>
  <c r="Q1982" i="17"/>
  <c r="R1982" i="17" s="1"/>
  <c r="S1982" i="17" s="1"/>
  <c r="Q1970" i="17"/>
  <c r="R1970" i="17" s="1"/>
  <c r="S1970" i="17" s="1"/>
  <c r="Q1958" i="17"/>
  <c r="R1958" i="17" s="1"/>
  <c r="S1958" i="17" s="1"/>
  <c r="Q1946" i="17"/>
  <c r="R1946" i="17" s="1"/>
  <c r="S1946" i="17" s="1"/>
  <c r="Q1934" i="17"/>
  <c r="R1934" i="17" s="1"/>
  <c r="S1934" i="17" s="1"/>
  <c r="Q1922" i="17"/>
  <c r="R1922" i="17" s="1"/>
  <c r="S1922" i="17" s="1"/>
  <c r="Q1910" i="17"/>
  <c r="R1910" i="17" s="1"/>
  <c r="S1910" i="17" s="1"/>
  <c r="Q1898" i="17"/>
  <c r="R1898" i="17" s="1"/>
  <c r="S1898" i="17" s="1"/>
  <c r="Q1886" i="17"/>
  <c r="R1886" i="17" s="1"/>
  <c r="S1886" i="17" s="1"/>
  <c r="Q1874" i="17"/>
  <c r="R1874" i="17" s="1"/>
  <c r="S1874" i="17"/>
  <c r="Q1862" i="17"/>
  <c r="R1862" i="17" s="1"/>
  <c r="S1862" i="17" s="1"/>
  <c r="Q1850" i="17"/>
  <c r="R1850" i="17" s="1"/>
  <c r="S1850" i="17" s="1"/>
  <c r="Q1838" i="17"/>
  <c r="R1838" i="17" s="1"/>
  <c r="S1838" i="17" s="1"/>
  <c r="Q1826" i="17"/>
  <c r="R1826" i="17" s="1"/>
  <c r="S1826" i="17" s="1"/>
  <c r="Q1814" i="17"/>
  <c r="R1814" i="17" s="1"/>
  <c r="S1814" i="17" s="1"/>
  <c r="Q1802" i="17"/>
  <c r="R1802" i="17" s="1"/>
  <c r="S1802" i="17" s="1"/>
  <c r="Q1790" i="17"/>
  <c r="R1790" i="17" s="1"/>
  <c r="S1790" i="17" s="1"/>
  <c r="Q1778" i="17"/>
  <c r="R1778" i="17" s="1"/>
  <c r="S1778" i="17" s="1"/>
  <c r="Q1766" i="17"/>
  <c r="R1766" i="17" s="1"/>
  <c r="S1766" i="17" s="1"/>
  <c r="Q1754" i="17"/>
  <c r="R1754" i="17" s="1"/>
  <c r="S1754" i="17" s="1"/>
  <c r="Q1730" i="17"/>
  <c r="R1730" i="17" s="1"/>
  <c r="S1730" i="17" s="1"/>
  <c r="Q1718" i="17"/>
  <c r="R1718" i="17" s="1"/>
  <c r="S1718" i="17" s="1"/>
  <c r="Q1706" i="17"/>
  <c r="R1706" i="17" s="1"/>
  <c r="S1706" i="17" s="1"/>
  <c r="Q1694" i="17"/>
  <c r="R1694" i="17" s="1"/>
  <c r="S1694" i="17" s="1"/>
  <c r="Q1682" i="17"/>
  <c r="R1682" i="17" s="1"/>
  <c r="S1682" i="17" s="1"/>
  <c r="Q1670" i="17"/>
  <c r="R1670" i="17" s="1"/>
  <c r="S1670" i="17" s="1"/>
  <c r="Q1646" i="17"/>
  <c r="R1646" i="17" s="1"/>
  <c r="S1646" i="17" s="1"/>
  <c r="Q1634" i="17"/>
  <c r="R1634" i="17" s="1"/>
  <c r="S1634" i="17" s="1"/>
  <c r="Q1622" i="17"/>
  <c r="R1622" i="17" s="1"/>
  <c r="S1622" i="17" s="1"/>
  <c r="Q1610" i="17"/>
  <c r="R1610" i="17" s="1"/>
  <c r="S1610" i="17" s="1"/>
  <c r="Q1598" i="17"/>
  <c r="R1598" i="17" s="1"/>
  <c r="S1598" i="17" s="1"/>
  <c r="Q1574" i="17"/>
  <c r="R1574" i="17" s="1"/>
  <c r="S1574" i="17" s="1"/>
  <c r="Q1562" i="17"/>
  <c r="R1562" i="17" s="1"/>
  <c r="S1562" i="17" s="1"/>
  <c r="Q1550" i="17"/>
  <c r="R1550" i="17" s="1"/>
  <c r="S1550" i="17" s="1"/>
  <c r="Q1538" i="17"/>
  <c r="R1538" i="17" s="1"/>
  <c r="S1538" i="17" s="1"/>
  <c r="Q1514" i="17"/>
  <c r="R1514" i="17" s="1"/>
  <c r="S1514" i="17" s="1"/>
  <c r="Q1502" i="17"/>
  <c r="R1502" i="17" s="1"/>
  <c r="S1502" i="17" s="1"/>
  <c r="Q1490" i="17"/>
  <c r="R1490" i="17" s="1"/>
  <c r="S1490" i="17" s="1"/>
  <c r="Q1478" i="17"/>
  <c r="R1478" i="17" s="1"/>
  <c r="S1478" i="17" s="1"/>
  <c r="Q1466" i="17"/>
  <c r="R1466" i="17" s="1"/>
  <c r="S1466" i="17" s="1"/>
  <c r="Q1454" i="17"/>
  <c r="R1454" i="17" s="1"/>
  <c r="S1454" i="17" s="1"/>
  <c r="Q1430" i="17"/>
  <c r="R1430" i="17" s="1"/>
  <c r="S1430" i="17" s="1"/>
  <c r="Q1418" i="17"/>
  <c r="R1418" i="17" s="1"/>
  <c r="S1418" i="17" s="1"/>
  <c r="Q1406" i="17"/>
  <c r="R1406" i="17" s="1"/>
  <c r="S1406" i="17" s="1"/>
  <c r="Q1394" i="17"/>
  <c r="R1394" i="17" s="1"/>
  <c r="S1394" i="17" s="1"/>
  <c r="Q1370" i="17"/>
  <c r="R1370" i="17" s="1"/>
  <c r="S1370" i="17" s="1"/>
  <c r="Q1358" i="17"/>
  <c r="R1358" i="17" s="1"/>
  <c r="S1358" i="17" s="1"/>
  <c r="Q1346" i="17"/>
  <c r="R1346" i="17" s="1"/>
  <c r="S1346" i="17" s="1"/>
  <c r="Q1334" i="17"/>
  <c r="R1334" i="17" s="1"/>
  <c r="S1334" i="17" s="1"/>
  <c r="Q1310" i="17"/>
  <c r="R1310" i="17" s="1"/>
  <c r="S1310" i="17" s="1"/>
  <c r="Q1298" i="17"/>
  <c r="R1298" i="17" s="1"/>
  <c r="S1298" i="17" s="1"/>
  <c r="Q1274" i="17"/>
  <c r="R1274" i="17" s="1"/>
  <c r="S1274" i="17" s="1"/>
  <c r="Q1262" i="17"/>
  <c r="R1262" i="17" s="1"/>
  <c r="S1262" i="17" s="1"/>
  <c r="Q1238" i="17"/>
  <c r="R1238" i="17" s="1"/>
  <c r="S1238" i="17" s="1"/>
  <c r="Q1226" i="17"/>
  <c r="R1226" i="17" s="1"/>
  <c r="S1226" i="17" s="1"/>
  <c r="Q1202" i="17"/>
  <c r="R1202" i="17" s="1"/>
  <c r="S1202" i="17" s="1"/>
  <c r="Q1190" i="17"/>
  <c r="R1190" i="17" s="1"/>
  <c r="S1190" i="17" s="1"/>
  <c r="Q1166" i="17"/>
  <c r="R1166" i="17" s="1"/>
  <c r="S1166" i="17" s="1"/>
  <c r="Q1154" i="17"/>
  <c r="R1154" i="17" s="1"/>
  <c r="S1154" i="17" s="1"/>
  <c r="Q1130" i="17"/>
  <c r="R1130" i="17" s="1"/>
  <c r="S1130" i="17" s="1"/>
  <c r="Q1118" i="17"/>
  <c r="R1118" i="17" s="1"/>
  <c r="S1118" i="17" s="1"/>
  <c r="Q1094" i="17"/>
  <c r="R1094" i="17" s="1"/>
  <c r="S1094" i="17" s="1"/>
  <c r="Q1082" i="17"/>
  <c r="R1082" i="17" s="1"/>
  <c r="S1082" i="17" s="1"/>
  <c r="Q1058" i="17"/>
  <c r="R1058" i="17" s="1"/>
  <c r="S1058" i="17" s="1"/>
  <c r="S1984" i="17"/>
  <c r="S1912" i="17"/>
  <c r="S1840" i="17"/>
  <c r="S1763" i="17"/>
  <c r="S1639" i="17"/>
  <c r="S1468" i="17"/>
  <c r="S1286" i="17"/>
  <c r="S1070" i="17"/>
  <c r="Q1859" i="17"/>
  <c r="R1859" i="17" s="1"/>
  <c r="S1859" i="17" s="1"/>
  <c r="Q1941" i="17"/>
  <c r="R1941" i="17" s="1"/>
  <c r="S1941" i="17" s="1"/>
  <c r="Q1845" i="17"/>
  <c r="R1845" i="17" s="1"/>
  <c r="S1845" i="17" s="1"/>
  <c r="Q1737" i="17"/>
  <c r="R1737" i="17" s="1"/>
  <c r="S1737" i="17" s="1"/>
  <c r="Q1629" i="17"/>
  <c r="R1629" i="17" s="1"/>
  <c r="S1629" i="17" s="1"/>
  <c r="Q1533" i="17"/>
  <c r="R1533" i="17" s="1"/>
  <c r="S1533" i="17" s="1"/>
  <c r="Q1437" i="17"/>
  <c r="R1437" i="17" s="1"/>
  <c r="S1437" i="17" s="1"/>
  <c r="Q1341" i="17"/>
  <c r="R1341" i="17" s="1"/>
  <c r="S1341" i="17" s="1"/>
  <c r="Q1257" i="17"/>
  <c r="R1257" i="17" s="1"/>
  <c r="S1257" i="17" s="1"/>
  <c r="Q1173" i="17"/>
  <c r="R1173" i="17" s="1"/>
  <c r="S1173" i="17" s="1"/>
  <c r="Q1125" i="17"/>
  <c r="R1125" i="17" s="1"/>
  <c r="S1125" i="17" s="1"/>
  <c r="Q1041" i="17"/>
  <c r="R1041" i="17" s="1"/>
  <c r="S1041" i="17" s="1"/>
  <c r="Q1005" i="17"/>
  <c r="R1005" i="17" s="1"/>
  <c r="S1005" i="17" s="1"/>
  <c r="Q945" i="17"/>
  <c r="R945" i="17" s="1"/>
  <c r="S945" i="17" s="1"/>
  <c r="Q873" i="17"/>
  <c r="R873" i="17" s="1"/>
  <c r="S873" i="17" s="1"/>
  <c r="Q1993" i="17"/>
  <c r="R1993" i="17" s="1"/>
  <c r="S1993" i="17" s="1"/>
  <c r="Q1981" i="17"/>
  <c r="R1981" i="17" s="1"/>
  <c r="S1981" i="17" s="1"/>
  <c r="Q1969" i="17"/>
  <c r="R1969" i="17" s="1"/>
  <c r="S1969" i="17" s="1"/>
  <c r="Q1957" i="17"/>
  <c r="R1957" i="17" s="1"/>
  <c r="S1957" i="17" s="1"/>
  <c r="Q1945" i="17"/>
  <c r="R1945" i="17" s="1"/>
  <c r="S1945" i="17" s="1"/>
  <c r="Q1933" i="17"/>
  <c r="R1933" i="17" s="1"/>
  <c r="S1933" i="17" s="1"/>
  <c r="Q1921" i="17"/>
  <c r="R1921" i="17" s="1"/>
  <c r="S1921" i="17" s="1"/>
  <c r="Q1909" i="17"/>
  <c r="R1909" i="17" s="1"/>
  <c r="S1909" i="17" s="1"/>
  <c r="Q1897" i="17"/>
  <c r="R1897" i="17" s="1"/>
  <c r="S1897" i="17" s="1"/>
  <c r="Q1885" i="17"/>
  <c r="R1885" i="17" s="1"/>
  <c r="S1885" i="17" s="1"/>
  <c r="Q1873" i="17"/>
  <c r="R1873" i="17" s="1"/>
  <c r="S1873" i="17" s="1"/>
  <c r="Q1861" i="17"/>
  <c r="R1861" i="17" s="1"/>
  <c r="S1861" i="17" s="1"/>
  <c r="Q1849" i="17"/>
  <c r="R1849" i="17" s="1"/>
  <c r="S1849" i="17" s="1"/>
  <c r="Q1837" i="17"/>
  <c r="R1837" i="17" s="1"/>
  <c r="S1837" i="17" s="1"/>
  <c r="Q1825" i="17"/>
  <c r="R1825" i="17" s="1"/>
  <c r="S1825" i="17"/>
  <c r="Q1813" i="17"/>
  <c r="R1813" i="17" s="1"/>
  <c r="S1813" i="17" s="1"/>
  <c r="Q1801" i="17"/>
  <c r="R1801" i="17" s="1"/>
  <c r="S1801" i="17" s="1"/>
  <c r="Q1789" i="17"/>
  <c r="R1789" i="17" s="1"/>
  <c r="S1789" i="17" s="1"/>
  <c r="Q1777" i="17"/>
  <c r="R1777" i="17" s="1"/>
  <c r="S1777" i="17" s="1"/>
  <c r="Q1765" i="17"/>
  <c r="R1765" i="17" s="1"/>
  <c r="S1765" i="17" s="1"/>
  <c r="Q1753" i="17"/>
  <c r="R1753" i="17" s="1"/>
  <c r="S1753" i="17" s="1"/>
  <c r="Q1729" i="17"/>
  <c r="R1729" i="17" s="1"/>
  <c r="S1729" i="17" s="1"/>
  <c r="Q1717" i="17"/>
  <c r="R1717" i="17" s="1"/>
  <c r="S1717" i="17" s="1"/>
  <c r="Q1705" i="17"/>
  <c r="R1705" i="17" s="1"/>
  <c r="S1705" i="17" s="1"/>
  <c r="Q1693" i="17"/>
  <c r="R1693" i="17" s="1"/>
  <c r="S1693" i="17" s="1"/>
  <c r="Q1669" i="17"/>
  <c r="R1669" i="17" s="1"/>
  <c r="S1669" i="17" s="1"/>
  <c r="Q1657" i="17"/>
  <c r="R1657" i="17" s="1"/>
  <c r="S1657" i="17" s="1"/>
  <c r="Q1645" i="17"/>
  <c r="R1645" i="17" s="1"/>
  <c r="S1645" i="17" s="1"/>
  <c r="Q1633" i="17"/>
  <c r="R1633" i="17" s="1"/>
  <c r="S1633" i="17" s="1"/>
  <c r="Q1621" i="17"/>
  <c r="R1621" i="17" s="1"/>
  <c r="S1621" i="17" s="1"/>
  <c r="Q1609" i="17"/>
  <c r="R1609" i="17" s="1"/>
  <c r="S1609" i="17" s="1"/>
  <c r="Q1597" i="17"/>
  <c r="R1597" i="17" s="1"/>
  <c r="S1597" i="17" s="1"/>
  <c r="Q1585" i="17"/>
  <c r="R1585" i="17" s="1"/>
  <c r="S1585" i="17" s="1"/>
  <c r="Q1573" i="17"/>
  <c r="R1573" i="17" s="1"/>
  <c r="S1573" i="17" s="1"/>
  <c r="Q1561" i="17"/>
  <c r="R1561" i="17" s="1"/>
  <c r="S1561" i="17" s="1"/>
  <c r="Q1549" i="17"/>
  <c r="R1549" i="17" s="1"/>
  <c r="S1549" i="17" s="1"/>
  <c r="Q1537" i="17"/>
  <c r="R1537" i="17" s="1"/>
  <c r="S1537" i="17" s="1"/>
  <c r="Q1525" i="17"/>
  <c r="R1525" i="17" s="1"/>
  <c r="S1525" i="17" s="1"/>
  <c r="Q1513" i="17"/>
  <c r="R1513" i="17" s="1"/>
  <c r="S1513" i="17" s="1"/>
  <c r="Q1501" i="17"/>
  <c r="R1501" i="17" s="1"/>
  <c r="S1501" i="17" s="1"/>
  <c r="Q1489" i="17"/>
  <c r="R1489" i="17" s="1"/>
  <c r="S1489" i="17" s="1"/>
  <c r="Q1477" i="17"/>
  <c r="R1477" i="17" s="1"/>
  <c r="S1477" i="17" s="1"/>
  <c r="Q1465" i="17"/>
  <c r="R1465" i="17" s="1"/>
  <c r="S1465" i="17" s="1"/>
  <c r="Q1453" i="17"/>
  <c r="R1453" i="17" s="1"/>
  <c r="S1453" i="17" s="1"/>
  <c r="Q1441" i="17"/>
  <c r="R1441" i="17" s="1"/>
  <c r="S1441" i="17" s="1"/>
  <c r="Q1429" i="17"/>
  <c r="R1429" i="17" s="1"/>
  <c r="S1429" i="17" s="1"/>
  <c r="Q1417" i="17"/>
  <c r="R1417" i="17" s="1"/>
  <c r="S1417" i="17" s="1"/>
  <c r="Q1405" i="17"/>
  <c r="R1405" i="17" s="1"/>
  <c r="S1405" i="17" s="1"/>
  <c r="Q1393" i="17"/>
  <c r="R1393" i="17" s="1"/>
  <c r="S1393" i="17" s="1"/>
  <c r="Q1381" i="17"/>
  <c r="R1381" i="17" s="1"/>
  <c r="S1381" i="17" s="1"/>
  <c r="Q1369" i="17"/>
  <c r="R1369" i="17" s="1"/>
  <c r="S1369" i="17" s="1"/>
  <c r="Q1357" i="17"/>
  <c r="R1357" i="17" s="1"/>
  <c r="S1357" i="17" s="1"/>
  <c r="Q1345" i="17"/>
  <c r="R1345" i="17" s="1"/>
  <c r="S1345" i="17" s="1"/>
  <c r="Q1333" i="17"/>
  <c r="R1333" i="17" s="1"/>
  <c r="S1333" i="17" s="1"/>
  <c r="Q1321" i="17"/>
  <c r="R1321" i="17" s="1"/>
  <c r="S1321" i="17" s="1"/>
  <c r="Q1309" i="17"/>
  <c r="R1309" i="17" s="1"/>
  <c r="S1309" i="17"/>
  <c r="Q1297" i="17"/>
  <c r="R1297" i="17" s="1"/>
  <c r="S1297" i="17" s="1"/>
  <c r="Q1285" i="17"/>
  <c r="R1285" i="17" s="1"/>
  <c r="S1285" i="17" s="1"/>
  <c r="Q1273" i="17"/>
  <c r="R1273" i="17" s="1"/>
  <c r="S1273" i="17" s="1"/>
  <c r="Q1261" i="17"/>
  <c r="R1261" i="17" s="1"/>
  <c r="S1261" i="17" s="1"/>
  <c r="Q1249" i="17"/>
  <c r="R1249" i="17" s="1"/>
  <c r="S1249" i="17" s="1"/>
  <c r="Q1237" i="17"/>
  <c r="R1237" i="17" s="1"/>
  <c r="S1237" i="17"/>
  <c r="Q1225" i="17"/>
  <c r="R1225" i="17" s="1"/>
  <c r="S1225" i="17" s="1"/>
  <c r="Q1213" i="17"/>
  <c r="R1213" i="17" s="1"/>
  <c r="S1213" i="17" s="1"/>
  <c r="Q1201" i="17"/>
  <c r="R1201" i="17" s="1"/>
  <c r="S1201" i="17" s="1"/>
  <c r="Q1189" i="17"/>
  <c r="R1189" i="17" s="1"/>
  <c r="S1189" i="17" s="1"/>
  <c r="Q1177" i="17"/>
  <c r="R1177" i="17" s="1"/>
  <c r="S1177" i="17" s="1"/>
  <c r="Q1165" i="17"/>
  <c r="R1165" i="17" s="1"/>
  <c r="S1165" i="17" s="1"/>
  <c r="Q1153" i="17"/>
  <c r="R1153" i="17" s="1"/>
  <c r="S1153" i="17" s="1"/>
  <c r="Q1141" i="17"/>
  <c r="R1141" i="17" s="1"/>
  <c r="S1141" i="17" s="1"/>
  <c r="Q1129" i="17"/>
  <c r="R1129" i="17" s="1"/>
  <c r="S1129" i="17" s="1"/>
  <c r="Q1117" i="17"/>
  <c r="R1117" i="17" s="1"/>
  <c r="S1117" i="17" s="1"/>
  <c r="Q1105" i="17"/>
  <c r="R1105" i="17" s="1"/>
  <c r="S1105" i="17"/>
  <c r="Q1093" i="17"/>
  <c r="R1093" i="17" s="1"/>
  <c r="S1093" i="17" s="1"/>
  <c r="Q1081" i="17"/>
  <c r="R1081" i="17" s="1"/>
  <c r="S1081" i="17" s="1"/>
  <c r="Q1069" i="17"/>
  <c r="R1069" i="17" s="1"/>
  <c r="S1069" i="17" s="1"/>
  <c r="Q1057" i="17"/>
  <c r="R1057" i="17" s="1"/>
  <c r="S1057" i="17" s="1"/>
  <c r="Q1045" i="17"/>
  <c r="R1045" i="17" s="1"/>
  <c r="S1045" i="17" s="1"/>
  <c r="Q1033" i="17"/>
  <c r="R1033" i="17" s="1"/>
  <c r="S1033" i="17" s="1"/>
  <c r="Q1021" i="17"/>
  <c r="R1021" i="17" s="1"/>
  <c r="S1021" i="17" s="1"/>
  <c r="Q1009" i="17"/>
  <c r="R1009" i="17" s="1"/>
  <c r="S1009" i="17" s="1"/>
  <c r="Q997" i="17"/>
  <c r="R997" i="17" s="1"/>
  <c r="S997" i="17" s="1"/>
  <c r="Q985" i="17"/>
  <c r="R985" i="17" s="1"/>
  <c r="S985" i="17" s="1"/>
  <c r="S1973" i="17"/>
  <c r="S1901" i="17"/>
  <c r="S1829" i="17"/>
  <c r="S1742" i="17"/>
  <c r="S1618" i="17"/>
  <c r="S1442" i="17"/>
  <c r="S1252" i="17"/>
  <c r="S1036" i="17"/>
  <c r="Q1835" i="17"/>
  <c r="R1835" i="17" s="1"/>
  <c r="S1835" i="17" s="1"/>
  <c r="Q1977" i="17"/>
  <c r="R1977" i="17" s="1"/>
  <c r="S1977" i="17" s="1"/>
  <c r="Q1881" i="17"/>
  <c r="R1881" i="17" s="1"/>
  <c r="S1881" i="17" s="1"/>
  <c r="Q1797" i="17"/>
  <c r="R1797" i="17" s="1"/>
  <c r="S1797" i="17" s="1"/>
  <c r="Q1689" i="17"/>
  <c r="R1689" i="17" s="1"/>
  <c r="S1689" i="17" s="1"/>
  <c r="Q1593" i="17"/>
  <c r="R1593" i="17" s="1"/>
  <c r="S1593" i="17" s="1"/>
  <c r="Q1497" i="17"/>
  <c r="R1497" i="17" s="1"/>
  <c r="S1497" i="17" s="1"/>
  <c r="Q1425" i="17"/>
  <c r="R1425" i="17" s="1"/>
  <c r="S1425" i="17" s="1"/>
  <c r="Q1329" i="17"/>
  <c r="R1329" i="17" s="1"/>
  <c r="S1329" i="17" s="1"/>
  <c r="Q1245" i="17"/>
  <c r="R1245" i="17" s="1"/>
  <c r="S1245" i="17" s="1"/>
  <c r="Q1161" i="17"/>
  <c r="R1161" i="17" s="1"/>
  <c r="S1161" i="17" s="1"/>
  <c r="Q1077" i="17"/>
  <c r="R1077" i="17" s="1"/>
  <c r="S1077" i="17" s="1"/>
  <c r="Q1029" i="17"/>
  <c r="R1029" i="17" s="1"/>
  <c r="S1029" i="17" s="1"/>
  <c r="Q981" i="17"/>
  <c r="R981" i="17" s="1"/>
  <c r="S981" i="17" s="1"/>
  <c r="Q933" i="17"/>
  <c r="R933" i="17" s="1"/>
  <c r="S933" i="17" s="1"/>
  <c r="Q849" i="17"/>
  <c r="R849" i="17" s="1"/>
  <c r="S849" i="17" s="1"/>
  <c r="S1703" i="17"/>
  <c r="Q1992" i="17"/>
  <c r="R1992" i="17" s="1"/>
  <c r="S1992" i="17" s="1"/>
  <c r="Q1980" i="17"/>
  <c r="R1980" i="17" s="1"/>
  <c r="S1980" i="17" s="1"/>
  <c r="Q1968" i="17"/>
  <c r="R1968" i="17" s="1"/>
  <c r="S1968" i="17" s="1"/>
  <c r="Q1956" i="17"/>
  <c r="R1956" i="17" s="1"/>
  <c r="S1956" i="17" s="1"/>
  <c r="Q1944" i="17"/>
  <c r="R1944" i="17" s="1"/>
  <c r="S1944" i="17"/>
  <c r="Q1932" i="17"/>
  <c r="R1932" i="17" s="1"/>
  <c r="S1932" i="17" s="1"/>
  <c r="Q1920" i="17"/>
  <c r="R1920" i="17" s="1"/>
  <c r="S1920" i="17" s="1"/>
  <c r="Q1908" i="17"/>
  <c r="R1908" i="17" s="1"/>
  <c r="S1908" i="17" s="1"/>
  <c r="Q1896" i="17"/>
  <c r="R1896" i="17" s="1"/>
  <c r="S1896" i="17" s="1"/>
  <c r="Q1884" i="17"/>
  <c r="R1884" i="17" s="1"/>
  <c r="S1884" i="17" s="1"/>
  <c r="Q1872" i="17"/>
  <c r="R1872" i="17" s="1"/>
  <c r="S1872" i="17" s="1"/>
  <c r="Q1860" i="17"/>
  <c r="R1860" i="17" s="1"/>
  <c r="S1860" i="17" s="1"/>
  <c r="Q1848" i="17"/>
  <c r="R1848" i="17" s="1"/>
  <c r="S1848" i="17" s="1"/>
  <c r="Q1836" i="17"/>
  <c r="R1836" i="17" s="1"/>
  <c r="S1836" i="17" s="1"/>
  <c r="Q1824" i="17"/>
  <c r="R1824" i="17" s="1"/>
  <c r="S1824" i="17" s="1"/>
  <c r="Q1812" i="17"/>
  <c r="R1812" i="17" s="1"/>
  <c r="S1812" i="17" s="1"/>
  <c r="Q1800" i="17"/>
  <c r="R1800" i="17" s="1"/>
  <c r="S1800" i="17" s="1"/>
  <c r="Q1788" i="17"/>
  <c r="R1788" i="17" s="1"/>
  <c r="S1788" i="17" s="1"/>
  <c r="Q1776" i="17"/>
  <c r="R1776" i="17" s="1"/>
  <c r="S1776" i="17" s="1"/>
  <c r="Q1752" i="17"/>
  <c r="R1752" i="17" s="1"/>
  <c r="S1752" i="17"/>
  <c r="Q1740" i="17"/>
  <c r="R1740" i="17" s="1"/>
  <c r="S1740" i="17" s="1"/>
  <c r="Q1728" i="17"/>
  <c r="R1728" i="17" s="1"/>
  <c r="S1728" i="17" s="1"/>
  <c r="Q1716" i="17"/>
  <c r="R1716" i="17" s="1"/>
  <c r="S1716" i="17" s="1"/>
  <c r="Q1704" i="17"/>
  <c r="R1704" i="17" s="1"/>
  <c r="S1704" i="17" s="1"/>
  <c r="Q1692" i="17"/>
  <c r="R1692" i="17" s="1"/>
  <c r="S1692" i="17" s="1"/>
  <c r="Q1668" i="17"/>
  <c r="R1668" i="17" s="1"/>
  <c r="S1668" i="17" s="1"/>
  <c r="Q1656" i="17"/>
  <c r="R1656" i="17" s="1"/>
  <c r="S1656" i="17"/>
  <c r="Q1644" i="17"/>
  <c r="R1644" i="17" s="1"/>
  <c r="S1644" i="17" s="1"/>
  <c r="Q1632" i="17"/>
  <c r="R1632" i="17" s="1"/>
  <c r="S1632" i="17" s="1"/>
  <c r="Q1620" i="17"/>
  <c r="R1620" i="17" s="1"/>
  <c r="S1620" i="17" s="1"/>
  <c r="Q1608" i="17"/>
  <c r="R1608" i="17" s="1"/>
  <c r="S1608" i="17" s="1"/>
  <c r="Q1596" i="17"/>
  <c r="R1596" i="17" s="1"/>
  <c r="S1596" i="17" s="1"/>
  <c r="Q1572" i="17"/>
  <c r="R1572" i="17" s="1"/>
  <c r="S1572" i="17" s="1"/>
  <c r="Q1560" i="17"/>
  <c r="R1560" i="17" s="1"/>
  <c r="S1560" i="17" s="1"/>
  <c r="Q1548" i="17"/>
  <c r="R1548" i="17" s="1"/>
  <c r="S1548" i="17" s="1"/>
  <c r="Q1536" i="17"/>
  <c r="R1536" i="17" s="1"/>
  <c r="S1536" i="17" s="1"/>
  <c r="Q1524" i="17"/>
  <c r="R1524" i="17" s="1"/>
  <c r="S1524" i="17" s="1"/>
  <c r="Q1512" i="17"/>
  <c r="R1512" i="17" s="1"/>
  <c r="S1512" i="17" s="1"/>
  <c r="Q1488" i="17"/>
  <c r="R1488" i="17" s="1"/>
  <c r="S1488" i="17" s="1"/>
  <c r="Q1476" i="17"/>
  <c r="R1476" i="17" s="1"/>
  <c r="S1476" i="17" s="1"/>
  <c r="Q1464" i="17"/>
  <c r="R1464" i="17" s="1"/>
  <c r="S1464" i="17"/>
  <c r="Q1452" i="17"/>
  <c r="R1452" i="17" s="1"/>
  <c r="S1452" i="17" s="1"/>
  <c r="Q1428" i="17"/>
  <c r="R1428" i="17" s="1"/>
  <c r="S1428" i="17" s="1"/>
  <c r="Q1416" i="17"/>
  <c r="R1416" i="17" s="1"/>
  <c r="S1416" i="17" s="1"/>
  <c r="Q1404" i="17"/>
  <c r="R1404" i="17" s="1"/>
  <c r="S1404" i="17" s="1"/>
  <c r="Q1392" i="17"/>
  <c r="R1392" i="17" s="1"/>
  <c r="S1392" i="17" s="1"/>
  <c r="Q1380" i="17"/>
  <c r="R1380" i="17" s="1"/>
  <c r="S1380" i="17" s="1"/>
  <c r="Q1368" i="17"/>
  <c r="R1368" i="17" s="1"/>
  <c r="S1368" i="17" s="1"/>
  <c r="Q1344" i="17"/>
  <c r="R1344" i="17" s="1"/>
  <c r="S1344" i="17" s="1"/>
  <c r="Q1332" i="17"/>
  <c r="R1332" i="17" s="1"/>
  <c r="S1332" i="17" s="1"/>
  <c r="Q1320" i="17"/>
  <c r="R1320" i="17" s="1"/>
  <c r="S1320" i="17" s="1"/>
  <c r="Q1308" i="17"/>
  <c r="R1308" i="17" s="1"/>
  <c r="S1308" i="17" s="1"/>
  <c r="Q1296" i="17"/>
  <c r="R1296" i="17" s="1"/>
  <c r="S1296" i="17" s="1"/>
  <c r="Q1284" i="17"/>
  <c r="R1284" i="17" s="1"/>
  <c r="S1284" i="17" s="1"/>
  <c r="Q1272" i="17"/>
  <c r="R1272" i="17" s="1"/>
  <c r="S1272" i="17" s="1"/>
  <c r="Q1260" i="17"/>
  <c r="R1260" i="17" s="1"/>
  <c r="S1260" i="17" s="1"/>
  <c r="Q1248" i="17"/>
  <c r="R1248" i="17" s="1"/>
  <c r="S1248" i="17" s="1"/>
  <c r="Q1236" i="17"/>
  <c r="R1236" i="17" s="1"/>
  <c r="S1236" i="17" s="1"/>
  <c r="Q1224" i="17"/>
  <c r="R1224" i="17" s="1"/>
  <c r="S1224" i="17" s="1"/>
  <c r="Q1212" i="17"/>
  <c r="R1212" i="17" s="1"/>
  <c r="S1212" i="17" s="1"/>
  <c r="Q1200" i="17"/>
  <c r="R1200" i="17" s="1"/>
  <c r="S1200" i="17" s="1"/>
  <c r="Q1188" i="17"/>
  <c r="R1188" i="17" s="1"/>
  <c r="S1188" i="17" s="1"/>
  <c r="Q1176" i="17"/>
  <c r="R1176" i="17" s="1"/>
  <c r="S1176" i="17"/>
  <c r="Q1164" i="17"/>
  <c r="R1164" i="17" s="1"/>
  <c r="S1164" i="17" s="1"/>
  <c r="Q1152" i="17"/>
  <c r="R1152" i="17" s="1"/>
  <c r="S1152" i="17" s="1"/>
  <c r="Q1140" i="17"/>
  <c r="R1140" i="17" s="1"/>
  <c r="S1140" i="17" s="1"/>
  <c r="Q1128" i="17"/>
  <c r="R1128" i="17" s="1"/>
  <c r="S1128" i="17" s="1"/>
  <c r="Q1116" i="17"/>
  <c r="R1116" i="17" s="1"/>
  <c r="S1116" i="17" s="1"/>
  <c r="Q1104" i="17"/>
  <c r="R1104" i="17" s="1"/>
  <c r="S1104" i="17" s="1"/>
  <c r="Q1092" i="17"/>
  <c r="R1092" i="17" s="1"/>
  <c r="S1092" i="17" s="1"/>
  <c r="Q1080" i="17"/>
  <c r="R1080" i="17" s="1"/>
  <c r="S1080" i="17" s="1"/>
  <c r="Q1068" i="17"/>
  <c r="R1068" i="17" s="1"/>
  <c r="S1068" i="17" s="1"/>
  <c r="Q1056" i="17"/>
  <c r="R1056" i="17" s="1"/>
  <c r="S1056" i="17" s="1"/>
  <c r="Q1044" i="17"/>
  <c r="R1044" i="17" s="1"/>
  <c r="S1044" i="17" s="1"/>
  <c r="Q1032" i="17"/>
  <c r="R1032" i="17" s="1"/>
  <c r="S1032" i="17"/>
  <c r="Q1020" i="17"/>
  <c r="R1020" i="17" s="1"/>
  <c r="S1020" i="17" s="1"/>
  <c r="Q1008" i="17"/>
  <c r="R1008" i="17" s="1"/>
  <c r="S1008" i="17" s="1"/>
  <c r="Q996" i="17"/>
  <c r="R996" i="17" s="1"/>
  <c r="S996" i="17" s="1"/>
  <c r="Q984" i="17"/>
  <c r="R984" i="17" s="1"/>
  <c r="S984" i="17" s="1"/>
  <c r="Q972" i="17"/>
  <c r="R972" i="17" s="1"/>
  <c r="S972" i="17" s="1"/>
  <c r="Q960" i="17"/>
  <c r="R960" i="17" s="1"/>
  <c r="S960" i="17" s="1"/>
  <c r="Q948" i="17"/>
  <c r="R948" i="17" s="1"/>
  <c r="S948" i="17" s="1"/>
  <c r="Q936" i="17"/>
  <c r="R936" i="17" s="1"/>
  <c r="S936" i="17"/>
  <c r="Q924" i="17"/>
  <c r="R924" i="17" s="1"/>
  <c r="S924" i="17" s="1"/>
  <c r="Q912" i="17"/>
  <c r="R912" i="17" s="1"/>
  <c r="S912" i="17" s="1"/>
  <c r="Q900" i="17"/>
  <c r="R900" i="17" s="1"/>
  <c r="S900" i="17" s="1"/>
  <c r="Q888" i="17"/>
  <c r="R888" i="17" s="1"/>
  <c r="S888" i="17"/>
  <c r="Q876" i="17"/>
  <c r="R876" i="17" s="1"/>
  <c r="S876" i="17" s="1"/>
  <c r="Q864" i="17"/>
  <c r="R864" i="17" s="1"/>
  <c r="S864" i="17" s="1"/>
  <c r="Q852" i="17"/>
  <c r="R852" i="17" s="1"/>
  <c r="S852" i="17" s="1"/>
  <c r="Q840" i="17"/>
  <c r="R840" i="17" s="1"/>
  <c r="S840" i="17" s="1"/>
  <c r="S1972" i="17"/>
  <c r="S1900" i="17"/>
  <c r="S1828" i="17"/>
  <c r="S1741" i="17"/>
  <c r="S1612" i="17"/>
  <c r="S1440" i="17"/>
  <c r="S1250" i="17"/>
  <c r="Q1073" i="17"/>
  <c r="R1073" i="17" s="1"/>
  <c r="S1073" i="17" s="1"/>
  <c r="Q1061" i="17"/>
  <c r="R1061" i="17" s="1"/>
  <c r="S1061" i="17" s="1"/>
  <c r="Q1049" i="17"/>
  <c r="R1049" i="17" s="1"/>
  <c r="S1049" i="17" s="1"/>
  <c r="Q1037" i="17"/>
  <c r="R1037" i="17" s="1"/>
  <c r="S1037" i="17" s="1"/>
  <c r="Q1025" i="17"/>
  <c r="R1025" i="17" s="1"/>
  <c r="S1025" i="17" s="1"/>
  <c r="Q1013" i="17"/>
  <c r="R1013" i="17" s="1"/>
  <c r="S1013" i="17" s="1"/>
  <c r="Q1001" i="17"/>
  <c r="R1001" i="17" s="1"/>
  <c r="S1001" i="17" s="1"/>
  <c r="Q989" i="17"/>
  <c r="R989" i="17" s="1"/>
  <c r="S989" i="17" s="1"/>
  <c r="Q977" i="17"/>
  <c r="R977" i="17" s="1"/>
  <c r="S977" i="17" s="1"/>
  <c r="Q965" i="17"/>
  <c r="R965" i="17" s="1"/>
  <c r="S965" i="17" s="1"/>
  <c r="Q953" i="17"/>
  <c r="R953" i="17" s="1"/>
  <c r="S953" i="17" s="1"/>
  <c r="Q941" i="17"/>
  <c r="R941" i="17" s="1"/>
  <c r="S941" i="17" s="1"/>
  <c r="Q929" i="17"/>
  <c r="R929" i="17" s="1"/>
  <c r="S929" i="17"/>
  <c r="Q917" i="17"/>
  <c r="R917" i="17" s="1"/>
  <c r="S917" i="17" s="1"/>
  <c r="Q905" i="17"/>
  <c r="R905" i="17" s="1"/>
  <c r="S905" i="17" s="1"/>
  <c r="Q893" i="17"/>
  <c r="R893" i="17" s="1"/>
  <c r="S893" i="17" s="1"/>
  <c r="Q881" i="17"/>
  <c r="R881" i="17" s="1"/>
  <c r="S881" i="17" s="1"/>
  <c r="Q869" i="17"/>
  <c r="R869" i="17" s="1"/>
  <c r="S869" i="17" s="1"/>
  <c r="Q857" i="17"/>
  <c r="R857" i="17" s="1"/>
  <c r="S857" i="17"/>
  <c r="Q845" i="17"/>
  <c r="R845" i="17" s="1"/>
  <c r="S845" i="17" s="1"/>
  <c r="Q833" i="17"/>
  <c r="R833" i="17" s="1"/>
  <c r="S833" i="17" s="1"/>
  <c r="Q821" i="17"/>
  <c r="R821" i="17" s="1"/>
  <c r="S821" i="17" s="1"/>
  <c r="Q809" i="17"/>
  <c r="R809" i="17" s="1"/>
  <c r="S809" i="17" s="1"/>
  <c r="Q797" i="17"/>
  <c r="R797" i="17" s="1"/>
  <c r="S797" i="17" s="1"/>
  <c r="Q785" i="17"/>
  <c r="R785" i="17" s="1"/>
  <c r="S785" i="17" s="1"/>
  <c r="Q773" i="17"/>
  <c r="R773" i="17" s="1"/>
  <c r="S773" i="17" s="1"/>
  <c r="Q761" i="17"/>
  <c r="R761" i="17" s="1"/>
  <c r="S761" i="17" s="1"/>
  <c r="Q749" i="17"/>
  <c r="R749" i="17" s="1"/>
  <c r="S749" i="17" s="1"/>
  <c r="Q737" i="17"/>
  <c r="R737" i="17" s="1"/>
  <c r="S737" i="17" s="1"/>
  <c r="Q725" i="17"/>
  <c r="R725" i="17" s="1"/>
  <c r="S725" i="17" s="1"/>
  <c r="Q713" i="17"/>
  <c r="R713" i="17" s="1"/>
  <c r="S713" i="17"/>
  <c r="Q701" i="17"/>
  <c r="R701" i="17" s="1"/>
  <c r="S701" i="17" s="1"/>
  <c r="Q689" i="17"/>
  <c r="R689" i="17" s="1"/>
  <c r="S689" i="17" s="1"/>
  <c r="Q677" i="17"/>
  <c r="R677" i="17" s="1"/>
  <c r="S677" i="17" s="1"/>
  <c r="Q665" i="17"/>
  <c r="R665" i="17" s="1"/>
  <c r="S665" i="17" s="1"/>
  <c r="Q653" i="17"/>
  <c r="R653" i="17" s="1"/>
  <c r="S653" i="17" s="1"/>
  <c r="Q641" i="17"/>
  <c r="R641" i="17" s="1"/>
  <c r="S641" i="17" s="1"/>
  <c r="Q629" i="17"/>
  <c r="R629" i="17" s="1"/>
  <c r="S629" i="17" s="1"/>
  <c r="Q617" i="17"/>
  <c r="R617" i="17" s="1"/>
  <c r="S617" i="17" s="1"/>
  <c r="Q605" i="17"/>
  <c r="R605" i="17" s="1"/>
  <c r="S605" i="17" s="1"/>
  <c r="Q593" i="17"/>
  <c r="R593" i="17" s="1"/>
  <c r="S593" i="17" s="1"/>
  <c r="Q581" i="17"/>
  <c r="R581" i="17" s="1"/>
  <c r="S581" i="17" s="1"/>
  <c r="Q569" i="17"/>
  <c r="R569" i="17" s="1"/>
  <c r="S569" i="17" s="1"/>
  <c r="Q557" i="17"/>
  <c r="R557" i="17" s="1"/>
  <c r="S557" i="17" s="1"/>
  <c r="Q545" i="17"/>
  <c r="R545" i="17" s="1"/>
  <c r="S545" i="17" s="1"/>
  <c r="Q533" i="17"/>
  <c r="R533" i="17" s="1"/>
  <c r="S533" i="17" s="1"/>
  <c r="Q521" i="17"/>
  <c r="R521" i="17" s="1"/>
  <c r="S521" i="17" s="1"/>
  <c r="Q509" i="17"/>
  <c r="R509" i="17" s="1"/>
  <c r="S509" i="17" s="1"/>
  <c r="Q497" i="17"/>
  <c r="R497" i="17" s="1"/>
  <c r="S497" i="17" s="1"/>
  <c r="Q485" i="17"/>
  <c r="R485" i="17" s="1"/>
  <c r="S485" i="17" s="1"/>
  <c r="Q473" i="17"/>
  <c r="R473" i="17" s="1"/>
  <c r="S473" i="17" s="1"/>
  <c r="Q461" i="17"/>
  <c r="R461" i="17" s="1"/>
  <c r="S461" i="17" s="1"/>
  <c r="Q449" i="17"/>
  <c r="R449" i="17" s="1"/>
  <c r="S449" i="17" s="1"/>
  <c r="Q437" i="17"/>
  <c r="R437" i="17" s="1"/>
  <c r="S437" i="17" s="1"/>
  <c r="Q425" i="17"/>
  <c r="R425" i="17" s="1"/>
  <c r="S425" i="17"/>
  <c r="Q413" i="17"/>
  <c r="R413" i="17" s="1"/>
  <c r="S413" i="17" s="1"/>
  <c r="Q401" i="17"/>
  <c r="R401" i="17" s="1"/>
  <c r="S401" i="17" s="1"/>
  <c r="Q389" i="17"/>
  <c r="R389" i="17" s="1"/>
  <c r="S389" i="17" s="1"/>
  <c r="Q377" i="17"/>
  <c r="R377" i="17" s="1"/>
  <c r="S377" i="17" s="1"/>
  <c r="Q365" i="17"/>
  <c r="R365" i="17" s="1"/>
  <c r="S365" i="17" s="1"/>
  <c r="Q353" i="17"/>
  <c r="R353" i="17" s="1"/>
  <c r="S353" i="17" s="1"/>
  <c r="Q341" i="17"/>
  <c r="R341" i="17" s="1"/>
  <c r="S341" i="17" s="1"/>
  <c r="Q329" i="17"/>
  <c r="R329" i="17" s="1"/>
  <c r="S329" i="17" s="1"/>
  <c r="Q317" i="17"/>
  <c r="R317" i="17" s="1"/>
  <c r="S317" i="17" s="1"/>
  <c r="Q305" i="17"/>
  <c r="R305" i="17" s="1"/>
  <c r="S305" i="17" s="1"/>
  <c r="Q293" i="17"/>
  <c r="R293" i="17" s="1"/>
  <c r="S293" i="17" s="1"/>
  <c r="Q281" i="17"/>
  <c r="R281" i="17" s="1"/>
  <c r="S281" i="17" s="1"/>
  <c r="Q269" i="17"/>
  <c r="R269" i="17" s="1"/>
  <c r="S269" i="17" s="1"/>
  <c r="Q257" i="17"/>
  <c r="R257" i="17" s="1"/>
  <c r="S257" i="17" s="1"/>
  <c r="Q245" i="17"/>
  <c r="R245" i="17" s="1"/>
  <c r="S245" i="17" s="1"/>
  <c r="Q233" i="17"/>
  <c r="R233" i="17" s="1"/>
  <c r="S233" i="17" s="1"/>
  <c r="Q209" i="17"/>
  <c r="R209" i="17" s="1"/>
  <c r="S209" i="17" s="1"/>
  <c r="Q197" i="17"/>
  <c r="R197" i="17" s="1"/>
  <c r="S197" i="17" s="1"/>
  <c r="Q185" i="17"/>
  <c r="R185" i="17" s="1"/>
  <c r="S185" i="17" s="1"/>
  <c r="Q173" i="17"/>
  <c r="R173" i="17" s="1"/>
  <c r="S173" i="17" s="1"/>
  <c r="Q161" i="17"/>
  <c r="R161" i="17" s="1"/>
  <c r="S161" i="17" s="1"/>
  <c r="Q149" i="17"/>
  <c r="R149" i="17" s="1"/>
  <c r="S149" i="17" s="1"/>
  <c r="Q137" i="17"/>
  <c r="R137" i="17" s="1"/>
  <c r="S137" i="17" s="1"/>
  <c r="Q125" i="17"/>
  <c r="R125" i="17" s="1"/>
  <c r="S125" i="17"/>
  <c r="Q113" i="17"/>
  <c r="R113" i="17" s="1"/>
  <c r="S113" i="17" s="1"/>
  <c r="Q101" i="17"/>
  <c r="R101" i="17" s="1"/>
  <c r="S101" i="17" s="1"/>
  <c r="Q89" i="17"/>
  <c r="R89" i="17" s="1"/>
  <c r="S89" i="17" s="1"/>
  <c r="Q77" i="17"/>
  <c r="R77" i="17" s="1"/>
  <c r="S77" i="17" s="1"/>
  <c r="Q65" i="17"/>
  <c r="R65" i="17" s="1"/>
  <c r="S65" i="17" s="1"/>
  <c r="Q53" i="17"/>
  <c r="R53" i="17" s="1"/>
  <c r="S53" i="17"/>
  <c r="Q41" i="17"/>
  <c r="R41" i="17" s="1"/>
  <c r="S41" i="17" s="1"/>
  <c r="Q29" i="17"/>
  <c r="R29" i="17" s="1"/>
  <c r="S29" i="17" s="1"/>
  <c r="Q17" i="17"/>
  <c r="R17" i="17" s="1"/>
  <c r="S17" i="17" s="1"/>
  <c r="Q5" i="17"/>
  <c r="R5" i="17" s="1"/>
  <c r="S5" i="17" s="1"/>
  <c r="S817" i="17"/>
  <c r="S673" i="17"/>
  <c r="S529" i="17"/>
  <c r="S385" i="17"/>
  <c r="S241" i="17"/>
  <c r="Q1012" i="17"/>
  <c r="R1012" i="17" s="1"/>
  <c r="S1012" i="17" s="1"/>
  <c r="Q976" i="17"/>
  <c r="R976" i="17" s="1"/>
  <c r="S976" i="17"/>
  <c r="Q964" i="17"/>
  <c r="R964" i="17" s="1"/>
  <c r="S964" i="17" s="1"/>
  <c r="Q940" i="17"/>
  <c r="R940" i="17" s="1"/>
  <c r="S940" i="17" s="1"/>
  <c r="Q928" i="17"/>
  <c r="R928" i="17" s="1"/>
  <c r="S928" i="17" s="1"/>
  <c r="Q916" i="17"/>
  <c r="R916" i="17" s="1"/>
  <c r="S916" i="17" s="1"/>
  <c r="Q904" i="17"/>
  <c r="R904" i="17" s="1"/>
  <c r="S904" i="17" s="1"/>
  <c r="Q892" i="17"/>
  <c r="R892" i="17" s="1"/>
  <c r="S892" i="17" s="1"/>
  <c r="Q880" i="17"/>
  <c r="R880" i="17" s="1"/>
  <c r="S880" i="17" s="1"/>
  <c r="Q868" i="17"/>
  <c r="R868" i="17" s="1"/>
  <c r="S868" i="17" s="1"/>
  <c r="Q856" i="17"/>
  <c r="R856" i="17" s="1"/>
  <c r="S856" i="17" s="1"/>
  <c r="Q844" i="17"/>
  <c r="R844" i="17" s="1"/>
  <c r="S844" i="17" s="1"/>
  <c r="Q832" i="17"/>
  <c r="R832" i="17" s="1"/>
  <c r="S832" i="17" s="1"/>
  <c r="Q820" i="17"/>
  <c r="R820" i="17" s="1"/>
  <c r="S820" i="17" s="1"/>
  <c r="Q808" i="17"/>
  <c r="R808" i="17" s="1"/>
  <c r="S808" i="17" s="1"/>
  <c r="Q796" i="17"/>
  <c r="R796" i="17" s="1"/>
  <c r="S796" i="17" s="1"/>
  <c r="Q784" i="17"/>
  <c r="R784" i="17" s="1"/>
  <c r="S784" i="17" s="1"/>
  <c r="Q772" i="17"/>
  <c r="R772" i="17" s="1"/>
  <c r="S772" i="17" s="1"/>
  <c r="Q760" i="17"/>
  <c r="R760" i="17" s="1"/>
  <c r="S760" i="17" s="1"/>
  <c r="Q748" i="17"/>
  <c r="R748" i="17" s="1"/>
  <c r="S748" i="17" s="1"/>
  <c r="Q736" i="17"/>
  <c r="R736" i="17" s="1"/>
  <c r="S736" i="17" s="1"/>
  <c r="Q724" i="17"/>
  <c r="R724" i="17" s="1"/>
  <c r="S724" i="17" s="1"/>
  <c r="Q712" i="17"/>
  <c r="R712" i="17" s="1"/>
  <c r="S712" i="17"/>
  <c r="Q700" i="17"/>
  <c r="R700" i="17" s="1"/>
  <c r="S700" i="17" s="1"/>
  <c r="Q688" i="17"/>
  <c r="R688" i="17" s="1"/>
  <c r="S688" i="17" s="1"/>
  <c r="Q676" i="17"/>
  <c r="R676" i="17" s="1"/>
  <c r="S676" i="17" s="1"/>
  <c r="Q664" i="17"/>
  <c r="R664" i="17" s="1"/>
  <c r="S664" i="17" s="1"/>
  <c r="Q652" i="17"/>
  <c r="R652" i="17" s="1"/>
  <c r="S652" i="17" s="1"/>
  <c r="Q640" i="17"/>
  <c r="R640" i="17" s="1"/>
  <c r="S640" i="17" s="1"/>
  <c r="Q628" i="17"/>
  <c r="R628" i="17" s="1"/>
  <c r="S628" i="17" s="1"/>
  <c r="Q616" i="17"/>
  <c r="R616" i="17" s="1"/>
  <c r="S616" i="17" s="1"/>
  <c r="Q604" i="17"/>
  <c r="R604" i="17" s="1"/>
  <c r="S604" i="17" s="1"/>
  <c r="Q592" i="17"/>
  <c r="R592" i="17" s="1"/>
  <c r="S592" i="17" s="1"/>
  <c r="Q580" i="17"/>
  <c r="R580" i="17" s="1"/>
  <c r="S580" i="17" s="1"/>
  <c r="Q568" i="17"/>
  <c r="R568" i="17" s="1"/>
  <c r="S568" i="17" s="1"/>
  <c r="Q556" i="17"/>
  <c r="R556" i="17" s="1"/>
  <c r="S556" i="17" s="1"/>
  <c r="Q544" i="17"/>
  <c r="R544" i="17" s="1"/>
  <c r="S544" i="17" s="1"/>
  <c r="Q532" i="17"/>
  <c r="R532" i="17" s="1"/>
  <c r="S532" i="17" s="1"/>
  <c r="Q520" i="17"/>
  <c r="R520" i="17" s="1"/>
  <c r="S520" i="17" s="1"/>
  <c r="Q508" i="17"/>
  <c r="R508" i="17" s="1"/>
  <c r="S508" i="17" s="1"/>
  <c r="Q496" i="17"/>
  <c r="R496" i="17" s="1"/>
  <c r="S496" i="17" s="1"/>
  <c r="Q484" i="17"/>
  <c r="R484" i="17" s="1"/>
  <c r="S484" i="17" s="1"/>
  <c r="Q472" i="17"/>
  <c r="R472" i="17" s="1"/>
  <c r="S472" i="17" s="1"/>
  <c r="Q460" i="17"/>
  <c r="R460" i="17" s="1"/>
  <c r="S460" i="17" s="1"/>
  <c r="Q448" i="17"/>
  <c r="R448" i="17" s="1"/>
  <c r="S448" i="17"/>
  <c r="Q436" i="17"/>
  <c r="R436" i="17" s="1"/>
  <c r="S436" i="17" s="1"/>
  <c r="Q424" i="17"/>
  <c r="R424" i="17" s="1"/>
  <c r="S424" i="17" s="1"/>
  <c r="Q412" i="17"/>
  <c r="R412" i="17" s="1"/>
  <c r="S412" i="17" s="1"/>
  <c r="Q400" i="17"/>
  <c r="R400" i="17" s="1"/>
  <c r="S400" i="17" s="1"/>
  <c r="Q388" i="17"/>
  <c r="R388" i="17" s="1"/>
  <c r="S388" i="17" s="1"/>
  <c r="Q376" i="17"/>
  <c r="R376" i="17" s="1"/>
  <c r="S376" i="17" s="1"/>
  <c r="Q364" i="17"/>
  <c r="R364" i="17" s="1"/>
  <c r="S364" i="17" s="1"/>
  <c r="Q352" i="17"/>
  <c r="R352" i="17" s="1"/>
  <c r="S352" i="17" s="1"/>
  <c r="Q340" i="17"/>
  <c r="R340" i="17" s="1"/>
  <c r="S340" i="17" s="1"/>
  <c r="Q328" i="17"/>
  <c r="R328" i="17" s="1"/>
  <c r="S328" i="17" s="1"/>
  <c r="Q316" i="17"/>
  <c r="R316" i="17" s="1"/>
  <c r="S316" i="17" s="1"/>
  <c r="Q304" i="17"/>
  <c r="R304" i="17" s="1"/>
  <c r="S304" i="17" s="1"/>
  <c r="Q292" i="17"/>
  <c r="R292" i="17" s="1"/>
  <c r="S292" i="17" s="1"/>
  <c r="Q280" i="17"/>
  <c r="R280" i="17" s="1"/>
  <c r="S280" i="17" s="1"/>
  <c r="Q268" i="17"/>
  <c r="R268" i="17" s="1"/>
  <c r="S268" i="17" s="1"/>
  <c r="Q256" i="17"/>
  <c r="R256" i="17" s="1"/>
  <c r="S256" i="17" s="1"/>
  <c r="Q244" i="17"/>
  <c r="R244" i="17" s="1"/>
  <c r="S244" i="17" s="1"/>
  <c r="Q232" i="17"/>
  <c r="R232" i="17" s="1"/>
  <c r="S232" i="17" s="1"/>
  <c r="Q220" i="17"/>
  <c r="R220" i="17" s="1"/>
  <c r="S220" i="17" s="1"/>
  <c r="Q208" i="17"/>
  <c r="R208" i="17" s="1"/>
  <c r="S208" i="17" s="1"/>
  <c r="Q196" i="17"/>
  <c r="R196" i="17" s="1"/>
  <c r="S196" i="17" s="1"/>
  <c r="Q184" i="17"/>
  <c r="R184" i="17" s="1"/>
  <c r="S184" i="17" s="1"/>
  <c r="Q172" i="17"/>
  <c r="R172" i="17" s="1"/>
  <c r="S172" i="17" s="1"/>
  <c r="Q160" i="17"/>
  <c r="R160" i="17" s="1"/>
  <c r="S160" i="17" s="1"/>
  <c r="Q148" i="17"/>
  <c r="R148" i="17" s="1"/>
  <c r="S148" i="17" s="1"/>
  <c r="Q136" i="17"/>
  <c r="R136" i="17" s="1"/>
  <c r="S136" i="17" s="1"/>
  <c r="Q124" i="17"/>
  <c r="R124" i="17" s="1"/>
  <c r="S124" i="17" s="1"/>
  <c r="Q112" i="17"/>
  <c r="R112" i="17" s="1"/>
  <c r="S112" i="17" s="1"/>
  <c r="Q100" i="17"/>
  <c r="R100" i="17" s="1"/>
  <c r="S100" i="17" s="1"/>
  <c r="Q88" i="17"/>
  <c r="R88" i="17" s="1"/>
  <c r="S88" i="17" s="1"/>
  <c r="Q76" i="17"/>
  <c r="R76" i="17" s="1"/>
  <c r="S76" i="17" s="1"/>
  <c r="Q64" i="17"/>
  <c r="R64" i="17" s="1"/>
  <c r="S64" i="17" s="1"/>
  <c r="Q52" i="17"/>
  <c r="R52" i="17" s="1"/>
  <c r="S52" i="17" s="1"/>
  <c r="Q40" i="17"/>
  <c r="R40" i="17" s="1"/>
  <c r="S40" i="17" s="1"/>
  <c r="Q28" i="17"/>
  <c r="R28" i="17" s="1"/>
  <c r="S28" i="17" s="1"/>
  <c r="Q16" i="17"/>
  <c r="R16" i="17" s="1"/>
  <c r="S16" i="17" s="1"/>
  <c r="Q4" i="17"/>
  <c r="R4" i="17" s="1"/>
  <c r="S4" i="17" s="1"/>
  <c r="S952" i="17"/>
  <c r="S816" i="17"/>
  <c r="S672" i="17"/>
  <c r="S528" i="17"/>
  <c r="S384" i="17"/>
  <c r="S240" i="17"/>
  <c r="Q543" i="17"/>
  <c r="R543" i="17" s="1"/>
  <c r="S543" i="17" s="1"/>
  <c r="Q531" i="17"/>
  <c r="R531" i="17" s="1"/>
  <c r="S531" i="17" s="1"/>
  <c r="Q519" i="17"/>
  <c r="R519" i="17" s="1"/>
  <c r="S519" i="17" s="1"/>
  <c r="Q507" i="17"/>
  <c r="R507" i="17" s="1"/>
  <c r="S507" i="17" s="1"/>
  <c r="Q495" i="17"/>
  <c r="R495" i="17" s="1"/>
  <c r="S495" i="17" s="1"/>
  <c r="Q483" i="17"/>
  <c r="R483" i="17" s="1"/>
  <c r="S483" i="17" s="1"/>
  <c r="Q471" i="17"/>
  <c r="R471" i="17" s="1"/>
  <c r="S471" i="17" s="1"/>
  <c r="Q459" i="17"/>
  <c r="R459" i="17" s="1"/>
  <c r="S459" i="17" s="1"/>
  <c r="Q447" i="17"/>
  <c r="R447" i="17" s="1"/>
  <c r="S447" i="17"/>
  <c r="Q435" i="17"/>
  <c r="R435" i="17" s="1"/>
  <c r="S435" i="17" s="1"/>
  <c r="Q423" i="17"/>
  <c r="R423" i="17" s="1"/>
  <c r="S423" i="17" s="1"/>
  <c r="Q411" i="17"/>
  <c r="R411" i="17" s="1"/>
  <c r="S411" i="17" s="1"/>
  <c r="Q399" i="17"/>
  <c r="R399" i="17" s="1"/>
  <c r="S399" i="17" s="1"/>
  <c r="Q387" i="17"/>
  <c r="R387" i="17" s="1"/>
  <c r="S387" i="17" s="1"/>
  <c r="Q375" i="17"/>
  <c r="R375" i="17" s="1"/>
  <c r="S375" i="17"/>
  <c r="Q363" i="17"/>
  <c r="R363" i="17" s="1"/>
  <c r="S363" i="17" s="1"/>
  <c r="Q351" i="17"/>
  <c r="R351" i="17" s="1"/>
  <c r="S351" i="17" s="1"/>
  <c r="Q339" i="17"/>
  <c r="R339" i="17" s="1"/>
  <c r="S339" i="17" s="1"/>
  <c r="Q327" i="17"/>
  <c r="R327" i="17" s="1"/>
  <c r="S327" i="17" s="1"/>
  <c r="Q315" i="17"/>
  <c r="R315" i="17" s="1"/>
  <c r="S315" i="17"/>
  <c r="Q303" i="17"/>
  <c r="R303" i="17" s="1"/>
  <c r="S303" i="17"/>
  <c r="Q291" i="17"/>
  <c r="R291" i="17" s="1"/>
  <c r="S291" i="17" s="1"/>
  <c r="Q279" i="17"/>
  <c r="R279" i="17" s="1"/>
  <c r="S279" i="17" s="1"/>
  <c r="Q267" i="17"/>
  <c r="R267" i="17" s="1"/>
  <c r="S267" i="17" s="1"/>
  <c r="Q255" i="17"/>
  <c r="R255" i="17" s="1"/>
  <c r="S255" i="17" s="1"/>
  <c r="Q243" i="17"/>
  <c r="R243" i="17" s="1"/>
  <c r="S243" i="17"/>
  <c r="Q231" i="17"/>
  <c r="R231" i="17" s="1"/>
  <c r="S231" i="17" s="1"/>
  <c r="Q219" i="17"/>
  <c r="R219" i="17" s="1"/>
  <c r="S219" i="17" s="1"/>
  <c r="Q207" i="17"/>
  <c r="R207" i="17" s="1"/>
  <c r="S207" i="17" s="1"/>
  <c r="Q195" i="17"/>
  <c r="R195" i="17" s="1"/>
  <c r="S195" i="17" s="1"/>
  <c r="Q183" i="17"/>
  <c r="R183" i="17" s="1"/>
  <c r="S183" i="17" s="1"/>
  <c r="Q171" i="17"/>
  <c r="R171" i="17" s="1"/>
  <c r="S171" i="17" s="1"/>
  <c r="Q159" i="17"/>
  <c r="R159" i="17" s="1"/>
  <c r="S159" i="17" s="1"/>
  <c r="Q147" i="17"/>
  <c r="R147" i="17" s="1"/>
  <c r="S147" i="17" s="1"/>
  <c r="Q135" i="17"/>
  <c r="R135" i="17" s="1"/>
  <c r="S135" i="17" s="1"/>
  <c r="Q123" i="17"/>
  <c r="R123" i="17" s="1"/>
  <c r="S123" i="17" s="1"/>
  <c r="Q111" i="17"/>
  <c r="R111" i="17" s="1"/>
  <c r="S111" i="17" s="1"/>
  <c r="Q99" i="17"/>
  <c r="R99" i="17" s="1"/>
  <c r="S99" i="17"/>
  <c r="Q87" i="17"/>
  <c r="R87" i="17" s="1"/>
  <c r="S87" i="17" s="1"/>
  <c r="Q75" i="17"/>
  <c r="R75" i="17" s="1"/>
  <c r="S75" i="17" s="1"/>
  <c r="Q63" i="17"/>
  <c r="R63" i="17" s="1"/>
  <c r="S63" i="17" s="1"/>
  <c r="Q51" i="17"/>
  <c r="R51" i="17" s="1"/>
  <c r="S51" i="17" s="1"/>
  <c r="Q39" i="17"/>
  <c r="R39" i="17" s="1"/>
  <c r="S39" i="17" s="1"/>
  <c r="Q27" i="17"/>
  <c r="R27" i="17" s="1"/>
  <c r="S27" i="17" s="1"/>
  <c r="Q15" i="17"/>
  <c r="R15" i="17" s="1"/>
  <c r="S15" i="17" s="1"/>
  <c r="Q3" i="17"/>
  <c r="R3" i="17" s="1"/>
  <c r="S3" i="17" s="1"/>
  <c r="S1024" i="17"/>
  <c r="S789" i="17"/>
  <c r="S645" i="17"/>
  <c r="S501" i="17"/>
  <c r="S357" i="17"/>
  <c r="S193" i="17"/>
  <c r="Q1010" i="17"/>
  <c r="R1010" i="17" s="1"/>
  <c r="S1010" i="17" s="1"/>
  <c r="Q998" i="17"/>
  <c r="R998" i="17" s="1"/>
  <c r="S998" i="17" s="1"/>
  <c r="Q986" i="17"/>
  <c r="R986" i="17" s="1"/>
  <c r="S986" i="17" s="1"/>
  <c r="Q974" i="17"/>
  <c r="R974" i="17" s="1"/>
  <c r="S974" i="17" s="1"/>
  <c r="Q962" i="17"/>
  <c r="R962" i="17" s="1"/>
  <c r="S962" i="17" s="1"/>
  <c r="Q950" i="17"/>
  <c r="R950" i="17" s="1"/>
  <c r="S950" i="17" s="1"/>
  <c r="Q938" i="17"/>
  <c r="R938" i="17" s="1"/>
  <c r="S938" i="17" s="1"/>
  <c r="Q926" i="17"/>
  <c r="R926" i="17" s="1"/>
  <c r="S926" i="17" s="1"/>
  <c r="Q914" i="17"/>
  <c r="R914" i="17" s="1"/>
  <c r="S914" i="17" s="1"/>
  <c r="Q902" i="17"/>
  <c r="R902" i="17" s="1"/>
  <c r="S902" i="17" s="1"/>
  <c r="Q890" i="17"/>
  <c r="R890" i="17" s="1"/>
  <c r="S890" i="17" s="1"/>
  <c r="Q878" i="17"/>
  <c r="R878" i="17" s="1"/>
  <c r="S878" i="17" s="1"/>
  <c r="Q866" i="17"/>
  <c r="R866" i="17" s="1"/>
  <c r="S866" i="17" s="1"/>
  <c r="Q854" i="17"/>
  <c r="R854" i="17" s="1"/>
  <c r="S854" i="17" s="1"/>
  <c r="Q842" i="17"/>
  <c r="R842" i="17" s="1"/>
  <c r="S842" i="17" s="1"/>
  <c r="Q830" i="17"/>
  <c r="R830" i="17" s="1"/>
  <c r="S830" i="17" s="1"/>
  <c r="Q818" i="17"/>
  <c r="R818" i="17" s="1"/>
  <c r="S818" i="17" s="1"/>
  <c r="Q806" i="17"/>
  <c r="R806" i="17" s="1"/>
  <c r="S806" i="17" s="1"/>
  <c r="Q794" i="17"/>
  <c r="R794" i="17" s="1"/>
  <c r="S794" i="17"/>
  <c r="Q782" i="17"/>
  <c r="R782" i="17" s="1"/>
  <c r="S782" i="17" s="1"/>
  <c r="Q770" i="17"/>
  <c r="R770" i="17" s="1"/>
  <c r="S770" i="17" s="1"/>
  <c r="Q758" i="17"/>
  <c r="R758" i="17" s="1"/>
  <c r="S758" i="17" s="1"/>
  <c r="Q746" i="17"/>
  <c r="R746" i="17" s="1"/>
  <c r="S746" i="17" s="1"/>
  <c r="Q734" i="17"/>
  <c r="R734" i="17" s="1"/>
  <c r="S734" i="17" s="1"/>
  <c r="Q722" i="17"/>
  <c r="R722" i="17" s="1"/>
  <c r="S722" i="17" s="1"/>
  <c r="Q710" i="17"/>
  <c r="R710" i="17" s="1"/>
  <c r="S710" i="17" s="1"/>
  <c r="Q698" i="17"/>
  <c r="R698" i="17" s="1"/>
  <c r="S698" i="17" s="1"/>
  <c r="Q686" i="17"/>
  <c r="R686" i="17" s="1"/>
  <c r="S686" i="17" s="1"/>
  <c r="Q674" i="17"/>
  <c r="R674" i="17" s="1"/>
  <c r="S674" i="17" s="1"/>
  <c r="Q662" i="17"/>
  <c r="R662" i="17" s="1"/>
  <c r="S662" i="17" s="1"/>
  <c r="Q650" i="17"/>
  <c r="R650" i="17" s="1"/>
  <c r="S650" i="17" s="1"/>
  <c r="Q638" i="17"/>
  <c r="R638" i="17" s="1"/>
  <c r="S638" i="17" s="1"/>
  <c r="Q626" i="17"/>
  <c r="R626" i="17" s="1"/>
  <c r="S626" i="17" s="1"/>
  <c r="Q614" i="17"/>
  <c r="R614" i="17" s="1"/>
  <c r="S614" i="17" s="1"/>
  <c r="Q602" i="17"/>
  <c r="R602" i="17" s="1"/>
  <c r="S602" i="17" s="1"/>
  <c r="Q590" i="17"/>
  <c r="R590" i="17" s="1"/>
  <c r="S590" i="17" s="1"/>
  <c r="Q578" i="17"/>
  <c r="R578" i="17" s="1"/>
  <c r="S578" i="17" s="1"/>
  <c r="Q566" i="17"/>
  <c r="R566" i="17" s="1"/>
  <c r="S566" i="17" s="1"/>
  <c r="Q554" i="17"/>
  <c r="R554" i="17" s="1"/>
  <c r="S554" i="17" s="1"/>
  <c r="Q542" i="17"/>
  <c r="R542" i="17" s="1"/>
  <c r="S542" i="17" s="1"/>
  <c r="Q530" i="17"/>
  <c r="R530" i="17" s="1"/>
  <c r="S530" i="17" s="1"/>
  <c r="Q518" i="17"/>
  <c r="R518" i="17" s="1"/>
  <c r="S518" i="17" s="1"/>
  <c r="Q506" i="17"/>
  <c r="R506" i="17" s="1"/>
  <c r="S506" i="17"/>
  <c r="Q494" i="17"/>
  <c r="R494" i="17" s="1"/>
  <c r="S494" i="17" s="1"/>
  <c r="Q482" i="17"/>
  <c r="R482" i="17" s="1"/>
  <c r="S482" i="17" s="1"/>
  <c r="Q470" i="17"/>
  <c r="R470" i="17" s="1"/>
  <c r="S470" i="17" s="1"/>
  <c r="Q458" i="17"/>
  <c r="R458" i="17" s="1"/>
  <c r="S458" i="17" s="1"/>
  <c r="Q446" i="17"/>
  <c r="R446" i="17" s="1"/>
  <c r="S446" i="17" s="1"/>
  <c r="Q434" i="17"/>
  <c r="R434" i="17" s="1"/>
  <c r="S434" i="17" s="1"/>
  <c r="Q422" i="17"/>
  <c r="R422" i="17" s="1"/>
  <c r="S422" i="17" s="1"/>
  <c r="Q410" i="17"/>
  <c r="R410" i="17" s="1"/>
  <c r="S410" i="17" s="1"/>
  <c r="Q398" i="17"/>
  <c r="R398" i="17" s="1"/>
  <c r="S398" i="17" s="1"/>
  <c r="Q386" i="17"/>
  <c r="R386" i="17" s="1"/>
  <c r="S386" i="17" s="1"/>
  <c r="Q374" i="17"/>
  <c r="R374" i="17" s="1"/>
  <c r="S374" i="17" s="1"/>
  <c r="Q362" i="17"/>
  <c r="R362" i="17" s="1"/>
  <c r="S362" i="17" s="1"/>
  <c r="Q350" i="17"/>
  <c r="R350" i="17" s="1"/>
  <c r="S350" i="17" s="1"/>
  <c r="Q338" i="17"/>
  <c r="R338" i="17" s="1"/>
  <c r="S338" i="17" s="1"/>
  <c r="Q326" i="17"/>
  <c r="R326" i="17" s="1"/>
  <c r="S326" i="17" s="1"/>
  <c r="Q314" i="17"/>
  <c r="R314" i="17" s="1"/>
  <c r="S314" i="17" s="1"/>
  <c r="Q302" i="17"/>
  <c r="R302" i="17" s="1"/>
  <c r="S302" i="17" s="1"/>
  <c r="Q290" i="17"/>
  <c r="R290" i="17" s="1"/>
  <c r="S290" i="17" s="1"/>
  <c r="Q278" i="17"/>
  <c r="R278" i="17" s="1"/>
  <c r="S278" i="17" s="1"/>
  <c r="Q266" i="17"/>
  <c r="R266" i="17" s="1"/>
  <c r="S266" i="17" s="1"/>
  <c r="Q254" i="17"/>
  <c r="R254" i="17" s="1"/>
  <c r="S254" i="17" s="1"/>
  <c r="Q242" i="17"/>
  <c r="R242" i="17" s="1"/>
  <c r="S242" i="17" s="1"/>
  <c r="Q230" i="17"/>
  <c r="R230" i="17" s="1"/>
  <c r="S230" i="17" s="1"/>
  <c r="Q218" i="17"/>
  <c r="R218" i="17" s="1"/>
  <c r="S218" i="17"/>
  <c r="Q206" i="17"/>
  <c r="R206" i="17" s="1"/>
  <c r="S206" i="17" s="1"/>
  <c r="Q194" i="17"/>
  <c r="R194" i="17" s="1"/>
  <c r="S194" i="17" s="1"/>
  <c r="Q182" i="17"/>
  <c r="R182" i="17" s="1"/>
  <c r="S182" i="17" s="1"/>
  <c r="Q170" i="17"/>
  <c r="R170" i="17" s="1"/>
  <c r="S170" i="17" s="1"/>
  <c r="Q158" i="17"/>
  <c r="R158" i="17" s="1"/>
  <c r="S158" i="17" s="1"/>
  <c r="Q146" i="17"/>
  <c r="R146" i="17" s="1"/>
  <c r="S146" i="17" s="1"/>
  <c r="Q134" i="17"/>
  <c r="R134" i="17" s="1"/>
  <c r="S134" i="17" s="1"/>
  <c r="Q122" i="17"/>
  <c r="R122" i="17" s="1"/>
  <c r="S122" i="17" s="1"/>
  <c r="Q110" i="17"/>
  <c r="R110" i="17" s="1"/>
  <c r="S110" i="17" s="1"/>
  <c r="Q98" i="17"/>
  <c r="R98" i="17" s="1"/>
  <c r="S98" i="17" s="1"/>
  <c r="Q86" i="17"/>
  <c r="R86" i="17" s="1"/>
  <c r="S86" i="17" s="1"/>
  <c r="Q74" i="17"/>
  <c r="R74" i="17" s="1"/>
  <c r="S74" i="17" s="1"/>
  <c r="Q62" i="17"/>
  <c r="R62" i="17" s="1"/>
  <c r="S62" i="17" s="1"/>
  <c r="Q50" i="17"/>
  <c r="R50" i="17" s="1"/>
  <c r="S50" i="17" s="1"/>
  <c r="Q38" i="17"/>
  <c r="R38" i="17" s="1"/>
  <c r="S38" i="17" s="1"/>
  <c r="Q26" i="17"/>
  <c r="R26" i="17" s="1"/>
  <c r="S26" i="17" s="1"/>
  <c r="Q14" i="17"/>
  <c r="R14" i="17" s="1"/>
  <c r="S14" i="17" s="1"/>
  <c r="Q2" i="17"/>
  <c r="R2" i="17" s="1"/>
  <c r="S2" i="17" s="1"/>
  <c r="S1022" i="17"/>
  <c r="S780" i="17"/>
  <c r="S636" i="17"/>
  <c r="S492" i="17"/>
  <c r="S348" i="17"/>
  <c r="S192" i="17"/>
  <c r="Q973" i="17"/>
  <c r="R973" i="17" s="1"/>
  <c r="S973" i="17" s="1"/>
  <c r="Q949" i="17"/>
  <c r="R949" i="17" s="1"/>
  <c r="S949" i="17" s="1"/>
  <c r="Q937" i="17"/>
  <c r="R937" i="17" s="1"/>
  <c r="S937" i="17" s="1"/>
  <c r="Q925" i="17"/>
  <c r="R925" i="17" s="1"/>
  <c r="S925" i="17" s="1"/>
  <c r="Q901" i="17"/>
  <c r="R901" i="17" s="1"/>
  <c r="S901" i="17" s="1"/>
  <c r="Q889" i="17"/>
  <c r="R889" i="17" s="1"/>
  <c r="S889" i="17" s="1"/>
  <c r="Q877" i="17"/>
  <c r="R877" i="17" s="1"/>
  <c r="S877" i="17" s="1"/>
  <c r="Q853" i="17"/>
  <c r="R853" i="17" s="1"/>
  <c r="S853" i="17" s="1"/>
  <c r="Q841" i="17"/>
  <c r="R841" i="17" s="1"/>
  <c r="S841" i="17"/>
  <c r="Q829" i="17"/>
  <c r="R829" i="17" s="1"/>
  <c r="S829" i="17" s="1"/>
  <c r="Q805" i="17"/>
  <c r="R805" i="17" s="1"/>
  <c r="S805" i="17" s="1"/>
  <c r="Q793" i="17"/>
  <c r="R793" i="17" s="1"/>
  <c r="S793" i="17" s="1"/>
  <c r="Q781" i="17"/>
  <c r="R781" i="17" s="1"/>
  <c r="S781" i="17" s="1"/>
  <c r="Q757" i="17"/>
  <c r="R757" i="17" s="1"/>
  <c r="S757" i="17" s="1"/>
  <c r="Q745" i="17"/>
  <c r="R745" i="17" s="1"/>
  <c r="S745" i="17" s="1"/>
  <c r="Q733" i="17"/>
  <c r="R733" i="17" s="1"/>
  <c r="S733" i="17" s="1"/>
  <c r="Q709" i="17"/>
  <c r="R709" i="17" s="1"/>
  <c r="S709" i="17" s="1"/>
  <c r="Q697" i="17"/>
  <c r="R697" i="17" s="1"/>
  <c r="S697" i="17" s="1"/>
  <c r="Q685" i="17"/>
  <c r="R685" i="17" s="1"/>
  <c r="S685" i="17" s="1"/>
  <c r="Q661" i="17"/>
  <c r="R661" i="17" s="1"/>
  <c r="S661" i="17" s="1"/>
  <c r="Q649" i="17"/>
  <c r="R649" i="17" s="1"/>
  <c r="S649" i="17"/>
  <c r="Q637" i="17"/>
  <c r="R637" i="17" s="1"/>
  <c r="S637" i="17" s="1"/>
  <c r="Q613" i="17"/>
  <c r="R613" i="17" s="1"/>
  <c r="S613" i="17" s="1"/>
  <c r="Q601" i="17"/>
  <c r="R601" i="17" s="1"/>
  <c r="S601" i="17" s="1"/>
  <c r="Q589" i="17"/>
  <c r="R589" i="17" s="1"/>
  <c r="S589" i="17" s="1"/>
  <c r="Q565" i="17"/>
  <c r="R565" i="17" s="1"/>
  <c r="S565" i="17" s="1"/>
  <c r="Q553" i="17"/>
  <c r="R553" i="17" s="1"/>
  <c r="S553" i="17" s="1"/>
  <c r="Q541" i="17"/>
  <c r="R541" i="17" s="1"/>
  <c r="S541" i="17" s="1"/>
  <c r="Q517" i="17"/>
  <c r="R517" i="17" s="1"/>
  <c r="S517" i="17" s="1"/>
  <c r="Q505" i="17"/>
  <c r="R505" i="17" s="1"/>
  <c r="S505" i="17" s="1"/>
  <c r="Q493" i="17"/>
  <c r="R493" i="17" s="1"/>
  <c r="S493" i="17" s="1"/>
  <c r="Q469" i="17"/>
  <c r="R469" i="17" s="1"/>
  <c r="S469" i="17" s="1"/>
  <c r="Q457" i="17"/>
  <c r="R457" i="17" s="1"/>
  <c r="S457" i="17"/>
  <c r="Q445" i="17"/>
  <c r="R445" i="17" s="1"/>
  <c r="S445" i="17" s="1"/>
  <c r="Q421" i="17"/>
  <c r="R421" i="17" s="1"/>
  <c r="S421" i="17" s="1"/>
  <c r="Q409" i="17"/>
  <c r="R409" i="17" s="1"/>
  <c r="S409" i="17" s="1"/>
  <c r="Q397" i="17"/>
  <c r="R397" i="17" s="1"/>
  <c r="S397" i="17" s="1"/>
  <c r="Q373" i="17"/>
  <c r="R373" i="17" s="1"/>
  <c r="S373" i="17" s="1"/>
  <c r="Q361" i="17"/>
  <c r="R361" i="17" s="1"/>
  <c r="S361" i="17" s="1"/>
  <c r="Q349" i="17"/>
  <c r="R349" i="17" s="1"/>
  <c r="S349" i="17" s="1"/>
  <c r="Q325" i="17"/>
  <c r="R325" i="17" s="1"/>
  <c r="S325" i="17" s="1"/>
  <c r="Q313" i="17"/>
  <c r="R313" i="17" s="1"/>
  <c r="S313" i="17" s="1"/>
  <c r="Q301" i="17"/>
  <c r="R301" i="17" s="1"/>
  <c r="S301" i="17" s="1"/>
  <c r="Q277" i="17"/>
  <c r="R277" i="17" s="1"/>
  <c r="S277" i="17" s="1"/>
  <c r="Q265" i="17"/>
  <c r="R265" i="17" s="1"/>
  <c r="S265" i="17" s="1"/>
  <c r="Q253" i="17"/>
  <c r="R253" i="17" s="1"/>
  <c r="S253" i="17" s="1"/>
  <c r="Q229" i="17"/>
  <c r="R229" i="17" s="1"/>
  <c r="S229" i="17" s="1"/>
  <c r="Q217" i="17"/>
  <c r="R217" i="17" s="1"/>
  <c r="S217" i="17" s="1"/>
  <c r="Q205" i="17"/>
  <c r="R205" i="17" s="1"/>
  <c r="S205" i="17" s="1"/>
  <c r="Q181" i="17"/>
  <c r="R181" i="17" s="1"/>
  <c r="S181" i="17" s="1"/>
  <c r="Q169" i="17"/>
  <c r="R169" i="17" s="1"/>
  <c r="S169" i="17" s="1"/>
  <c r="Q157" i="17"/>
  <c r="R157" i="17" s="1"/>
  <c r="S157" i="17" s="1"/>
  <c r="Q133" i="17"/>
  <c r="R133" i="17" s="1"/>
  <c r="S133" i="17" s="1"/>
  <c r="Q121" i="17"/>
  <c r="R121" i="17" s="1"/>
  <c r="S121" i="17" s="1"/>
  <c r="Q109" i="17"/>
  <c r="R109" i="17" s="1"/>
  <c r="S109" i="17" s="1"/>
  <c r="Q85" i="17"/>
  <c r="R85" i="17" s="1"/>
  <c r="S85" i="17" s="1"/>
  <c r="Q73" i="17"/>
  <c r="R73" i="17" s="1"/>
  <c r="S73" i="17" s="1"/>
  <c r="Q61" i="17"/>
  <c r="R61" i="17" s="1"/>
  <c r="S61" i="17" s="1"/>
  <c r="Q37" i="17"/>
  <c r="R37" i="17" s="1"/>
  <c r="S37" i="17" s="1"/>
  <c r="Q25" i="17"/>
  <c r="R25" i="17" s="1"/>
  <c r="S25" i="17" s="1"/>
  <c r="Q13" i="17"/>
  <c r="R13" i="17" s="1"/>
  <c r="S13" i="17" s="1"/>
  <c r="S913" i="17"/>
  <c r="S769" i="17"/>
  <c r="S625" i="17"/>
  <c r="S481" i="17"/>
  <c r="S337" i="17"/>
  <c r="S145" i="17"/>
  <c r="Q804" i="17"/>
  <c r="R804" i="17" s="1"/>
  <c r="S804" i="17" s="1"/>
  <c r="Q792" i="17"/>
  <c r="R792" i="17" s="1"/>
  <c r="S792" i="17" s="1"/>
  <c r="Q756" i="17"/>
  <c r="R756" i="17" s="1"/>
  <c r="S756" i="17" s="1"/>
  <c r="Q744" i="17"/>
  <c r="R744" i="17" s="1"/>
  <c r="S744" i="17" s="1"/>
  <c r="Q708" i="17"/>
  <c r="R708" i="17" s="1"/>
  <c r="S708" i="17" s="1"/>
  <c r="Q696" i="17"/>
  <c r="R696" i="17" s="1"/>
  <c r="S696" i="17" s="1"/>
  <c r="Q660" i="17"/>
  <c r="R660" i="17" s="1"/>
  <c r="S660" i="17" s="1"/>
  <c r="Q648" i="17"/>
  <c r="R648" i="17" s="1"/>
  <c r="S648" i="17" s="1"/>
  <c r="Q612" i="17"/>
  <c r="R612" i="17" s="1"/>
  <c r="S612" i="17" s="1"/>
  <c r="Q600" i="17"/>
  <c r="R600" i="17" s="1"/>
  <c r="S600" i="17" s="1"/>
  <c r="Q564" i="17"/>
  <c r="R564" i="17" s="1"/>
  <c r="S564" i="17" s="1"/>
  <c r="Q552" i="17"/>
  <c r="R552" i="17" s="1"/>
  <c r="S552" i="17" s="1"/>
  <c r="Q516" i="17"/>
  <c r="R516" i="17" s="1"/>
  <c r="S516" i="17" s="1"/>
  <c r="Q504" i="17"/>
  <c r="R504" i="17" s="1"/>
  <c r="S504" i="17" s="1"/>
  <c r="Q468" i="17"/>
  <c r="R468" i="17" s="1"/>
  <c r="S468" i="17" s="1"/>
  <c r="Q456" i="17"/>
  <c r="R456" i="17" s="1"/>
  <c r="S456" i="17" s="1"/>
  <c r="Q420" i="17"/>
  <c r="R420" i="17" s="1"/>
  <c r="S420" i="17"/>
  <c r="Q408" i="17"/>
  <c r="R408" i="17" s="1"/>
  <c r="S408" i="17" s="1"/>
  <c r="Q372" i="17"/>
  <c r="R372" i="17" s="1"/>
  <c r="S372" i="17" s="1"/>
  <c r="Q360" i="17"/>
  <c r="R360" i="17" s="1"/>
  <c r="S360" i="17" s="1"/>
  <c r="Q324" i="17"/>
  <c r="R324" i="17" s="1"/>
  <c r="S324" i="17" s="1"/>
  <c r="Q312" i="17"/>
  <c r="R312" i="17" s="1"/>
  <c r="S312" i="17" s="1"/>
  <c r="Q276" i="17"/>
  <c r="R276" i="17" s="1"/>
  <c r="S276" i="17" s="1"/>
  <c r="Q264" i="17"/>
  <c r="R264" i="17" s="1"/>
  <c r="S264" i="17" s="1"/>
  <c r="Q228" i="17"/>
  <c r="R228" i="17" s="1"/>
  <c r="S228" i="17" s="1"/>
  <c r="Q216" i="17"/>
  <c r="R216" i="17" s="1"/>
  <c r="S216" i="17" s="1"/>
  <c r="Q204" i="17"/>
  <c r="R204" i="17" s="1"/>
  <c r="S204" i="17" s="1"/>
  <c r="Q180" i="17"/>
  <c r="R180" i="17" s="1"/>
  <c r="S180" i="17" s="1"/>
  <c r="Q168" i="17"/>
  <c r="R168" i="17" s="1"/>
  <c r="S168" i="17" s="1"/>
  <c r="Q156" i="17"/>
  <c r="R156" i="17" s="1"/>
  <c r="S156" i="17" s="1"/>
  <c r="Q132" i="17"/>
  <c r="R132" i="17" s="1"/>
  <c r="S132" i="17" s="1"/>
  <c r="Q120" i="17"/>
  <c r="R120" i="17" s="1"/>
  <c r="S120" i="17" s="1"/>
  <c r="Q108" i="17"/>
  <c r="R108" i="17" s="1"/>
  <c r="S108" i="17" s="1"/>
  <c r="Q84" i="17"/>
  <c r="R84" i="17" s="1"/>
  <c r="S84" i="17" s="1"/>
  <c r="Q72" i="17"/>
  <c r="R72" i="17" s="1"/>
  <c r="S72" i="17" s="1"/>
  <c r="Q60" i="17"/>
  <c r="R60" i="17" s="1"/>
  <c r="S60" i="17" s="1"/>
  <c r="Q36" i="17"/>
  <c r="R36" i="17" s="1"/>
  <c r="S36" i="17" s="1"/>
  <c r="Q24" i="17"/>
  <c r="R24" i="17" s="1"/>
  <c r="S24" i="17" s="1"/>
  <c r="Q12" i="17"/>
  <c r="R12" i="17" s="1"/>
  <c r="S12" i="17" s="1"/>
  <c r="S768" i="17"/>
  <c r="S624" i="17"/>
  <c r="S480" i="17"/>
  <c r="S336" i="17"/>
  <c r="S144" i="17"/>
  <c r="Q983" i="17"/>
  <c r="R983" i="17" s="1"/>
  <c r="S983" i="17" s="1"/>
  <c r="Q971" i="17"/>
  <c r="R971" i="17" s="1"/>
  <c r="S971" i="17"/>
  <c r="Q959" i="17"/>
  <c r="R959" i="17" s="1"/>
  <c r="S959" i="17" s="1"/>
  <c r="Q947" i="17"/>
  <c r="R947" i="17" s="1"/>
  <c r="S947" i="17" s="1"/>
  <c r="Q935" i="17"/>
  <c r="R935" i="17" s="1"/>
  <c r="S935" i="17" s="1"/>
  <c r="Q923" i="17"/>
  <c r="R923" i="17" s="1"/>
  <c r="S923" i="17" s="1"/>
  <c r="Q911" i="17"/>
  <c r="R911" i="17" s="1"/>
  <c r="S911" i="17" s="1"/>
  <c r="Q899" i="17"/>
  <c r="R899" i="17" s="1"/>
  <c r="S899" i="17"/>
  <c r="Q887" i="17"/>
  <c r="R887" i="17" s="1"/>
  <c r="S887" i="17" s="1"/>
  <c r="Q875" i="17"/>
  <c r="R875" i="17" s="1"/>
  <c r="S875" i="17" s="1"/>
  <c r="Q863" i="17"/>
  <c r="R863" i="17" s="1"/>
  <c r="S863" i="17" s="1"/>
  <c r="Q851" i="17"/>
  <c r="R851" i="17" s="1"/>
  <c r="S851" i="17" s="1"/>
  <c r="Q839" i="17"/>
  <c r="R839" i="17" s="1"/>
  <c r="S839" i="17" s="1"/>
  <c r="Q827" i="17"/>
  <c r="R827" i="17" s="1"/>
  <c r="S827" i="17" s="1"/>
  <c r="Q815" i="17"/>
  <c r="R815" i="17" s="1"/>
  <c r="S815" i="17" s="1"/>
  <c r="Q803" i="17"/>
  <c r="R803" i="17" s="1"/>
  <c r="S803" i="17" s="1"/>
  <c r="Q791" i="17"/>
  <c r="R791" i="17" s="1"/>
  <c r="S791" i="17" s="1"/>
  <c r="Q779" i="17"/>
  <c r="R779" i="17" s="1"/>
  <c r="S779" i="17" s="1"/>
  <c r="Q767" i="17"/>
  <c r="R767" i="17" s="1"/>
  <c r="S767" i="17" s="1"/>
  <c r="Q755" i="17"/>
  <c r="R755" i="17" s="1"/>
  <c r="S755" i="17" s="1"/>
  <c r="Q743" i="17"/>
  <c r="R743" i="17" s="1"/>
  <c r="S743" i="17" s="1"/>
  <c r="Q731" i="17"/>
  <c r="R731" i="17" s="1"/>
  <c r="S731" i="17" s="1"/>
  <c r="Q719" i="17"/>
  <c r="R719" i="17" s="1"/>
  <c r="S719" i="17" s="1"/>
  <c r="Q707" i="17"/>
  <c r="R707" i="17" s="1"/>
  <c r="S707" i="17" s="1"/>
  <c r="Q695" i="17"/>
  <c r="R695" i="17" s="1"/>
  <c r="S695" i="17" s="1"/>
  <c r="Q683" i="17"/>
  <c r="R683" i="17" s="1"/>
  <c r="S683" i="17"/>
  <c r="Q671" i="17"/>
  <c r="R671" i="17" s="1"/>
  <c r="S671" i="17" s="1"/>
  <c r="Q659" i="17"/>
  <c r="R659" i="17" s="1"/>
  <c r="S659" i="17" s="1"/>
  <c r="Q647" i="17"/>
  <c r="R647" i="17" s="1"/>
  <c r="S647" i="17"/>
  <c r="Q635" i="17"/>
  <c r="R635" i="17" s="1"/>
  <c r="S635" i="17" s="1"/>
  <c r="Q623" i="17"/>
  <c r="R623" i="17" s="1"/>
  <c r="S623" i="17" s="1"/>
  <c r="Q611" i="17"/>
  <c r="R611" i="17" s="1"/>
  <c r="S611" i="17"/>
  <c r="Q599" i="17"/>
  <c r="R599" i="17" s="1"/>
  <c r="S599" i="17" s="1"/>
  <c r="Q587" i="17"/>
  <c r="R587" i="17" s="1"/>
  <c r="S587" i="17" s="1"/>
  <c r="Q575" i="17"/>
  <c r="R575" i="17" s="1"/>
  <c r="S575" i="17" s="1"/>
  <c r="Q563" i="17"/>
  <c r="R563" i="17" s="1"/>
  <c r="S563" i="17" s="1"/>
  <c r="Q551" i="17"/>
  <c r="R551" i="17" s="1"/>
  <c r="S551" i="17" s="1"/>
  <c r="Q539" i="17"/>
  <c r="R539" i="17" s="1"/>
  <c r="S539" i="17"/>
  <c r="Q527" i="17"/>
  <c r="R527" i="17" s="1"/>
  <c r="S527" i="17" s="1"/>
  <c r="Q515" i="17"/>
  <c r="R515" i="17" s="1"/>
  <c r="S515" i="17" s="1"/>
  <c r="Q503" i="17"/>
  <c r="R503" i="17" s="1"/>
  <c r="S503" i="17" s="1"/>
  <c r="Q491" i="17"/>
  <c r="R491" i="17" s="1"/>
  <c r="S491" i="17" s="1"/>
  <c r="Q479" i="17"/>
  <c r="R479" i="17" s="1"/>
  <c r="S479" i="17" s="1"/>
  <c r="Q467" i="17"/>
  <c r="R467" i="17" s="1"/>
  <c r="S467" i="17"/>
  <c r="Q455" i="17"/>
  <c r="R455" i="17" s="1"/>
  <c r="S455" i="17" s="1"/>
  <c r="Q443" i="17"/>
  <c r="R443" i="17" s="1"/>
  <c r="S443" i="17" s="1"/>
  <c r="Q431" i="17"/>
  <c r="R431" i="17" s="1"/>
  <c r="S431" i="17" s="1"/>
  <c r="Q419" i="17"/>
  <c r="R419" i="17" s="1"/>
  <c r="S419" i="17" s="1"/>
  <c r="Q407" i="17"/>
  <c r="R407" i="17" s="1"/>
  <c r="S407" i="17" s="1"/>
  <c r="Q395" i="17"/>
  <c r="R395" i="17" s="1"/>
  <c r="S395" i="17" s="1"/>
  <c r="Q383" i="17"/>
  <c r="R383" i="17" s="1"/>
  <c r="S383" i="17" s="1"/>
  <c r="Q371" i="17"/>
  <c r="R371" i="17" s="1"/>
  <c r="S371" i="17" s="1"/>
  <c r="Q359" i="17"/>
  <c r="R359" i="17" s="1"/>
  <c r="S359" i="17" s="1"/>
  <c r="Q347" i="17"/>
  <c r="R347" i="17" s="1"/>
  <c r="S347" i="17" s="1"/>
  <c r="Q335" i="17"/>
  <c r="R335" i="17" s="1"/>
  <c r="S335" i="17" s="1"/>
  <c r="Q323" i="17"/>
  <c r="R323" i="17" s="1"/>
  <c r="S323" i="17" s="1"/>
  <c r="Q311" i="17"/>
  <c r="R311" i="17" s="1"/>
  <c r="S311" i="17" s="1"/>
  <c r="Q299" i="17"/>
  <c r="R299" i="17" s="1"/>
  <c r="S299" i="17" s="1"/>
  <c r="Q287" i="17"/>
  <c r="R287" i="17" s="1"/>
  <c r="S287" i="17" s="1"/>
  <c r="Q275" i="17"/>
  <c r="R275" i="17" s="1"/>
  <c r="S275" i="17" s="1"/>
  <c r="Q263" i="17"/>
  <c r="R263" i="17" s="1"/>
  <c r="S263" i="17" s="1"/>
  <c r="Q251" i="17"/>
  <c r="R251" i="17" s="1"/>
  <c r="S251" i="17"/>
  <c r="Q239" i="17"/>
  <c r="R239" i="17" s="1"/>
  <c r="S239" i="17" s="1"/>
  <c r="Q227" i="17"/>
  <c r="R227" i="17" s="1"/>
  <c r="S227" i="17" s="1"/>
  <c r="Q215" i="17"/>
  <c r="R215" i="17" s="1"/>
  <c r="S215" i="17"/>
  <c r="Q203" i="17"/>
  <c r="R203" i="17" s="1"/>
  <c r="S203" i="17" s="1"/>
  <c r="Q191" i="17"/>
  <c r="R191" i="17" s="1"/>
  <c r="S191" i="17" s="1"/>
  <c r="Q179" i="17"/>
  <c r="R179" i="17" s="1"/>
  <c r="S179" i="17"/>
  <c r="Q167" i="17"/>
  <c r="R167" i="17" s="1"/>
  <c r="S167" i="17" s="1"/>
  <c r="Q155" i="17"/>
  <c r="R155" i="17" s="1"/>
  <c r="S155" i="17" s="1"/>
  <c r="Q143" i="17"/>
  <c r="R143" i="17" s="1"/>
  <c r="S143" i="17" s="1"/>
  <c r="Q131" i="17"/>
  <c r="R131" i="17" s="1"/>
  <c r="S131" i="17" s="1"/>
  <c r="Q119" i="17"/>
  <c r="R119" i="17" s="1"/>
  <c r="S119" i="17" s="1"/>
  <c r="Q107" i="17"/>
  <c r="R107" i="17" s="1"/>
  <c r="S107" i="17"/>
  <c r="Q95" i="17"/>
  <c r="R95" i="17" s="1"/>
  <c r="S95" i="17" s="1"/>
  <c r="Q83" i="17"/>
  <c r="R83" i="17" s="1"/>
  <c r="S83" i="17" s="1"/>
  <c r="Q71" i="17"/>
  <c r="R71" i="17" s="1"/>
  <c r="S71" i="17" s="1"/>
  <c r="Q59" i="17"/>
  <c r="R59" i="17" s="1"/>
  <c r="S59" i="17" s="1"/>
  <c r="Q47" i="17"/>
  <c r="R47" i="17" s="1"/>
  <c r="S47" i="17" s="1"/>
  <c r="Q35" i="17"/>
  <c r="R35" i="17" s="1"/>
  <c r="S35" i="17"/>
  <c r="Q23" i="17"/>
  <c r="R23" i="17" s="1"/>
  <c r="S23" i="17" s="1"/>
  <c r="Q11" i="17"/>
  <c r="R11" i="17" s="1"/>
  <c r="S11" i="17" s="1"/>
  <c r="S1000" i="17"/>
  <c r="S741" i="17"/>
  <c r="S597" i="17"/>
  <c r="S453" i="17"/>
  <c r="S309" i="17"/>
  <c r="S97" i="17"/>
  <c r="Q1078" i="17"/>
  <c r="R1078" i="17" s="1"/>
  <c r="S1078" i="17" s="1"/>
  <c r="Q1066" i="17"/>
  <c r="R1066" i="17" s="1"/>
  <c r="S1066" i="17" s="1"/>
  <c r="Q1054" i="17"/>
  <c r="R1054" i="17" s="1"/>
  <c r="S1054" i="17" s="1"/>
  <c r="Q1042" i="17"/>
  <c r="R1042" i="17" s="1"/>
  <c r="S1042" i="17" s="1"/>
  <c r="Q1030" i="17"/>
  <c r="R1030" i="17" s="1"/>
  <c r="S1030" i="17" s="1"/>
  <c r="Q1018" i="17"/>
  <c r="R1018" i="17" s="1"/>
  <c r="S1018" i="17" s="1"/>
  <c r="Q1006" i="17"/>
  <c r="R1006" i="17" s="1"/>
  <c r="S1006" i="17" s="1"/>
  <c r="Q994" i="17"/>
  <c r="R994" i="17" s="1"/>
  <c r="S994" i="17" s="1"/>
  <c r="Q982" i="17"/>
  <c r="R982" i="17" s="1"/>
  <c r="S982" i="17"/>
  <c r="Q970" i="17"/>
  <c r="R970" i="17" s="1"/>
  <c r="S970" i="17"/>
  <c r="Q958" i="17"/>
  <c r="R958" i="17" s="1"/>
  <c r="S958" i="17" s="1"/>
  <c r="Q946" i="17"/>
  <c r="R946" i="17" s="1"/>
  <c r="S946" i="17" s="1"/>
  <c r="Q934" i="17"/>
  <c r="R934" i="17" s="1"/>
  <c r="S934" i="17" s="1"/>
  <c r="Q922" i="17"/>
  <c r="R922" i="17" s="1"/>
  <c r="S922" i="17" s="1"/>
  <c r="Q910" i="17"/>
  <c r="R910" i="17" s="1"/>
  <c r="S910" i="17" s="1"/>
  <c r="Q898" i="17"/>
  <c r="R898" i="17" s="1"/>
  <c r="S898" i="17" s="1"/>
  <c r="Q886" i="17"/>
  <c r="R886" i="17" s="1"/>
  <c r="S886" i="17" s="1"/>
  <c r="Q874" i="17"/>
  <c r="R874" i="17" s="1"/>
  <c r="S874" i="17" s="1"/>
  <c r="Q862" i="17"/>
  <c r="R862" i="17" s="1"/>
  <c r="S862" i="17" s="1"/>
  <c r="Q850" i="17"/>
  <c r="R850" i="17" s="1"/>
  <c r="S850" i="17" s="1"/>
  <c r="Q838" i="17"/>
  <c r="R838" i="17" s="1"/>
  <c r="S838" i="17"/>
  <c r="Q826" i="17"/>
  <c r="R826" i="17" s="1"/>
  <c r="S826" i="17" s="1"/>
  <c r="Q814" i="17"/>
  <c r="R814" i="17" s="1"/>
  <c r="S814" i="17" s="1"/>
  <c r="Q802" i="17"/>
  <c r="R802" i="17" s="1"/>
  <c r="S802" i="17" s="1"/>
  <c r="Q790" i="17"/>
  <c r="R790" i="17" s="1"/>
  <c r="S790" i="17" s="1"/>
  <c r="Q778" i="17"/>
  <c r="R778" i="17" s="1"/>
  <c r="S778" i="17" s="1"/>
  <c r="Q766" i="17"/>
  <c r="R766" i="17" s="1"/>
  <c r="S766" i="17" s="1"/>
  <c r="Q754" i="17"/>
  <c r="R754" i="17" s="1"/>
  <c r="S754" i="17"/>
  <c r="Q742" i="17"/>
  <c r="R742" i="17" s="1"/>
  <c r="S742" i="17" s="1"/>
  <c r="Q730" i="17"/>
  <c r="R730" i="17" s="1"/>
  <c r="S730" i="17"/>
  <c r="Q718" i="17"/>
  <c r="R718" i="17" s="1"/>
  <c r="S718" i="17" s="1"/>
  <c r="Q706" i="17"/>
  <c r="R706" i="17" s="1"/>
  <c r="S706" i="17" s="1"/>
  <c r="Q694" i="17"/>
  <c r="R694" i="17" s="1"/>
  <c r="S694" i="17"/>
  <c r="Q682" i="17"/>
  <c r="R682" i="17" s="1"/>
  <c r="S682" i="17" s="1"/>
  <c r="Q670" i="17"/>
  <c r="R670" i="17" s="1"/>
  <c r="S670" i="17" s="1"/>
  <c r="Q658" i="17"/>
  <c r="R658" i="17" s="1"/>
  <c r="S658" i="17" s="1"/>
  <c r="Q646" i="17"/>
  <c r="R646" i="17" s="1"/>
  <c r="S646" i="17" s="1"/>
  <c r="Q634" i="17"/>
  <c r="R634" i="17" s="1"/>
  <c r="S634" i="17" s="1"/>
  <c r="Q622" i="17"/>
  <c r="R622" i="17" s="1"/>
  <c r="S622" i="17" s="1"/>
  <c r="Q610" i="17"/>
  <c r="R610" i="17" s="1"/>
  <c r="S610" i="17" s="1"/>
  <c r="Q598" i="17"/>
  <c r="R598" i="17" s="1"/>
  <c r="S598" i="17" s="1"/>
  <c r="Q586" i="17"/>
  <c r="R586" i="17" s="1"/>
  <c r="S586" i="17" s="1"/>
  <c r="Q574" i="17"/>
  <c r="R574" i="17" s="1"/>
  <c r="S574" i="17" s="1"/>
  <c r="Q562" i="17"/>
  <c r="R562" i="17" s="1"/>
  <c r="S562" i="17" s="1"/>
  <c r="Q550" i="17"/>
  <c r="R550" i="17" s="1"/>
  <c r="S550" i="17"/>
  <c r="Q538" i="17"/>
  <c r="R538" i="17" s="1"/>
  <c r="S538" i="17"/>
  <c r="Q526" i="17"/>
  <c r="R526" i="17" s="1"/>
  <c r="S526" i="17" s="1"/>
  <c r="Q514" i="17"/>
  <c r="R514" i="17" s="1"/>
  <c r="S514" i="17" s="1"/>
  <c r="Q502" i="17"/>
  <c r="R502" i="17" s="1"/>
  <c r="S502" i="17" s="1"/>
  <c r="Q490" i="17"/>
  <c r="R490" i="17" s="1"/>
  <c r="S490" i="17" s="1"/>
  <c r="Q478" i="17"/>
  <c r="R478" i="17" s="1"/>
  <c r="S478" i="17" s="1"/>
  <c r="Q466" i="17"/>
  <c r="R466" i="17" s="1"/>
  <c r="S466" i="17" s="1"/>
  <c r="Q454" i="17"/>
  <c r="R454" i="17" s="1"/>
  <c r="S454" i="17" s="1"/>
  <c r="Q442" i="17"/>
  <c r="R442" i="17" s="1"/>
  <c r="S442" i="17" s="1"/>
  <c r="Q430" i="17"/>
  <c r="R430" i="17" s="1"/>
  <c r="S430" i="17" s="1"/>
  <c r="Q418" i="17"/>
  <c r="R418" i="17" s="1"/>
  <c r="S418" i="17" s="1"/>
  <c r="Q406" i="17"/>
  <c r="R406" i="17" s="1"/>
  <c r="S406" i="17"/>
  <c r="Q394" i="17"/>
  <c r="R394" i="17" s="1"/>
  <c r="S394" i="17" s="1"/>
  <c r="Q382" i="17"/>
  <c r="R382" i="17" s="1"/>
  <c r="S382" i="17" s="1"/>
  <c r="Q370" i="17"/>
  <c r="R370" i="17" s="1"/>
  <c r="S370" i="17" s="1"/>
  <c r="Q358" i="17"/>
  <c r="R358" i="17" s="1"/>
  <c r="S358" i="17" s="1"/>
  <c r="Q346" i="17"/>
  <c r="R346" i="17" s="1"/>
  <c r="S346" i="17" s="1"/>
  <c r="Q334" i="17"/>
  <c r="R334" i="17" s="1"/>
  <c r="S334" i="17" s="1"/>
  <c r="Q322" i="17"/>
  <c r="R322" i="17" s="1"/>
  <c r="S322" i="17"/>
  <c r="Q310" i="17"/>
  <c r="R310" i="17" s="1"/>
  <c r="S310" i="17" s="1"/>
  <c r="Q298" i="17"/>
  <c r="R298" i="17" s="1"/>
  <c r="S298" i="17"/>
  <c r="Q286" i="17"/>
  <c r="R286" i="17" s="1"/>
  <c r="S286" i="17" s="1"/>
  <c r="Q274" i="17"/>
  <c r="R274" i="17" s="1"/>
  <c r="S274" i="17" s="1"/>
  <c r="Q262" i="17"/>
  <c r="R262" i="17" s="1"/>
  <c r="S262" i="17"/>
  <c r="Q250" i="17"/>
  <c r="R250" i="17" s="1"/>
  <c r="S250" i="17" s="1"/>
  <c r="Q238" i="17"/>
  <c r="R238" i="17" s="1"/>
  <c r="S238" i="17" s="1"/>
  <c r="Q226" i="17"/>
  <c r="R226" i="17" s="1"/>
  <c r="S226" i="17" s="1"/>
  <c r="Q214" i="17"/>
  <c r="R214" i="17" s="1"/>
  <c r="S214" i="17" s="1"/>
  <c r="Q202" i="17"/>
  <c r="R202" i="17" s="1"/>
  <c r="S202" i="17" s="1"/>
  <c r="Q190" i="17"/>
  <c r="R190" i="17" s="1"/>
  <c r="S190" i="17" s="1"/>
  <c r="Q178" i="17"/>
  <c r="R178" i="17" s="1"/>
  <c r="S178" i="17" s="1"/>
  <c r="Q166" i="17"/>
  <c r="R166" i="17" s="1"/>
  <c r="S166" i="17" s="1"/>
  <c r="Q154" i="17"/>
  <c r="R154" i="17" s="1"/>
  <c r="S154" i="17"/>
  <c r="Q142" i="17"/>
  <c r="R142" i="17" s="1"/>
  <c r="S142" i="17" s="1"/>
  <c r="Q130" i="17"/>
  <c r="R130" i="17" s="1"/>
  <c r="S130" i="17" s="1"/>
  <c r="Q118" i="17"/>
  <c r="R118" i="17" s="1"/>
  <c r="S118" i="17" s="1"/>
  <c r="Q106" i="17"/>
  <c r="R106" i="17" s="1"/>
  <c r="S106" i="17" s="1"/>
  <c r="Q94" i="17"/>
  <c r="R94" i="17" s="1"/>
  <c r="S94" i="17" s="1"/>
  <c r="Q82" i="17"/>
  <c r="R82" i="17" s="1"/>
  <c r="S82" i="17" s="1"/>
  <c r="Q70" i="17"/>
  <c r="R70" i="17" s="1"/>
  <c r="S70" i="17"/>
  <c r="Q58" i="17"/>
  <c r="R58" i="17" s="1"/>
  <c r="S58" i="17" s="1"/>
  <c r="Q46" i="17"/>
  <c r="R46" i="17" s="1"/>
  <c r="S46" i="17" s="1"/>
  <c r="Q34" i="17"/>
  <c r="R34" i="17" s="1"/>
  <c r="S34" i="17" s="1"/>
  <c r="Q22" i="17"/>
  <c r="R22" i="17" s="1"/>
  <c r="S22" i="17" s="1"/>
  <c r="Q10" i="17"/>
  <c r="R10" i="17" s="1"/>
  <c r="S10" i="17" s="1"/>
  <c r="S1046" i="17"/>
  <c r="S732" i="17"/>
  <c r="S588" i="17"/>
  <c r="S444" i="17"/>
  <c r="S300" i="17"/>
  <c r="S96" i="17"/>
  <c r="Q777" i="17"/>
  <c r="R777" i="17" s="1"/>
  <c r="S777" i="17" s="1"/>
  <c r="Q765" i="17"/>
  <c r="R765" i="17" s="1"/>
  <c r="S765" i="17" s="1"/>
  <c r="Q753" i="17"/>
  <c r="R753" i="17" s="1"/>
  <c r="S753" i="17" s="1"/>
  <c r="Q729" i="17"/>
  <c r="R729" i="17" s="1"/>
  <c r="S729" i="17" s="1"/>
  <c r="Q717" i="17"/>
  <c r="R717" i="17" s="1"/>
  <c r="S717" i="17" s="1"/>
  <c r="Q705" i="17"/>
  <c r="R705" i="17" s="1"/>
  <c r="S705" i="17" s="1"/>
  <c r="Q681" i="17"/>
  <c r="R681" i="17" s="1"/>
  <c r="S681" i="17" s="1"/>
  <c r="Q669" i="17"/>
  <c r="R669" i="17" s="1"/>
  <c r="S669" i="17" s="1"/>
  <c r="Q657" i="17"/>
  <c r="R657" i="17" s="1"/>
  <c r="S657" i="17" s="1"/>
  <c r="Q633" i="17"/>
  <c r="R633" i="17" s="1"/>
  <c r="S633" i="17" s="1"/>
  <c r="Q621" i="17"/>
  <c r="R621" i="17" s="1"/>
  <c r="S621" i="17" s="1"/>
  <c r="Q609" i="17"/>
  <c r="R609" i="17" s="1"/>
  <c r="S609" i="17" s="1"/>
  <c r="Q585" i="17"/>
  <c r="R585" i="17" s="1"/>
  <c r="S585" i="17" s="1"/>
  <c r="Q573" i="17"/>
  <c r="R573" i="17" s="1"/>
  <c r="S573" i="17" s="1"/>
  <c r="Q561" i="17"/>
  <c r="R561" i="17" s="1"/>
  <c r="S561" i="17" s="1"/>
  <c r="Q537" i="17"/>
  <c r="R537" i="17" s="1"/>
  <c r="S537" i="17"/>
  <c r="Q525" i="17"/>
  <c r="R525" i="17" s="1"/>
  <c r="S525" i="17" s="1"/>
  <c r="Q513" i="17"/>
  <c r="R513" i="17" s="1"/>
  <c r="S513" i="17" s="1"/>
  <c r="Q489" i="17"/>
  <c r="R489" i="17" s="1"/>
  <c r="S489" i="17" s="1"/>
  <c r="Q477" i="17"/>
  <c r="R477" i="17" s="1"/>
  <c r="S477" i="17" s="1"/>
  <c r="Q465" i="17"/>
  <c r="R465" i="17" s="1"/>
  <c r="S465" i="17" s="1"/>
  <c r="Q441" i="17"/>
  <c r="R441" i="17" s="1"/>
  <c r="S441" i="17" s="1"/>
  <c r="Q429" i="17"/>
  <c r="R429" i="17" s="1"/>
  <c r="S429" i="17" s="1"/>
  <c r="Q417" i="17"/>
  <c r="R417" i="17" s="1"/>
  <c r="S417" i="17" s="1"/>
  <c r="Q393" i="17"/>
  <c r="R393" i="17" s="1"/>
  <c r="S393" i="17" s="1"/>
  <c r="Q381" i="17"/>
  <c r="R381" i="17" s="1"/>
  <c r="S381" i="17" s="1"/>
  <c r="Q369" i="17"/>
  <c r="R369" i="17" s="1"/>
  <c r="S369" i="17" s="1"/>
  <c r="Q345" i="17"/>
  <c r="R345" i="17" s="1"/>
  <c r="S345" i="17" s="1"/>
  <c r="Q333" i="17"/>
  <c r="R333" i="17" s="1"/>
  <c r="S333" i="17" s="1"/>
  <c r="Q321" i="17"/>
  <c r="R321" i="17" s="1"/>
  <c r="S321" i="17" s="1"/>
  <c r="Q297" i="17"/>
  <c r="R297" i="17" s="1"/>
  <c r="S297" i="17" s="1"/>
  <c r="Q285" i="17"/>
  <c r="R285" i="17" s="1"/>
  <c r="S285" i="17" s="1"/>
  <c r="Q273" i="17"/>
  <c r="R273" i="17" s="1"/>
  <c r="S273" i="17" s="1"/>
  <c r="Q249" i="17"/>
  <c r="R249" i="17" s="1"/>
  <c r="S249" i="17"/>
  <c r="Q237" i="17"/>
  <c r="R237" i="17" s="1"/>
  <c r="S237" i="17" s="1"/>
  <c r="Q225" i="17"/>
  <c r="R225" i="17" s="1"/>
  <c r="S225" i="17" s="1"/>
  <c r="Q213" i="17"/>
  <c r="R213" i="17" s="1"/>
  <c r="S213" i="17" s="1"/>
  <c r="Q201" i="17"/>
  <c r="R201" i="17" s="1"/>
  <c r="S201" i="17" s="1"/>
  <c r="Q189" i="17"/>
  <c r="R189" i="17" s="1"/>
  <c r="S189" i="17" s="1"/>
  <c r="Q177" i="17"/>
  <c r="R177" i="17" s="1"/>
  <c r="S177" i="17" s="1"/>
  <c r="Q165" i="17"/>
  <c r="R165" i="17" s="1"/>
  <c r="S165" i="17" s="1"/>
  <c r="Q153" i="17"/>
  <c r="R153" i="17" s="1"/>
  <c r="S153" i="17" s="1"/>
  <c r="Q141" i="17"/>
  <c r="R141" i="17" s="1"/>
  <c r="S141" i="17" s="1"/>
  <c r="Q129" i="17"/>
  <c r="R129" i="17" s="1"/>
  <c r="S129" i="17" s="1"/>
  <c r="Q117" i="17"/>
  <c r="R117" i="17" s="1"/>
  <c r="S117" i="17" s="1"/>
  <c r="Q105" i="17"/>
  <c r="R105" i="17" s="1"/>
  <c r="S105" i="17" s="1"/>
  <c r="Q93" i="17"/>
  <c r="R93" i="17" s="1"/>
  <c r="S93" i="17" s="1"/>
  <c r="Q81" i="17"/>
  <c r="R81" i="17" s="1"/>
  <c r="S81" i="17" s="1"/>
  <c r="Q69" i="17"/>
  <c r="R69" i="17" s="1"/>
  <c r="S69" i="17" s="1"/>
  <c r="Q57" i="17"/>
  <c r="R57" i="17" s="1"/>
  <c r="S57" i="17" s="1"/>
  <c r="Q45" i="17"/>
  <c r="R45" i="17" s="1"/>
  <c r="S45" i="17" s="1"/>
  <c r="Q33" i="17"/>
  <c r="R33" i="17" s="1"/>
  <c r="S33" i="17" s="1"/>
  <c r="Q21" i="17"/>
  <c r="R21" i="17" s="1"/>
  <c r="S21" i="17" s="1"/>
  <c r="Q9" i="17"/>
  <c r="R9" i="17" s="1"/>
  <c r="S9" i="17" s="1"/>
  <c r="S865" i="17"/>
  <c r="S721" i="17"/>
  <c r="S577" i="17"/>
  <c r="S433" i="17"/>
  <c r="S289" i="17"/>
  <c r="Q1076" i="17"/>
  <c r="R1076" i="17" s="1"/>
  <c r="S1076" i="17" s="1"/>
  <c r="Q1064" i="17"/>
  <c r="R1064" i="17" s="1"/>
  <c r="S1064" i="17" s="1"/>
  <c r="Q1052" i="17"/>
  <c r="R1052" i="17" s="1"/>
  <c r="S1052" i="17" s="1"/>
  <c r="Q1040" i="17"/>
  <c r="R1040" i="17" s="1"/>
  <c r="S1040" i="17"/>
  <c r="Q1028" i="17"/>
  <c r="R1028" i="17" s="1"/>
  <c r="S1028" i="17" s="1"/>
  <c r="Q1016" i="17"/>
  <c r="R1016" i="17" s="1"/>
  <c r="S1016" i="17" s="1"/>
  <c r="Q1004" i="17"/>
  <c r="R1004" i="17" s="1"/>
  <c r="S1004" i="17"/>
  <c r="Q992" i="17"/>
  <c r="R992" i="17" s="1"/>
  <c r="S992" i="17" s="1"/>
  <c r="Q980" i="17"/>
  <c r="R980" i="17" s="1"/>
  <c r="S980" i="17" s="1"/>
  <c r="Q968" i="17"/>
  <c r="R968" i="17" s="1"/>
  <c r="S968" i="17" s="1"/>
  <c r="Q956" i="17"/>
  <c r="R956" i="17" s="1"/>
  <c r="S956" i="17" s="1"/>
  <c r="Q944" i="17"/>
  <c r="R944" i="17" s="1"/>
  <c r="S944" i="17" s="1"/>
  <c r="Q932" i="17"/>
  <c r="R932" i="17" s="1"/>
  <c r="S932" i="17" s="1"/>
  <c r="Q920" i="17"/>
  <c r="R920" i="17" s="1"/>
  <c r="S920" i="17" s="1"/>
  <c r="Q908" i="17"/>
  <c r="R908" i="17" s="1"/>
  <c r="S908" i="17" s="1"/>
  <c r="Q896" i="17"/>
  <c r="R896" i="17" s="1"/>
  <c r="S896" i="17" s="1"/>
  <c r="Q884" i="17"/>
  <c r="R884" i="17" s="1"/>
  <c r="S884" i="17" s="1"/>
  <c r="Q872" i="17"/>
  <c r="R872" i="17" s="1"/>
  <c r="S872" i="17"/>
  <c r="Q860" i="17"/>
  <c r="R860" i="17" s="1"/>
  <c r="S860" i="17" s="1"/>
  <c r="Q848" i="17"/>
  <c r="R848" i="17" s="1"/>
  <c r="S848" i="17" s="1"/>
  <c r="Q836" i="17"/>
  <c r="R836" i="17" s="1"/>
  <c r="S836" i="17" s="1"/>
  <c r="Q824" i="17"/>
  <c r="R824" i="17" s="1"/>
  <c r="S824" i="17" s="1"/>
  <c r="Q812" i="17"/>
  <c r="R812" i="17" s="1"/>
  <c r="S812" i="17"/>
  <c r="Q800" i="17"/>
  <c r="R800" i="17" s="1"/>
  <c r="S800" i="17" s="1"/>
  <c r="Q788" i="17"/>
  <c r="R788" i="17" s="1"/>
  <c r="S788" i="17" s="1"/>
  <c r="Q776" i="17"/>
  <c r="R776" i="17" s="1"/>
  <c r="S776" i="17" s="1"/>
  <c r="Q764" i="17"/>
  <c r="R764" i="17" s="1"/>
  <c r="S764" i="17" s="1"/>
  <c r="Q752" i="17"/>
  <c r="R752" i="17" s="1"/>
  <c r="S752" i="17" s="1"/>
  <c r="Q740" i="17"/>
  <c r="R740" i="17" s="1"/>
  <c r="S740" i="17" s="1"/>
  <c r="Q728" i="17"/>
  <c r="R728" i="17" s="1"/>
  <c r="S728" i="17" s="1"/>
  <c r="Q716" i="17"/>
  <c r="R716" i="17" s="1"/>
  <c r="S716" i="17" s="1"/>
  <c r="Q704" i="17"/>
  <c r="R704" i="17" s="1"/>
  <c r="S704" i="17" s="1"/>
  <c r="Q692" i="17"/>
  <c r="R692" i="17" s="1"/>
  <c r="S692" i="17" s="1"/>
  <c r="Q680" i="17"/>
  <c r="R680" i="17" s="1"/>
  <c r="S680" i="17" s="1"/>
  <c r="Q668" i="17"/>
  <c r="R668" i="17" s="1"/>
  <c r="S668" i="17" s="1"/>
  <c r="Q656" i="17"/>
  <c r="R656" i="17" s="1"/>
  <c r="S656" i="17" s="1"/>
  <c r="Q644" i="17"/>
  <c r="R644" i="17" s="1"/>
  <c r="S644" i="17" s="1"/>
  <c r="Q632" i="17"/>
  <c r="R632" i="17" s="1"/>
  <c r="S632" i="17" s="1"/>
  <c r="Q620" i="17"/>
  <c r="R620" i="17" s="1"/>
  <c r="S620" i="17" s="1"/>
  <c r="Q608" i="17"/>
  <c r="R608" i="17" s="1"/>
  <c r="S608" i="17" s="1"/>
  <c r="Q596" i="17"/>
  <c r="R596" i="17" s="1"/>
  <c r="S596" i="17"/>
  <c r="Q584" i="17"/>
  <c r="R584" i="17" s="1"/>
  <c r="S584" i="17"/>
  <c r="Q572" i="17"/>
  <c r="R572" i="17" s="1"/>
  <c r="S572" i="17" s="1"/>
  <c r="Q560" i="17"/>
  <c r="R560" i="17" s="1"/>
  <c r="S560" i="17" s="1"/>
  <c r="Q548" i="17"/>
  <c r="R548" i="17" s="1"/>
  <c r="S548" i="17" s="1"/>
  <c r="Q536" i="17"/>
  <c r="R536" i="17" s="1"/>
  <c r="S536" i="17" s="1"/>
  <c r="Q524" i="17"/>
  <c r="R524" i="17" s="1"/>
  <c r="S524" i="17" s="1"/>
  <c r="Q512" i="17"/>
  <c r="R512" i="17" s="1"/>
  <c r="S512" i="17" s="1"/>
  <c r="Q500" i="17"/>
  <c r="R500" i="17" s="1"/>
  <c r="S500" i="17" s="1"/>
  <c r="Q488" i="17"/>
  <c r="R488" i="17" s="1"/>
  <c r="S488" i="17" s="1"/>
  <c r="Q476" i="17"/>
  <c r="R476" i="17" s="1"/>
  <c r="S476" i="17" s="1"/>
  <c r="Q464" i="17"/>
  <c r="R464" i="17" s="1"/>
  <c r="S464" i="17" s="1"/>
  <c r="Q452" i="17"/>
  <c r="R452" i="17" s="1"/>
  <c r="S452" i="17" s="1"/>
  <c r="Q440" i="17"/>
  <c r="R440" i="17" s="1"/>
  <c r="S440" i="17" s="1"/>
  <c r="Q428" i="17"/>
  <c r="R428" i="17" s="1"/>
  <c r="S428" i="17"/>
  <c r="Q416" i="17"/>
  <c r="R416" i="17" s="1"/>
  <c r="S416" i="17" s="1"/>
  <c r="Q404" i="17"/>
  <c r="R404" i="17" s="1"/>
  <c r="S404" i="17" s="1"/>
  <c r="Q392" i="17"/>
  <c r="R392" i="17" s="1"/>
  <c r="S392" i="17" s="1"/>
  <c r="Q380" i="17"/>
  <c r="R380" i="17" s="1"/>
  <c r="S380" i="17" s="1"/>
  <c r="Q368" i="17"/>
  <c r="R368" i="17" s="1"/>
  <c r="S368" i="17" s="1"/>
  <c r="Q356" i="17"/>
  <c r="R356" i="17" s="1"/>
  <c r="S356" i="17" s="1"/>
  <c r="Q344" i="17"/>
  <c r="R344" i="17" s="1"/>
  <c r="S344" i="17" s="1"/>
  <c r="Q332" i="17"/>
  <c r="R332" i="17" s="1"/>
  <c r="S332" i="17" s="1"/>
  <c r="Q320" i="17"/>
  <c r="R320" i="17" s="1"/>
  <c r="S320" i="17" s="1"/>
  <c r="Q308" i="17"/>
  <c r="R308" i="17" s="1"/>
  <c r="S308" i="17" s="1"/>
  <c r="Q296" i="17"/>
  <c r="R296" i="17" s="1"/>
  <c r="S296" i="17"/>
  <c r="Q284" i="17"/>
  <c r="R284" i="17" s="1"/>
  <c r="S284" i="17" s="1"/>
  <c r="Q272" i="17"/>
  <c r="R272" i="17" s="1"/>
  <c r="S272" i="17" s="1"/>
  <c r="Q260" i="17"/>
  <c r="R260" i="17" s="1"/>
  <c r="S260" i="17" s="1"/>
  <c r="Q248" i="17"/>
  <c r="R248" i="17" s="1"/>
  <c r="S248" i="17" s="1"/>
  <c r="Q236" i="17"/>
  <c r="R236" i="17" s="1"/>
  <c r="S236" i="17"/>
  <c r="Q224" i="17"/>
  <c r="R224" i="17" s="1"/>
  <c r="S224" i="17" s="1"/>
  <c r="Q212" i="17"/>
  <c r="R212" i="17" s="1"/>
  <c r="S212" i="17" s="1"/>
  <c r="Q200" i="17"/>
  <c r="R200" i="17" s="1"/>
  <c r="S200" i="17" s="1"/>
  <c r="Q188" i="17"/>
  <c r="R188" i="17" s="1"/>
  <c r="S188" i="17" s="1"/>
  <c r="Q176" i="17"/>
  <c r="R176" i="17" s="1"/>
  <c r="S176" i="17" s="1"/>
  <c r="Q164" i="17"/>
  <c r="R164" i="17" s="1"/>
  <c r="S164" i="17" s="1"/>
  <c r="Q152" i="17"/>
  <c r="R152" i="17" s="1"/>
  <c r="S152" i="17" s="1"/>
  <c r="Q140" i="17"/>
  <c r="R140" i="17" s="1"/>
  <c r="S140" i="17" s="1"/>
  <c r="Q128" i="17"/>
  <c r="R128" i="17" s="1"/>
  <c r="S128" i="17" s="1"/>
  <c r="Q116" i="17"/>
  <c r="R116" i="17" s="1"/>
  <c r="S116" i="17" s="1"/>
  <c r="Q104" i="17"/>
  <c r="R104" i="17" s="1"/>
  <c r="S104" i="17" s="1"/>
  <c r="Q92" i="17"/>
  <c r="R92" i="17" s="1"/>
  <c r="S92" i="17" s="1"/>
  <c r="Q80" i="17"/>
  <c r="R80" i="17" s="1"/>
  <c r="S80" i="17" s="1"/>
  <c r="Q68" i="17"/>
  <c r="R68" i="17" s="1"/>
  <c r="S68" i="17" s="1"/>
  <c r="Q56" i="17"/>
  <c r="R56" i="17" s="1"/>
  <c r="S56" i="17" s="1"/>
  <c r="Q44" i="17"/>
  <c r="R44" i="17" s="1"/>
  <c r="S44" i="17" s="1"/>
  <c r="Q32" i="17"/>
  <c r="R32" i="17" s="1"/>
  <c r="S32" i="17" s="1"/>
  <c r="Q20" i="17"/>
  <c r="R20" i="17" s="1"/>
  <c r="S20" i="17"/>
  <c r="Q8" i="17"/>
  <c r="R8" i="17" s="1"/>
  <c r="S8" i="17"/>
  <c r="S988" i="17"/>
  <c r="S720" i="17"/>
  <c r="S576" i="17"/>
  <c r="S432" i="17"/>
  <c r="S288" i="17"/>
  <c r="S48" i="17"/>
  <c r="O3" i="8"/>
  <c r="I2" i="4"/>
  <c r="K2" i="4" s="1"/>
  <c r="M2" i="4"/>
  <c r="I2" i="5"/>
  <c r="K2" i="5" s="1"/>
  <c r="M3" i="4"/>
  <c r="F5" i="3"/>
  <c r="F4" i="3"/>
  <c r="F3" i="3"/>
  <c r="I2" i="3"/>
  <c r="G4" i="3"/>
  <c r="H4" i="3"/>
  <c r="H3" i="3"/>
  <c r="G5" i="3"/>
  <c r="I5" i="3" s="1"/>
  <c r="G3" i="3"/>
  <c r="H5" i="3"/>
  <c r="T560" i="17" l="1"/>
  <c r="U560" i="17"/>
  <c r="T140" i="17"/>
  <c r="U140" i="17"/>
  <c r="T274" i="17"/>
  <c r="U274" i="17"/>
  <c r="T526" i="17"/>
  <c r="U526" i="17"/>
  <c r="T646" i="17"/>
  <c r="U646" i="17"/>
  <c r="T119" i="17"/>
  <c r="U119" i="17"/>
  <c r="T623" i="17"/>
  <c r="U623" i="17"/>
  <c r="T336" i="17"/>
  <c r="U336" i="17"/>
  <c r="T132" i="17"/>
  <c r="U132" i="17"/>
  <c r="T531" i="17"/>
  <c r="U531" i="17"/>
  <c r="T1073" i="17"/>
  <c r="U1073" i="17"/>
  <c r="T888" i="17"/>
  <c r="U888" i="17"/>
  <c r="T1008" i="17"/>
  <c r="U1008" i="17"/>
  <c r="T1140" i="17"/>
  <c r="U1140" i="17" s="1"/>
  <c r="T1743" i="17"/>
  <c r="U1743" i="17"/>
  <c r="T1228" i="17"/>
  <c r="U1228" i="17"/>
  <c r="T1576" i="17"/>
  <c r="U1576" i="17"/>
  <c r="T1301" i="17"/>
  <c r="U1301" i="17"/>
  <c r="T1649" i="17"/>
  <c r="U1649" i="17" s="1"/>
  <c r="T1769" i="17"/>
  <c r="U1769" i="17" s="1"/>
  <c r="T906" i="17"/>
  <c r="U906" i="17"/>
  <c r="T1038" i="17"/>
  <c r="U1038" i="17"/>
  <c r="T1182" i="17"/>
  <c r="U1182" i="17"/>
  <c r="T1458" i="17"/>
  <c r="U1458" i="17"/>
  <c r="T1590" i="17"/>
  <c r="U1590" i="17"/>
  <c r="T1543" i="17"/>
  <c r="U1543" i="17" s="1"/>
  <c r="T284" i="17"/>
  <c r="U284" i="17"/>
  <c r="T668" i="17"/>
  <c r="U668" i="17"/>
  <c r="T812" i="17"/>
  <c r="U812" i="17"/>
  <c r="T34" i="17"/>
  <c r="U34" i="17"/>
  <c r="T406" i="17"/>
  <c r="U406" i="17" s="1"/>
  <c r="T766" i="17"/>
  <c r="U766" i="17" s="1"/>
  <c r="T898" i="17"/>
  <c r="U898" i="17"/>
  <c r="T11" i="17"/>
  <c r="U11" i="17"/>
  <c r="T251" i="17"/>
  <c r="U251" i="17"/>
  <c r="T755" i="17"/>
  <c r="U755" i="17"/>
  <c r="T899" i="17"/>
  <c r="U899" i="17" s="1"/>
  <c r="T553" i="17"/>
  <c r="U553" i="17" s="1"/>
  <c r="T986" i="17"/>
  <c r="U986" i="17"/>
  <c r="T39" i="17"/>
  <c r="U39" i="17"/>
  <c r="T171" i="17"/>
  <c r="U171" i="17"/>
  <c r="T303" i="17"/>
  <c r="U303" i="17"/>
  <c r="T411" i="17"/>
  <c r="U411" i="17" s="1"/>
  <c r="T689" i="17"/>
  <c r="U689" i="17" s="1"/>
  <c r="T821" i="17"/>
  <c r="U821" i="17" s="1"/>
  <c r="T941" i="17"/>
  <c r="U941" i="17"/>
  <c r="T1347" i="17"/>
  <c r="U1347" i="17"/>
  <c r="T1491" i="17"/>
  <c r="U1491" i="17"/>
  <c r="T1623" i="17"/>
  <c r="U1623" i="17" s="1"/>
  <c r="T1048" i="17"/>
  <c r="U1048" i="17" s="1"/>
  <c r="T1240" i="17"/>
  <c r="U1240" i="17"/>
  <c r="T1588" i="17"/>
  <c r="U1588" i="17"/>
  <c r="T1433" i="17"/>
  <c r="U1433" i="17"/>
  <c r="T1050" i="17"/>
  <c r="U1050" i="17"/>
  <c r="T1194" i="17"/>
  <c r="U1194" i="17" s="1"/>
  <c r="T1326" i="17"/>
  <c r="U1326" i="17" s="1"/>
  <c r="T1602" i="17"/>
  <c r="U1602" i="17"/>
  <c r="T1315" i="17"/>
  <c r="U1315" i="17"/>
  <c r="T1699" i="17"/>
  <c r="U1699" i="17"/>
  <c r="T1774" i="17"/>
  <c r="U1774" i="17"/>
  <c r="T143" i="17"/>
  <c r="U143" i="17" s="1"/>
  <c r="T854" i="17"/>
  <c r="U854" i="17" s="1"/>
  <c r="T1032" i="17"/>
  <c r="U1032" i="17"/>
  <c r="T1635" i="17"/>
  <c r="U1635" i="17"/>
  <c r="T1327" i="17"/>
  <c r="U1327" i="17"/>
  <c r="T1042" i="17"/>
  <c r="U1042" i="17"/>
  <c r="T708" i="17"/>
  <c r="U708" i="17" s="1"/>
  <c r="T137" i="17"/>
  <c r="U137" i="17" s="1"/>
  <c r="T1746" i="17"/>
  <c r="U1746" i="17"/>
  <c r="T955" i="17"/>
  <c r="U955" i="17"/>
  <c r="T1124" i="17"/>
  <c r="U1124" i="17"/>
  <c r="T1342" i="17"/>
  <c r="U1342" i="17"/>
  <c r="T308" i="17"/>
  <c r="U308" i="17" s="1"/>
  <c r="T440" i="17"/>
  <c r="U440" i="17" s="1"/>
  <c r="T70" i="17"/>
  <c r="U70" i="17"/>
  <c r="T190" i="17"/>
  <c r="U190" i="17"/>
  <c r="T934" i="17"/>
  <c r="U934" i="17"/>
  <c r="T1054" i="17"/>
  <c r="U1054" i="17"/>
  <c r="T659" i="17"/>
  <c r="U659" i="17" s="1"/>
  <c r="T194" i="17"/>
  <c r="U194" i="17" s="1"/>
  <c r="T326" i="17"/>
  <c r="U326" i="17" s="1"/>
  <c r="T470" i="17"/>
  <c r="U470" i="17"/>
  <c r="T602" i="17"/>
  <c r="U602" i="17"/>
  <c r="T746" i="17"/>
  <c r="U746" i="17"/>
  <c r="T878" i="17"/>
  <c r="U878" i="17" s="1"/>
  <c r="T100" i="17"/>
  <c r="U100" i="17" s="1"/>
  <c r="T796" i="17"/>
  <c r="U796" i="17" s="1"/>
  <c r="T305" i="17"/>
  <c r="U305" i="17"/>
  <c r="T437" i="17"/>
  <c r="U437" i="17"/>
  <c r="T581" i="17"/>
  <c r="U581" i="17"/>
  <c r="T1044" i="17"/>
  <c r="U1044" i="17" s="1"/>
  <c r="T1383" i="17"/>
  <c r="U1383" i="17" s="1"/>
  <c r="T1133" i="17"/>
  <c r="U1133" i="17" s="1"/>
  <c r="T1758" i="17"/>
  <c r="U1758" i="17"/>
  <c r="T967" i="17"/>
  <c r="U967" i="17"/>
  <c r="T1099" i="17"/>
  <c r="U1099" i="17"/>
  <c r="T1999" i="17"/>
  <c r="U1999" i="17" s="1"/>
  <c r="T1354" i="17"/>
  <c r="U1354" i="17" s="1"/>
  <c r="T1271" i="17"/>
  <c r="U1271" i="17" s="1"/>
  <c r="T166" i="17"/>
  <c r="U166" i="17"/>
  <c r="T364" i="17"/>
  <c r="U364" i="17"/>
  <c r="T1217" i="17"/>
  <c r="U1217" i="17"/>
  <c r="T1338" i="17"/>
  <c r="U1338" i="17" s="1"/>
  <c r="T1010" i="17"/>
  <c r="U1010" i="17" s="1"/>
  <c r="T713" i="17"/>
  <c r="U713" i="17" s="1"/>
  <c r="T1515" i="17"/>
  <c r="U1515" i="17"/>
  <c r="T1074" i="17"/>
  <c r="U1074" i="17"/>
  <c r="T1556" i="17"/>
  <c r="U1556" i="17"/>
  <c r="T452" i="17"/>
  <c r="U452" i="17" s="1"/>
  <c r="T716" i="17"/>
  <c r="U716" i="17" s="1"/>
  <c r="T96" i="17"/>
  <c r="U96" i="17" s="1"/>
  <c r="T814" i="17"/>
  <c r="U814" i="17"/>
  <c r="T551" i="17"/>
  <c r="U551" i="17"/>
  <c r="T613" i="17"/>
  <c r="U613" i="17"/>
  <c r="T793" i="17"/>
  <c r="U793" i="17" s="1"/>
  <c r="T973" i="17"/>
  <c r="U973" i="17" s="1"/>
  <c r="T62" i="17"/>
  <c r="U62" i="17" s="1"/>
  <c r="T327" i="17"/>
  <c r="U327" i="17"/>
  <c r="T532" i="17"/>
  <c r="U532" i="17"/>
  <c r="T676" i="17"/>
  <c r="U676" i="17"/>
  <c r="T964" i="17"/>
  <c r="U964" i="17" s="1"/>
  <c r="T41" i="17"/>
  <c r="U41" i="17"/>
  <c r="T161" i="17"/>
  <c r="U161" i="17" s="1"/>
  <c r="T1120" i="17"/>
  <c r="U1120" i="17"/>
  <c r="T1317" i="17"/>
  <c r="U1317" i="17"/>
  <c r="T1241" i="17"/>
  <c r="U1241" i="17"/>
  <c r="T1589" i="17"/>
  <c r="U1589" i="17" s="1"/>
  <c r="T1209" i="17"/>
  <c r="U1209" i="17" s="1"/>
  <c r="T858" i="17"/>
  <c r="U858" i="17" s="1"/>
  <c r="T163" i="17"/>
  <c r="U163" i="17"/>
  <c r="T1111" i="17"/>
  <c r="U1111" i="17"/>
  <c r="T1292" i="17"/>
  <c r="U1292" i="17"/>
  <c r="T1510" i="17"/>
  <c r="U1510" i="17" s="1"/>
  <c r="T1439" i="17"/>
  <c r="U1439" i="17" s="1"/>
  <c r="T961" i="17"/>
  <c r="U961" i="17" s="1"/>
  <c r="T767" i="17"/>
  <c r="U767" i="17"/>
  <c r="T900" i="17"/>
  <c r="U900" i="17"/>
  <c r="T1581" i="17"/>
  <c r="U1581" i="17"/>
  <c r="T212" i="17"/>
  <c r="U212" i="17" s="1"/>
  <c r="T332" i="17"/>
  <c r="U332" i="17" s="1"/>
  <c r="T860" i="17"/>
  <c r="U860" i="17" s="1"/>
  <c r="T441" i="17"/>
  <c r="U441" i="17"/>
  <c r="T621" i="17"/>
  <c r="U621" i="17"/>
  <c r="T82" i="17"/>
  <c r="U82" i="17"/>
  <c r="T214" i="17"/>
  <c r="U214" i="17" s="1"/>
  <c r="T706" i="17"/>
  <c r="U706" i="17" s="1"/>
  <c r="T958" i="17"/>
  <c r="U958" i="17" s="1"/>
  <c r="T1078" i="17"/>
  <c r="U1078" i="17"/>
  <c r="T299" i="17"/>
  <c r="U299" i="17"/>
  <c r="T443" i="17"/>
  <c r="U443" i="17"/>
  <c r="T683" i="17"/>
  <c r="U683" i="17" s="1"/>
  <c r="T265" i="17"/>
  <c r="U265" i="17" s="1"/>
  <c r="T457" i="17"/>
  <c r="U457" i="17" s="1"/>
  <c r="T74" i="17"/>
  <c r="U74" i="17"/>
  <c r="T218" i="17"/>
  <c r="U218" i="17"/>
  <c r="T350" i="17"/>
  <c r="U350" i="17"/>
  <c r="T494" i="17"/>
  <c r="U494" i="17" s="1"/>
  <c r="T626" i="17"/>
  <c r="U626" i="17" s="1"/>
  <c r="T412" i="17"/>
  <c r="U412" i="17" s="1"/>
  <c r="T820" i="17"/>
  <c r="U820" i="17"/>
  <c r="T987" i="17"/>
  <c r="U987" i="17"/>
  <c r="T1131" i="17"/>
  <c r="U1131" i="17"/>
  <c r="T1263" i="17"/>
  <c r="U1263" i="17" s="1"/>
  <c r="T1923" i="17"/>
  <c r="U1923" i="17" s="1"/>
  <c r="T1221" i="17"/>
  <c r="U1221" i="17" s="1"/>
  <c r="T1322" i="17"/>
  <c r="U1322" i="17"/>
  <c r="T1709" i="17"/>
  <c r="U1709" i="17"/>
  <c r="T738" i="17"/>
  <c r="U738" i="17"/>
  <c r="T1386" i="17"/>
  <c r="U1386" i="17" s="1"/>
  <c r="T595" i="17"/>
  <c r="U595" i="17" s="1"/>
  <c r="T1690" i="17"/>
  <c r="U1690" i="17" s="1"/>
  <c r="T1595" i="17"/>
  <c r="U1595" i="17"/>
  <c r="T298" i="17"/>
  <c r="U298" i="17"/>
  <c r="T425" i="17"/>
  <c r="U425" i="17"/>
  <c r="T1359" i="17"/>
  <c r="U1359" i="17" s="1"/>
  <c r="T1482" i="17"/>
  <c r="U1482" i="17" s="1"/>
  <c r="T572" i="17"/>
  <c r="U572" i="17" s="1"/>
  <c r="T682" i="17"/>
  <c r="U682" i="17"/>
  <c r="T928" i="17"/>
  <c r="U928" i="17"/>
  <c r="T740" i="17"/>
  <c r="U740" i="17"/>
  <c r="T721" i="17"/>
  <c r="U721" i="17" s="1"/>
  <c r="T129" i="17"/>
  <c r="U129" i="17" s="1"/>
  <c r="T273" i="17"/>
  <c r="U273" i="17" s="1"/>
  <c r="T633" i="17"/>
  <c r="U633" i="17"/>
  <c r="T444" i="17"/>
  <c r="U444" i="17"/>
  <c r="T334" i="17"/>
  <c r="U334" i="17"/>
  <c r="T466" i="17"/>
  <c r="U466" i="17" s="1"/>
  <c r="T838" i="17"/>
  <c r="U838" i="17" s="1"/>
  <c r="T191" i="17"/>
  <c r="U191" i="17" s="1"/>
  <c r="T575" i="17"/>
  <c r="U575" i="17"/>
  <c r="T804" i="17"/>
  <c r="U804" i="17"/>
  <c r="T85" i="17"/>
  <c r="U85" i="17"/>
  <c r="T649" i="17"/>
  <c r="U649" i="17" s="1"/>
  <c r="T829" i="17"/>
  <c r="U829" i="17" s="1"/>
  <c r="T348" i="17"/>
  <c r="U348" i="17" s="1"/>
  <c r="T280" i="17"/>
  <c r="U280" i="17"/>
  <c r="T556" i="17"/>
  <c r="U556" i="17"/>
  <c r="T700" i="17"/>
  <c r="U700" i="17"/>
  <c r="T1080" i="17"/>
  <c r="U1080" i="17" s="1"/>
  <c r="T1965" i="17"/>
  <c r="U1965" i="17" s="1"/>
  <c r="T579" i="17"/>
  <c r="U579" i="17" s="1"/>
  <c r="T711" i="17"/>
  <c r="U711" i="17"/>
  <c r="T855" i="17"/>
  <c r="U855" i="17"/>
  <c r="T1803" i="17"/>
  <c r="U1803" i="17"/>
  <c r="T1935" i="17"/>
  <c r="U1935" i="17" s="1"/>
  <c r="T1305" i="17"/>
  <c r="U1305" i="17" s="1"/>
  <c r="T1157" i="17"/>
  <c r="U1157" i="17" s="1"/>
  <c r="T1373" i="17"/>
  <c r="U1373" i="17"/>
  <c r="T1493" i="17"/>
  <c r="U1493" i="17"/>
  <c r="T1721" i="17"/>
  <c r="U1721" i="17"/>
  <c r="T750" i="17"/>
  <c r="U750" i="17" s="1"/>
  <c r="T1811" i="17"/>
  <c r="U1811" i="17" s="1"/>
  <c r="T1615" i="17"/>
  <c r="U1615" i="17" s="1"/>
  <c r="T1055" i="17"/>
  <c r="U1055" i="17"/>
  <c r="T1607" i="17"/>
  <c r="U1607" i="17"/>
  <c r="T1432" i="17"/>
  <c r="U1432" i="17"/>
  <c r="T1565" i="17"/>
  <c r="U1565" i="17" s="1"/>
  <c r="T1679" i="17"/>
  <c r="U1679" i="17" s="1"/>
  <c r="T195" i="17"/>
  <c r="U195" i="17" s="1"/>
  <c r="T845" i="17"/>
  <c r="U845" i="17"/>
  <c r="T1768" i="17"/>
  <c r="U1768" i="17"/>
  <c r="T477" i="17"/>
  <c r="U477" i="17"/>
  <c r="T467" i="17"/>
  <c r="U467" i="17" s="1"/>
  <c r="T839" i="17"/>
  <c r="U839" i="17" s="1"/>
  <c r="T469" i="17"/>
  <c r="U469" i="17" s="1"/>
  <c r="T650" i="17"/>
  <c r="U650" i="17"/>
  <c r="T148" i="17"/>
  <c r="U148" i="17"/>
  <c r="T436" i="17"/>
  <c r="U436" i="17"/>
  <c r="T1692" i="17"/>
  <c r="U1692" i="17" s="1"/>
  <c r="T1836" i="17"/>
  <c r="U1836" i="17" s="1"/>
  <c r="T1968" i="17"/>
  <c r="U1968" i="17" s="1"/>
  <c r="T1425" i="17"/>
  <c r="U1425" i="17"/>
  <c r="T1742" i="17"/>
  <c r="U1742" i="17"/>
  <c r="T1081" i="17"/>
  <c r="U1081" i="17"/>
  <c r="T1213" i="17"/>
  <c r="U1213" i="17" s="1"/>
  <c r="T1333" i="17"/>
  <c r="U1333" i="17" s="1"/>
  <c r="T1477" i="17"/>
  <c r="U1477" i="17" s="1"/>
  <c r="T1621" i="17"/>
  <c r="U1621" i="17"/>
  <c r="T1789" i="17"/>
  <c r="U1789" i="17"/>
  <c r="T1921" i="17"/>
  <c r="U1921" i="17"/>
  <c r="T1173" i="17"/>
  <c r="U1173" i="17" s="1"/>
  <c r="T1468" i="17"/>
  <c r="U1468" i="17" s="1"/>
  <c r="T1166" i="17"/>
  <c r="U1166" i="17" s="1"/>
  <c r="T1370" i="17"/>
  <c r="U1370" i="17"/>
  <c r="T1550" i="17"/>
  <c r="U1550" i="17"/>
  <c r="T1718" i="17"/>
  <c r="U1718" i="17"/>
  <c r="T1874" i="17"/>
  <c r="U1874" i="17" s="1"/>
  <c r="T909" i="17"/>
  <c r="U909" i="17" s="1"/>
  <c r="T1377" i="17"/>
  <c r="U1377" i="17" s="1"/>
  <c r="T1505" i="17"/>
  <c r="U1505" i="17"/>
  <c r="T1625" i="17"/>
  <c r="U1625" i="17"/>
  <c r="T510" i="17"/>
  <c r="U510" i="17"/>
  <c r="T883" i="17"/>
  <c r="U883" i="17" s="1"/>
  <c r="T1783" i="17"/>
  <c r="U1783" i="17" s="1"/>
  <c r="T1915" i="17"/>
  <c r="U1915" i="17" s="1"/>
  <c r="T1472" i="17"/>
  <c r="U1472" i="17"/>
  <c r="T1138" i="17"/>
  <c r="U1138" i="17"/>
  <c r="T1187" i="17"/>
  <c r="U1187" i="17"/>
  <c r="T557" i="17"/>
  <c r="U557" i="17" s="1"/>
  <c r="T939" i="17"/>
  <c r="U939" i="17" s="1"/>
  <c r="T1734" i="17"/>
  <c r="U1734" i="17" s="1"/>
  <c r="T1076" i="17"/>
  <c r="U1076" i="17"/>
  <c r="T35" i="17"/>
  <c r="U35" i="17"/>
  <c r="T315" i="17"/>
  <c r="U315" i="17"/>
  <c r="T823" i="17"/>
  <c r="U823" i="17" s="1"/>
  <c r="T92" i="17"/>
  <c r="U92" i="17" s="1"/>
  <c r="T276" i="17"/>
  <c r="U276" i="17" s="1"/>
  <c r="T9" i="17"/>
  <c r="U9" i="17"/>
  <c r="T153" i="17"/>
  <c r="U153" i="17"/>
  <c r="T297" i="17"/>
  <c r="U297" i="17"/>
  <c r="T250" i="17"/>
  <c r="U250" i="17" s="1"/>
  <c r="T610" i="17"/>
  <c r="U610" i="17" s="1"/>
  <c r="T335" i="17"/>
  <c r="U335" i="17" s="1"/>
  <c r="T337" i="17"/>
  <c r="U337" i="17"/>
  <c r="T121" i="17"/>
  <c r="U121" i="17"/>
  <c r="T938" i="17"/>
  <c r="U938" i="17"/>
  <c r="T16" i="17"/>
  <c r="U16" i="17" s="1"/>
  <c r="T304" i="17"/>
  <c r="U304" i="17" s="1"/>
  <c r="T641" i="17"/>
  <c r="U641" i="17" s="1"/>
  <c r="T1392" i="17"/>
  <c r="U1392" i="17"/>
  <c r="T1548" i="17"/>
  <c r="U1548" i="17"/>
  <c r="T1017" i="17"/>
  <c r="U1017" i="17"/>
  <c r="T1959" i="17"/>
  <c r="U1959" i="17" s="1"/>
  <c r="T1540" i="17"/>
  <c r="U1540" i="17" s="1"/>
  <c r="T1713" i="17"/>
  <c r="U1713" i="17" s="1"/>
  <c r="T1997" i="17"/>
  <c r="U1997" i="17"/>
  <c r="T246" i="17"/>
  <c r="U246" i="17"/>
  <c r="T1146" i="17"/>
  <c r="U1146" i="17"/>
  <c r="T1399" i="17"/>
  <c r="U1399" i="17" s="1"/>
  <c r="T1927" i="17"/>
  <c r="U1927" i="17" s="1"/>
  <c r="T1904" i="17"/>
  <c r="U1904" i="17" s="1"/>
  <c r="T1270" i="17"/>
  <c r="U1270" i="17"/>
  <c r="T1858" i="17"/>
  <c r="U1858" i="17"/>
  <c r="T1331" i="17"/>
  <c r="U1331" i="17"/>
  <c r="T1180" i="17"/>
  <c r="U1180" i="17" s="1"/>
  <c r="T168" i="17"/>
  <c r="U168" i="17" s="1"/>
  <c r="T1440" i="17"/>
  <c r="U1440" i="17" s="1"/>
  <c r="T1264" i="17"/>
  <c r="U1264" i="17"/>
  <c r="T1445" i="17"/>
  <c r="U1445" i="17"/>
  <c r="T263" i="17"/>
  <c r="U263" i="17"/>
  <c r="T63" i="17"/>
  <c r="U63" i="17" s="1"/>
  <c r="T965" i="17"/>
  <c r="U965" i="17" s="1"/>
  <c r="T1444" i="17"/>
  <c r="U1444" i="17" s="1"/>
  <c r="T236" i="17"/>
  <c r="U236" i="17"/>
  <c r="T323" i="17"/>
  <c r="U323" i="17"/>
  <c r="T695" i="17"/>
  <c r="U695" i="17"/>
  <c r="T301" i="17"/>
  <c r="U301" i="17" s="1"/>
  <c r="T884" i="17"/>
  <c r="U884" i="17" s="1"/>
  <c r="T988" i="17"/>
  <c r="U988" i="17" s="1"/>
  <c r="T116" i="17"/>
  <c r="U116" i="17"/>
  <c r="T1028" i="17"/>
  <c r="U1028" i="17"/>
  <c r="T502" i="17"/>
  <c r="U502" i="17"/>
  <c r="T622" i="17"/>
  <c r="U622" i="17" s="1"/>
  <c r="T983" i="17"/>
  <c r="U983" i="17" s="1"/>
  <c r="T108" i="17"/>
  <c r="U108" i="17" s="1"/>
  <c r="T324" i="17"/>
  <c r="U324" i="17"/>
  <c r="T600" i="17"/>
  <c r="U600" i="17"/>
  <c r="T172" i="17"/>
  <c r="U172" i="17"/>
  <c r="T1116" i="17"/>
  <c r="U1116" i="17" s="1"/>
  <c r="T1248" i="17"/>
  <c r="U1248" i="17" s="1"/>
  <c r="T1560" i="17"/>
  <c r="U1560" i="17" s="1"/>
  <c r="T221" i="17"/>
  <c r="U221" i="17"/>
  <c r="T1409" i="17"/>
  <c r="U1409" i="17"/>
  <c r="T1529" i="17"/>
  <c r="U1529" i="17"/>
  <c r="T1290" i="17"/>
  <c r="U1290" i="17" s="1"/>
  <c r="T1434" i="17"/>
  <c r="U1434" i="17" s="1"/>
  <c r="T1698" i="17"/>
  <c r="U1698" i="17" s="1"/>
  <c r="T1197" i="17"/>
  <c r="U1197" i="17"/>
  <c r="T1208" i="17"/>
  <c r="U1208" i="17"/>
  <c r="T1640" i="17"/>
  <c r="U1640" i="17"/>
  <c r="T1990" i="17"/>
  <c r="U1990" i="17" s="1"/>
  <c r="T1343" i="17"/>
  <c r="U1343" i="17" s="1"/>
  <c r="T1216" i="17"/>
  <c r="U1216" i="17" s="1"/>
  <c r="T164" i="17"/>
  <c r="U164" i="17"/>
  <c r="T722" i="17"/>
  <c r="U722" i="17"/>
  <c r="T281" i="17"/>
  <c r="U281" i="17"/>
  <c r="T1503" i="17"/>
  <c r="U1503" i="17" s="1"/>
  <c r="T162" i="17"/>
  <c r="U162" i="17" s="1"/>
  <c r="T692" i="17"/>
  <c r="U692" i="17" s="1"/>
  <c r="T407" i="17"/>
  <c r="U407" i="17"/>
  <c r="T17" i="17"/>
  <c r="U17" i="17"/>
  <c r="T1337" i="17"/>
  <c r="U1337" i="17"/>
  <c r="T1878" i="17"/>
  <c r="U1878" i="17" s="1"/>
  <c r="T1855" i="17"/>
  <c r="U1855" i="17" s="1"/>
  <c r="T576" i="17"/>
  <c r="U576" i="17" s="1"/>
  <c r="T106" i="17"/>
  <c r="U106" i="17"/>
  <c r="T730" i="17"/>
  <c r="U730" i="17"/>
  <c r="T552" i="17"/>
  <c r="U552" i="17"/>
  <c r="T1016" i="17"/>
  <c r="U1016" i="17" s="1"/>
  <c r="T524" i="17"/>
  <c r="U524" i="17" s="1"/>
  <c r="T788" i="17"/>
  <c r="U788" i="17" s="1"/>
  <c r="T908" i="17"/>
  <c r="U908" i="17"/>
  <c r="T142" i="17"/>
  <c r="U142" i="17"/>
  <c r="T382" i="17"/>
  <c r="U382" i="17"/>
  <c r="T227" i="17"/>
  <c r="U227" i="17" s="1"/>
  <c r="T731" i="17"/>
  <c r="U731" i="17" s="1"/>
  <c r="T875" i="17"/>
  <c r="U875" i="17" s="1"/>
  <c r="T387" i="17"/>
  <c r="U387" i="17"/>
  <c r="T519" i="17"/>
  <c r="U519" i="17"/>
  <c r="T40" i="17"/>
  <c r="U40" i="17"/>
  <c r="T880" i="17"/>
  <c r="U880" i="17" s="1"/>
  <c r="T1260" i="17"/>
  <c r="U1260" i="17" s="1"/>
  <c r="T1416" i="17"/>
  <c r="U1416" i="17" s="1"/>
  <c r="T1851" i="17"/>
  <c r="U1851" i="17"/>
  <c r="T1708" i="17"/>
  <c r="U1708" i="17"/>
  <c r="T1193" i="17"/>
  <c r="U1193" i="17"/>
  <c r="T678" i="17"/>
  <c r="U678" i="17" s="1"/>
  <c r="T1026" i="17"/>
  <c r="U1026" i="17" s="1"/>
  <c r="T1170" i="17"/>
  <c r="U1170" i="17" s="1"/>
  <c r="T1302" i="17"/>
  <c r="U1302" i="17"/>
  <c r="T1446" i="17"/>
  <c r="U1446" i="17"/>
  <c r="T1578" i="17"/>
  <c r="U1578" i="17"/>
  <c r="T1938" i="17"/>
  <c r="U1938" i="17" s="1"/>
  <c r="T1281" i="17"/>
  <c r="U1281" i="17" s="1"/>
  <c r="T1594" i="17"/>
  <c r="U1594" i="17" s="1"/>
  <c r="T1949" i="17"/>
  <c r="U1949" i="17"/>
  <c r="T1113" i="17"/>
  <c r="U1113" i="17"/>
  <c r="T1989" i="17"/>
  <c r="U1989" i="17"/>
  <c r="T42" i="17"/>
  <c r="U42" i="17" s="1"/>
  <c r="T294" i="17"/>
  <c r="U294" i="17" s="1"/>
  <c r="T426" i="17"/>
  <c r="U426" i="17" s="1"/>
  <c r="T558" i="17"/>
  <c r="U558" i="17"/>
  <c r="T774" i="17"/>
  <c r="U774" i="17"/>
  <c r="T882" i="17"/>
  <c r="U882" i="17"/>
  <c r="T990" i="17"/>
  <c r="U990" i="17" s="1"/>
  <c r="T1782" i="17"/>
  <c r="U1782" i="17" s="1"/>
  <c r="T1902" i="17"/>
  <c r="U1902" i="17" s="1"/>
  <c r="T897" i="17"/>
  <c r="U897" i="17"/>
  <c r="T1865" i="17"/>
  <c r="U1865" i="17"/>
  <c r="T115" i="17"/>
  <c r="U115" i="17"/>
  <c r="T247" i="17"/>
  <c r="U247" i="17" s="1"/>
  <c r="T379" i="17"/>
  <c r="U379" i="17" s="1"/>
  <c r="T523" i="17"/>
  <c r="U523" i="17" s="1"/>
  <c r="T655" i="17"/>
  <c r="U655" i="17"/>
  <c r="T775" i="17"/>
  <c r="U775" i="17"/>
  <c r="T895" i="17"/>
  <c r="U895" i="17"/>
  <c r="T1003" i="17"/>
  <c r="U1003" i="17" s="1"/>
  <c r="T1231" i="17"/>
  <c r="U1231" i="17" s="1"/>
  <c r="T1339" i="17"/>
  <c r="U1339" i="17" s="1"/>
  <c r="T1459" i="17"/>
  <c r="U1459" i="17"/>
  <c r="T1555" i="17"/>
  <c r="U1555" i="17"/>
  <c r="T1687" i="17"/>
  <c r="U1687" i="17"/>
  <c r="T1807" i="17"/>
  <c r="U1807" i="17" s="1"/>
  <c r="T1382" i="17"/>
  <c r="U1382" i="17" s="1"/>
  <c r="T1148" i="17"/>
  <c r="U1148" i="17" s="1"/>
  <c r="T1280" i="17"/>
  <c r="U1280" i="17"/>
  <c r="T1412" i="17"/>
  <c r="U1412" i="17"/>
  <c r="T1544" i="17"/>
  <c r="U1544" i="17"/>
  <c r="T1664" i="17"/>
  <c r="U1664" i="17" s="1"/>
  <c r="T1796" i="17"/>
  <c r="U1796" i="17" s="1"/>
  <c r="T1928" i="17"/>
  <c r="U1928" i="17" s="1"/>
  <c r="T1233" i="17"/>
  <c r="U1233" i="17"/>
  <c r="T1720" i="17"/>
  <c r="U1720" i="17"/>
  <c r="T1162" i="17"/>
  <c r="U1162" i="17"/>
  <c r="T1390" i="17"/>
  <c r="U1390" i="17" s="1"/>
  <c r="T1522" i="17"/>
  <c r="U1522" i="17" s="1"/>
  <c r="T1678" i="17"/>
  <c r="U1678" i="17" s="1"/>
  <c r="T1798" i="17"/>
  <c r="U1798" i="17"/>
  <c r="T1918" i="17"/>
  <c r="U1918" i="17"/>
  <c r="T995" i="17"/>
  <c r="U995" i="17"/>
  <c r="T1115" i="17"/>
  <c r="U1115" i="17" s="1"/>
  <c r="T1223" i="17"/>
  <c r="U1223" i="17" s="1"/>
  <c r="T1463" i="17"/>
  <c r="U1463" i="17" s="1"/>
  <c r="T1727" i="17"/>
  <c r="U1727" i="17"/>
  <c r="T1955" i="17"/>
  <c r="U1955" i="17"/>
  <c r="T1723" i="17"/>
  <c r="U1723" i="17"/>
  <c r="T49" i="17"/>
  <c r="U49" i="17" s="1"/>
  <c r="T720" i="17"/>
  <c r="U720" i="17" s="1"/>
  <c r="T104" i="17"/>
  <c r="U104" i="17" s="1"/>
  <c r="T224" i="17"/>
  <c r="U224" i="17"/>
  <c r="T320" i="17"/>
  <c r="U320" i="17"/>
  <c r="T680" i="17"/>
  <c r="U680" i="17"/>
  <c r="T800" i="17"/>
  <c r="U800" i="17" s="1"/>
  <c r="T896" i="17"/>
  <c r="U896" i="17" s="1"/>
  <c r="T865" i="17"/>
  <c r="U865" i="17" s="1"/>
  <c r="T141" i="17"/>
  <c r="U141" i="17"/>
  <c r="T285" i="17"/>
  <c r="U285" i="17"/>
  <c r="T465" i="17"/>
  <c r="U465" i="17"/>
  <c r="T300" i="17"/>
  <c r="U300" i="17" s="1"/>
  <c r="T178" i="17"/>
  <c r="U178" i="17" s="1"/>
  <c r="T286" i="17"/>
  <c r="U286" i="17" s="1"/>
  <c r="T394" i="17"/>
  <c r="U394" i="17"/>
  <c r="T514" i="17"/>
  <c r="U514" i="17"/>
  <c r="T718" i="17"/>
  <c r="U718" i="17"/>
  <c r="T826" i="17"/>
  <c r="U826" i="17" s="1"/>
  <c r="T946" i="17"/>
  <c r="U946" i="17" s="1"/>
  <c r="T23" i="17"/>
  <c r="U23" i="17" s="1"/>
  <c r="T131" i="17"/>
  <c r="U131" i="17"/>
  <c r="T239" i="17"/>
  <c r="U239" i="17"/>
  <c r="T455" i="17"/>
  <c r="U455" i="17"/>
  <c r="T563" i="17"/>
  <c r="U563" i="17" s="1"/>
  <c r="T671" i="17"/>
  <c r="U671" i="17" s="1"/>
  <c r="T887" i="17"/>
  <c r="U887" i="17" s="1"/>
  <c r="T144" i="17"/>
  <c r="U144" i="17"/>
  <c r="T120" i="17"/>
  <c r="U120" i="17"/>
  <c r="T312" i="17"/>
  <c r="U312" i="17"/>
  <c r="T564" i="17"/>
  <c r="U564" i="17" s="1"/>
  <c r="T145" i="17"/>
  <c r="U145" i="17" s="1"/>
  <c r="T109" i="17"/>
  <c r="U109" i="17" s="1"/>
  <c r="T277" i="17"/>
  <c r="U277" i="17"/>
  <c r="T637" i="17"/>
  <c r="U637" i="17"/>
  <c r="T805" i="17"/>
  <c r="U805" i="17"/>
  <c r="T192" i="17"/>
  <c r="U192" i="17" s="1"/>
  <c r="T206" i="17"/>
  <c r="U206" i="17" s="1"/>
  <c r="T338" i="17"/>
  <c r="U338" i="17" s="1"/>
  <c r="T482" i="17"/>
  <c r="U482" i="17"/>
  <c r="T614" i="17"/>
  <c r="U614" i="17"/>
  <c r="T734" i="17"/>
  <c r="U734" i="17"/>
  <c r="T866" i="17"/>
  <c r="U866" i="17" s="1"/>
  <c r="T998" i="17"/>
  <c r="U998" i="17" s="1"/>
  <c r="T51" i="17"/>
  <c r="U51" i="17" s="1"/>
  <c r="T183" i="17"/>
  <c r="U183" i="17"/>
  <c r="T399" i="17"/>
  <c r="U399" i="17"/>
  <c r="T28" i="17"/>
  <c r="U28" i="17"/>
  <c r="T160" i="17"/>
  <c r="U160" i="17" s="1"/>
  <c r="T292" i="17"/>
  <c r="U292" i="17" s="1"/>
  <c r="T424" i="17"/>
  <c r="U424" i="17" s="1"/>
  <c r="T544" i="17"/>
  <c r="U544" i="17"/>
  <c r="T688" i="17"/>
  <c r="U688" i="17"/>
  <c r="T808" i="17"/>
  <c r="U808" i="17"/>
  <c r="T940" i="17"/>
  <c r="U940" i="17" s="1"/>
  <c r="T29" i="17"/>
  <c r="U29" i="17" s="1"/>
  <c r="T149" i="17"/>
  <c r="U149" i="17" s="1"/>
  <c r="T293" i="17"/>
  <c r="U293" i="17"/>
  <c r="T569" i="17"/>
  <c r="U569" i="17"/>
  <c r="T701" i="17"/>
  <c r="U701" i="17"/>
  <c r="T833" i="17"/>
  <c r="U833" i="17" s="1"/>
  <c r="T953" i="17"/>
  <c r="U953" i="17" s="1"/>
  <c r="T1250" i="17"/>
  <c r="U1250" i="17" s="1"/>
  <c r="T1020" i="17"/>
  <c r="U1020" i="17"/>
  <c r="T1128" i="17"/>
  <c r="U1128" i="17"/>
  <c r="T1404" i="17"/>
  <c r="U1404" i="17"/>
  <c r="T1704" i="17"/>
  <c r="U1704" i="17" s="1"/>
  <c r="T1848" i="17"/>
  <c r="U1848" i="17" s="1"/>
  <c r="T1980" i="17"/>
  <c r="U1980" i="17" s="1"/>
  <c r="T1497" i="17"/>
  <c r="U1497" i="17"/>
  <c r="T1829" i="17"/>
  <c r="U1829" i="17"/>
  <c r="T1093" i="17"/>
  <c r="U1093" i="17"/>
  <c r="T1225" i="17"/>
  <c r="U1225" i="17" s="1"/>
  <c r="T1345" i="17"/>
  <c r="U1345" i="17" s="1"/>
  <c r="T1489" i="17"/>
  <c r="U1489" i="17" s="1"/>
  <c r="T1633" i="17"/>
  <c r="U1633" i="17"/>
  <c r="T1801" i="17"/>
  <c r="U1801" i="17"/>
  <c r="T1933" i="17"/>
  <c r="U1933" i="17"/>
  <c r="T1257" i="17"/>
  <c r="U1257" i="17" s="1"/>
  <c r="T1639" i="17"/>
  <c r="U1639" i="17" s="1"/>
  <c r="T1190" i="17"/>
  <c r="U1190" i="17" s="1"/>
  <c r="T1394" i="17"/>
  <c r="U1394" i="17"/>
  <c r="T1562" i="17"/>
  <c r="U1562" i="17"/>
  <c r="T1730" i="17"/>
  <c r="U1730" i="17"/>
  <c r="T1799" i="17"/>
  <c r="U1799" i="17" s="1"/>
  <c r="T723" i="17"/>
  <c r="U723" i="17" s="1"/>
  <c r="T867" i="17"/>
  <c r="U867" i="17" s="1"/>
  <c r="T999" i="17"/>
  <c r="U999" i="17"/>
  <c r="T1143" i="17"/>
  <c r="U1143" i="17"/>
  <c r="T1275" i="17"/>
  <c r="U1275" i="17"/>
  <c r="T1395" i="17"/>
  <c r="U1395" i="17" s="1"/>
  <c r="T1755" i="17"/>
  <c r="U1755" i="17" s="1"/>
  <c r="T1971" i="17"/>
  <c r="U1971" i="17" s="1"/>
  <c r="T1499" i="17"/>
  <c r="U1499" i="17"/>
  <c r="T1132" i="17"/>
  <c r="U1132" i="17"/>
  <c r="T1276" i="17"/>
  <c r="U1276" i="17"/>
  <c r="T1732" i="17"/>
  <c r="U1732" i="17" s="1"/>
  <c r="T1821" i="17"/>
  <c r="U1821" i="17" s="1"/>
  <c r="T1253" i="17"/>
  <c r="U1253" i="17" s="1"/>
  <c r="T1349" i="17"/>
  <c r="U1349" i="17"/>
  <c r="T1541" i="17"/>
  <c r="U1541" i="17"/>
  <c r="T1823" i="17"/>
  <c r="U1823" i="17"/>
  <c r="T54" i="17"/>
  <c r="U54" i="17" s="1"/>
  <c r="T174" i="17"/>
  <c r="U174" i="17" s="1"/>
  <c r="T306" i="17"/>
  <c r="U306" i="17" s="1"/>
  <c r="T438" i="17"/>
  <c r="U438" i="17"/>
  <c r="T570" i="17"/>
  <c r="U570" i="17"/>
  <c r="T690" i="17"/>
  <c r="U690" i="17"/>
  <c r="T786" i="17"/>
  <c r="U786" i="17" s="1"/>
  <c r="T1002" i="17"/>
  <c r="U1002" i="17" s="1"/>
  <c r="T1086" i="17"/>
  <c r="U1086" i="17" s="1"/>
  <c r="T1398" i="17"/>
  <c r="U1398" i="17"/>
  <c r="T1494" i="17"/>
  <c r="U1494" i="17"/>
  <c r="T1710" i="17"/>
  <c r="U1710" i="17"/>
  <c r="T1794" i="17"/>
  <c r="U1794" i="17" s="1"/>
  <c r="T1677" i="17"/>
  <c r="U1677" i="17" s="1"/>
  <c r="T1937" i="17"/>
  <c r="U1937" i="17" s="1"/>
  <c r="T127" i="17"/>
  <c r="U127" i="17"/>
  <c r="T259" i="17"/>
  <c r="U259" i="17"/>
  <c r="T391" i="17"/>
  <c r="U391" i="17"/>
  <c r="T535" i="17"/>
  <c r="U535" i="17" s="1"/>
  <c r="T667" i="17"/>
  <c r="U667" i="17" s="1"/>
  <c r="T787" i="17"/>
  <c r="U787" i="17" s="1"/>
  <c r="T1015" i="17"/>
  <c r="U1015" i="17"/>
  <c r="T1123" i="17"/>
  <c r="U1123" i="17"/>
  <c r="T1243" i="17"/>
  <c r="U1243" i="17"/>
  <c r="T1351" i="17"/>
  <c r="U1351" i="17" s="1"/>
  <c r="T1567" i="17"/>
  <c r="U1567" i="17" s="1"/>
  <c r="T1819" i="17"/>
  <c r="U1819" i="17" s="1"/>
  <c r="T1558" i="17"/>
  <c r="U1558" i="17"/>
  <c r="T1160" i="17"/>
  <c r="U1160" i="17"/>
  <c r="T1424" i="17"/>
  <c r="U1424" i="17"/>
  <c r="T1676" i="17"/>
  <c r="U1676" i="17" s="1"/>
  <c r="T1808" i="17"/>
  <c r="U1808" i="17" s="1"/>
  <c r="T1940" i="17"/>
  <c r="U1940" i="17" s="1"/>
  <c r="T1353" i="17"/>
  <c r="U1353" i="17"/>
  <c r="T1816" i="17"/>
  <c r="U1816" i="17"/>
  <c r="T1174" i="17"/>
  <c r="U1174" i="17"/>
  <c r="T1282" i="17"/>
  <c r="U1282" i="17" s="1"/>
  <c r="T1402" i="17"/>
  <c r="U1402" i="17" s="1"/>
  <c r="T1534" i="17"/>
  <c r="U1534" i="17" s="1"/>
  <c r="T1810" i="17"/>
  <c r="U1810" i="17"/>
  <c r="T1007" i="17"/>
  <c r="U1007" i="17"/>
  <c r="T1235" i="17"/>
  <c r="U1235" i="17"/>
  <c r="T1475" i="17"/>
  <c r="U1475" i="17" s="1"/>
  <c r="T1739" i="17"/>
  <c r="U1739" i="17" s="1"/>
  <c r="T540" i="17"/>
  <c r="U540" i="17" s="1"/>
  <c r="T1593" i="17"/>
  <c r="U1593" i="17"/>
  <c r="T1645" i="17"/>
  <c r="U1645" i="17"/>
  <c r="T1763" i="17"/>
  <c r="U1763" i="17"/>
  <c r="T1155" i="17"/>
  <c r="U1155" i="17" s="1"/>
  <c r="T1637" i="17"/>
  <c r="U1637" i="17" s="1"/>
  <c r="T450" i="17"/>
  <c r="U450" i="17" s="1"/>
  <c r="T1773" i="17"/>
  <c r="U1773" i="17"/>
  <c r="T547" i="17"/>
  <c r="U547" i="17"/>
  <c r="T1255" i="17"/>
  <c r="U1255" i="17"/>
  <c r="T1436" i="17"/>
  <c r="U1436" i="17" s="1"/>
  <c r="T1546" i="17"/>
  <c r="U1546" i="17" s="1"/>
  <c r="T1751" i="17"/>
  <c r="U1751" i="17" s="1"/>
  <c r="T165" i="17"/>
  <c r="U165" i="17"/>
  <c r="T634" i="17"/>
  <c r="U634" i="17"/>
  <c r="T587" i="17"/>
  <c r="U587" i="17"/>
  <c r="T480" i="17"/>
  <c r="U480" i="17" s="1"/>
  <c r="T506" i="17"/>
  <c r="U506" i="17" s="1"/>
  <c r="T832" i="17"/>
  <c r="U832" i="17" s="1"/>
  <c r="T1428" i="17"/>
  <c r="U1428" i="17"/>
  <c r="T1369" i="17"/>
  <c r="U1369" i="17"/>
  <c r="T1840" i="17"/>
  <c r="U1840" i="17"/>
  <c r="T747" i="17"/>
  <c r="U747" i="17" s="1"/>
  <c r="T1875" i="17"/>
  <c r="U1875" i="17" s="1"/>
  <c r="T1756" i="17"/>
  <c r="U1756" i="17" s="1"/>
  <c r="T594" i="17"/>
  <c r="U594" i="17"/>
  <c r="T1614" i="17"/>
  <c r="U1614" i="17"/>
  <c r="T415" i="17"/>
  <c r="U415" i="17"/>
  <c r="T1147" i="17"/>
  <c r="U1147" i="17" s="1"/>
  <c r="T1843" i="17"/>
  <c r="U1843" i="17" s="1"/>
  <c r="T1448" i="17"/>
  <c r="U1448" i="17" s="1"/>
  <c r="T1700" i="17"/>
  <c r="U1700" i="17"/>
  <c r="T1832" i="17"/>
  <c r="U1832" i="17"/>
  <c r="T1964" i="17"/>
  <c r="U1964" i="17"/>
  <c r="T1557" i="17"/>
  <c r="U1557" i="17" s="1"/>
  <c r="T1960" i="17"/>
  <c r="U1960" i="17" s="1"/>
  <c r="T1198" i="17"/>
  <c r="U1198" i="17" s="1"/>
  <c r="T1306" i="17"/>
  <c r="U1306" i="17"/>
  <c r="T1570" i="17"/>
  <c r="U1570" i="17"/>
  <c r="T1031" i="17"/>
  <c r="U1031" i="17"/>
  <c r="T1259" i="17"/>
  <c r="U1259" i="17" s="1"/>
  <c r="T1511" i="17"/>
  <c r="U1511" i="17" s="1"/>
  <c r="T1979" i="17"/>
  <c r="U1979" i="17" s="1"/>
  <c r="T549" i="17"/>
  <c r="U549" i="17"/>
  <c r="T248" i="17"/>
  <c r="U248" i="17"/>
  <c r="T356" i="17"/>
  <c r="U356" i="17"/>
  <c r="T476" i="17"/>
  <c r="U476" i="17" s="1"/>
  <c r="T824" i="17"/>
  <c r="U824" i="17" s="1"/>
  <c r="T932" i="17"/>
  <c r="U932" i="17" s="1"/>
  <c r="T33" i="17"/>
  <c r="U33" i="17"/>
  <c r="T177" i="17"/>
  <c r="U177" i="17"/>
  <c r="T333" i="17"/>
  <c r="U333" i="17"/>
  <c r="T513" i="17"/>
  <c r="U513" i="17" s="1"/>
  <c r="T669" i="17"/>
  <c r="U669" i="17" s="1"/>
  <c r="T732" i="17"/>
  <c r="U732" i="17"/>
  <c r="T310" i="17"/>
  <c r="U310" i="17"/>
  <c r="T418" i="17"/>
  <c r="U418" i="17"/>
  <c r="T742" i="17"/>
  <c r="U742" i="17"/>
  <c r="T850" i="17"/>
  <c r="U850" i="17" s="1"/>
  <c r="T47" i="17"/>
  <c r="U47" i="17" s="1"/>
  <c r="T167" i="17"/>
  <c r="U167" i="17"/>
  <c r="T359" i="17"/>
  <c r="U359" i="17"/>
  <c r="T479" i="17"/>
  <c r="U479" i="17"/>
  <c r="T599" i="17"/>
  <c r="U599" i="17"/>
  <c r="T791" i="17"/>
  <c r="U791" i="17" s="1"/>
  <c r="T911" i="17"/>
  <c r="U911" i="17" s="1"/>
  <c r="T624" i="17"/>
  <c r="U624" i="17"/>
  <c r="T372" i="17"/>
  <c r="U372" i="17"/>
  <c r="T648" i="17"/>
  <c r="U648" i="17"/>
  <c r="T625" i="17"/>
  <c r="U625" i="17"/>
  <c r="T157" i="17"/>
  <c r="U157" i="17" s="1"/>
  <c r="T325" i="17"/>
  <c r="U325" i="17" s="1"/>
  <c r="T505" i="17"/>
  <c r="U505" i="17"/>
  <c r="T661" i="17"/>
  <c r="U661" i="17"/>
  <c r="T636" i="17"/>
  <c r="U636" i="17"/>
  <c r="T98" i="17"/>
  <c r="U98" i="17"/>
  <c r="T230" i="17"/>
  <c r="U230" i="17" s="1"/>
  <c r="T374" i="17"/>
  <c r="U374" i="17" s="1"/>
  <c r="T770" i="17"/>
  <c r="U770" i="17"/>
  <c r="T902" i="17"/>
  <c r="U902" i="17"/>
  <c r="T357" i="17"/>
  <c r="U357" i="17"/>
  <c r="T87" i="17"/>
  <c r="U87" i="17"/>
  <c r="T219" i="17"/>
  <c r="U219" i="17" s="1"/>
  <c r="T435" i="17"/>
  <c r="U435" i="17" s="1"/>
  <c r="T240" i="17"/>
  <c r="U240" i="17"/>
  <c r="T64" i="17"/>
  <c r="U64" i="17"/>
  <c r="T196" i="17"/>
  <c r="U196" i="17"/>
  <c r="T328" i="17"/>
  <c r="U328" i="17"/>
  <c r="T580" i="17"/>
  <c r="U580" i="17" s="1"/>
  <c r="T844" i="17"/>
  <c r="U844" i="17" s="1"/>
  <c r="T185" i="17"/>
  <c r="U185" i="17"/>
  <c r="T329" i="17"/>
  <c r="U329" i="17"/>
  <c r="T461" i="17"/>
  <c r="U461" i="17"/>
  <c r="T605" i="17"/>
  <c r="U605" i="17"/>
  <c r="T725" i="17"/>
  <c r="U725" i="17" s="1"/>
  <c r="T989" i="17"/>
  <c r="U989" i="17" s="1"/>
  <c r="T1741" i="17"/>
  <c r="U1741" i="17"/>
  <c r="T924" i="17"/>
  <c r="U924" i="17"/>
  <c r="T1164" i="17"/>
  <c r="U1164" i="17"/>
  <c r="T1284" i="17"/>
  <c r="U1284" i="17"/>
  <c r="T1452" i="17"/>
  <c r="U1452" i="17" s="1"/>
  <c r="T1596" i="17"/>
  <c r="U1596" i="17" s="1"/>
  <c r="T1740" i="17"/>
  <c r="U1740" i="17"/>
  <c r="T1884" i="17"/>
  <c r="U1884" i="17"/>
  <c r="T849" i="17"/>
  <c r="U849" i="17"/>
  <c r="T1797" i="17"/>
  <c r="U1797" i="17"/>
  <c r="T985" i="17"/>
  <c r="U985" i="17" s="1"/>
  <c r="T1117" i="17"/>
  <c r="U1117" i="17" s="1"/>
  <c r="T1249" i="17"/>
  <c r="U1249" i="17"/>
  <c r="T1381" i="17"/>
  <c r="U1381" i="17"/>
  <c r="T1525" i="17"/>
  <c r="U1525" i="17"/>
  <c r="T1669" i="17"/>
  <c r="U1669" i="17"/>
  <c r="T1969" i="17"/>
  <c r="U1969" i="17" s="1"/>
  <c r="T1533" i="17"/>
  <c r="U1533" i="17" s="1"/>
  <c r="T1912" i="17"/>
  <c r="U1912" i="17"/>
  <c r="T1238" i="17"/>
  <c r="U1238" i="17"/>
  <c r="T1430" i="17"/>
  <c r="U1430" i="17"/>
  <c r="T1610" i="17"/>
  <c r="U1610" i="17"/>
  <c r="T1778" i="17"/>
  <c r="U1778" i="17" s="1"/>
  <c r="T1910" i="17"/>
  <c r="U1910" i="17" s="1"/>
  <c r="T1185" i="17"/>
  <c r="U1185" i="17"/>
  <c r="T1474" i="17"/>
  <c r="U1474" i="17"/>
  <c r="T615" i="17"/>
  <c r="U615" i="17"/>
  <c r="T759" i="17"/>
  <c r="U759" i="17"/>
  <c r="T903" i="17"/>
  <c r="U903" i="17" s="1"/>
  <c r="T1035" i="17"/>
  <c r="U1035" i="17" s="1"/>
  <c r="T1167" i="17"/>
  <c r="U1167" i="17"/>
  <c r="T1311" i="17"/>
  <c r="U1311" i="17"/>
  <c r="T1431" i="17"/>
  <c r="U1431" i="17"/>
  <c r="T1539" i="17"/>
  <c r="U1539" i="17"/>
  <c r="T1887" i="17"/>
  <c r="U1887" i="17" s="1"/>
  <c r="T885" i="17"/>
  <c r="U885" i="17" s="1"/>
  <c r="T1545" i="17"/>
  <c r="U1545" i="17"/>
  <c r="T1852" i="17"/>
  <c r="U1852" i="17"/>
  <c r="T1168" i="17"/>
  <c r="U1168" i="17"/>
  <c r="T1336" i="17"/>
  <c r="U1336" i="17"/>
  <c r="T1480" i="17"/>
  <c r="U1480" i="17" s="1"/>
  <c r="T1883" i="17"/>
  <c r="U1883" i="17" s="1"/>
  <c r="T1097" i="17"/>
  <c r="U1097" i="17"/>
  <c r="T1469" i="17"/>
  <c r="U1469" i="17"/>
  <c r="T1526" i="17"/>
  <c r="U1526" i="17"/>
  <c r="T210" i="17"/>
  <c r="U210" i="17"/>
  <c r="T474" i="17"/>
  <c r="U474" i="17" s="1"/>
  <c r="T822" i="17"/>
  <c r="U822" i="17" s="1"/>
  <c r="T1122" i="17"/>
  <c r="U1122" i="17"/>
  <c r="T1218" i="17"/>
  <c r="U1218" i="17"/>
  <c r="T1530" i="17"/>
  <c r="U1530" i="17"/>
  <c r="T1830" i="17"/>
  <c r="U1830" i="17"/>
  <c r="T1926" i="17"/>
  <c r="U1926" i="17" s="1"/>
  <c r="T1953" i="17"/>
  <c r="U1953" i="17" s="1"/>
  <c r="T295" i="17"/>
  <c r="U295" i="17"/>
  <c r="T427" i="17"/>
  <c r="U427" i="17"/>
  <c r="T571" i="17"/>
  <c r="U571" i="17"/>
  <c r="T703" i="17"/>
  <c r="U703" i="17"/>
  <c r="T931" i="17"/>
  <c r="U931" i="17" s="1"/>
  <c r="T1159" i="17"/>
  <c r="U1159" i="17" s="1"/>
  <c r="T1267" i="17"/>
  <c r="U1267" i="17"/>
  <c r="T1387" i="17"/>
  <c r="U1387" i="17"/>
  <c r="T1483" i="17"/>
  <c r="U1483" i="17"/>
  <c r="T1603" i="17"/>
  <c r="U1603" i="17"/>
  <c r="T1735" i="17"/>
  <c r="U1735" i="17" s="1"/>
  <c r="T1951" i="17"/>
  <c r="U1951" i="17" s="1"/>
  <c r="T1876" i="17"/>
  <c r="U1876" i="17"/>
  <c r="T1196" i="17"/>
  <c r="U1196" i="17"/>
  <c r="T1316" i="17"/>
  <c r="U1316" i="17"/>
  <c r="T1460" i="17"/>
  <c r="U1460" i="17"/>
  <c r="T1580" i="17"/>
  <c r="U1580" i="17" s="1"/>
  <c r="T1712" i="17"/>
  <c r="U1712" i="17" s="1"/>
  <c r="T1844" i="17"/>
  <c r="U1844" i="17"/>
  <c r="T1976" i="17"/>
  <c r="U1976" i="17"/>
  <c r="T1653" i="17"/>
  <c r="U1653" i="17"/>
  <c r="T1090" i="17"/>
  <c r="U1090" i="17"/>
  <c r="T1318" i="17"/>
  <c r="U1318" i="17" s="1"/>
  <c r="T1438" i="17"/>
  <c r="U1438" i="17" s="1"/>
  <c r="T1582" i="17"/>
  <c r="U1582" i="17"/>
  <c r="T1846" i="17"/>
  <c r="U1846" i="17"/>
  <c r="T1942" i="17"/>
  <c r="U1942" i="17"/>
  <c r="T1043" i="17"/>
  <c r="U1043" i="17"/>
  <c r="T1139" i="17"/>
  <c r="U1139" i="17" s="1"/>
  <c r="T1379" i="17"/>
  <c r="U1379" i="17" s="1"/>
  <c r="T1631" i="17"/>
  <c r="U1631" i="17"/>
  <c r="T1715" i="17"/>
  <c r="U1715" i="17"/>
  <c r="T1817" i="17"/>
  <c r="U1817" i="17"/>
  <c r="T1105" i="17"/>
  <c r="U1105" i="17"/>
  <c r="T1574" i="17"/>
  <c r="U1574" i="17" s="1"/>
  <c r="T1287" i="17"/>
  <c r="U1287" i="17" s="1"/>
  <c r="T1300" i="17"/>
  <c r="U1300" i="17"/>
  <c r="T1361" i="17"/>
  <c r="U1361" i="17"/>
  <c r="T798" i="17"/>
  <c r="U798" i="17"/>
  <c r="T1806" i="17"/>
  <c r="U1806" i="17"/>
  <c r="T907" i="17"/>
  <c r="U907" i="17" s="1"/>
  <c r="T1172" i="17"/>
  <c r="U1172" i="17" s="1"/>
  <c r="T1294" i="17"/>
  <c r="U1294" i="17"/>
  <c r="T1487" i="17"/>
  <c r="U1487" i="17"/>
  <c r="T8" i="17"/>
  <c r="U8" i="17"/>
  <c r="T21" i="17"/>
  <c r="U21" i="17"/>
  <c r="T347" i="17"/>
  <c r="U347" i="17" s="1"/>
  <c r="T133" i="17"/>
  <c r="U133" i="17" s="1"/>
  <c r="T638" i="17"/>
  <c r="U638" i="17"/>
  <c r="T52" i="17"/>
  <c r="U52" i="17"/>
  <c r="T976" i="17"/>
  <c r="U976" i="17"/>
  <c r="T857" i="17"/>
  <c r="U857" i="17"/>
  <c r="T1728" i="17"/>
  <c r="U1728" i="17" s="1"/>
  <c r="T1437" i="17"/>
  <c r="U1437" i="17" s="1"/>
  <c r="T603" i="17"/>
  <c r="U603" i="17"/>
  <c r="T1461" i="17"/>
  <c r="U1461" i="17"/>
  <c r="T1457" i="17"/>
  <c r="U1457" i="17"/>
  <c r="T330" i="17"/>
  <c r="U330" i="17"/>
  <c r="T1314" i="17"/>
  <c r="U1314" i="17" s="1"/>
  <c r="T151" i="17"/>
  <c r="U151" i="17" s="1"/>
  <c r="T1591" i="17"/>
  <c r="U1591" i="17"/>
  <c r="T260" i="17"/>
  <c r="U260" i="17"/>
  <c r="T836" i="17"/>
  <c r="U836" i="17"/>
  <c r="T1052" i="17"/>
  <c r="U1052" i="17"/>
  <c r="T189" i="17"/>
  <c r="U189" i="17" s="1"/>
  <c r="T345" i="17"/>
  <c r="U345" i="17" s="1"/>
  <c r="T525" i="17"/>
  <c r="U525" i="17"/>
  <c r="T681" i="17"/>
  <c r="U681" i="17"/>
  <c r="T1046" i="17"/>
  <c r="U1046" i="17"/>
  <c r="T322" i="17"/>
  <c r="U322" i="17"/>
  <c r="T430" i="17"/>
  <c r="U430" i="17" s="1"/>
  <c r="T550" i="17"/>
  <c r="U550" i="17" s="1"/>
  <c r="T754" i="17"/>
  <c r="U754" i="17"/>
  <c r="T862" i="17"/>
  <c r="U862" i="17"/>
  <c r="T982" i="17"/>
  <c r="U982" i="17"/>
  <c r="T59" i="17"/>
  <c r="U59" i="17"/>
  <c r="T179" i="17"/>
  <c r="U179" i="17" s="1"/>
  <c r="T371" i="17"/>
  <c r="U371" i="17" s="1"/>
  <c r="T491" i="17"/>
  <c r="U491" i="17"/>
  <c r="T611" i="17"/>
  <c r="U611" i="17"/>
  <c r="T803" i="17"/>
  <c r="U803" i="17"/>
  <c r="T923" i="17"/>
  <c r="U923" i="17"/>
  <c r="T768" i="17"/>
  <c r="U768" i="17" s="1"/>
  <c r="T408" i="17"/>
  <c r="U408" i="17" s="1"/>
  <c r="T660" i="17"/>
  <c r="U660" i="17"/>
  <c r="T769" i="17"/>
  <c r="U769" i="17"/>
  <c r="T169" i="17"/>
  <c r="U169" i="17"/>
  <c r="T349" i="17"/>
  <c r="U349" i="17"/>
  <c r="T517" i="17"/>
  <c r="U517" i="17" s="1"/>
  <c r="T685" i="17"/>
  <c r="U685" i="17" s="1"/>
  <c r="T853" i="17"/>
  <c r="U853" i="17"/>
  <c r="T780" i="17"/>
  <c r="U780" i="17"/>
  <c r="T110" i="17"/>
  <c r="U110" i="17"/>
  <c r="T242" i="17"/>
  <c r="U242" i="17"/>
  <c r="T386" i="17"/>
  <c r="U386" i="17" s="1"/>
  <c r="T518" i="17"/>
  <c r="U518" i="17" s="1"/>
  <c r="T782" i="17"/>
  <c r="U782" i="17"/>
  <c r="T914" i="17"/>
  <c r="U914" i="17"/>
  <c r="T501" i="17"/>
  <c r="U501" i="17"/>
  <c r="T99" i="17"/>
  <c r="U99" i="17"/>
  <c r="T231" i="17"/>
  <c r="U231" i="17" s="1"/>
  <c r="T447" i="17"/>
  <c r="U447" i="17" s="1"/>
  <c r="T384" i="17"/>
  <c r="U384" i="17"/>
  <c r="T76" i="17"/>
  <c r="U76" i="17"/>
  <c r="T208" i="17"/>
  <c r="U208" i="17"/>
  <c r="T340" i="17"/>
  <c r="U340" i="17"/>
  <c r="T460" i="17"/>
  <c r="U460" i="17" s="1"/>
  <c r="T592" i="17"/>
  <c r="U592" i="17" s="1"/>
  <c r="T724" i="17"/>
  <c r="U724" i="17"/>
  <c r="T856" i="17"/>
  <c r="U856" i="17"/>
  <c r="T1012" i="17"/>
  <c r="U1012" i="17"/>
  <c r="T65" i="17"/>
  <c r="U65" i="17"/>
  <c r="T197" i="17"/>
  <c r="U197" i="17" s="1"/>
  <c r="T341" i="17"/>
  <c r="U341" i="17" s="1"/>
  <c r="T473" i="17"/>
  <c r="U473" i="17"/>
  <c r="T617" i="17"/>
  <c r="U617" i="17"/>
  <c r="T737" i="17"/>
  <c r="U737" i="17"/>
  <c r="T869" i="17"/>
  <c r="U869" i="17"/>
  <c r="T1001" i="17"/>
  <c r="U1001" i="17" s="1"/>
  <c r="T1828" i="17"/>
  <c r="U1828" i="17" s="1"/>
  <c r="T936" i="17"/>
  <c r="U936" i="17"/>
  <c r="T1176" i="17"/>
  <c r="U1176" i="17"/>
  <c r="T1296" i="17"/>
  <c r="U1296" i="17"/>
  <c r="T1464" i="17"/>
  <c r="U1464" i="17"/>
  <c r="T1608" i="17"/>
  <c r="U1608" i="17" s="1"/>
  <c r="T1752" i="17"/>
  <c r="U1752" i="17" s="1"/>
  <c r="T1896" i="17"/>
  <c r="U1896" i="17"/>
  <c r="T933" i="17"/>
  <c r="U933" i="17"/>
  <c r="T1881" i="17"/>
  <c r="U1881" i="17"/>
  <c r="T997" i="17"/>
  <c r="U997" i="17"/>
  <c r="T1129" i="17"/>
  <c r="U1129" i="17" s="1"/>
  <c r="T1261" i="17"/>
  <c r="U1261" i="17" s="1"/>
  <c r="T1393" i="17"/>
  <c r="U1393" i="17"/>
  <c r="T1537" i="17"/>
  <c r="U1537" i="17"/>
  <c r="T1693" i="17"/>
  <c r="U1693" i="17"/>
  <c r="T1837" i="17"/>
  <c r="U1837" i="17"/>
  <c r="T1981" i="17"/>
  <c r="U1981" i="17" s="1"/>
  <c r="T1629" i="17"/>
  <c r="U1629" i="17" s="1"/>
  <c r="T1984" i="17"/>
  <c r="U1984" i="17"/>
  <c r="T1262" i="17"/>
  <c r="U1262" i="17"/>
  <c r="T1454" i="17"/>
  <c r="U1454" i="17"/>
  <c r="T1622" i="17"/>
  <c r="U1622" i="17"/>
  <c r="T1790" i="17"/>
  <c r="U1790" i="17" s="1"/>
  <c r="T1922" i="17"/>
  <c r="U1922" i="17" s="1"/>
  <c r="T1269" i="17"/>
  <c r="U1269" i="17"/>
  <c r="T1642" i="17"/>
  <c r="U1642" i="17"/>
  <c r="T627" i="17"/>
  <c r="U627" i="17"/>
  <c r="T771" i="17"/>
  <c r="U771" i="17"/>
  <c r="T915" i="17"/>
  <c r="U915" i="17" s="1"/>
  <c r="T1047" i="17"/>
  <c r="U1047" i="17" s="1"/>
  <c r="T1179" i="17"/>
  <c r="U1179" i="17"/>
  <c r="T1323" i="17"/>
  <c r="U1323" i="17"/>
  <c r="T1443" i="17"/>
  <c r="U1443" i="17"/>
  <c r="T1551" i="17"/>
  <c r="U1551" i="17"/>
  <c r="T1659" i="17"/>
  <c r="U1659" i="17" s="1"/>
  <c r="T1791" i="17"/>
  <c r="U1791" i="17" s="1"/>
  <c r="T1899" i="17"/>
  <c r="U1899" i="17"/>
  <c r="T957" i="17"/>
  <c r="U957" i="17"/>
  <c r="T1641" i="17"/>
  <c r="U1641" i="17"/>
  <c r="T1924" i="17"/>
  <c r="U1924" i="17"/>
  <c r="T1192" i="17"/>
  <c r="U1192" i="17" s="1"/>
  <c r="T1348" i="17"/>
  <c r="U1348" i="17" s="1"/>
  <c r="T1492" i="17"/>
  <c r="U1492" i="17"/>
  <c r="T1624" i="17"/>
  <c r="U1624" i="17"/>
  <c r="T1108" i="17"/>
  <c r="U1108" i="17"/>
  <c r="T1109" i="17"/>
  <c r="U1109" i="17"/>
  <c r="T1289" i="17"/>
  <c r="U1289" i="17" s="1"/>
  <c r="T1481" i="17"/>
  <c r="U1481" i="17" s="1"/>
  <c r="T1745" i="17"/>
  <c r="U1745" i="17"/>
  <c r="T1401" i="17"/>
  <c r="U1401" i="17"/>
  <c r="T1680" i="17"/>
  <c r="U1680" i="17"/>
  <c r="T90" i="17"/>
  <c r="U90" i="17"/>
  <c r="T222" i="17"/>
  <c r="U222" i="17" s="1"/>
  <c r="T342" i="17"/>
  <c r="U342" i="17" s="1"/>
  <c r="T486" i="17"/>
  <c r="U486" i="17"/>
  <c r="T606" i="17"/>
  <c r="U606" i="17"/>
  <c r="T726" i="17"/>
  <c r="U726" i="17"/>
  <c r="T834" i="17"/>
  <c r="U834" i="17"/>
  <c r="T1134" i="17"/>
  <c r="U1134" i="17" s="1"/>
  <c r="T1230" i="17"/>
  <c r="U1230" i="17" s="1"/>
  <c r="T1542" i="17"/>
  <c r="U1542" i="17"/>
  <c r="T1626" i="17"/>
  <c r="U1626" i="17"/>
  <c r="T1842" i="17"/>
  <c r="U1842" i="17"/>
  <c r="T31" i="17"/>
  <c r="U31" i="17"/>
  <c r="T307" i="17"/>
  <c r="U307" i="17" s="1"/>
  <c r="T439" i="17"/>
  <c r="U439" i="17" s="1"/>
  <c r="T583" i="17"/>
  <c r="U583" i="17"/>
  <c r="T715" i="17"/>
  <c r="U715" i="17"/>
  <c r="T943" i="17"/>
  <c r="U943" i="17"/>
  <c r="T1051" i="17"/>
  <c r="U1051" i="17"/>
  <c r="T1171" i="17"/>
  <c r="U1171" i="17" s="1"/>
  <c r="T1279" i="17"/>
  <c r="U1279" i="17" s="1"/>
  <c r="T1495" i="17"/>
  <c r="U1495" i="17"/>
  <c r="T1747" i="17"/>
  <c r="U1747" i="17"/>
  <c r="T1963" i="17"/>
  <c r="U1963" i="17"/>
  <c r="T1948" i="17"/>
  <c r="U1948" i="17"/>
  <c r="T1328" i="17"/>
  <c r="U1328" i="17" s="1"/>
  <c r="T1592" i="17"/>
  <c r="U1592" i="17" s="1"/>
  <c r="T1724" i="17"/>
  <c r="U1724" i="17"/>
  <c r="T1856" i="17"/>
  <c r="U1856" i="17"/>
  <c r="T1988" i="17"/>
  <c r="U1988" i="17" s="1"/>
  <c r="T1749" i="17"/>
  <c r="U1749" i="17"/>
  <c r="T1102" i="17"/>
  <c r="U1102" i="17" s="1"/>
  <c r="T1210" i="17"/>
  <c r="U1210" i="17" s="1"/>
  <c r="T1330" i="17"/>
  <c r="U1330" i="17"/>
  <c r="T1726" i="17"/>
  <c r="U1726" i="17"/>
  <c r="T1954" i="17"/>
  <c r="U1954" i="17"/>
  <c r="T1151" i="17"/>
  <c r="U1151" i="17"/>
  <c r="T1391" i="17"/>
  <c r="U1391" i="17" s="1"/>
  <c r="T1523" i="17"/>
  <c r="U1523" i="17" s="1"/>
  <c r="T1643" i="17"/>
  <c r="U1643" i="17"/>
  <c r="T1787" i="17"/>
  <c r="U1787" i="17"/>
  <c r="T684" i="17"/>
  <c r="U684" i="17"/>
  <c r="T252" i="17"/>
  <c r="U252" i="17"/>
  <c r="T1716" i="17"/>
  <c r="U1716" i="17" s="1"/>
  <c r="T1237" i="17"/>
  <c r="U1237" i="17" s="1"/>
  <c r="T1202" i="17"/>
  <c r="U1202" i="17"/>
  <c r="T1072" i="17"/>
  <c r="U1072" i="17"/>
  <c r="T1142" i="17"/>
  <c r="U1142" i="17"/>
  <c r="T1014" i="17"/>
  <c r="U1014" i="17"/>
  <c r="T1053" i="17"/>
  <c r="U1053" i="17" s="1"/>
  <c r="T799" i="17"/>
  <c r="U799" i="17" s="1"/>
  <c r="T1820" i="17"/>
  <c r="U1820" i="17" s="1"/>
  <c r="T1426" i="17"/>
  <c r="U1426" i="17"/>
  <c r="T344" i="17"/>
  <c r="U344" i="17"/>
  <c r="T1040" i="17"/>
  <c r="U1040" i="17"/>
  <c r="T156" i="17"/>
  <c r="U156" i="17" s="1"/>
  <c r="T492" i="17"/>
  <c r="U492" i="17" s="1"/>
  <c r="T423" i="17"/>
  <c r="U423" i="17"/>
  <c r="T173" i="17"/>
  <c r="U173" i="17" s="1"/>
  <c r="T1152" i="17"/>
  <c r="U1152" i="17"/>
  <c r="T1598" i="17"/>
  <c r="U1598" i="17"/>
  <c r="T1023" i="17"/>
  <c r="U1023" i="17" s="1"/>
  <c r="T1779" i="17"/>
  <c r="U1779" i="17" s="1"/>
  <c r="T462" i="17"/>
  <c r="U462" i="17"/>
  <c r="T1422" i="17"/>
  <c r="U1422" i="17"/>
  <c r="T559" i="17"/>
  <c r="U559" i="17" s="1"/>
  <c r="T1939" i="17"/>
  <c r="U1939" i="17"/>
  <c r="T1367" i="17"/>
  <c r="U1367" i="17" s="1"/>
  <c r="T488" i="17"/>
  <c r="U488" i="17" s="1"/>
  <c r="T596" i="17"/>
  <c r="U596" i="17"/>
  <c r="T944" i="17"/>
  <c r="U944" i="17"/>
  <c r="T152" i="17"/>
  <c r="U152" i="17"/>
  <c r="T380" i="17"/>
  <c r="U380" i="17"/>
  <c r="T848" i="17"/>
  <c r="U848" i="17" s="1"/>
  <c r="T57" i="17"/>
  <c r="U57" i="17" s="1"/>
  <c r="T369" i="17"/>
  <c r="U369" i="17"/>
  <c r="T537" i="17"/>
  <c r="U537" i="17"/>
  <c r="T705" i="17"/>
  <c r="U705" i="17"/>
  <c r="T118" i="17"/>
  <c r="U118" i="17"/>
  <c r="T226" i="17"/>
  <c r="U226" i="17" s="1"/>
  <c r="T442" i="17"/>
  <c r="U442" i="17" s="1"/>
  <c r="T658" i="17"/>
  <c r="U658" i="17"/>
  <c r="T874" i="17"/>
  <c r="U874" i="17"/>
  <c r="T97" i="17"/>
  <c r="U97" i="17"/>
  <c r="T71" i="17"/>
  <c r="U71" i="17"/>
  <c r="T275" i="17"/>
  <c r="U275" i="17" s="1"/>
  <c r="T383" i="17"/>
  <c r="U383" i="17" s="1"/>
  <c r="T503" i="17"/>
  <c r="U503" i="17" s="1"/>
  <c r="T707" i="17"/>
  <c r="U707" i="17"/>
  <c r="T815" i="17"/>
  <c r="U815" i="17"/>
  <c r="T935" i="17"/>
  <c r="U935" i="17"/>
  <c r="T12" i="17"/>
  <c r="U12" i="17" s="1"/>
  <c r="T180" i="17"/>
  <c r="U180" i="17" s="1"/>
  <c r="T420" i="17"/>
  <c r="U420" i="17"/>
  <c r="T696" i="17"/>
  <c r="U696" i="17" s="1"/>
  <c r="T913" i="17"/>
  <c r="U913" i="17"/>
  <c r="T181" i="17"/>
  <c r="U181" i="17"/>
  <c r="T361" i="17"/>
  <c r="U361" i="17" s="1"/>
  <c r="T541" i="17"/>
  <c r="U541" i="17" s="1"/>
  <c r="T697" i="17"/>
  <c r="U697" i="17"/>
  <c r="T877" i="17"/>
  <c r="U877" i="17"/>
  <c r="T1022" i="17"/>
  <c r="U1022" i="17" s="1"/>
  <c r="T122" i="17"/>
  <c r="U122" i="17"/>
  <c r="T254" i="17"/>
  <c r="U254" i="17" s="1"/>
  <c r="T398" i="17"/>
  <c r="U398" i="17" s="1"/>
  <c r="T530" i="17"/>
  <c r="U530" i="17"/>
  <c r="T662" i="17"/>
  <c r="U662" i="17"/>
  <c r="T794" i="17"/>
  <c r="U794" i="17"/>
  <c r="T926" i="17"/>
  <c r="U926" i="17" s="1"/>
  <c r="T645" i="17"/>
  <c r="U645" i="17" s="1"/>
  <c r="T243" i="17"/>
  <c r="U243" i="17" s="1"/>
  <c r="T339" i="17"/>
  <c r="U339" i="17"/>
  <c r="T528" i="17"/>
  <c r="U528" i="17"/>
  <c r="T88" i="17"/>
  <c r="U88" i="17"/>
  <c r="T220" i="17"/>
  <c r="U220" i="17"/>
  <c r="T352" i="17"/>
  <c r="U352" i="17"/>
  <c r="T472" i="17"/>
  <c r="U472" i="17" s="1"/>
  <c r="T604" i="17"/>
  <c r="U604" i="17" s="1"/>
  <c r="T736" i="17"/>
  <c r="U736" i="17" s="1"/>
  <c r="T868" i="17"/>
  <c r="U868" i="17" s="1"/>
  <c r="T241" i="17"/>
  <c r="U241" i="17"/>
  <c r="T77" i="17"/>
  <c r="U77" i="17"/>
  <c r="T209" i="17"/>
  <c r="U209" i="17" s="1"/>
  <c r="T353" i="17"/>
  <c r="U353" i="17"/>
  <c r="T485" i="17"/>
  <c r="U485" i="17"/>
  <c r="T629" i="17"/>
  <c r="U629" i="17"/>
  <c r="T749" i="17"/>
  <c r="U749" i="17"/>
  <c r="T881" i="17"/>
  <c r="U881" i="17"/>
  <c r="T1013" i="17"/>
  <c r="U1013" i="17" s="1"/>
  <c r="T1900" i="17"/>
  <c r="U1900" i="17" s="1"/>
  <c r="T1056" i="17"/>
  <c r="U1056" i="17" s="1"/>
  <c r="T1308" i="17"/>
  <c r="U1308" i="17" s="1"/>
  <c r="T1620" i="17"/>
  <c r="U1620" i="17" s="1"/>
  <c r="T1908" i="17"/>
  <c r="U1908" i="17"/>
  <c r="T981" i="17"/>
  <c r="U981" i="17" s="1"/>
  <c r="T1977" i="17"/>
  <c r="U1977" i="17" s="1"/>
  <c r="T1009" i="17"/>
  <c r="U1009" i="17"/>
  <c r="T1141" i="17"/>
  <c r="U1141" i="17"/>
  <c r="T1273" i="17"/>
  <c r="U1273" i="17"/>
  <c r="T1405" i="17"/>
  <c r="U1405" i="17"/>
  <c r="T1549" i="17"/>
  <c r="U1549" i="17" s="1"/>
  <c r="T1705" i="17"/>
  <c r="U1705" i="17"/>
  <c r="T1849" i="17"/>
  <c r="U1849" i="17" s="1"/>
  <c r="T1993" i="17"/>
  <c r="U1993" i="17" s="1"/>
  <c r="T1737" i="17"/>
  <c r="U1737" i="17" s="1"/>
  <c r="T1058" i="17"/>
  <c r="U1058" i="17"/>
  <c r="T1274" i="17"/>
  <c r="U1274" i="17"/>
  <c r="T1466" i="17"/>
  <c r="U1466" i="17"/>
  <c r="T1634" i="17"/>
  <c r="U1634" i="17" s="1"/>
  <c r="T1802" i="17"/>
  <c r="U1802" i="17" s="1"/>
  <c r="T1934" i="17"/>
  <c r="U1934" i="17" s="1"/>
  <c r="T1365" i="17"/>
  <c r="U1365" i="17" s="1"/>
  <c r="T1764" i="17"/>
  <c r="U1764" i="17"/>
  <c r="T639" i="17"/>
  <c r="U639" i="17"/>
  <c r="T783" i="17"/>
  <c r="U783" i="17" s="1"/>
  <c r="T927" i="17"/>
  <c r="U927" i="17" s="1"/>
  <c r="T1059" i="17"/>
  <c r="U1059" i="17" s="1"/>
  <c r="T1191" i="17"/>
  <c r="U1191" i="17" s="1"/>
  <c r="T1335" i="17"/>
  <c r="U1335" i="17"/>
  <c r="T1455" i="17"/>
  <c r="U1455" i="17"/>
  <c r="T1563" i="17"/>
  <c r="U1563" i="17" s="1"/>
  <c r="T1671" i="17"/>
  <c r="U1671" i="17" s="1"/>
  <c r="T1911" i="17"/>
  <c r="U1911" i="17" s="1"/>
  <c r="T993" i="17"/>
  <c r="U993" i="17" s="1"/>
  <c r="T1725" i="17"/>
  <c r="U1725" i="17"/>
  <c r="T1996" i="17"/>
  <c r="U1996" i="17"/>
  <c r="T1204" i="17"/>
  <c r="U1204" i="17" s="1"/>
  <c r="T1360" i="17"/>
  <c r="U1360" i="17" s="1"/>
  <c r="T1504" i="17"/>
  <c r="U1504" i="17" s="1"/>
  <c r="T1089" i="17"/>
  <c r="U1089" i="17" s="1"/>
  <c r="T1324" i="17"/>
  <c r="U1324" i="17"/>
  <c r="T1121" i="17"/>
  <c r="U1121" i="17"/>
  <c r="T1205" i="17"/>
  <c r="U1205" i="17" s="1"/>
  <c r="T1385" i="17"/>
  <c r="U1385" i="17" s="1"/>
  <c r="T1577" i="17"/>
  <c r="U1577" i="17" s="1"/>
  <c r="T1661" i="17"/>
  <c r="U1661" i="17" s="1"/>
  <c r="T1757" i="17"/>
  <c r="U1757" i="17"/>
  <c r="T1509" i="17"/>
  <c r="U1509" i="17"/>
  <c r="T1792" i="17"/>
  <c r="U1792" i="17" s="1"/>
  <c r="T102" i="17"/>
  <c r="U102" i="17" s="1"/>
  <c r="T234" i="17"/>
  <c r="U234" i="17" s="1"/>
  <c r="T354" i="17"/>
  <c r="U354" i="17" s="1"/>
  <c r="T498" i="17"/>
  <c r="U498" i="17"/>
  <c r="T618" i="17"/>
  <c r="U618" i="17"/>
  <c r="T918" i="17"/>
  <c r="U918" i="17" s="1"/>
  <c r="T1638" i="17"/>
  <c r="U1638" i="17" s="1"/>
  <c r="T1854" i="17"/>
  <c r="U1854" i="17" s="1"/>
  <c r="T43" i="17"/>
  <c r="U43" i="17" s="1"/>
  <c r="T175" i="17"/>
  <c r="U175" i="17"/>
  <c r="T451" i="17"/>
  <c r="U451" i="17"/>
  <c r="T727" i="17"/>
  <c r="U727" i="17" s="1"/>
  <c r="T835" i="17"/>
  <c r="U835" i="17" s="1"/>
  <c r="T1063" i="17"/>
  <c r="U1063" i="17" s="1"/>
  <c r="T1291" i="17"/>
  <c r="U1291" i="17" s="1"/>
  <c r="T1507" i="17"/>
  <c r="U1507" i="17"/>
  <c r="T1759" i="17"/>
  <c r="U1759" i="17"/>
  <c r="T1975" i="17"/>
  <c r="U1975" i="17" s="1"/>
  <c r="T1088" i="17"/>
  <c r="U1088" i="17" s="1"/>
  <c r="T1340" i="17"/>
  <c r="U1340" i="17" s="1"/>
  <c r="T1604" i="17"/>
  <c r="U1604" i="17" s="1"/>
  <c r="T1868" i="17"/>
  <c r="U1868" i="17"/>
  <c r="T1857" i="17"/>
  <c r="U1857" i="17"/>
  <c r="T1114" i="17"/>
  <c r="U1114" i="17" s="1"/>
  <c r="T1450" i="17"/>
  <c r="U1450" i="17" s="1"/>
  <c r="T1738" i="17"/>
  <c r="U1738" i="17" s="1"/>
  <c r="T1966" i="17"/>
  <c r="U1966" i="17" s="1"/>
  <c r="T1163" i="17"/>
  <c r="U1163" i="17"/>
  <c r="T1403" i="17"/>
  <c r="U1403" i="17"/>
  <c r="T1655" i="17"/>
  <c r="U1655" i="17" s="1"/>
  <c r="T1991" i="17"/>
  <c r="U1991" i="17" s="1"/>
  <c r="T1877" i="17"/>
  <c r="U1877" i="17" s="1"/>
  <c r="T1860" i="17"/>
  <c r="U1860" i="17" s="1"/>
  <c r="T1813" i="17"/>
  <c r="U1813" i="17"/>
  <c r="T1886" i="17"/>
  <c r="U1886" i="17"/>
  <c r="T1767" i="17"/>
  <c r="U1767" i="17" s="1"/>
  <c r="T1744" i="17"/>
  <c r="U1744" i="17" s="1"/>
  <c r="T1553" i="17"/>
  <c r="U1553" i="17" s="1"/>
  <c r="T66" i="17"/>
  <c r="U66" i="17" s="1"/>
  <c r="T894" i="17"/>
  <c r="U894" i="17"/>
  <c r="T403" i="17"/>
  <c r="U403" i="17"/>
  <c r="T1579" i="17"/>
  <c r="U1579" i="17" s="1"/>
  <c r="T1186" i="17"/>
  <c r="U1186" i="17" s="1"/>
  <c r="T1247" i="17"/>
  <c r="U1247" i="17" s="1"/>
  <c r="T128" i="17"/>
  <c r="U128" i="17" s="1"/>
  <c r="T920" i="17"/>
  <c r="U920" i="17"/>
  <c r="T202" i="17"/>
  <c r="U202" i="17"/>
  <c r="T970" i="17"/>
  <c r="U970" i="17" s="1"/>
  <c r="T779" i="17"/>
  <c r="U779" i="17" s="1"/>
  <c r="T493" i="17"/>
  <c r="U493" i="17" s="1"/>
  <c r="T758" i="17"/>
  <c r="U758" i="17" s="1"/>
  <c r="T316" i="17"/>
  <c r="U316" i="17"/>
  <c r="T449" i="17"/>
  <c r="U449" i="17"/>
  <c r="T1272" i="17"/>
  <c r="U1272" i="17" s="1"/>
  <c r="T1226" i="17"/>
  <c r="U1226" i="17" s="1"/>
  <c r="T891" i="17"/>
  <c r="U891" i="17" s="1"/>
  <c r="T1995" i="17"/>
  <c r="U1995" i="17" s="1"/>
  <c r="T1085" i="17"/>
  <c r="U1085" i="17"/>
  <c r="T198" i="17"/>
  <c r="U198" i="17"/>
  <c r="T1206" i="17"/>
  <c r="U1206" i="17" s="1"/>
  <c r="T1039" i="17"/>
  <c r="U1039" i="17" s="1"/>
  <c r="T1619" i="17"/>
  <c r="U1619" i="17" s="1"/>
  <c r="T20" i="17"/>
  <c r="U20" i="17" s="1"/>
  <c r="T368" i="17"/>
  <c r="U368" i="17"/>
  <c r="T45" i="17"/>
  <c r="U45" i="17"/>
  <c r="T272" i="17"/>
  <c r="U272" i="17" s="1"/>
  <c r="T500" i="17"/>
  <c r="U500" i="17" s="1"/>
  <c r="T728" i="17"/>
  <c r="U728" i="17" s="1"/>
  <c r="T956" i="17"/>
  <c r="U956" i="17" s="1"/>
  <c r="T1064" i="17"/>
  <c r="U1064" i="17"/>
  <c r="T201" i="17"/>
  <c r="U201" i="17"/>
  <c r="T10" i="17"/>
  <c r="U10" i="17" s="1"/>
  <c r="T32" i="17"/>
  <c r="U32" i="17" s="1"/>
  <c r="T392" i="17"/>
  <c r="U392" i="17" s="1"/>
  <c r="T512" i="17"/>
  <c r="U512" i="17" s="1"/>
  <c r="T608" i="17"/>
  <c r="U608" i="17"/>
  <c r="T968" i="17"/>
  <c r="U968" i="17"/>
  <c r="T69" i="17"/>
  <c r="U69" i="17" s="1"/>
  <c r="T213" i="17"/>
  <c r="U213" i="17" s="1"/>
  <c r="T381" i="17"/>
  <c r="U381" i="17" s="1"/>
  <c r="T717" i="17"/>
  <c r="U717" i="17" s="1"/>
  <c r="T22" i="17"/>
  <c r="U22" i="17"/>
  <c r="T130" i="17"/>
  <c r="U130" i="17"/>
  <c r="T238" i="17"/>
  <c r="U238" i="17" s="1"/>
  <c r="T454" i="17"/>
  <c r="U454" i="17" s="1"/>
  <c r="T562" i="17"/>
  <c r="U562" i="17" s="1"/>
  <c r="T670" i="17"/>
  <c r="U670" i="17" s="1"/>
  <c r="T886" i="17"/>
  <c r="U886" i="17"/>
  <c r="T994" i="17"/>
  <c r="U994" i="17"/>
  <c r="T309" i="17"/>
  <c r="U309" i="17" s="1"/>
  <c r="T83" i="17"/>
  <c r="U83" i="17" s="1"/>
  <c r="T287" i="17"/>
  <c r="U287" i="17" s="1"/>
  <c r="T395" i="17"/>
  <c r="U395" i="17" s="1"/>
  <c r="T515" i="17"/>
  <c r="U515" i="17"/>
  <c r="T719" i="17"/>
  <c r="U719" i="17"/>
  <c r="T827" i="17"/>
  <c r="U827" i="17" s="1"/>
  <c r="T947" i="17"/>
  <c r="U947" i="17" s="1"/>
  <c r="T24" i="17"/>
  <c r="U24" i="17" s="1"/>
  <c r="T204" i="17"/>
  <c r="U204" i="17" s="1"/>
  <c r="T13" i="17"/>
  <c r="U13" i="17"/>
  <c r="T205" i="17"/>
  <c r="U205" i="17"/>
  <c r="T373" i="17"/>
  <c r="U373" i="17" s="1"/>
  <c r="T709" i="17"/>
  <c r="U709" i="17" s="1"/>
  <c r="T889" i="17"/>
  <c r="U889" i="17" s="1"/>
  <c r="T2" i="17"/>
  <c r="U2" i="17" s="1"/>
  <c r="T134" i="17"/>
  <c r="U134" i="17"/>
  <c r="T266" i="17"/>
  <c r="U266" i="17"/>
  <c r="T410" i="17"/>
  <c r="U410" i="17" s="1"/>
  <c r="T542" i="17"/>
  <c r="U542" i="17" s="1"/>
  <c r="T674" i="17"/>
  <c r="U674" i="17" s="1"/>
  <c r="T789" i="17"/>
  <c r="U789" i="17" s="1"/>
  <c r="T111" i="17"/>
  <c r="U111" i="17"/>
  <c r="T351" i="17"/>
  <c r="U351" i="17"/>
  <c r="T459" i="17"/>
  <c r="U459" i="17" s="1"/>
  <c r="T672" i="17"/>
  <c r="U672" i="17" s="1"/>
  <c r="T232" i="17"/>
  <c r="U232" i="17" s="1"/>
  <c r="T484" i="17"/>
  <c r="U484" i="17" s="1"/>
  <c r="T616" i="17"/>
  <c r="U616" i="17"/>
  <c r="T748" i="17"/>
  <c r="U748" i="17"/>
  <c r="T385" i="17"/>
  <c r="U385" i="17" s="1"/>
  <c r="T89" i="17"/>
  <c r="U89" i="17" s="1"/>
  <c r="T233" i="17"/>
  <c r="U233" i="17" s="1"/>
  <c r="T365" i="17"/>
  <c r="U365" i="17" s="1"/>
  <c r="T497" i="17"/>
  <c r="U497" i="17"/>
  <c r="T761" i="17"/>
  <c r="U761" i="17"/>
  <c r="T893" i="17"/>
  <c r="U893" i="17" s="1"/>
  <c r="T1025" i="17"/>
  <c r="U1025" i="17" s="1"/>
  <c r="T1972" i="17"/>
  <c r="U1972" i="17" s="1"/>
  <c r="T948" i="17"/>
  <c r="U948" i="17" s="1"/>
  <c r="T1068" i="17"/>
  <c r="U1068" i="17"/>
  <c r="T1188" i="17"/>
  <c r="U1188" i="17"/>
  <c r="T1320" i="17"/>
  <c r="U1320" i="17" s="1"/>
  <c r="T1476" i="17"/>
  <c r="U1476" i="17" s="1"/>
  <c r="T1632" i="17"/>
  <c r="U1632" i="17" s="1"/>
  <c r="T1776" i="17"/>
  <c r="U1776" i="17" s="1"/>
  <c r="T1920" i="17"/>
  <c r="U1920" i="17"/>
  <c r="T1029" i="17"/>
  <c r="U1029" i="17"/>
  <c r="T1835" i="17"/>
  <c r="U1835" i="17" s="1"/>
  <c r="T1021" i="17"/>
  <c r="U1021" i="17" s="1"/>
  <c r="T1153" i="17"/>
  <c r="U1153" i="17" s="1"/>
  <c r="T1285" i="17"/>
  <c r="U1285" i="17" s="1"/>
  <c r="T1417" i="17"/>
  <c r="U1417" i="17"/>
  <c r="T1561" i="17"/>
  <c r="U1561" i="17"/>
  <c r="T1717" i="17"/>
  <c r="U1717" i="17" s="1"/>
  <c r="T1861" i="17"/>
  <c r="U1861" i="17" s="1"/>
  <c r="T873" i="17"/>
  <c r="U873" i="17" s="1"/>
  <c r="T1845" i="17"/>
  <c r="U1845" i="17" s="1"/>
  <c r="T1082" i="17"/>
  <c r="U1082" i="17"/>
  <c r="T1298" i="17"/>
  <c r="U1298" i="17"/>
  <c r="T1478" i="17"/>
  <c r="U1478" i="17" s="1"/>
  <c r="T1646" i="17"/>
  <c r="U1646" i="17" s="1"/>
  <c r="T1814" i="17"/>
  <c r="U1814" i="17" s="1"/>
  <c r="T1946" i="17"/>
  <c r="U1946" i="17" s="1"/>
  <c r="T1473" i="17"/>
  <c r="U1473" i="17"/>
  <c r="T1841" i="17"/>
  <c r="U1841" i="17"/>
  <c r="T651" i="17"/>
  <c r="U651" i="17" s="1"/>
  <c r="T795" i="17"/>
  <c r="U795" i="17" s="1"/>
  <c r="T1071" i="17"/>
  <c r="U1071" i="17" s="1"/>
  <c r="T1203" i="17"/>
  <c r="U1203" i="17" s="1"/>
  <c r="T1467" i="17"/>
  <c r="U1467" i="17"/>
  <c r="T1683" i="17"/>
  <c r="U1683" i="17"/>
  <c r="T1065" i="17"/>
  <c r="U1065" i="17" s="1"/>
  <c r="T1372" i="17"/>
  <c r="U1372" i="17" s="1"/>
  <c r="T1516" i="17"/>
  <c r="U1516" i="17" s="1"/>
  <c r="T1636" i="17"/>
  <c r="U1636" i="17" s="1"/>
  <c r="T1500" i="17"/>
  <c r="U1500" i="17"/>
  <c r="T1397" i="17"/>
  <c r="U1397" i="17"/>
  <c r="T1605" i="17"/>
  <c r="U1605" i="17" s="1"/>
  <c r="T1864" i="17"/>
  <c r="U1864" i="17" s="1"/>
  <c r="T114" i="17"/>
  <c r="U114" i="17" s="1"/>
  <c r="T366" i="17"/>
  <c r="U366" i="17" s="1"/>
  <c r="T630" i="17"/>
  <c r="U630" i="17"/>
  <c r="T846" i="17"/>
  <c r="U846" i="17"/>
  <c r="T930" i="17"/>
  <c r="U930" i="17" s="1"/>
  <c r="T1242" i="17"/>
  <c r="U1242" i="17" s="1"/>
  <c r="T1554" i="17"/>
  <c r="U1554" i="17" s="1"/>
  <c r="T1650" i="17"/>
  <c r="U1650" i="17" s="1"/>
  <c r="T1866" i="17"/>
  <c r="U1866" i="17"/>
  <c r="T1950" i="17"/>
  <c r="U1950" i="17"/>
  <c r="T1144" i="17"/>
  <c r="U1144" i="17" s="1"/>
  <c r="T55" i="17"/>
  <c r="U55" i="17" s="1"/>
  <c r="T187" i="17"/>
  <c r="U187" i="17" s="1"/>
  <c r="T319" i="17"/>
  <c r="U319" i="17" s="1"/>
  <c r="T463" i="17"/>
  <c r="U463" i="17"/>
  <c r="T739" i="17"/>
  <c r="U739" i="17"/>
  <c r="T847" i="17"/>
  <c r="U847" i="17" s="1"/>
  <c r="T1075" i="17"/>
  <c r="U1075" i="17" s="1"/>
  <c r="T1183" i="17"/>
  <c r="U1183" i="17" s="1"/>
  <c r="T1303" i="17"/>
  <c r="U1303" i="17" s="1"/>
  <c r="T1519" i="17"/>
  <c r="U1519" i="17"/>
  <c r="T1771" i="17"/>
  <c r="U1771" i="17"/>
  <c r="T1867" i="17"/>
  <c r="U1867" i="17" s="1"/>
  <c r="T1987" i="17"/>
  <c r="U1987" i="17" s="1"/>
  <c r="T1100" i="17"/>
  <c r="U1100" i="17" s="1"/>
  <c r="T1220" i="17"/>
  <c r="U1220" i="17" s="1"/>
  <c r="T1352" i="17"/>
  <c r="U1352" i="17"/>
  <c r="T1484" i="17"/>
  <c r="U1484" i="17"/>
  <c r="T1616" i="17"/>
  <c r="U1616" i="17" s="1"/>
  <c r="T1736" i="17"/>
  <c r="U1736" i="17" s="1"/>
  <c r="T1880" i="17"/>
  <c r="U1880" i="17" s="1"/>
  <c r="T2000" i="17"/>
  <c r="U2000" i="17" s="1"/>
  <c r="T1929" i="17"/>
  <c r="U1929" i="17"/>
  <c r="T1126" i="17"/>
  <c r="U1126" i="17"/>
  <c r="T1222" i="17"/>
  <c r="U1222" i="17" s="1"/>
  <c r="T1462" i="17"/>
  <c r="U1462" i="17" s="1"/>
  <c r="T1606" i="17"/>
  <c r="U1606" i="17" s="1"/>
  <c r="T1750" i="17"/>
  <c r="U1750" i="17" s="1"/>
  <c r="T1978" i="17"/>
  <c r="U1978" i="17"/>
  <c r="T1175" i="17"/>
  <c r="U1175" i="17"/>
  <c r="T1283" i="17"/>
  <c r="U1283" i="17" s="1"/>
  <c r="T1427" i="17"/>
  <c r="U1427" i="17" s="1"/>
  <c r="T1535" i="17"/>
  <c r="U1535" i="17" s="1"/>
  <c r="T1667" i="17"/>
  <c r="U1667" i="17" s="1"/>
  <c r="T1895" i="17"/>
  <c r="U1895" i="17"/>
  <c r="T261" i="17"/>
  <c r="U261" i="17"/>
  <c r="T693" i="17"/>
  <c r="U693" i="17" s="1"/>
  <c r="T1901" i="17"/>
  <c r="U1901" i="17" s="1"/>
  <c r="T1945" i="17"/>
  <c r="U1945" i="17" s="1"/>
  <c r="T591" i="17"/>
  <c r="U591" i="17" s="1"/>
  <c r="T1407" i="17"/>
  <c r="U1407" i="17"/>
  <c r="T1658" i="17"/>
  <c r="U1658" i="17"/>
  <c r="T1265" i="17"/>
  <c r="U1265" i="17" s="1"/>
  <c r="T318" i="17"/>
  <c r="U318" i="17" s="1"/>
  <c r="T1506" i="17"/>
  <c r="U1506" i="17" s="1"/>
  <c r="T139" i="17"/>
  <c r="U139" i="17" s="1"/>
  <c r="T1135" i="17"/>
  <c r="U1135" i="17"/>
  <c r="T1952" i="17"/>
  <c r="U1952" i="17"/>
  <c r="T1127" i="17"/>
  <c r="U1127" i="17" s="1"/>
  <c r="T1805" i="17"/>
  <c r="U1805" i="17" s="1"/>
  <c r="T704" i="17"/>
  <c r="U704" i="17" s="1"/>
  <c r="T657" i="17"/>
  <c r="U657" i="17" s="1"/>
  <c r="T538" i="17"/>
  <c r="U538" i="17"/>
  <c r="T155" i="17"/>
  <c r="U155" i="17"/>
  <c r="T481" i="17"/>
  <c r="U481" i="17" s="1"/>
  <c r="T362" i="17"/>
  <c r="U362" i="17" s="1"/>
  <c r="T193" i="17"/>
  <c r="U193" i="17" s="1"/>
  <c r="T184" i="17"/>
  <c r="U184" i="17" s="1"/>
  <c r="T53" i="17"/>
  <c r="U53" i="17"/>
  <c r="T912" i="17"/>
  <c r="U912" i="17"/>
  <c r="T1872" i="17"/>
  <c r="U1872" i="17" s="1"/>
  <c r="T1513" i="17"/>
  <c r="U1513" i="17" s="1"/>
  <c r="T1418" i="17"/>
  <c r="U1418" i="17" s="1"/>
  <c r="T1288" i="17"/>
  <c r="U1288" i="17" s="1"/>
  <c r="T1419" i="17"/>
  <c r="U1419" i="17"/>
  <c r="T1780" i="17"/>
  <c r="U1780" i="17"/>
  <c r="T1181" i="17"/>
  <c r="U1181" i="17" s="1"/>
  <c r="T1733" i="17"/>
  <c r="U1733" i="17" s="1"/>
  <c r="T810" i="17"/>
  <c r="U810" i="17" s="1"/>
  <c r="T1818" i="17"/>
  <c r="U1818" i="17" s="1"/>
  <c r="T283" i="17"/>
  <c r="U283" i="17"/>
  <c r="T1375" i="17"/>
  <c r="U1375" i="17"/>
  <c r="T1304" i="17"/>
  <c r="U1304" i="17" s="1"/>
  <c r="T1775" i="17"/>
  <c r="U1775" i="17" s="1"/>
  <c r="T44" i="17"/>
  <c r="U44" i="17" s="1"/>
  <c r="T404" i="17"/>
  <c r="U404" i="17" s="1"/>
  <c r="T620" i="17"/>
  <c r="U620" i="17"/>
  <c r="T980" i="17"/>
  <c r="U980" i="17"/>
  <c r="T81" i="17"/>
  <c r="U81" i="17" s="1"/>
  <c r="T225" i="17"/>
  <c r="U225" i="17" s="1"/>
  <c r="T393" i="17"/>
  <c r="U393" i="17" s="1"/>
  <c r="T561" i="17"/>
  <c r="U561" i="17" s="1"/>
  <c r="T729" i="17"/>
  <c r="U729" i="17"/>
  <c r="T574" i="17"/>
  <c r="U574" i="17"/>
  <c r="T1006" i="17"/>
  <c r="U1006" i="17" s="1"/>
  <c r="T453" i="17"/>
  <c r="U453" i="17" s="1"/>
  <c r="T95" i="17"/>
  <c r="U95" i="17" s="1"/>
  <c r="T527" i="17"/>
  <c r="U527" i="17" s="1"/>
  <c r="T959" i="17"/>
  <c r="U959" i="17"/>
  <c r="T36" i="17"/>
  <c r="U36" i="17"/>
  <c r="T216" i="17"/>
  <c r="U216" i="17" s="1"/>
  <c r="T456" i="17"/>
  <c r="U456" i="17" s="1"/>
  <c r="T25" i="17"/>
  <c r="U25" i="17" s="1"/>
  <c r="T217" i="17"/>
  <c r="U217" i="17" s="1"/>
  <c r="T397" i="17"/>
  <c r="U397" i="17"/>
  <c r="T733" i="17"/>
  <c r="U733" i="17"/>
  <c r="T901" i="17"/>
  <c r="U901" i="17" s="1"/>
  <c r="T14" i="17"/>
  <c r="U14" i="17" s="1"/>
  <c r="T146" i="17"/>
  <c r="U146" i="17" s="1"/>
  <c r="T278" i="17"/>
  <c r="U278" i="17" s="1"/>
  <c r="T422" i="17"/>
  <c r="U422" i="17"/>
  <c r="T554" i="17"/>
  <c r="U554" i="17"/>
  <c r="T686" i="17"/>
  <c r="U686" i="17" s="1"/>
  <c r="T806" i="17"/>
  <c r="U806" i="17" s="1"/>
  <c r="T1024" i="17"/>
  <c r="U1024" i="17" s="1"/>
  <c r="T123" i="17"/>
  <c r="U123" i="17" s="1"/>
  <c r="T255" i="17"/>
  <c r="U255" i="17"/>
  <c r="T363" i="17"/>
  <c r="U363" i="17"/>
  <c r="T471" i="17"/>
  <c r="U471" i="17" s="1"/>
  <c r="T816" i="17"/>
  <c r="U816" i="17" s="1"/>
  <c r="T244" i="17"/>
  <c r="U244" i="17" s="1"/>
  <c r="T496" i="17"/>
  <c r="U496" i="17" s="1"/>
  <c r="T628" i="17"/>
  <c r="U628" i="17"/>
  <c r="T760" i="17"/>
  <c r="U760" i="17"/>
  <c r="T529" i="17"/>
  <c r="U529" i="17" s="1"/>
  <c r="T101" i="17"/>
  <c r="U101" i="17" s="1"/>
  <c r="T245" i="17"/>
  <c r="U245" i="17" s="1"/>
  <c r="T377" i="17"/>
  <c r="U377" i="17" s="1"/>
  <c r="T509" i="17"/>
  <c r="U509" i="17"/>
  <c r="T773" i="17"/>
  <c r="U773" i="17"/>
  <c r="T905" i="17"/>
  <c r="U905" i="17" s="1"/>
  <c r="T1037" i="17"/>
  <c r="U1037" i="17" s="1"/>
  <c r="T840" i="17"/>
  <c r="U840" i="17" s="1"/>
  <c r="T960" i="17"/>
  <c r="U960" i="17" s="1"/>
  <c r="T1200" i="17"/>
  <c r="U1200" i="17"/>
  <c r="T1332" i="17"/>
  <c r="U1332" i="17"/>
  <c r="T1488" i="17"/>
  <c r="U1488" i="17" s="1"/>
  <c r="T1644" i="17"/>
  <c r="U1644" i="17" s="1"/>
  <c r="T1788" i="17"/>
  <c r="U1788" i="17" s="1"/>
  <c r="T1932" i="17"/>
  <c r="U1932" i="17" s="1"/>
  <c r="T1077" i="17"/>
  <c r="U1077" i="17"/>
  <c r="T1036" i="17"/>
  <c r="U1036" i="17"/>
  <c r="T1033" i="17"/>
  <c r="U1033" i="17" s="1"/>
  <c r="T1165" i="17"/>
  <c r="U1165" i="17" s="1"/>
  <c r="T1297" i="17"/>
  <c r="U1297" i="17" s="1"/>
  <c r="T1429" i="17"/>
  <c r="U1429" i="17" s="1"/>
  <c r="T1573" i="17"/>
  <c r="U1573" i="17"/>
  <c r="T1729" i="17"/>
  <c r="U1729" i="17"/>
  <c r="T1873" i="17"/>
  <c r="U1873" i="17" s="1"/>
  <c r="T945" i="17"/>
  <c r="U945" i="17" s="1"/>
  <c r="T1941" i="17"/>
  <c r="U1941" i="17" s="1"/>
  <c r="T1094" i="17"/>
  <c r="U1094" i="17" s="1"/>
  <c r="T1310" i="17"/>
  <c r="U1310" i="17"/>
  <c r="T1490" i="17"/>
  <c r="U1490" i="17"/>
  <c r="T1670" i="17"/>
  <c r="U1670" i="17" s="1"/>
  <c r="T1826" i="17"/>
  <c r="U1826" i="17" s="1"/>
  <c r="T1958" i="17"/>
  <c r="U1958" i="17" s="1"/>
  <c r="T1569" i="17"/>
  <c r="U1569" i="17" s="1"/>
  <c r="T1913" i="17"/>
  <c r="U1913" i="17"/>
  <c r="T663" i="17"/>
  <c r="U663" i="17"/>
  <c r="T807" i="17"/>
  <c r="U807" i="17" s="1"/>
  <c r="T1083" i="17"/>
  <c r="U1083" i="17" s="1"/>
  <c r="T1215" i="17"/>
  <c r="U1215" i="17" s="1"/>
  <c r="T1479" i="17"/>
  <c r="U1479" i="17" s="1"/>
  <c r="T1575" i="17"/>
  <c r="U1575" i="17"/>
  <c r="T1695" i="17"/>
  <c r="U1695" i="17"/>
  <c r="T1137" i="17"/>
  <c r="U1137" i="17" s="1"/>
  <c r="T1809" i="17"/>
  <c r="U1809" i="17" s="1"/>
  <c r="T1396" i="17"/>
  <c r="U1396" i="17" s="1"/>
  <c r="T1648" i="17"/>
  <c r="U1648" i="17" s="1"/>
  <c r="T1660" i="17"/>
  <c r="U1660" i="17"/>
  <c r="T1673" i="17"/>
  <c r="U1673" i="17"/>
  <c r="T1701" i="17"/>
  <c r="U1701" i="17" s="1"/>
  <c r="T1936" i="17"/>
  <c r="U1936" i="17" s="1"/>
  <c r="T126" i="17"/>
  <c r="U126" i="17" s="1"/>
  <c r="T378" i="17"/>
  <c r="U378" i="17" s="1"/>
  <c r="T642" i="17"/>
  <c r="U642" i="17"/>
  <c r="T942" i="17"/>
  <c r="U942" i="17"/>
  <c r="T1158" i="17"/>
  <c r="U1158" i="17" s="1"/>
  <c r="T1254" i="17"/>
  <c r="U1254" i="17" s="1"/>
  <c r="T1350" i="17"/>
  <c r="U1350" i="17" s="1"/>
  <c r="T1566" i="17"/>
  <c r="U1566" i="17" s="1"/>
  <c r="T1662" i="17"/>
  <c r="U1662" i="17"/>
  <c r="T1962" i="17"/>
  <c r="U1962" i="17"/>
  <c r="T1356" i="17"/>
  <c r="U1356" i="17" s="1"/>
  <c r="T67" i="17"/>
  <c r="U67" i="17" s="1"/>
  <c r="T199" i="17"/>
  <c r="U199" i="17" s="1"/>
  <c r="T331" i="17"/>
  <c r="U331" i="17" s="1"/>
  <c r="T475" i="17"/>
  <c r="U475" i="17"/>
  <c r="T607" i="17"/>
  <c r="U607" i="17"/>
  <c r="T859" i="17"/>
  <c r="U859" i="17" s="1"/>
  <c r="T1087" i="17"/>
  <c r="U1087" i="17" s="1"/>
  <c r="T1411" i="17"/>
  <c r="U1411" i="17" s="1"/>
  <c r="T1531" i="17"/>
  <c r="U1531" i="17" s="1"/>
  <c r="T1627" i="17"/>
  <c r="U1627" i="17"/>
  <c r="T1879" i="17"/>
  <c r="U1879" i="17"/>
  <c r="T1112" i="17"/>
  <c r="U1112" i="17" s="1"/>
  <c r="T1232" i="17"/>
  <c r="U1232" i="17" s="1"/>
  <c r="T1364" i="17"/>
  <c r="U1364" i="17" s="1"/>
  <c r="T1496" i="17"/>
  <c r="U1496" i="17" s="1"/>
  <c r="T1628" i="17"/>
  <c r="U1628" i="17"/>
  <c r="T1748" i="17"/>
  <c r="U1748" i="17"/>
  <c r="T1892" i="17"/>
  <c r="U1892" i="17" s="1"/>
  <c r="T837" i="17"/>
  <c r="U837" i="17" s="1"/>
  <c r="T2001" i="17"/>
  <c r="U2001" i="17" s="1"/>
  <c r="T1234" i="17"/>
  <c r="U1234" i="17" s="1"/>
  <c r="T1486" i="17"/>
  <c r="U1486" i="17"/>
  <c r="T1762" i="17"/>
  <c r="U1762" i="17"/>
  <c r="T1870" i="17"/>
  <c r="U1870" i="17" s="1"/>
  <c r="T1067" i="17"/>
  <c r="U1067" i="17" s="1"/>
  <c r="T1295" i="17"/>
  <c r="U1295" i="17" s="1"/>
  <c r="T1547" i="17"/>
  <c r="U1547" i="17" s="1"/>
  <c r="T1907" i="17"/>
  <c r="U1907" i="17"/>
  <c r="T1384" i="17"/>
  <c r="U1384" i="17"/>
  <c r="T1889" i="17"/>
  <c r="U1889" i="17" s="1"/>
  <c r="T1357" i="17"/>
  <c r="U1357" i="17" s="1"/>
  <c r="T1406" i="17"/>
  <c r="U1406" i="17" s="1"/>
  <c r="T879" i="17"/>
  <c r="U879" i="17" s="1"/>
  <c r="T1983" i="17"/>
  <c r="U1983" i="17"/>
  <c r="T1169" i="17"/>
  <c r="U1169" i="17"/>
  <c r="T186" i="17"/>
  <c r="U186" i="17" s="1"/>
  <c r="T1098" i="17"/>
  <c r="U1098" i="17" s="1"/>
  <c r="T1722" i="17"/>
  <c r="U1722" i="17" s="1"/>
  <c r="T679" i="17"/>
  <c r="U679" i="17" s="1"/>
  <c r="T1831" i="17"/>
  <c r="U1831" i="17"/>
  <c r="T1888" i="17"/>
  <c r="U1888" i="17"/>
  <c r="T1930" i="17"/>
  <c r="U1930" i="17" s="1"/>
  <c r="T584" i="17"/>
  <c r="U584" i="17" s="1"/>
  <c r="T489" i="17"/>
  <c r="U489" i="17" s="1"/>
  <c r="T1066" i="17"/>
  <c r="U1066" i="17" s="1"/>
  <c r="T313" i="17"/>
  <c r="U313" i="17"/>
  <c r="T207" i="17"/>
  <c r="U207" i="17"/>
  <c r="T448" i="17"/>
  <c r="U448" i="17" s="1"/>
  <c r="T317" i="17"/>
  <c r="U317" i="17" s="1"/>
  <c r="T1612" i="17"/>
  <c r="U1612" i="17" s="1"/>
  <c r="T1689" i="17"/>
  <c r="U1689" i="17" s="1"/>
  <c r="T1957" i="17"/>
  <c r="U1957" i="17"/>
  <c r="T1101" i="17"/>
  <c r="U1101" i="17"/>
  <c r="T1527" i="17"/>
  <c r="U1527" i="17" s="1"/>
  <c r="T1312" i="17"/>
  <c r="U1312" i="17" s="1"/>
  <c r="T1355" i="17"/>
  <c r="U1355" i="17" s="1"/>
  <c r="T1110" i="17"/>
  <c r="U1110" i="17" s="1"/>
  <c r="T1869" i="17"/>
  <c r="U1869" i="17"/>
  <c r="T811" i="17"/>
  <c r="U811" i="17"/>
  <c r="T1711" i="17"/>
  <c r="U1711" i="17" s="1"/>
  <c r="T1568" i="17"/>
  <c r="U1568" i="17" s="1"/>
  <c r="T1714" i="17"/>
  <c r="U1714" i="17" s="1"/>
  <c r="T56" i="17"/>
  <c r="U56" i="17" s="1"/>
  <c r="T296" i="17"/>
  <c r="U296" i="17"/>
  <c r="T632" i="17"/>
  <c r="U632" i="17"/>
  <c r="T752" i="17"/>
  <c r="U752" i="17" s="1"/>
  <c r="T872" i="17"/>
  <c r="U872" i="17" s="1"/>
  <c r="T992" i="17"/>
  <c r="U992" i="17" s="1"/>
  <c r="T289" i="17"/>
  <c r="U289" i="17" s="1"/>
  <c r="T93" i="17"/>
  <c r="U93" i="17"/>
  <c r="T237" i="17"/>
  <c r="U237" i="17"/>
  <c r="T417" i="17"/>
  <c r="U417" i="17" s="1"/>
  <c r="T573" i="17"/>
  <c r="U573" i="17" s="1"/>
  <c r="T753" i="17"/>
  <c r="U753" i="17" s="1"/>
  <c r="T346" i="17"/>
  <c r="U346" i="17" s="1"/>
  <c r="T586" i="17"/>
  <c r="U586" i="17"/>
  <c r="T778" i="17"/>
  <c r="U778" i="17"/>
  <c r="T1018" i="17"/>
  <c r="U1018" i="17" s="1"/>
  <c r="T597" i="17"/>
  <c r="U597" i="17" s="1"/>
  <c r="T107" i="17"/>
  <c r="U107" i="17" s="1"/>
  <c r="T203" i="17"/>
  <c r="U203" i="17" s="1"/>
  <c r="T539" i="17"/>
  <c r="U539" i="17"/>
  <c r="T635" i="17"/>
  <c r="U635" i="17"/>
  <c r="T971" i="17"/>
  <c r="U971" i="17" s="1"/>
  <c r="T60" i="17"/>
  <c r="U60" i="17" s="1"/>
  <c r="T228" i="17"/>
  <c r="U228" i="17" s="1"/>
  <c r="T468" i="17"/>
  <c r="U468" i="17" s="1"/>
  <c r="T744" i="17"/>
  <c r="U744" i="17"/>
  <c r="T37" i="17"/>
  <c r="U37" i="17"/>
  <c r="T229" i="17"/>
  <c r="U229" i="17" s="1"/>
  <c r="T409" i="17"/>
  <c r="U409" i="17" s="1"/>
  <c r="T565" i="17"/>
  <c r="U565" i="17" s="1"/>
  <c r="T745" i="17"/>
  <c r="U745" i="17" s="1"/>
  <c r="T925" i="17"/>
  <c r="U925" i="17"/>
  <c r="T26" i="17"/>
  <c r="U26" i="17"/>
  <c r="T158" i="17"/>
  <c r="U158" i="17" s="1"/>
  <c r="T290" i="17"/>
  <c r="U290" i="17" s="1"/>
  <c r="T434" i="17"/>
  <c r="U434" i="17" s="1"/>
  <c r="T566" i="17"/>
  <c r="U566" i="17" s="1"/>
  <c r="T698" i="17"/>
  <c r="U698" i="17"/>
  <c r="T818" i="17"/>
  <c r="U818" i="17"/>
  <c r="T950" i="17"/>
  <c r="U950" i="17" s="1"/>
  <c r="T3" i="17"/>
  <c r="U3" i="17" s="1"/>
  <c r="T135" i="17"/>
  <c r="U135" i="17" s="1"/>
  <c r="T267" i="17"/>
  <c r="U267" i="17" s="1"/>
  <c r="T375" i="17"/>
  <c r="U375" i="17"/>
  <c r="T483" i="17"/>
  <c r="U483" i="17"/>
  <c r="T952" i="17"/>
  <c r="U952" i="17" s="1"/>
  <c r="T112" i="17"/>
  <c r="U112" i="17" s="1"/>
  <c r="T256" i="17"/>
  <c r="U256" i="17" s="1"/>
  <c r="T376" i="17"/>
  <c r="U376" i="17" s="1"/>
  <c r="T508" i="17"/>
  <c r="U508" i="17"/>
  <c r="T640" i="17"/>
  <c r="U640" i="17"/>
  <c r="T772" i="17"/>
  <c r="U772" i="17" s="1"/>
  <c r="T892" i="17"/>
  <c r="U892" i="17" s="1"/>
  <c r="T673" i="17"/>
  <c r="U673" i="17" s="1"/>
  <c r="T113" i="17"/>
  <c r="U113" i="17" s="1"/>
  <c r="T257" i="17"/>
  <c r="U257" i="17"/>
  <c r="T389" i="17"/>
  <c r="U389" i="17"/>
  <c r="T521" i="17"/>
  <c r="U521" i="17" s="1"/>
  <c r="T653" i="17"/>
  <c r="U653" i="17" s="1"/>
  <c r="T785" i="17"/>
  <c r="U785" i="17" s="1"/>
  <c r="T917" i="17"/>
  <c r="U917" i="17" s="1"/>
  <c r="T1049" i="17"/>
  <c r="U1049" i="17"/>
  <c r="T852" i="17"/>
  <c r="U852" i="17"/>
  <c r="T972" i="17"/>
  <c r="U972" i="17" s="1"/>
  <c r="T1212" i="17"/>
  <c r="U1212" i="17" s="1"/>
  <c r="T1344" i="17"/>
  <c r="U1344" i="17" s="1"/>
  <c r="T1512" i="17"/>
  <c r="U1512" i="17" s="1"/>
  <c r="T1656" i="17"/>
  <c r="U1656" i="17"/>
  <c r="T1800" i="17"/>
  <c r="U1800" i="17"/>
  <c r="T1944" i="17"/>
  <c r="U1944" i="17" s="1"/>
  <c r="T1161" i="17"/>
  <c r="U1161" i="17" s="1"/>
  <c r="T1252" i="17"/>
  <c r="U1252" i="17" s="1"/>
  <c r="T1045" i="17"/>
  <c r="U1045" i="17" s="1"/>
  <c r="T1177" i="17"/>
  <c r="U1177" i="17"/>
  <c r="T1309" i="17"/>
  <c r="U1309" i="17"/>
  <c r="T1441" i="17"/>
  <c r="U1441" i="17" s="1"/>
  <c r="T1585" i="17"/>
  <c r="U1585" i="17" s="1"/>
  <c r="T1753" i="17"/>
  <c r="U1753" i="17" s="1"/>
  <c r="T1885" i="17"/>
  <c r="U1885" i="17" s="1"/>
  <c r="T1005" i="17"/>
  <c r="U1005" i="17"/>
  <c r="T1859" i="17"/>
  <c r="U1859" i="17"/>
  <c r="T1118" i="17"/>
  <c r="U1118" i="17" s="1"/>
  <c r="T1334" i="17"/>
  <c r="U1334" i="17" s="1"/>
  <c r="T1502" i="17"/>
  <c r="U1502" i="17" s="1"/>
  <c r="T1682" i="17"/>
  <c r="U1682" i="17" s="1"/>
  <c r="T1838" i="17"/>
  <c r="U1838" i="17"/>
  <c r="T1970" i="17"/>
  <c r="U1970" i="17"/>
  <c r="T1665" i="17"/>
  <c r="U1665" i="17" s="1"/>
  <c r="T1985" i="17"/>
  <c r="U1985" i="17" s="1"/>
  <c r="T675" i="17"/>
  <c r="U675" i="17" s="1"/>
  <c r="T819" i="17"/>
  <c r="U819" i="17" s="1"/>
  <c r="T951" i="17"/>
  <c r="U951" i="17"/>
  <c r="T1095" i="17"/>
  <c r="U1095" i="17"/>
  <c r="T1227" i="17"/>
  <c r="U1227" i="17" s="1"/>
  <c r="T1587" i="17"/>
  <c r="U1587" i="17" s="1"/>
  <c r="T1707" i="17"/>
  <c r="U1707" i="17" s="1"/>
  <c r="T1815" i="17"/>
  <c r="U1815" i="17" s="1"/>
  <c r="T1917" i="17"/>
  <c r="U1917" i="17"/>
  <c r="T1060" i="17"/>
  <c r="U1060" i="17"/>
  <c r="T1408" i="17"/>
  <c r="U1408" i="17" s="1"/>
  <c r="T1672" i="17"/>
  <c r="U1672" i="17" s="1"/>
  <c r="T1413" i="17"/>
  <c r="U1413" i="17" s="1"/>
  <c r="T1781" i="17"/>
  <c r="U1781" i="17" s="1"/>
  <c r="T1313" i="17"/>
  <c r="U1313" i="17"/>
  <c r="T1685" i="17"/>
  <c r="U1685" i="17"/>
  <c r="T1559" i="17"/>
  <c r="U1559" i="17" s="1"/>
  <c r="T1785" i="17"/>
  <c r="U1785" i="17" s="1"/>
  <c r="T6" i="17"/>
  <c r="U6" i="17" s="1"/>
  <c r="T138" i="17"/>
  <c r="U138" i="17" s="1"/>
  <c r="T258" i="17"/>
  <c r="U258" i="17"/>
  <c r="T390" i="17"/>
  <c r="U390" i="17"/>
  <c r="T522" i="17"/>
  <c r="U522" i="17" s="1"/>
  <c r="T654" i="17"/>
  <c r="U654" i="17" s="1"/>
  <c r="T954" i="17"/>
  <c r="U954" i="17" s="1"/>
  <c r="T1266" i="17"/>
  <c r="U1266" i="17" s="1"/>
  <c r="T1362" i="17"/>
  <c r="U1362" i="17"/>
  <c r="T1674" i="17"/>
  <c r="U1674" i="17"/>
  <c r="T1974" i="17"/>
  <c r="U1974" i="17" s="1"/>
  <c r="T1389" i="17"/>
  <c r="U1389" i="17" s="1"/>
  <c r="T1528" i="17"/>
  <c r="U1528" i="17" s="1"/>
  <c r="T79" i="17"/>
  <c r="U79" i="17" s="1"/>
  <c r="T211" i="17"/>
  <c r="U211" i="17"/>
  <c r="T343" i="17"/>
  <c r="U343" i="17"/>
  <c r="T487" i="17"/>
  <c r="U487" i="17" s="1"/>
  <c r="T619" i="17"/>
  <c r="U619" i="17" s="1"/>
  <c r="T751" i="17"/>
  <c r="U751" i="17" s="1"/>
  <c r="T871" i="17"/>
  <c r="U871" i="17" s="1"/>
  <c r="T1195" i="17"/>
  <c r="U1195" i="17"/>
  <c r="T1423" i="17"/>
  <c r="U1423" i="17"/>
  <c r="T1651" i="17"/>
  <c r="U1651" i="17" s="1"/>
  <c r="T1891" i="17"/>
  <c r="U1891" i="17" s="1"/>
  <c r="T1244" i="17"/>
  <c r="U1244" i="17" s="1"/>
  <c r="T1376" i="17"/>
  <c r="U1376" i="17" s="1"/>
  <c r="T1508" i="17"/>
  <c r="U1508" i="17"/>
  <c r="T1760" i="17"/>
  <c r="U1760" i="17"/>
  <c r="T801" i="17"/>
  <c r="U801" i="17" s="1"/>
  <c r="T1847" i="17"/>
  <c r="U1847" i="17" s="1"/>
  <c r="T1246" i="17"/>
  <c r="U1246" i="17" s="1"/>
  <c r="T1498" i="17"/>
  <c r="U1498" i="17" s="1"/>
  <c r="T1630" i="17"/>
  <c r="U1630" i="17"/>
  <c r="T1882" i="17"/>
  <c r="U1882" i="17"/>
  <c r="T1079" i="17"/>
  <c r="U1079" i="17" s="1"/>
  <c r="T1307" i="17"/>
  <c r="U1307" i="17" s="1"/>
  <c r="T1571" i="17"/>
  <c r="U1571" i="17" s="1"/>
  <c r="T1919" i="17"/>
  <c r="U1919" i="17" s="1"/>
  <c r="T396" i="17"/>
  <c r="U396" i="17"/>
  <c r="T1034" i="17"/>
  <c r="U1034" i="17"/>
  <c r="T1992" i="17"/>
  <c r="U1992" i="17" s="1"/>
  <c r="T1341" i="17"/>
  <c r="U1341" i="17" s="1"/>
  <c r="T735" i="17"/>
  <c r="U735" i="17" s="1"/>
  <c r="T1863" i="17"/>
  <c r="U1863" i="17" s="1"/>
  <c r="T582" i="17"/>
  <c r="U582" i="17"/>
  <c r="T7" i="17"/>
  <c r="U7" i="17"/>
  <c r="T1027" i="17"/>
  <c r="U1027" i="17" s="1"/>
  <c r="T1471" i="17"/>
  <c r="U1471" i="17" s="1"/>
  <c r="T1688" i="17"/>
  <c r="U1688" i="17" s="1"/>
  <c r="T1822" i="17"/>
  <c r="U1822" i="17" s="1"/>
  <c r="T1967" i="17"/>
  <c r="U1967" i="17"/>
  <c r="T94" i="17"/>
  <c r="U94" i="17"/>
  <c r="T612" i="17"/>
  <c r="U612" i="17" s="1"/>
  <c r="T841" i="17"/>
  <c r="U841" i="17" s="1"/>
  <c r="T890" i="17"/>
  <c r="U890" i="17" s="1"/>
  <c r="T543" i="17"/>
  <c r="U543" i="17" s="1"/>
  <c r="T712" i="17"/>
  <c r="U712" i="17"/>
  <c r="T977" i="17"/>
  <c r="U977" i="17"/>
  <c r="T1572" i="17"/>
  <c r="U1572" i="17" s="1"/>
  <c r="T1973" i="17"/>
  <c r="U1973" i="17" s="1"/>
  <c r="T1825" i="17"/>
  <c r="U1825" i="17" s="1"/>
  <c r="T1898" i="17"/>
  <c r="U1898" i="17" s="1"/>
  <c r="T1299" i="17"/>
  <c r="U1299" i="17"/>
  <c r="T1600" i="17"/>
  <c r="U1600" i="17"/>
  <c r="T78" i="17"/>
  <c r="U78" i="17" s="1"/>
  <c r="T19" i="17"/>
  <c r="U19" i="17" s="1"/>
  <c r="T919" i="17"/>
  <c r="U919" i="17" s="1"/>
  <c r="T1804" i="17"/>
  <c r="U1804" i="17" s="1"/>
  <c r="T1834" i="17"/>
  <c r="U1834" i="17"/>
  <c r="T48" i="17"/>
  <c r="U48" i="17"/>
  <c r="T416" i="17"/>
  <c r="U416" i="17" s="1"/>
  <c r="T68" i="17"/>
  <c r="U68" i="17" s="1"/>
  <c r="T536" i="17"/>
  <c r="U536" i="17" s="1"/>
  <c r="T644" i="17"/>
  <c r="U644" i="17" s="1"/>
  <c r="T764" i="17"/>
  <c r="U764" i="17"/>
  <c r="T1004" i="17"/>
  <c r="U1004" i="17"/>
  <c r="T433" i="17"/>
  <c r="U433" i="17" s="1"/>
  <c r="T105" i="17"/>
  <c r="U105" i="17" s="1"/>
  <c r="T249" i="17"/>
  <c r="U249" i="17" s="1"/>
  <c r="T429" i="17"/>
  <c r="U429" i="17" s="1"/>
  <c r="T585" i="17"/>
  <c r="U585" i="17"/>
  <c r="T765" i="17"/>
  <c r="U765" i="17"/>
  <c r="T46" i="17"/>
  <c r="U46" i="17" s="1"/>
  <c r="T154" i="17"/>
  <c r="U154" i="17" s="1"/>
  <c r="T262" i="17"/>
  <c r="U262" i="17" s="1"/>
  <c r="T358" i="17"/>
  <c r="U358" i="17" s="1"/>
  <c r="T478" i="17"/>
  <c r="U478" i="17"/>
  <c r="T598" i="17"/>
  <c r="U598" i="17"/>
  <c r="T694" i="17"/>
  <c r="U694" i="17" s="1"/>
  <c r="T790" i="17"/>
  <c r="U790" i="17" s="1"/>
  <c r="T910" i="17"/>
  <c r="U910" i="17" s="1"/>
  <c r="T1030" i="17"/>
  <c r="U1030" i="17" s="1"/>
  <c r="T741" i="17"/>
  <c r="U741" i="17"/>
  <c r="T215" i="17"/>
  <c r="U215" i="17"/>
  <c r="T311" i="17"/>
  <c r="U311" i="17" s="1"/>
  <c r="T419" i="17"/>
  <c r="U419" i="17" s="1"/>
  <c r="T647" i="17"/>
  <c r="U647" i="17" s="1"/>
  <c r="T743" i="17"/>
  <c r="U743" i="17" s="1"/>
  <c r="T851" i="17"/>
  <c r="U851" i="17"/>
  <c r="T72" i="17"/>
  <c r="U72" i="17"/>
  <c r="T264" i="17"/>
  <c r="U264" i="17" s="1"/>
  <c r="T504" i="17"/>
  <c r="U504" i="17" s="1"/>
  <c r="T756" i="17"/>
  <c r="U756" i="17" s="1"/>
  <c r="T61" i="17"/>
  <c r="U61" i="17" s="1"/>
  <c r="T253" i="17"/>
  <c r="U253" i="17"/>
  <c r="T421" i="17"/>
  <c r="U421" i="17"/>
  <c r="T589" i="17"/>
  <c r="U589" i="17" s="1"/>
  <c r="T757" i="17"/>
  <c r="U757" i="17" s="1"/>
  <c r="T937" i="17"/>
  <c r="U937" i="17" s="1"/>
  <c r="T38" i="17"/>
  <c r="U38" i="17" s="1"/>
  <c r="T170" i="17"/>
  <c r="U170" i="17"/>
  <c r="T302" i="17"/>
  <c r="U302" i="17"/>
  <c r="T446" i="17"/>
  <c r="U446" i="17" s="1"/>
  <c r="T578" i="17"/>
  <c r="U578" i="17" s="1"/>
  <c r="T710" i="17"/>
  <c r="U710" i="17" s="1"/>
  <c r="T830" i="17"/>
  <c r="U830" i="17" s="1"/>
  <c r="T962" i="17"/>
  <c r="U962" i="17"/>
  <c r="T15" i="17"/>
  <c r="U15" i="17"/>
  <c r="T147" i="17"/>
  <c r="U147" i="17" s="1"/>
  <c r="T279" i="17"/>
  <c r="U279" i="17" s="1"/>
  <c r="T495" i="17"/>
  <c r="U495" i="17" s="1"/>
  <c r="T4" i="17"/>
  <c r="U4" i="17" s="1"/>
  <c r="T124" i="17"/>
  <c r="U124" i="17"/>
  <c r="T268" i="17"/>
  <c r="U268" i="17"/>
  <c r="T388" i="17"/>
  <c r="U388" i="17" s="1"/>
  <c r="T520" i="17"/>
  <c r="U520" i="17" s="1"/>
  <c r="T652" i="17"/>
  <c r="U652" i="17" s="1"/>
  <c r="T784" i="17"/>
  <c r="U784" i="17" s="1"/>
  <c r="T904" i="17"/>
  <c r="U904" i="17"/>
  <c r="T817" i="17"/>
  <c r="U817" i="17"/>
  <c r="T125" i="17"/>
  <c r="U125" i="17" s="1"/>
  <c r="T269" i="17"/>
  <c r="U269" i="17" s="1"/>
  <c r="T401" i="17"/>
  <c r="U401" i="17" s="1"/>
  <c r="T533" i="17"/>
  <c r="U533" i="17" s="1"/>
  <c r="T665" i="17"/>
  <c r="U665" i="17"/>
  <c r="T797" i="17"/>
  <c r="U797" i="17"/>
  <c r="T929" i="17"/>
  <c r="U929" i="17" s="1"/>
  <c r="T1061" i="17"/>
  <c r="U1061" i="17" s="1"/>
  <c r="T864" i="17"/>
  <c r="U864" i="17" s="1"/>
  <c r="T984" i="17"/>
  <c r="U984" i="17" s="1"/>
  <c r="T1092" i="17"/>
  <c r="U1092" i="17"/>
  <c r="T1224" i="17"/>
  <c r="U1224" i="17"/>
  <c r="T1368" i="17"/>
  <c r="U1368" i="17" s="1"/>
  <c r="T1524" i="17"/>
  <c r="U1524" i="17" s="1"/>
  <c r="T1812" i="17"/>
  <c r="U1812" i="17" s="1"/>
  <c r="T1245" i="17"/>
  <c r="U1245" i="17" s="1"/>
  <c r="T1442" i="17"/>
  <c r="U1442" i="17"/>
  <c r="T1057" i="17"/>
  <c r="U1057" i="17"/>
  <c r="T1189" i="17"/>
  <c r="U1189" i="17" s="1"/>
  <c r="T1453" i="17"/>
  <c r="U1453" i="17" s="1"/>
  <c r="T1597" i="17"/>
  <c r="U1597" i="17" s="1"/>
  <c r="T1765" i="17"/>
  <c r="U1765" i="17" s="1"/>
  <c r="T1897" i="17"/>
  <c r="U1897" i="17"/>
  <c r="T1041" i="17"/>
  <c r="U1041" i="17"/>
  <c r="T1070" i="17"/>
  <c r="U1070" i="17" s="1"/>
  <c r="T1130" i="17"/>
  <c r="U1130" i="17" s="1"/>
  <c r="T1346" i="17"/>
  <c r="U1346" i="17" s="1"/>
  <c r="T1514" i="17"/>
  <c r="U1514" i="17" s="1"/>
  <c r="T1694" i="17"/>
  <c r="U1694" i="17"/>
  <c r="T1850" i="17"/>
  <c r="U1850" i="17"/>
  <c r="T1982" i="17"/>
  <c r="U1982" i="17" s="1"/>
  <c r="T1761" i="17"/>
  <c r="U1761" i="17" s="1"/>
  <c r="T555" i="17"/>
  <c r="U555" i="17" s="1"/>
  <c r="T687" i="17"/>
  <c r="U687" i="17" s="1"/>
  <c r="T831" i="17"/>
  <c r="U831" i="17"/>
  <c r="T963" i="17"/>
  <c r="U963" i="17"/>
  <c r="T1107" i="17"/>
  <c r="U1107" i="17" s="1"/>
  <c r="T1239" i="17"/>
  <c r="U1239" i="17" s="1"/>
  <c r="T1599" i="17"/>
  <c r="U1599" i="17" s="1"/>
  <c r="T1719" i="17"/>
  <c r="U1719" i="17" s="1"/>
  <c r="T1827" i="17"/>
  <c r="U1827" i="17"/>
  <c r="T1871" i="17"/>
  <c r="U1871" i="17"/>
  <c r="T1084" i="17"/>
  <c r="U1084" i="17" s="1"/>
  <c r="T1420" i="17"/>
  <c r="U1420" i="17" s="1"/>
  <c r="T1552" i="17"/>
  <c r="U1552" i="17" s="1"/>
  <c r="T1684" i="17"/>
  <c r="U1684" i="17" s="1"/>
  <c r="T1521" i="17"/>
  <c r="U1521" i="17"/>
  <c r="T1853" i="17"/>
  <c r="U1853" i="17"/>
  <c r="T1145" i="17"/>
  <c r="U1145" i="17" s="1"/>
  <c r="T1229" i="17"/>
  <c r="U1229" i="17" s="1"/>
  <c r="T1325" i="17"/>
  <c r="U1325" i="17" s="1"/>
  <c r="T1421" i="17"/>
  <c r="U1421" i="17" s="1"/>
  <c r="T1601" i="17"/>
  <c r="U1601" i="17"/>
  <c r="T1697" i="17"/>
  <c r="U1697" i="17"/>
  <c r="T861" i="17"/>
  <c r="U861" i="17" s="1"/>
  <c r="T1893" i="17"/>
  <c r="U1893" i="17" s="1"/>
  <c r="T18" i="17"/>
  <c r="U18" i="17" s="1"/>
  <c r="T150" i="17"/>
  <c r="U150" i="17" s="1"/>
  <c r="T270" i="17"/>
  <c r="U270" i="17"/>
  <c r="T402" i="17"/>
  <c r="U402" i="17"/>
  <c r="T534" i="17"/>
  <c r="U534" i="17" s="1"/>
  <c r="T666" i="17"/>
  <c r="U666" i="17" s="1"/>
  <c r="T870" i="17"/>
  <c r="U870" i="17" s="1"/>
  <c r="T966" i="17"/>
  <c r="U966" i="17" s="1"/>
  <c r="T1062" i="17"/>
  <c r="U1062" i="17"/>
  <c r="T1278" i="17"/>
  <c r="U1278" i="17"/>
  <c r="T1374" i="17"/>
  <c r="U1374" i="17" s="1"/>
  <c r="T1470" i="17"/>
  <c r="U1470" i="17" s="1"/>
  <c r="T1686" i="17"/>
  <c r="U1686" i="17" s="1"/>
  <c r="T1770" i="17"/>
  <c r="U1770" i="17" s="1"/>
  <c r="T1890" i="17"/>
  <c r="U1890" i="17"/>
  <c r="T1986" i="17"/>
  <c r="U1986" i="17"/>
  <c r="T1485" i="17"/>
  <c r="U1485" i="17" s="1"/>
  <c r="T1681" i="17"/>
  <c r="U1681" i="17" s="1"/>
  <c r="T91" i="17"/>
  <c r="U91" i="17" s="1"/>
  <c r="T223" i="17"/>
  <c r="U223" i="17" s="1"/>
  <c r="T355" i="17"/>
  <c r="U355" i="17"/>
  <c r="T499" i="17"/>
  <c r="U499" i="17"/>
  <c r="T631" i="17"/>
  <c r="U631" i="17" s="1"/>
  <c r="T979" i="17"/>
  <c r="U979" i="17" s="1"/>
  <c r="T1207" i="17"/>
  <c r="U1207" i="17" s="1"/>
  <c r="T1435" i="17"/>
  <c r="U1435" i="17" s="1"/>
  <c r="T1663" i="17"/>
  <c r="U1663" i="17"/>
  <c r="T1903" i="17"/>
  <c r="U1903" i="17"/>
  <c r="T1256" i="17"/>
  <c r="U1256" i="17" s="1"/>
  <c r="T1388" i="17"/>
  <c r="U1388" i="17" s="1"/>
  <c r="T1520" i="17"/>
  <c r="U1520" i="17" s="1"/>
  <c r="T1772" i="17"/>
  <c r="U1772" i="17" s="1"/>
  <c r="T813" i="17"/>
  <c r="U813" i="17"/>
  <c r="T1414" i="17"/>
  <c r="U1414" i="17"/>
  <c r="T1258" i="17"/>
  <c r="U1258" i="17" s="1"/>
  <c r="T1366" i="17"/>
  <c r="U1366" i="17" s="1"/>
  <c r="T1654" i="17"/>
  <c r="U1654" i="17" s="1"/>
  <c r="T1894" i="17"/>
  <c r="U1894" i="17" s="1"/>
  <c r="T969" i="17"/>
  <c r="U969" i="17"/>
  <c r="T1091" i="17"/>
  <c r="U1091" i="17"/>
  <c r="T1199" i="17"/>
  <c r="U1199" i="17" s="1"/>
  <c r="T1319" i="17"/>
  <c r="U1319" i="17" s="1"/>
  <c r="T1583" i="17"/>
  <c r="U1583" i="17" s="1"/>
  <c r="T1931" i="17"/>
  <c r="U1931" i="17" s="1"/>
  <c r="T1586" i="17"/>
  <c r="U1586" i="17"/>
  <c r="T1961" i="17"/>
  <c r="U1961" i="17"/>
  <c r="T1501" i="17"/>
  <c r="U1501" i="17" s="1"/>
  <c r="T1754" i="17"/>
  <c r="U1754" i="17" s="1"/>
  <c r="T1011" i="17"/>
  <c r="U1011" i="17" s="1"/>
  <c r="T1156" i="17"/>
  <c r="U1156" i="17" s="1"/>
  <c r="T1905" i="17"/>
  <c r="U1905" i="17"/>
  <c r="T702" i="17"/>
  <c r="U702" i="17"/>
  <c r="T1410" i="17"/>
  <c r="U1410" i="17" s="1"/>
  <c r="T1914" i="17"/>
  <c r="U1914" i="17" s="1"/>
  <c r="T271" i="17"/>
  <c r="U271" i="17" s="1"/>
  <c r="T1363" i="17"/>
  <c r="U1363" i="17" s="1"/>
  <c r="T1702" i="17"/>
  <c r="U1702" i="17"/>
  <c r="T1449" i="17"/>
  <c r="U1449" i="17"/>
  <c r="T1019" i="17"/>
  <c r="U1019" i="17" s="1"/>
  <c r="T464" i="17"/>
  <c r="U464" i="17" s="1"/>
  <c r="T321" i="17"/>
  <c r="U321" i="17" s="1"/>
  <c r="T588" i="17"/>
  <c r="U588" i="17" s="1"/>
  <c r="T360" i="17"/>
  <c r="U360" i="17"/>
  <c r="T86" i="17"/>
  <c r="U86" i="17"/>
  <c r="T75" i="17"/>
  <c r="U75" i="17" s="1"/>
  <c r="T568" i="17"/>
  <c r="U568" i="17" s="1"/>
  <c r="T593" i="17"/>
  <c r="U593" i="17" s="1"/>
  <c r="T1703" i="17"/>
  <c r="U1703" i="17" s="1"/>
  <c r="T1657" i="17"/>
  <c r="U1657" i="17"/>
  <c r="T1766" i="17"/>
  <c r="U1766" i="17"/>
  <c r="T1647" i="17"/>
  <c r="U1647" i="17" s="1"/>
  <c r="T1456" i="17"/>
  <c r="U1456" i="17" s="1"/>
  <c r="T1277" i="17"/>
  <c r="U1277" i="17" s="1"/>
  <c r="T1293" i="17"/>
  <c r="U1293" i="17" s="1"/>
  <c r="T714" i="17"/>
  <c r="U714" i="17"/>
  <c r="T1518" i="17"/>
  <c r="U1518" i="17"/>
  <c r="T1149" i="17"/>
  <c r="U1149" i="17" s="1"/>
  <c r="T691" i="17"/>
  <c r="U691" i="17" s="1"/>
  <c r="T1184" i="17"/>
  <c r="U1184" i="17" s="1"/>
  <c r="T176" i="17"/>
  <c r="U176" i="17" s="1"/>
  <c r="T288" i="17"/>
  <c r="U288" i="17"/>
  <c r="T188" i="17"/>
  <c r="U188" i="17"/>
  <c r="T428" i="17"/>
  <c r="U428" i="17" s="1"/>
  <c r="T432" i="17"/>
  <c r="U432" i="17" s="1"/>
  <c r="T80" i="17"/>
  <c r="U80" i="17" s="1"/>
  <c r="T200" i="17"/>
  <c r="U200" i="17" s="1"/>
  <c r="T548" i="17"/>
  <c r="U548" i="17"/>
  <c r="T656" i="17"/>
  <c r="U656" i="17"/>
  <c r="T776" i="17"/>
  <c r="U776" i="17" s="1"/>
  <c r="T577" i="17"/>
  <c r="U577" i="17" s="1"/>
  <c r="T117" i="17"/>
  <c r="U117" i="17" s="1"/>
  <c r="T609" i="17"/>
  <c r="U609" i="17" s="1"/>
  <c r="T777" i="17"/>
  <c r="U777" i="17"/>
  <c r="T58" i="17"/>
  <c r="U58" i="17"/>
  <c r="T370" i="17"/>
  <c r="U370" i="17" s="1"/>
  <c r="T490" i="17"/>
  <c r="U490" i="17" s="1"/>
  <c r="T802" i="17"/>
  <c r="U802" i="17" s="1"/>
  <c r="T922" i="17"/>
  <c r="U922" i="17" s="1"/>
  <c r="T1000" i="17"/>
  <c r="U1000" i="17"/>
  <c r="T431" i="17"/>
  <c r="U431" i="17"/>
  <c r="T863" i="17"/>
  <c r="U863" i="17" s="1"/>
  <c r="T84" i="17"/>
  <c r="U84" i="17" s="1"/>
  <c r="T516" i="17"/>
  <c r="U516" i="17" s="1"/>
  <c r="T792" i="17"/>
  <c r="U792" i="17" s="1"/>
  <c r="T73" i="17"/>
  <c r="U73" i="17"/>
  <c r="T445" i="17"/>
  <c r="U445" i="17"/>
  <c r="T601" i="17"/>
  <c r="U601" i="17" s="1"/>
  <c r="T781" i="17"/>
  <c r="U781" i="17" s="1"/>
  <c r="T949" i="17"/>
  <c r="U949" i="17" s="1"/>
  <c r="T50" i="17"/>
  <c r="U50" i="17" s="1"/>
  <c r="T182" i="17"/>
  <c r="U182" i="17"/>
  <c r="T314" i="17"/>
  <c r="U314" i="17"/>
  <c r="T458" i="17"/>
  <c r="U458" i="17" s="1"/>
  <c r="T590" i="17"/>
  <c r="U590" i="17" s="1"/>
  <c r="T842" i="17"/>
  <c r="U842" i="17" s="1"/>
  <c r="T974" i="17"/>
  <c r="U974" i="17" s="1"/>
  <c r="T27" i="17"/>
  <c r="U27" i="17"/>
  <c r="T159" i="17"/>
  <c r="U159" i="17"/>
  <c r="T291" i="17"/>
  <c r="U291" i="17" s="1"/>
  <c r="T507" i="17"/>
  <c r="U507" i="17" s="1"/>
  <c r="T136" i="17"/>
  <c r="U136" i="17" s="1"/>
  <c r="T400" i="17"/>
  <c r="U400" i="17" s="1"/>
  <c r="T664" i="17"/>
  <c r="U664" i="17"/>
  <c r="T916" i="17"/>
  <c r="U916" i="17"/>
  <c r="T5" i="17"/>
  <c r="U5" i="17" s="1"/>
  <c r="T413" i="17"/>
  <c r="U413" i="17" s="1"/>
  <c r="T545" i="17"/>
  <c r="U545" i="17" s="1"/>
  <c r="T677" i="17"/>
  <c r="U677" i="17" s="1"/>
  <c r="T809" i="17"/>
  <c r="U809" i="17"/>
  <c r="T876" i="17"/>
  <c r="U876" i="17"/>
  <c r="T996" i="17"/>
  <c r="U996" i="17" s="1"/>
  <c r="T1104" i="17"/>
  <c r="U1104" i="17" s="1"/>
  <c r="T1236" i="17"/>
  <c r="U1236" i="17" s="1"/>
  <c r="T1380" i="17"/>
  <c r="U1380" i="17" s="1"/>
  <c r="T1536" i="17"/>
  <c r="U1536" i="17"/>
  <c r="T1668" i="17"/>
  <c r="U1668" i="17"/>
  <c r="T1824" i="17"/>
  <c r="U1824" i="17" s="1"/>
  <c r="T1956" i="17"/>
  <c r="U1956" i="17" s="1"/>
  <c r="T1329" i="17"/>
  <c r="U1329" i="17" s="1"/>
  <c r="T1618" i="17"/>
  <c r="U1618" i="17" s="1"/>
  <c r="T1069" i="17"/>
  <c r="U1069" i="17"/>
  <c r="T1201" i="17"/>
  <c r="U1201" i="17"/>
  <c r="T1321" i="17"/>
  <c r="U1321" i="17" s="1"/>
  <c r="T1465" i="17"/>
  <c r="U1465" i="17" s="1"/>
  <c r="T1609" i="17"/>
  <c r="U1609" i="17" s="1"/>
  <c r="T1777" i="17"/>
  <c r="U1777" i="17" s="1"/>
  <c r="T1909" i="17"/>
  <c r="U1909" i="17"/>
  <c r="T1125" i="17"/>
  <c r="U1125" i="17"/>
  <c r="T1286" i="17"/>
  <c r="U1286" i="17" s="1"/>
  <c r="T1154" i="17"/>
  <c r="U1154" i="17" s="1"/>
  <c r="T1358" i="17"/>
  <c r="U1358" i="17" s="1"/>
  <c r="T1538" i="17"/>
  <c r="U1538" i="17" s="1"/>
  <c r="T1706" i="17"/>
  <c r="U1706" i="17"/>
  <c r="T1862" i="17"/>
  <c r="U1862" i="17"/>
  <c r="T1994" i="17"/>
  <c r="U1994" i="17" s="1"/>
  <c r="T1833" i="17"/>
  <c r="U1833" i="17" s="1"/>
  <c r="T567" i="17"/>
  <c r="U567" i="17" s="1"/>
  <c r="T699" i="17"/>
  <c r="U699" i="17" s="1"/>
  <c r="T843" i="17"/>
  <c r="U843" i="17"/>
  <c r="T975" i="17"/>
  <c r="U975" i="17"/>
  <c r="T1119" i="17"/>
  <c r="U1119" i="17" s="1"/>
  <c r="T1251" i="17"/>
  <c r="U1251" i="17" s="1"/>
  <c r="T1371" i="17"/>
  <c r="U1371" i="17" s="1"/>
  <c r="T1611" i="17"/>
  <c r="U1611" i="17" s="1"/>
  <c r="T1731" i="17"/>
  <c r="U1731" i="17"/>
  <c r="T1839" i="17"/>
  <c r="U1839" i="17"/>
  <c r="T1947" i="17"/>
  <c r="U1947" i="17" s="1"/>
  <c r="T1106" i="17"/>
  <c r="U1106" i="17" s="1"/>
  <c r="T1096" i="17"/>
  <c r="U1096" i="17" s="1"/>
  <c r="T1564" i="17"/>
  <c r="U1564" i="17" s="1"/>
  <c r="T1696" i="17"/>
  <c r="U1696" i="17"/>
  <c r="T1617" i="17"/>
  <c r="U1617" i="17"/>
  <c r="T1925" i="17"/>
  <c r="U1925" i="17" s="1"/>
  <c r="T1517" i="17"/>
  <c r="U1517" i="17" s="1"/>
  <c r="T1613" i="17"/>
  <c r="U1613" i="17" s="1"/>
  <c r="T921" i="17"/>
  <c r="U921" i="17" s="1"/>
  <c r="T30" i="17"/>
  <c r="U30" i="17"/>
  <c r="T282" i="17"/>
  <c r="U282" i="17"/>
  <c r="T414" i="17"/>
  <c r="U414" i="17" s="1"/>
  <c r="T546" i="17"/>
  <c r="U546" i="17" s="1"/>
  <c r="T762" i="17"/>
  <c r="U762" i="17" s="1"/>
  <c r="T978" i="17"/>
  <c r="U978" i="17" s="1"/>
  <c r="T1998" i="17"/>
  <c r="U1998" i="17"/>
  <c r="T1793" i="17"/>
  <c r="U1793" i="17"/>
  <c r="T103" i="17"/>
  <c r="U103" i="17" s="1"/>
  <c r="T235" i="17"/>
  <c r="U235" i="17" s="1"/>
  <c r="T367" i="17"/>
  <c r="U367" i="17"/>
  <c r="T511" i="17"/>
  <c r="U511" i="17" s="1"/>
  <c r="T643" i="17"/>
  <c r="U643" i="17"/>
  <c r="T763" i="17"/>
  <c r="U763" i="17"/>
  <c r="T991" i="17"/>
  <c r="U991" i="17" s="1"/>
  <c r="T1219" i="17"/>
  <c r="U1219" i="17" s="1"/>
  <c r="T1447" i="17"/>
  <c r="U1447" i="17"/>
  <c r="T1675" i="17"/>
  <c r="U1675" i="17" s="1"/>
  <c r="T1795" i="17"/>
  <c r="U1795" i="17"/>
  <c r="T1178" i="17"/>
  <c r="U1178" i="17"/>
  <c r="T1136" i="17"/>
  <c r="U1136" i="17" s="1"/>
  <c r="T1268" i="17"/>
  <c r="U1268" i="17" s="1"/>
  <c r="T1400" i="17"/>
  <c r="U1400" i="17"/>
  <c r="T1532" i="17"/>
  <c r="U1532" i="17" s="1"/>
  <c r="T1652" i="17"/>
  <c r="U1652" i="17"/>
  <c r="T1784" i="17"/>
  <c r="U1784" i="17"/>
  <c r="T1916" i="17"/>
  <c r="U1916" i="17" s="1"/>
  <c r="T825" i="17"/>
  <c r="U825" i="17" s="1"/>
  <c r="T1584" i="17"/>
  <c r="U1584" i="17"/>
  <c r="T1150" i="17"/>
  <c r="U1150" i="17" s="1"/>
  <c r="T1378" i="17"/>
  <c r="U1378" i="17"/>
  <c r="T1666" i="17"/>
  <c r="U1666" i="17"/>
  <c r="T1786" i="17"/>
  <c r="U1786" i="17" s="1"/>
  <c r="T1906" i="17"/>
  <c r="U1906" i="17" s="1"/>
  <c r="T1415" i="17"/>
  <c r="U1415" i="17"/>
  <c r="T1103" i="17"/>
  <c r="U1103" i="17" s="1"/>
  <c r="T1211" i="17"/>
  <c r="U1211" i="17"/>
  <c r="T1451" i="17"/>
  <c r="U1451" i="17"/>
  <c r="T1691" i="17"/>
  <c r="U1691" i="17" s="1"/>
  <c r="T1943" i="17"/>
  <c r="U1943" i="17" s="1"/>
  <c r="T405" i="17"/>
  <c r="U405" i="17"/>
  <c r="T1214" i="17"/>
  <c r="U1214" i="17" s="1"/>
  <c r="O2" i="8"/>
  <c r="J2" i="3"/>
  <c r="J2" i="8"/>
  <c r="L2" i="8" s="1"/>
  <c r="F2" i="5"/>
  <c r="H2" i="5" s="1"/>
  <c r="L2" i="5" s="1"/>
  <c r="N2" i="5" s="1"/>
  <c r="O2" i="5" s="1"/>
  <c r="G2" i="6" s="1"/>
  <c r="J2" i="6" s="1"/>
  <c r="K2" i="6" s="1"/>
  <c r="P2" i="8"/>
  <c r="R2" i="8" s="1"/>
  <c r="S2" i="8" s="1"/>
  <c r="T2" i="8" s="1"/>
  <c r="J5" i="3"/>
  <c r="I3" i="3"/>
  <c r="I4" i="3"/>
  <c r="J4" i="3" s="1"/>
  <c r="P2" i="5" l="1"/>
  <c r="J3" i="3"/>
  <c r="J3" i="8"/>
  <c r="L3" i="8" s="1"/>
  <c r="P3" i="8" s="1"/>
  <c r="R3" i="8" l="1"/>
  <c r="S3" i="8" s="1"/>
  <c r="T3"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5E9AC9-6AF8-44F0-919E-0285C282DA2B}" keepAlive="1" name="Query - CountryTable" description="Connection to the 'CountryTable' query in the workbook." type="5" refreshedVersion="8" background="1" saveData="1">
    <dbPr connection="Provider=Microsoft.Mashup.OleDb.1;Data Source=$Workbook$;Location=CountryTable;Extended Properties=&quot;&quot;" command="SELECT * FROM [CountryTable]"/>
  </connection>
  <connection id="2" xr16:uid="{650B3124-B03D-4941-90BA-7493834E2C89}" keepAlive="1" name="Query - Final Table" description="Connection to the 'Final Table' query in the workbook." type="5" refreshedVersion="8" background="1" saveData="1">
    <dbPr connection="Provider=Microsoft.Mashup.OleDb.1;Data Source=$Workbook$;Location=&quot;Final Table&quot;;Extended Properties=&quot;&quot;" command="SELECT * FROM [Final Table]"/>
  </connection>
  <connection id="3" xr16:uid="{4FC39CE0-26EF-4C93-BFBE-59FB8EB7D96B}" keepAlive="1" name="Query - Month Year Segment" description="Connection to the 'Month Year Segment' query in the workbook." type="5" refreshedVersion="8" background="1" saveData="1">
    <dbPr connection="Provider=Microsoft.Mashup.OleDb.1;Data Source=$Workbook$;Location=&quot;Month Year Segment&quot;;Extended Properties=&quot;&quot;" command="SELECT * FROM [Month Year Segment]"/>
  </connection>
  <connection id="4" xr16:uid="{193BA1C6-7ACE-4F15-A58A-0E94EF6F10D2}" keepAlive="1" name="Query - Month Year Segment Product" description="Connection to the 'Month Year Segment Product' query in the workbook." type="5" refreshedVersion="8" background="1" saveData="1">
    <dbPr connection="Provider=Microsoft.Mashup.OleDb.1;Data Source=$Workbook$;Location=&quot;Month Year Segment Product&quot;;Extended Properties=&quot;&quot;" command="SELECT * FROM [Month Year Segment Product]"/>
  </connection>
  <connection id="5" xr16:uid="{73911E4C-E7B6-4B4A-B16C-0A3CEF0BA3E9}" keepAlive="1" name="Query - MonthYearTable" description="Connection to the 'MonthYearTable' query in the workbook." type="5" refreshedVersion="8" background="1" saveData="1">
    <dbPr connection="Provider=Microsoft.Mashup.OleDb.1;Data Source=$Workbook$;Location=MonthYearTable;Extended Properties=&quot;&quot;" command="SELECT * FROM [MonthYearTable]"/>
  </connection>
  <connection id="6" xr16:uid="{7F5BA84D-C3F6-43C6-8CF8-B0CE3E3F8630}" keepAlive="1" name="Query - ProductTable" description="Connection to the 'ProductTable' query in the workbook." type="5" refreshedVersion="8" background="1" saveData="1">
    <dbPr connection="Provider=Microsoft.Mashup.OleDb.1;Data Source=$Workbook$;Location=ProductTable;Extended Properties=&quot;&quot;" command="SELECT * FROM [ProductTable]"/>
  </connection>
  <connection id="7" xr16:uid="{852D4DDA-C59B-48ED-B24D-61B87D076301}" keepAlive="1" name="Query - SegmentTable" description="Connection to the 'SegmentTable' query in the workbook." type="5" refreshedVersion="8" background="1" saveData="1">
    <dbPr connection="Provider=Microsoft.Mashup.OleDb.1;Data Source=$Workbook$;Location=SegmentTable;Extended Properties=&quot;&quot;" command="SELECT * FROM [SegmentTable]"/>
  </connection>
  <connection id="8" xr16:uid="{0348EC80-218B-447A-B325-252A2FFC9D4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<sst xmlns="http://schemas.openxmlformats.org/spreadsheetml/2006/main" count="15711" uniqueCount="137">
  <si>
    <t>Segment</t>
  </si>
  <si>
    <t>Country</t>
  </si>
  <si>
    <t xml:space="preserve"> Product </t>
  </si>
  <si>
    <t xml:space="preserve"> Discount Band </t>
  </si>
  <si>
    <t xml:space="preserve"> Units Sold </t>
  </si>
  <si>
    <t xml:space="preserve"> Manufacturing Price </t>
  </si>
  <si>
    <t xml:space="preserve"> Sale Price </t>
  </si>
  <si>
    <t xml:space="preserve"> Gross Sales </t>
  </si>
  <si>
    <t xml:space="preserve"> Discounts </t>
  </si>
  <si>
    <t xml:space="preserve">  Sales </t>
  </si>
  <si>
    <t xml:space="preserve"> COGS </t>
  </si>
  <si>
    <t xml:space="preserve"> Profit </t>
  </si>
  <si>
    <t>Date</t>
  </si>
  <si>
    <t>Month Number</t>
  </si>
  <si>
    <t xml:space="preserve"> Month Name </t>
  </si>
  <si>
    <t>Year</t>
  </si>
  <si>
    <t>Government</t>
  </si>
  <si>
    <t>Canada</t>
  </si>
  <si>
    <t xml:space="preserve"> Carretera </t>
  </si>
  <si>
    <t xml:space="preserve"> None </t>
  </si>
  <si>
    <t xml:space="preserve"> January </t>
  </si>
  <si>
    <t>Germany</t>
  </si>
  <si>
    <t>Midmarket</t>
  </si>
  <si>
    <t>France</t>
  </si>
  <si>
    <t xml:space="preserve"> June </t>
  </si>
  <si>
    <t>Mexico</t>
  </si>
  <si>
    <t xml:space="preserve"> December </t>
  </si>
  <si>
    <t xml:space="preserve"> Montana </t>
  </si>
  <si>
    <t xml:space="preserve"> March </t>
  </si>
  <si>
    <t>Channel Partners</t>
  </si>
  <si>
    <t>Enterprise</t>
  </si>
  <si>
    <t xml:space="preserve"> July </t>
  </si>
  <si>
    <t>Small Business</t>
  </si>
  <si>
    <t xml:space="preserve"> August </t>
  </si>
  <si>
    <t xml:space="preserve"> September </t>
  </si>
  <si>
    <t xml:space="preserve"> October </t>
  </si>
  <si>
    <t>United States of America</t>
  </si>
  <si>
    <t xml:space="preserve"> Paseo </t>
  </si>
  <si>
    <t xml:space="preserve"> February </t>
  </si>
  <si>
    <t xml:space="preserve"> November </t>
  </si>
  <si>
    <t xml:space="preserve"> Velo </t>
  </si>
  <si>
    <t xml:space="preserve"> VTT </t>
  </si>
  <si>
    <t xml:space="preserve"> April </t>
  </si>
  <si>
    <t xml:space="preserve"> Amarilla </t>
  </si>
  <si>
    <t xml:space="preserve"> Low </t>
  </si>
  <si>
    <t xml:space="preserve"> May </t>
  </si>
  <si>
    <t xml:space="preserve"> Medium </t>
  </si>
  <si>
    <t xml:space="preserve"> High </t>
  </si>
  <si>
    <t>A (Label)</t>
  </si>
  <si>
    <t>B (Inputs that change with scenario)</t>
  </si>
  <si>
    <t>Scenario</t>
  </si>
  <si>
    <t>Units Sold</t>
  </si>
  <si>
    <t>Sale Price</t>
  </si>
  <si>
    <t>Manufacturing Cost</t>
  </si>
  <si>
    <t>Discount %</t>
  </si>
  <si>
    <t>Variable Cost %</t>
  </si>
  <si>
    <t>Fixed Monthly Cost</t>
  </si>
  <si>
    <t>Tax Rate</t>
  </si>
  <si>
    <t xml:space="preserve"> -   </t>
  </si>
  <si>
    <t>Base</t>
  </si>
  <si>
    <t>Best</t>
  </si>
  <si>
    <t>Worst</t>
  </si>
  <si>
    <t>Inputs</t>
  </si>
  <si>
    <t>Month</t>
  </si>
  <si>
    <t>Product</t>
  </si>
  <si>
    <t>Discount%</t>
  </si>
  <si>
    <t>Gross Sales</t>
  </si>
  <si>
    <t>Net Revenue</t>
  </si>
  <si>
    <t>November</t>
  </si>
  <si>
    <t>December</t>
  </si>
  <si>
    <t>September</t>
  </si>
  <si>
    <t>January</t>
  </si>
  <si>
    <t>February</t>
  </si>
  <si>
    <t>March</t>
  </si>
  <si>
    <t>April</t>
  </si>
  <si>
    <t>May</t>
  </si>
  <si>
    <t>June</t>
  </si>
  <si>
    <t>July</t>
  </si>
  <si>
    <t>August</t>
  </si>
  <si>
    <t>October</t>
  </si>
  <si>
    <t>Paseo</t>
  </si>
  <si>
    <t>Variable Cost</t>
  </si>
  <si>
    <t>Fixed Cost</t>
  </si>
  <si>
    <t>Total COGS</t>
  </si>
  <si>
    <t>Metric</t>
  </si>
  <si>
    <t>Formula Source/Logic</t>
  </si>
  <si>
    <t>Gross Revenue</t>
  </si>
  <si>
    <t>From Revenue Sheet (Gross Sales)</t>
  </si>
  <si>
    <t>From Assumptions (via XLOOKUP)</t>
  </si>
  <si>
    <t>Gross Revenue * (1 - Discount %)</t>
  </si>
  <si>
    <t>From Cost Sheet</t>
  </si>
  <si>
    <t>Total Cost (COGS)</t>
  </si>
  <si>
    <t>Variable + Fixed</t>
  </si>
  <si>
    <t>Gross Profit</t>
  </si>
  <si>
    <t>Net Revenue - COGS</t>
  </si>
  <si>
    <t>From Assumptions</t>
  </si>
  <si>
    <t>Tax</t>
  </si>
  <si>
    <t>Gross Profit * Tax Rate</t>
  </si>
  <si>
    <t>Net Profit</t>
  </si>
  <si>
    <t>Gross Profit - Tax</t>
  </si>
  <si>
    <t>🧪 Test One Row First</t>
  </si>
  <si>
    <t>Total Cost(COGS)</t>
  </si>
  <si>
    <t>Net Margin %</t>
  </si>
  <si>
    <t>Starting Cash</t>
  </si>
  <si>
    <t>Depreciation</t>
  </si>
  <si>
    <t>Capex</t>
  </si>
  <si>
    <t>Net Cash Flow</t>
  </si>
  <si>
    <t>Ending Cash</t>
  </si>
  <si>
    <t>VTT</t>
  </si>
  <si>
    <t>Discount %2</t>
  </si>
  <si>
    <t>Sum of Net Revenue</t>
  </si>
  <si>
    <t>Sum of Net Profit</t>
  </si>
  <si>
    <t>Amarilla</t>
  </si>
  <si>
    <t>Carretera</t>
  </si>
  <si>
    <t>Montana</t>
  </si>
  <si>
    <t>Velo</t>
  </si>
  <si>
    <t>Month-Year</t>
  </si>
  <si>
    <t>Key</t>
  </si>
  <si>
    <t>September 2013</t>
  </si>
  <si>
    <t xml:space="preserve"> 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</si>
  <si>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</si>
  <si>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</si>
  <si>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</si>
  <si>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</si>
  <si>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</si>
  <si>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</si>
  <si>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</si>
  <si>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</si>
  <si>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</si>
  <si>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</si>
  <si>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</si>
  <si>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</si>
  <si>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</si>
  <si>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</si>
  <si>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Net Profit margin</t>
  </si>
  <si>
    <t>Sum of Gross Revenue</t>
  </si>
  <si>
    <t>Average of Net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</si>
</sst>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theme="1"/>
      <name val="Aptos Narrow"/>
      <family val="2"/>
      <scheme val="minor"/>
    </font>
    <font>
      <b/>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14" fontId="0" fillId="0" borderId="0" xfId="0" applyNumberFormat="1"/>
    <xf numFmtId="0" fontId="2"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2" fontId="0" fillId="0" borderId="0" xfId="0" applyNumberFormat="1"/>
    <xf numFmtId="4" fontId="0" fillId="0" borderId="0" xfId="0" applyNumberFormat="1"/>
    <xf numFmtId="9" fontId="0" fillId="0" borderId="0" xfId="0" applyNumberFormat="1"/>
    <xf numFmtId="9" fontId="0" fillId="0" borderId="0" xfId="0" applyNumberFormat="1" applyAlignment="1">
      <alignment vertical="center" wrapText="1"/>
    </xf>
    <xf numFmtId="0" fontId="0" fillId="0" borderId="0" xfId="0" applyAlignment="1">
      <alignment horizontal="center"/>
    </xf>
    <xf numFmtId="9" fontId="0" fillId="0" borderId="0" xfId="1" applyFont="1" applyAlignment="1">
      <alignment vertical="center" wrapText="1"/>
    </xf>
    <xf numFmtId="10" fontId="0" fillId="0" borderId="0" xfId="0" applyNumberFormat="1"/>
    <xf numFmtId="9" fontId="0" fillId="0" borderId="0" xfId="1" applyFont="1"/>
    <xf numFmtId="0" fontId="0" fillId="0" borderId="0" xfId="0" applyAlignment="1">
      <alignment wrapText="1"/>
    </xf>
    <xf numFmtId="2" fontId="0" fillId="0" borderId="0" xfId="1" applyNumberFormat="1" applyFont="1"/>
    <xf numFmtId="10" fontId="0" fillId="0" borderId="0" xfId="1" applyNumberFormat="1" applyFont="1"/>
    <xf numFmtId="0" fontId="0" fillId="0" borderId="0" xfId="0" applyFont="1" applyAlignment="1">
      <alignment horizontal="center" vertical="center" wrapText="1"/>
    </xf>
    <xf numFmtId="0" fontId="0" fillId="0" borderId="0" xfId="0" pivotButton="1"/>
    <xf numFmtId="0" fontId="0" fillId="0" borderId="0" xfId="0" applyNumberFormat="1"/>
  </cellXfs>
  <cellStyles count="2">
    <cellStyle name="Normal" xfId="0" builtinId="0"/>
    <cellStyle name="Percent" xfId="1" builtinId="5"/>
  </cellStyles>
  <dxfs count="40">
    <dxf>
      <numFmt numFmtId="2" formatCode="0.00"/>
    </dxf>
    <dxf>
      <numFmt numFmtId="0" formatCode="General"/>
    </dxf>
    <dxf>
      <numFmt numFmtId="2" formatCode="0.00"/>
    </dxf>
    <dxf>
      <numFmt numFmtId="0" formatCode="General"/>
    </dxf>
    <dxf>
      <numFmt numFmtId="0" formatCode="General"/>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numFmt numFmtId="19" formatCode="dd/mm/yyyy"/>
    </dxf>
    <dxf>
      <numFmt numFmtId="4" formatCode="#,##0.00"/>
    </dxf>
    <dxf>
      <numFmt numFmtId="4" formatCode="#,##0.00"/>
    </dxf>
    <dxf>
      <numFmt numFmtId="4" formatCode="#,##0.00"/>
    </dxf>
    <dxf>
      <numFmt numFmtId="4" formatCode="#,##0.00"/>
    </dxf>
    <dxf>
      <numFmt numFmtId="4"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0</xdr:row>
      <xdr:rowOff>15240</xdr:rowOff>
    </xdr:from>
    <xdr:to>
      <xdr:col>2</xdr:col>
      <xdr:colOff>518160</xdr:colOff>
      <xdr:row>14</xdr:row>
      <xdr:rowOff>36195</xdr:rowOff>
    </xdr:to>
    <mc:AlternateContent xmlns:mc="http://schemas.openxmlformats.org/markup-compatibility/2006">
      <mc:Choice xmlns:a14="http://schemas.microsoft.com/office/drawing/2010/main" Requires="a14">
        <xdr:graphicFrame macro="">
          <xdr:nvGraphicFramePr>
            <xdr:cNvPr id="2" name="Year">
              <a:extLst>
                <a:ext uri="{FF2B5EF4-FFF2-40B4-BE49-F238E27FC236}">
                  <a16:creationId xmlns:a16="http://schemas.microsoft.com/office/drawing/2014/main" id="{F106C5A6-9D05-2BD2-BAD2-E6ADEF8F6C3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85800" y="152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xdr:colOff>
      <xdr:row>0</xdr:row>
      <xdr:rowOff>22860</xdr:rowOff>
    </xdr:from>
    <xdr:to>
      <xdr:col>6</xdr:col>
      <xdr:colOff>396240</xdr:colOff>
      <xdr:row>14</xdr:row>
      <xdr:rowOff>43815</xdr:rowOff>
    </xdr:to>
    <mc:AlternateContent xmlns:mc="http://schemas.openxmlformats.org/markup-compatibility/2006">
      <mc:Choice xmlns:a14="http://schemas.microsoft.com/office/drawing/2010/main" Requires="a14">
        <xdr:graphicFrame macro="">
          <xdr:nvGraphicFramePr>
            <xdr:cNvPr id="3" name="Segment">
              <a:extLst>
                <a:ext uri="{FF2B5EF4-FFF2-40B4-BE49-F238E27FC236}">
                  <a16:creationId xmlns:a16="http://schemas.microsoft.com/office/drawing/2014/main" id="{C8B7365A-C57F-068B-84E8-C4CE4563A683}"/>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3939540" y="228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22860</xdr:colOff>
      <xdr:row>0</xdr:row>
      <xdr:rowOff>30480</xdr:rowOff>
    </xdr:from>
    <xdr:to>
      <xdr:col>10</xdr:col>
      <xdr:colOff>22860</xdr:colOff>
      <xdr:row>14</xdr:row>
      <xdr:rowOff>51435</xdr:rowOff>
    </xdr:to>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9047855C-875B-BBFD-22CB-B16B78B7FB6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050280" y="304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xdr:colOff>
      <xdr:row>0</xdr:row>
      <xdr:rowOff>30480</xdr:rowOff>
    </xdr:from>
    <xdr:to>
      <xdr:col>13</xdr:col>
      <xdr:colOff>38100</xdr:colOff>
      <xdr:row>14</xdr:row>
      <xdr:rowOff>51435</xdr:rowOff>
    </xdr:to>
    <mc:AlternateContent xmlns:mc="http://schemas.openxmlformats.org/markup-compatibility/2006">
      <mc:Choice xmlns:a14="http://schemas.microsoft.com/office/drawing/2010/main" Requires="a14">
        <xdr:graphicFrame macro="">
          <xdr:nvGraphicFramePr>
            <xdr:cNvPr id="5" name="Country">
              <a:extLst>
                <a:ext uri="{FF2B5EF4-FFF2-40B4-BE49-F238E27FC236}">
                  <a16:creationId xmlns:a16="http://schemas.microsoft.com/office/drawing/2014/main" id="{955F6D9B-7090-B2BE-AD5D-3EA1886453F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894320" y="304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rande, Prerna (DI SW DM BEN&amp;IS SPM-MFE)" refreshedDate="45746.859634259257" createdVersion="8" refreshedVersion="8" minRefreshableVersion="3" recordCount="2000" xr:uid="{9D2ED8CB-B12F-4FB8-BAFD-966B9FAFD6F2}">
  <cacheSource type="worksheet">
    <worksheetSource name="Final_Table"/>
  </cacheSource>
  <cacheFields count="22">
    <cacheField name="Month" numFmtId="0">
      <sharedItems count="13">
        <s v="September"/>
        <s v=" October "/>
        <s v="November"/>
        <s v="December"/>
        <s v="January"/>
        <s v="February"/>
        <s v="March"/>
        <s v="April"/>
        <s v="May"/>
        <s v="June"/>
        <s v="July"/>
        <s v="August"/>
        <s v="October"/>
      </sharedItems>
    </cacheField>
    <cacheField name="Year" numFmtId="0">
      <sharedItems containsSemiMixedTypes="0" containsString="0" containsNumber="1" containsInteger="1" minValue="2013" maxValue="2014" count="2">
        <n v="2013"/>
        <n v="2014"/>
      </sharedItems>
    </cacheField>
    <cacheField name="Month-Year" numFmtId="0">
      <sharedItems/>
    </cacheField>
    <cacheField name="Key" numFmtId="0">
      <sharedItems containsSemiMixedTypes="0" containsString="0" containsNumber="1" containsInteger="1" minValue="1" maxValue="1"/>
    </cacheField>
    <cacheField name="Segment" numFmtId="0">
      <sharedItems count="5">
        <s v="Enterprise"/>
        <s v="Channel Partners"/>
        <s v="Midmarket"/>
        <s v="Government"/>
        <s v="Small Business"/>
      </sharedItems>
    </cacheField>
    <cacheField name="Product" numFmtId="0">
      <sharedItems count="5">
        <s v="Paseo"/>
        <s v="VTT"/>
        <s v="Amarilla"/>
        <s v="Carretera"/>
        <s v="Montana"/>
      </sharedItems>
    </cacheField>
    <cacheField name="Country" numFmtId="0">
      <sharedItems count="5">
        <s v="United States of America"/>
        <s v="France"/>
        <s v="Germany"/>
        <s v="Mexico"/>
        <s v="Canada"/>
      </sharedItems>
    </cacheField>
    <cacheField name="Scenario" numFmtId="0">
      <sharedItems/>
    </cacheField>
    <cacheField name="Units Sold" numFmtId="0">
      <sharedItems containsSemiMixedTypes="0" containsString="0" containsNumber="1" containsInteger="1" minValue="1200" maxValue="1200"/>
    </cacheField>
    <cacheField name="Sale Price" numFmtId="0">
      <sharedItems containsSemiMixedTypes="0" containsString="0" containsNumber="1" containsInteger="1" minValue="17" maxValue="17"/>
    </cacheField>
    <cacheField name="Discount %" numFmtId="9">
      <sharedItems containsSemiMixedTypes="0" containsString="0" containsNumber="1" minValue="0.1" maxValue="0.1"/>
    </cacheField>
    <cacheField name="Variable Cost %" numFmtId="9">
      <sharedItems containsSemiMixedTypes="0" containsString="0" containsNumber="1" minValue="0.18" maxValue="0.18"/>
    </cacheField>
    <cacheField name="Fixed Monthly Cost" numFmtId="0">
      <sharedItems containsSemiMixedTypes="0" containsString="0" containsNumber="1" containsInteger="1" minValue="18000" maxValue="18000"/>
    </cacheField>
    <cacheField name="Tax Rate" numFmtId="9">
      <sharedItems containsSemiMixedTypes="0" containsString="0" containsNumber="1" minValue="0.3" maxValue="0.3"/>
    </cacheField>
    <cacheField name="Gross Revenue" numFmtId="2">
      <sharedItems containsSemiMixedTypes="0" containsString="0" containsNumber="1" containsInteger="1" minValue="20400" maxValue="20400"/>
    </cacheField>
    <cacheField name="Net Revenue" numFmtId="2">
      <sharedItems containsSemiMixedTypes="0" containsString="0" containsNumber="1" containsInteger="1" minValue="18360" maxValue="18360"/>
    </cacheField>
    <cacheField name="Variable Cost" numFmtId="0">
      <sharedItems containsSemiMixedTypes="0" containsString="0" containsNumber="1" minValue="3304.7999999999997" maxValue="3304.7999999999997"/>
    </cacheField>
    <cacheField name="Total Cost (COGS)" numFmtId="0">
      <sharedItems containsSemiMixedTypes="0" containsString="0" containsNumber="1" minValue="21304.799999999999" maxValue="21304.799999999999"/>
    </cacheField>
    <cacheField name="Gross Profit" numFmtId="2">
      <sharedItems containsSemiMixedTypes="0" containsString="0" containsNumber="1" minValue="-2944.7999999999993" maxValue="-2944.7999999999993"/>
    </cacheField>
    <cacheField name="Tax" numFmtId="0">
      <sharedItems containsSemiMixedTypes="0" containsString="0" containsNumber="1" minValue="-883.43999999999971" maxValue="-883.43999999999971"/>
    </cacheField>
    <cacheField name="Net Profit" numFmtId="2">
      <sharedItems containsSemiMixedTypes="0" containsString="0" containsNumber="1" minValue="-2061.3599999999997" maxValue="-2061.3599999999997"/>
    </cacheField>
    <cacheField name="Net Profit margin" numFmtId="9">
      <sharedItems containsSemiMixedTypes="0" containsString="0" containsNumber="1" minValue="-0.10104705882352939" maxValue="-0.10104705882352939"/>
    </cacheField>
  </cacheFields>
  <extLst>
    <ext xmlns:x14="http://schemas.microsoft.com/office/spreadsheetml/2009/9/main" uri="{725AE2AE-9491-48be-B2B4-4EB974FC3084}">
      <x14:pivotCacheDefinition pivotCacheId="1663982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x v="0"/>
    <s v="September 2013"/>
    <n v="1"/>
    <x v="0"/>
    <x v="0"/>
    <x v="0"/>
    <s v="Worst"/>
    <n v="1200"/>
    <n v="17"/>
    <n v="0.1"/>
    <n v="0.18"/>
    <n v="18000"/>
    <n v="0.3"/>
    <n v="20400"/>
    <n v="18360"/>
    <n v="3304.7999999999997"/>
    <n v="21304.799999999999"/>
    <n v="-2944.7999999999993"/>
    <n v="-883.43999999999971"/>
    <n v="-2061.3599999999997"/>
    <n v="-0.10104705882352939"/>
  </r>
  <r>
    <x v="0"/>
    <x v="0"/>
    <s v="September 2013"/>
    <n v="1"/>
    <x v="0"/>
    <x v="0"/>
    <x v="1"/>
    <s v="Worst"/>
    <n v="1200"/>
    <n v="17"/>
    <n v="0.1"/>
    <n v="0.18"/>
    <n v="18000"/>
    <n v="0.3"/>
    <n v="20400"/>
    <n v="18360"/>
    <n v="3304.7999999999997"/>
    <n v="21304.799999999999"/>
    <n v="-2944.7999999999993"/>
    <n v="-883.43999999999971"/>
    <n v="-2061.3599999999997"/>
    <n v="-0.10104705882352939"/>
  </r>
  <r>
    <x v="0"/>
    <x v="0"/>
    <s v="September 2013"/>
    <n v="1"/>
    <x v="0"/>
    <x v="0"/>
    <x v="2"/>
    <s v="Worst"/>
    <n v="1200"/>
    <n v="17"/>
    <n v="0.1"/>
    <n v="0.18"/>
    <n v="18000"/>
    <n v="0.3"/>
    <n v="20400"/>
    <n v="18360"/>
    <n v="3304.7999999999997"/>
    <n v="21304.799999999999"/>
    <n v="-2944.7999999999993"/>
    <n v="-883.43999999999971"/>
    <n v="-2061.3599999999997"/>
    <n v="-0.10104705882352939"/>
  </r>
  <r>
    <x v="0"/>
    <x v="0"/>
    <s v="September 2013"/>
    <n v="1"/>
    <x v="0"/>
    <x v="0"/>
    <x v="3"/>
    <s v="Worst"/>
    <n v="1200"/>
    <n v="17"/>
    <n v="0.1"/>
    <n v="0.18"/>
    <n v="18000"/>
    <n v="0.3"/>
    <n v="20400"/>
    <n v="18360"/>
    <n v="3304.7999999999997"/>
    <n v="21304.799999999999"/>
    <n v="-2944.7999999999993"/>
    <n v="-883.43999999999971"/>
    <n v="-2061.3599999999997"/>
    <n v="-0.10104705882352939"/>
  </r>
  <r>
    <x v="0"/>
    <x v="0"/>
    <s v="September 2013"/>
    <n v="1"/>
    <x v="0"/>
    <x v="0"/>
    <x v="4"/>
    <s v="Worst"/>
    <n v="1200"/>
    <n v="17"/>
    <n v="0.1"/>
    <n v="0.18"/>
    <n v="18000"/>
    <n v="0.3"/>
    <n v="20400"/>
    <n v="18360"/>
    <n v="3304.7999999999997"/>
    <n v="21304.799999999999"/>
    <n v="-2944.7999999999993"/>
    <n v="-883.43999999999971"/>
    <n v="-2061.3599999999997"/>
    <n v="-0.10104705882352939"/>
  </r>
  <r>
    <x v="0"/>
    <x v="0"/>
    <s v="September 2013"/>
    <n v="1"/>
    <x v="0"/>
    <x v="1"/>
    <x v="0"/>
    <s v="Worst"/>
    <n v="1200"/>
    <n v="17"/>
    <n v="0.1"/>
    <n v="0.18"/>
    <n v="18000"/>
    <n v="0.3"/>
    <n v="20400"/>
    <n v="18360"/>
    <n v="3304.7999999999997"/>
    <n v="21304.799999999999"/>
    <n v="-2944.7999999999993"/>
    <n v="-883.43999999999971"/>
    <n v="-2061.3599999999997"/>
    <n v="-0.10104705882352939"/>
  </r>
  <r>
    <x v="0"/>
    <x v="0"/>
    <s v="September 2013"/>
    <n v="1"/>
    <x v="0"/>
    <x v="1"/>
    <x v="1"/>
    <s v="Worst"/>
    <n v="1200"/>
    <n v="17"/>
    <n v="0.1"/>
    <n v="0.18"/>
    <n v="18000"/>
    <n v="0.3"/>
    <n v="20400"/>
    <n v="18360"/>
    <n v="3304.7999999999997"/>
    <n v="21304.799999999999"/>
    <n v="-2944.7999999999993"/>
    <n v="-883.43999999999971"/>
    <n v="-2061.3599999999997"/>
    <n v="-0.10104705882352939"/>
  </r>
  <r>
    <x v="0"/>
    <x v="0"/>
    <s v="September 2013"/>
    <n v="1"/>
    <x v="0"/>
    <x v="1"/>
    <x v="2"/>
    <s v="Worst"/>
    <n v="1200"/>
    <n v="17"/>
    <n v="0.1"/>
    <n v="0.18"/>
    <n v="18000"/>
    <n v="0.3"/>
    <n v="20400"/>
    <n v="18360"/>
    <n v="3304.7999999999997"/>
    <n v="21304.799999999999"/>
    <n v="-2944.7999999999993"/>
    <n v="-883.43999999999971"/>
    <n v="-2061.3599999999997"/>
    <n v="-0.10104705882352939"/>
  </r>
  <r>
    <x v="0"/>
    <x v="0"/>
    <s v="September 2013"/>
    <n v="1"/>
    <x v="0"/>
    <x v="1"/>
    <x v="3"/>
    <s v="Worst"/>
    <n v="1200"/>
    <n v="17"/>
    <n v="0.1"/>
    <n v="0.18"/>
    <n v="18000"/>
    <n v="0.3"/>
    <n v="20400"/>
    <n v="18360"/>
    <n v="3304.7999999999997"/>
    <n v="21304.799999999999"/>
    <n v="-2944.7999999999993"/>
    <n v="-883.43999999999971"/>
    <n v="-2061.3599999999997"/>
    <n v="-0.10104705882352939"/>
  </r>
  <r>
    <x v="0"/>
    <x v="0"/>
    <s v="September 2013"/>
    <n v="1"/>
    <x v="0"/>
    <x v="1"/>
    <x v="4"/>
    <s v="Worst"/>
    <n v="1200"/>
    <n v="17"/>
    <n v="0.1"/>
    <n v="0.18"/>
    <n v="18000"/>
    <n v="0.3"/>
    <n v="20400"/>
    <n v="18360"/>
    <n v="3304.7999999999997"/>
    <n v="21304.799999999999"/>
    <n v="-2944.7999999999993"/>
    <n v="-883.43999999999971"/>
    <n v="-2061.3599999999997"/>
    <n v="-0.10104705882352939"/>
  </r>
  <r>
    <x v="0"/>
    <x v="0"/>
    <s v="September 2013"/>
    <n v="1"/>
    <x v="0"/>
    <x v="2"/>
    <x v="0"/>
    <s v="Worst"/>
    <n v="1200"/>
    <n v="17"/>
    <n v="0.1"/>
    <n v="0.18"/>
    <n v="18000"/>
    <n v="0.3"/>
    <n v="20400"/>
    <n v="18360"/>
    <n v="3304.7999999999997"/>
    <n v="21304.799999999999"/>
    <n v="-2944.7999999999993"/>
    <n v="-883.43999999999971"/>
    <n v="-2061.3599999999997"/>
    <n v="-0.10104705882352939"/>
  </r>
  <r>
    <x v="0"/>
    <x v="0"/>
    <s v="September 2013"/>
    <n v="1"/>
    <x v="0"/>
    <x v="2"/>
    <x v="1"/>
    <s v="Worst"/>
    <n v="1200"/>
    <n v="17"/>
    <n v="0.1"/>
    <n v="0.18"/>
    <n v="18000"/>
    <n v="0.3"/>
    <n v="20400"/>
    <n v="18360"/>
    <n v="3304.7999999999997"/>
    <n v="21304.799999999999"/>
    <n v="-2944.7999999999993"/>
    <n v="-883.43999999999971"/>
    <n v="-2061.3599999999997"/>
    <n v="-0.10104705882352939"/>
  </r>
  <r>
    <x v="0"/>
    <x v="0"/>
    <s v="September 2013"/>
    <n v="1"/>
    <x v="0"/>
    <x v="2"/>
    <x v="2"/>
    <s v="Worst"/>
    <n v="1200"/>
    <n v="17"/>
    <n v="0.1"/>
    <n v="0.18"/>
    <n v="18000"/>
    <n v="0.3"/>
    <n v="20400"/>
    <n v="18360"/>
    <n v="3304.7999999999997"/>
    <n v="21304.799999999999"/>
    <n v="-2944.7999999999993"/>
    <n v="-883.43999999999971"/>
    <n v="-2061.3599999999997"/>
    <n v="-0.10104705882352939"/>
  </r>
  <r>
    <x v="0"/>
    <x v="0"/>
    <s v="September 2013"/>
    <n v="1"/>
    <x v="0"/>
    <x v="2"/>
    <x v="3"/>
    <s v="Worst"/>
    <n v="1200"/>
    <n v="17"/>
    <n v="0.1"/>
    <n v="0.18"/>
    <n v="18000"/>
    <n v="0.3"/>
    <n v="20400"/>
    <n v="18360"/>
    <n v="3304.7999999999997"/>
    <n v="21304.799999999999"/>
    <n v="-2944.7999999999993"/>
    <n v="-883.43999999999971"/>
    <n v="-2061.3599999999997"/>
    <n v="-0.10104705882352939"/>
  </r>
  <r>
    <x v="0"/>
    <x v="0"/>
    <s v="September 2013"/>
    <n v="1"/>
    <x v="0"/>
    <x v="2"/>
    <x v="4"/>
    <s v="Worst"/>
    <n v="1200"/>
    <n v="17"/>
    <n v="0.1"/>
    <n v="0.18"/>
    <n v="18000"/>
    <n v="0.3"/>
    <n v="20400"/>
    <n v="18360"/>
    <n v="3304.7999999999997"/>
    <n v="21304.799999999999"/>
    <n v="-2944.7999999999993"/>
    <n v="-883.43999999999971"/>
    <n v="-2061.3599999999997"/>
    <n v="-0.10104705882352939"/>
  </r>
  <r>
    <x v="0"/>
    <x v="0"/>
    <s v="September 2013"/>
    <n v="1"/>
    <x v="0"/>
    <x v="3"/>
    <x v="0"/>
    <s v="Worst"/>
    <n v="1200"/>
    <n v="17"/>
    <n v="0.1"/>
    <n v="0.18"/>
    <n v="18000"/>
    <n v="0.3"/>
    <n v="20400"/>
    <n v="18360"/>
    <n v="3304.7999999999997"/>
    <n v="21304.799999999999"/>
    <n v="-2944.7999999999993"/>
    <n v="-883.43999999999971"/>
    <n v="-2061.3599999999997"/>
    <n v="-0.10104705882352939"/>
  </r>
  <r>
    <x v="0"/>
    <x v="0"/>
    <s v="September 2013"/>
    <n v="1"/>
    <x v="0"/>
    <x v="3"/>
    <x v="1"/>
    <s v="Worst"/>
    <n v="1200"/>
    <n v="17"/>
    <n v="0.1"/>
    <n v="0.18"/>
    <n v="18000"/>
    <n v="0.3"/>
    <n v="20400"/>
    <n v="18360"/>
    <n v="3304.7999999999997"/>
    <n v="21304.799999999999"/>
    <n v="-2944.7999999999993"/>
    <n v="-883.43999999999971"/>
    <n v="-2061.3599999999997"/>
    <n v="-0.10104705882352939"/>
  </r>
  <r>
    <x v="0"/>
    <x v="0"/>
    <s v="September 2013"/>
    <n v="1"/>
    <x v="0"/>
    <x v="3"/>
    <x v="2"/>
    <s v="Worst"/>
    <n v="1200"/>
    <n v="17"/>
    <n v="0.1"/>
    <n v="0.18"/>
    <n v="18000"/>
    <n v="0.3"/>
    <n v="20400"/>
    <n v="18360"/>
    <n v="3304.7999999999997"/>
    <n v="21304.799999999999"/>
    <n v="-2944.7999999999993"/>
    <n v="-883.43999999999971"/>
    <n v="-2061.3599999999997"/>
    <n v="-0.10104705882352939"/>
  </r>
  <r>
    <x v="0"/>
    <x v="0"/>
    <s v="September 2013"/>
    <n v="1"/>
    <x v="0"/>
    <x v="3"/>
    <x v="3"/>
    <s v="Worst"/>
    <n v="1200"/>
    <n v="17"/>
    <n v="0.1"/>
    <n v="0.18"/>
    <n v="18000"/>
    <n v="0.3"/>
    <n v="20400"/>
    <n v="18360"/>
    <n v="3304.7999999999997"/>
    <n v="21304.799999999999"/>
    <n v="-2944.7999999999993"/>
    <n v="-883.43999999999971"/>
    <n v="-2061.3599999999997"/>
    <n v="-0.10104705882352939"/>
  </r>
  <r>
    <x v="0"/>
    <x v="0"/>
    <s v="September 2013"/>
    <n v="1"/>
    <x v="0"/>
    <x v="3"/>
    <x v="4"/>
    <s v="Worst"/>
    <n v="1200"/>
    <n v="17"/>
    <n v="0.1"/>
    <n v="0.18"/>
    <n v="18000"/>
    <n v="0.3"/>
    <n v="20400"/>
    <n v="18360"/>
    <n v="3304.7999999999997"/>
    <n v="21304.799999999999"/>
    <n v="-2944.7999999999993"/>
    <n v="-883.43999999999971"/>
    <n v="-2061.3599999999997"/>
    <n v="-0.10104705882352939"/>
  </r>
  <r>
    <x v="0"/>
    <x v="0"/>
    <s v="September 2013"/>
    <n v="1"/>
    <x v="0"/>
    <x v="4"/>
    <x v="0"/>
    <s v="Worst"/>
    <n v="1200"/>
    <n v="17"/>
    <n v="0.1"/>
    <n v="0.18"/>
    <n v="18000"/>
    <n v="0.3"/>
    <n v="20400"/>
    <n v="18360"/>
    <n v="3304.7999999999997"/>
    <n v="21304.799999999999"/>
    <n v="-2944.7999999999993"/>
    <n v="-883.43999999999971"/>
    <n v="-2061.3599999999997"/>
    <n v="-0.10104705882352939"/>
  </r>
  <r>
    <x v="0"/>
    <x v="0"/>
    <s v="September 2013"/>
    <n v="1"/>
    <x v="0"/>
    <x v="4"/>
    <x v="1"/>
    <s v="Worst"/>
    <n v="1200"/>
    <n v="17"/>
    <n v="0.1"/>
    <n v="0.18"/>
    <n v="18000"/>
    <n v="0.3"/>
    <n v="20400"/>
    <n v="18360"/>
    <n v="3304.7999999999997"/>
    <n v="21304.799999999999"/>
    <n v="-2944.7999999999993"/>
    <n v="-883.43999999999971"/>
    <n v="-2061.3599999999997"/>
    <n v="-0.10104705882352939"/>
  </r>
  <r>
    <x v="0"/>
    <x v="0"/>
    <s v="September 2013"/>
    <n v="1"/>
    <x v="0"/>
    <x v="4"/>
    <x v="2"/>
    <s v="Worst"/>
    <n v="1200"/>
    <n v="17"/>
    <n v="0.1"/>
    <n v="0.18"/>
    <n v="18000"/>
    <n v="0.3"/>
    <n v="20400"/>
    <n v="18360"/>
    <n v="3304.7999999999997"/>
    <n v="21304.799999999999"/>
    <n v="-2944.7999999999993"/>
    <n v="-883.43999999999971"/>
    <n v="-2061.3599999999997"/>
    <n v="-0.10104705882352939"/>
  </r>
  <r>
    <x v="0"/>
    <x v="0"/>
    <s v="September 2013"/>
    <n v="1"/>
    <x v="0"/>
    <x v="4"/>
    <x v="3"/>
    <s v="Worst"/>
    <n v="1200"/>
    <n v="17"/>
    <n v="0.1"/>
    <n v="0.18"/>
    <n v="18000"/>
    <n v="0.3"/>
    <n v="20400"/>
    <n v="18360"/>
    <n v="3304.7999999999997"/>
    <n v="21304.799999999999"/>
    <n v="-2944.7999999999993"/>
    <n v="-883.43999999999971"/>
    <n v="-2061.3599999999997"/>
    <n v="-0.10104705882352939"/>
  </r>
  <r>
    <x v="0"/>
    <x v="0"/>
    <s v="September 2013"/>
    <n v="1"/>
    <x v="0"/>
    <x v="4"/>
    <x v="4"/>
    <s v="Worst"/>
    <n v="1200"/>
    <n v="17"/>
    <n v="0.1"/>
    <n v="0.18"/>
    <n v="18000"/>
    <n v="0.3"/>
    <n v="20400"/>
    <n v="18360"/>
    <n v="3304.7999999999997"/>
    <n v="21304.799999999999"/>
    <n v="-2944.7999999999993"/>
    <n v="-883.43999999999971"/>
    <n v="-2061.3599999999997"/>
    <n v="-0.10104705882352939"/>
  </r>
  <r>
    <x v="0"/>
    <x v="0"/>
    <s v="September 2013"/>
    <n v="1"/>
    <x v="1"/>
    <x v="0"/>
    <x v="0"/>
    <s v="Worst"/>
    <n v="1200"/>
    <n v="17"/>
    <n v="0.1"/>
    <n v="0.18"/>
    <n v="18000"/>
    <n v="0.3"/>
    <n v="20400"/>
    <n v="18360"/>
    <n v="3304.7999999999997"/>
    <n v="21304.799999999999"/>
    <n v="-2944.7999999999993"/>
    <n v="-883.43999999999971"/>
    <n v="-2061.3599999999997"/>
    <n v="-0.10104705882352939"/>
  </r>
  <r>
    <x v="0"/>
    <x v="0"/>
    <s v="September 2013"/>
    <n v="1"/>
    <x v="1"/>
    <x v="0"/>
    <x v="1"/>
    <s v="Worst"/>
    <n v="1200"/>
    <n v="17"/>
    <n v="0.1"/>
    <n v="0.18"/>
    <n v="18000"/>
    <n v="0.3"/>
    <n v="20400"/>
    <n v="18360"/>
    <n v="3304.7999999999997"/>
    <n v="21304.799999999999"/>
    <n v="-2944.7999999999993"/>
    <n v="-883.43999999999971"/>
    <n v="-2061.3599999999997"/>
    <n v="-0.10104705882352939"/>
  </r>
  <r>
    <x v="0"/>
    <x v="0"/>
    <s v="September 2013"/>
    <n v="1"/>
    <x v="1"/>
    <x v="0"/>
    <x v="2"/>
    <s v="Worst"/>
    <n v="1200"/>
    <n v="17"/>
    <n v="0.1"/>
    <n v="0.18"/>
    <n v="18000"/>
    <n v="0.3"/>
    <n v="20400"/>
    <n v="18360"/>
    <n v="3304.7999999999997"/>
    <n v="21304.799999999999"/>
    <n v="-2944.7999999999993"/>
    <n v="-883.43999999999971"/>
    <n v="-2061.3599999999997"/>
    <n v="-0.10104705882352939"/>
  </r>
  <r>
    <x v="0"/>
    <x v="0"/>
    <s v="September 2013"/>
    <n v="1"/>
    <x v="1"/>
    <x v="0"/>
    <x v="3"/>
    <s v="Worst"/>
    <n v="1200"/>
    <n v="17"/>
    <n v="0.1"/>
    <n v="0.18"/>
    <n v="18000"/>
    <n v="0.3"/>
    <n v="20400"/>
    <n v="18360"/>
    <n v="3304.7999999999997"/>
    <n v="21304.799999999999"/>
    <n v="-2944.7999999999993"/>
    <n v="-883.43999999999971"/>
    <n v="-2061.3599999999997"/>
    <n v="-0.10104705882352939"/>
  </r>
  <r>
    <x v="0"/>
    <x v="0"/>
    <s v="September 2013"/>
    <n v="1"/>
    <x v="1"/>
    <x v="0"/>
    <x v="4"/>
    <s v="Worst"/>
    <n v="1200"/>
    <n v="17"/>
    <n v="0.1"/>
    <n v="0.18"/>
    <n v="18000"/>
    <n v="0.3"/>
    <n v="20400"/>
    <n v="18360"/>
    <n v="3304.7999999999997"/>
    <n v="21304.799999999999"/>
    <n v="-2944.7999999999993"/>
    <n v="-883.43999999999971"/>
    <n v="-2061.3599999999997"/>
    <n v="-0.10104705882352939"/>
  </r>
  <r>
    <x v="0"/>
    <x v="0"/>
    <s v="September 2013"/>
    <n v="1"/>
    <x v="1"/>
    <x v="1"/>
    <x v="0"/>
    <s v="Worst"/>
    <n v="1200"/>
    <n v="17"/>
    <n v="0.1"/>
    <n v="0.18"/>
    <n v="18000"/>
    <n v="0.3"/>
    <n v="20400"/>
    <n v="18360"/>
    <n v="3304.7999999999997"/>
    <n v="21304.799999999999"/>
    <n v="-2944.7999999999993"/>
    <n v="-883.43999999999971"/>
    <n v="-2061.3599999999997"/>
    <n v="-0.10104705882352939"/>
  </r>
  <r>
    <x v="0"/>
    <x v="0"/>
    <s v="September 2013"/>
    <n v="1"/>
    <x v="1"/>
    <x v="1"/>
    <x v="1"/>
    <s v="Worst"/>
    <n v="1200"/>
    <n v="17"/>
    <n v="0.1"/>
    <n v="0.18"/>
    <n v="18000"/>
    <n v="0.3"/>
    <n v="20400"/>
    <n v="18360"/>
    <n v="3304.7999999999997"/>
    <n v="21304.799999999999"/>
    <n v="-2944.7999999999993"/>
    <n v="-883.43999999999971"/>
    <n v="-2061.3599999999997"/>
    <n v="-0.10104705882352939"/>
  </r>
  <r>
    <x v="0"/>
    <x v="0"/>
    <s v="September 2013"/>
    <n v="1"/>
    <x v="1"/>
    <x v="1"/>
    <x v="2"/>
    <s v="Worst"/>
    <n v="1200"/>
    <n v="17"/>
    <n v="0.1"/>
    <n v="0.18"/>
    <n v="18000"/>
    <n v="0.3"/>
    <n v="20400"/>
    <n v="18360"/>
    <n v="3304.7999999999997"/>
    <n v="21304.799999999999"/>
    <n v="-2944.7999999999993"/>
    <n v="-883.43999999999971"/>
    <n v="-2061.3599999999997"/>
    <n v="-0.10104705882352939"/>
  </r>
  <r>
    <x v="0"/>
    <x v="0"/>
    <s v="September 2013"/>
    <n v="1"/>
    <x v="1"/>
    <x v="1"/>
    <x v="3"/>
    <s v="Worst"/>
    <n v="1200"/>
    <n v="17"/>
    <n v="0.1"/>
    <n v="0.18"/>
    <n v="18000"/>
    <n v="0.3"/>
    <n v="20400"/>
    <n v="18360"/>
    <n v="3304.7999999999997"/>
    <n v="21304.799999999999"/>
    <n v="-2944.7999999999993"/>
    <n v="-883.43999999999971"/>
    <n v="-2061.3599999999997"/>
    <n v="-0.10104705882352939"/>
  </r>
  <r>
    <x v="0"/>
    <x v="0"/>
    <s v="September 2013"/>
    <n v="1"/>
    <x v="1"/>
    <x v="1"/>
    <x v="4"/>
    <s v="Worst"/>
    <n v="1200"/>
    <n v="17"/>
    <n v="0.1"/>
    <n v="0.18"/>
    <n v="18000"/>
    <n v="0.3"/>
    <n v="20400"/>
    <n v="18360"/>
    <n v="3304.7999999999997"/>
    <n v="21304.799999999999"/>
    <n v="-2944.7999999999993"/>
    <n v="-883.43999999999971"/>
    <n v="-2061.3599999999997"/>
    <n v="-0.10104705882352939"/>
  </r>
  <r>
    <x v="0"/>
    <x v="0"/>
    <s v="September 2013"/>
    <n v="1"/>
    <x v="1"/>
    <x v="2"/>
    <x v="0"/>
    <s v="Worst"/>
    <n v="1200"/>
    <n v="17"/>
    <n v="0.1"/>
    <n v="0.18"/>
    <n v="18000"/>
    <n v="0.3"/>
    <n v="20400"/>
    <n v="18360"/>
    <n v="3304.7999999999997"/>
    <n v="21304.799999999999"/>
    <n v="-2944.7999999999993"/>
    <n v="-883.43999999999971"/>
    <n v="-2061.3599999999997"/>
    <n v="-0.10104705882352939"/>
  </r>
  <r>
    <x v="0"/>
    <x v="0"/>
    <s v="September 2013"/>
    <n v="1"/>
    <x v="1"/>
    <x v="2"/>
    <x v="1"/>
    <s v="Worst"/>
    <n v="1200"/>
    <n v="17"/>
    <n v="0.1"/>
    <n v="0.18"/>
    <n v="18000"/>
    <n v="0.3"/>
    <n v="20400"/>
    <n v="18360"/>
    <n v="3304.7999999999997"/>
    <n v="21304.799999999999"/>
    <n v="-2944.7999999999993"/>
    <n v="-883.43999999999971"/>
    <n v="-2061.3599999999997"/>
    <n v="-0.10104705882352939"/>
  </r>
  <r>
    <x v="0"/>
    <x v="0"/>
    <s v="September 2013"/>
    <n v="1"/>
    <x v="1"/>
    <x v="2"/>
    <x v="2"/>
    <s v="Worst"/>
    <n v="1200"/>
    <n v="17"/>
    <n v="0.1"/>
    <n v="0.18"/>
    <n v="18000"/>
    <n v="0.3"/>
    <n v="20400"/>
    <n v="18360"/>
    <n v="3304.7999999999997"/>
    <n v="21304.799999999999"/>
    <n v="-2944.7999999999993"/>
    <n v="-883.43999999999971"/>
    <n v="-2061.3599999999997"/>
    <n v="-0.10104705882352939"/>
  </r>
  <r>
    <x v="0"/>
    <x v="0"/>
    <s v="September 2013"/>
    <n v="1"/>
    <x v="1"/>
    <x v="2"/>
    <x v="3"/>
    <s v="Worst"/>
    <n v="1200"/>
    <n v="17"/>
    <n v="0.1"/>
    <n v="0.18"/>
    <n v="18000"/>
    <n v="0.3"/>
    <n v="20400"/>
    <n v="18360"/>
    <n v="3304.7999999999997"/>
    <n v="21304.799999999999"/>
    <n v="-2944.7999999999993"/>
    <n v="-883.43999999999971"/>
    <n v="-2061.3599999999997"/>
    <n v="-0.10104705882352939"/>
  </r>
  <r>
    <x v="0"/>
    <x v="0"/>
    <s v="September 2013"/>
    <n v="1"/>
    <x v="1"/>
    <x v="2"/>
    <x v="4"/>
    <s v="Worst"/>
    <n v="1200"/>
    <n v="17"/>
    <n v="0.1"/>
    <n v="0.18"/>
    <n v="18000"/>
    <n v="0.3"/>
    <n v="20400"/>
    <n v="18360"/>
    <n v="3304.7999999999997"/>
    <n v="21304.799999999999"/>
    <n v="-2944.7999999999993"/>
    <n v="-883.43999999999971"/>
    <n v="-2061.3599999999997"/>
    <n v="-0.10104705882352939"/>
  </r>
  <r>
    <x v="0"/>
    <x v="0"/>
    <s v="September 2013"/>
    <n v="1"/>
    <x v="1"/>
    <x v="3"/>
    <x v="0"/>
    <s v="Worst"/>
    <n v="1200"/>
    <n v="17"/>
    <n v="0.1"/>
    <n v="0.18"/>
    <n v="18000"/>
    <n v="0.3"/>
    <n v="20400"/>
    <n v="18360"/>
    <n v="3304.7999999999997"/>
    <n v="21304.799999999999"/>
    <n v="-2944.7999999999993"/>
    <n v="-883.43999999999971"/>
    <n v="-2061.3599999999997"/>
    <n v="-0.10104705882352939"/>
  </r>
  <r>
    <x v="0"/>
    <x v="0"/>
    <s v="September 2013"/>
    <n v="1"/>
    <x v="1"/>
    <x v="3"/>
    <x v="1"/>
    <s v="Worst"/>
    <n v="1200"/>
    <n v="17"/>
    <n v="0.1"/>
    <n v="0.18"/>
    <n v="18000"/>
    <n v="0.3"/>
    <n v="20400"/>
    <n v="18360"/>
    <n v="3304.7999999999997"/>
    <n v="21304.799999999999"/>
    <n v="-2944.7999999999993"/>
    <n v="-883.43999999999971"/>
    <n v="-2061.3599999999997"/>
    <n v="-0.10104705882352939"/>
  </r>
  <r>
    <x v="0"/>
    <x v="0"/>
    <s v="September 2013"/>
    <n v="1"/>
    <x v="1"/>
    <x v="3"/>
    <x v="2"/>
    <s v="Worst"/>
    <n v="1200"/>
    <n v="17"/>
    <n v="0.1"/>
    <n v="0.18"/>
    <n v="18000"/>
    <n v="0.3"/>
    <n v="20400"/>
    <n v="18360"/>
    <n v="3304.7999999999997"/>
    <n v="21304.799999999999"/>
    <n v="-2944.7999999999993"/>
    <n v="-883.43999999999971"/>
    <n v="-2061.3599999999997"/>
    <n v="-0.10104705882352939"/>
  </r>
  <r>
    <x v="0"/>
    <x v="0"/>
    <s v="September 2013"/>
    <n v="1"/>
    <x v="1"/>
    <x v="3"/>
    <x v="3"/>
    <s v="Worst"/>
    <n v="1200"/>
    <n v="17"/>
    <n v="0.1"/>
    <n v="0.18"/>
    <n v="18000"/>
    <n v="0.3"/>
    <n v="20400"/>
    <n v="18360"/>
    <n v="3304.7999999999997"/>
    <n v="21304.799999999999"/>
    <n v="-2944.7999999999993"/>
    <n v="-883.43999999999971"/>
    <n v="-2061.3599999999997"/>
    <n v="-0.10104705882352939"/>
  </r>
  <r>
    <x v="0"/>
    <x v="0"/>
    <s v="September 2013"/>
    <n v="1"/>
    <x v="1"/>
    <x v="3"/>
    <x v="4"/>
    <s v="Worst"/>
    <n v="1200"/>
    <n v="17"/>
    <n v="0.1"/>
    <n v="0.18"/>
    <n v="18000"/>
    <n v="0.3"/>
    <n v="20400"/>
    <n v="18360"/>
    <n v="3304.7999999999997"/>
    <n v="21304.799999999999"/>
    <n v="-2944.7999999999993"/>
    <n v="-883.43999999999971"/>
    <n v="-2061.3599999999997"/>
    <n v="-0.10104705882352939"/>
  </r>
  <r>
    <x v="0"/>
    <x v="0"/>
    <s v="September 2013"/>
    <n v="1"/>
    <x v="1"/>
    <x v="4"/>
    <x v="0"/>
    <s v="Worst"/>
    <n v="1200"/>
    <n v="17"/>
    <n v="0.1"/>
    <n v="0.18"/>
    <n v="18000"/>
    <n v="0.3"/>
    <n v="20400"/>
    <n v="18360"/>
    <n v="3304.7999999999997"/>
    <n v="21304.799999999999"/>
    <n v="-2944.7999999999993"/>
    <n v="-883.43999999999971"/>
    <n v="-2061.3599999999997"/>
    <n v="-0.10104705882352939"/>
  </r>
  <r>
    <x v="0"/>
    <x v="0"/>
    <s v="September 2013"/>
    <n v="1"/>
    <x v="1"/>
    <x v="4"/>
    <x v="1"/>
    <s v="Worst"/>
    <n v="1200"/>
    <n v="17"/>
    <n v="0.1"/>
    <n v="0.18"/>
    <n v="18000"/>
    <n v="0.3"/>
    <n v="20400"/>
    <n v="18360"/>
    <n v="3304.7999999999997"/>
    <n v="21304.799999999999"/>
    <n v="-2944.7999999999993"/>
    <n v="-883.43999999999971"/>
    <n v="-2061.3599999999997"/>
    <n v="-0.10104705882352939"/>
  </r>
  <r>
    <x v="0"/>
    <x v="0"/>
    <s v="September 2013"/>
    <n v="1"/>
    <x v="1"/>
    <x v="4"/>
    <x v="2"/>
    <s v="Worst"/>
    <n v="1200"/>
    <n v="17"/>
    <n v="0.1"/>
    <n v="0.18"/>
    <n v="18000"/>
    <n v="0.3"/>
    <n v="20400"/>
    <n v="18360"/>
    <n v="3304.7999999999997"/>
    <n v="21304.799999999999"/>
    <n v="-2944.7999999999993"/>
    <n v="-883.43999999999971"/>
    <n v="-2061.3599999999997"/>
    <n v="-0.10104705882352939"/>
  </r>
  <r>
    <x v="0"/>
    <x v="0"/>
    <s v="September 2013"/>
    <n v="1"/>
    <x v="1"/>
    <x v="4"/>
    <x v="3"/>
    <s v="Worst"/>
    <n v="1200"/>
    <n v="17"/>
    <n v="0.1"/>
    <n v="0.18"/>
    <n v="18000"/>
    <n v="0.3"/>
    <n v="20400"/>
    <n v="18360"/>
    <n v="3304.7999999999997"/>
    <n v="21304.799999999999"/>
    <n v="-2944.7999999999993"/>
    <n v="-883.43999999999971"/>
    <n v="-2061.3599999999997"/>
    <n v="-0.10104705882352939"/>
  </r>
  <r>
    <x v="0"/>
    <x v="0"/>
    <s v="September 2013"/>
    <n v="1"/>
    <x v="1"/>
    <x v="4"/>
    <x v="4"/>
    <s v="Worst"/>
    <n v="1200"/>
    <n v="17"/>
    <n v="0.1"/>
    <n v="0.18"/>
    <n v="18000"/>
    <n v="0.3"/>
    <n v="20400"/>
    <n v="18360"/>
    <n v="3304.7999999999997"/>
    <n v="21304.799999999999"/>
    <n v="-2944.7999999999993"/>
    <n v="-883.43999999999971"/>
    <n v="-2061.3599999999997"/>
    <n v="-0.10104705882352939"/>
  </r>
  <r>
    <x v="0"/>
    <x v="0"/>
    <s v="September 2013"/>
    <n v="1"/>
    <x v="2"/>
    <x v="0"/>
    <x v="0"/>
    <s v="Worst"/>
    <n v="1200"/>
    <n v="17"/>
    <n v="0.1"/>
    <n v="0.18"/>
    <n v="18000"/>
    <n v="0.3"/>
    <n v="20400"/>
    <n v="18360"/>
    <n v="3304.7999999999997"/>
    <n v="21304.799999999999"/>
    <n v="-2944.7999999999993"/>
    <n v="-883.43999999999971"/>
    <n v="-2061.3599999999997"/>
    <n v="-0.10104705882352939"/>
  </r>
  <r>
    <x v="0"/>
    <x v="0"/>
    <s v="September 2013"/>
    <n v="1"/>
    <x v="2"/>
    <x v="0"/>
    <x v="1"/>
    <s v="Worst"/>
    <n v="1200"/>
    <n v="17"/>
    <n v="0.1"/>
    <n v="0.18"/>
    <n v="18000"/>
    <n v="0.3"/>
    <n v="20400"/>
    <n v="18360"/>
    <n v="3304.7999999999997"/>
    <n v="21304.799999999999"/>
    <n v="-2944.7999999999993"/>
    <n v="-883.43999999999971"/>
    <n v="-2061.3599999999997"/>
    <n v="-0.10104705882352939"/>
  </r>
  <r>
    <x v="0"/>
    <x v="0"/>
    <s v="September 2013"/>
    <n v="1"/>
    <x v="2"/>
    <x v="0"/>
    <x v="2"/>
    <s v="Worst"/>
    <n v="1200"/>
    <n v="17"/>
    <n v="0.1"/>
    <n v="0.18"/>
    <n v="18000"/>
    <n v="0.3"/>
    <n v="20400"/>
    <n v="18360"/>
    <n v="3304.7999999999997"/>
    <n v="21304.799999999999"/>
    <n v="-2944.7999999999993"/>
    <n v="-883.43999999999971"/>
    <n v="-2061.3599999999997"/>
    <n v="-0.10104705882352939"/>
  </r>
  <r>
    <x v="0"/>
    <x v="0"/>
    <s v="September 2013"/>
    <n v="1"/>
    <x v="2"/>
    <x v="0"/>
    <x v="3"/>
    <s v="Worst"/>
    <n v="1200"/>
    <n v="17"/>
    <n v="0.1"/>
    <n v="0.18"/>
    <n v="18000"/>
    <n v="0.3"/>
    <n v="20400"/>
    <n v="18360"/>
    <n v="3304.7999999999997"/>
    <n v="21304.799999999999"/>
    <n v="-2944.7999999999993"/>
    <n v="-883.43999999999971"/>
    <n v="-2061.3599999999997"/>
    <n v="-0.10104705882352939"/>
  </r>
  <r>
    <x v="0"/>
    <x v="0"/>
    <s v="September 2013"/>
    <n v="1"/>
    <x v="2"/>
    <x v="0"/>
    <x v="4"/>
    <s v="Worst"/>
    <n v="1200"/>
    <n v="17"/>
    <n v="0.1"/>
    <n v="0.18"/>
    <n v="18000"/>
    <n v="0.3"/>
    <n v="20400"/>
    <n v="18360"/>
    <n v="3304.7999999999997"/>
    <n v="21304.799999999999"/>
    <n v="-2944.7999999999993"/>
    <n v="-883.43999999999971"/>
    <n v="-2061.3599999999997"/>
    <n v="-0.10104705882352939"/>
  </r>
  <r>
    <x v="0"/>
    <x v="0"/>
    <s v="September 2013"/>
    <n v="1"/>
    <x v="2"/>
    <x v="1"/>
    <x v="0"/>
    <s v="Worst"/>
    <n v="1200"/>
    <n v="17"/>
    <n v="0.1"/>
    <n v="0.18"/>
    <n v="18000"/>
    <n v="0.3"/>
    <n v="20400"/>
    <n v="18360"/>
    <n v="3304.7999999999997"/>
    <n v="21304.799999999999"/>
    <n v="-2944.7999999999993"/>
    <n v="-883.43999999999971"/>
    <n v="-2061.3599999999997"/>
    <n v="-0.10104705882352939"/>
  </r>
  <r>
    <x v="0"/>
    <x v="0"/>
    <s v="September 2013"/>
    <n v="1"/>
    <x v="2"/>
    <x v="1"/>
    <x v="1"/>
    <s v="Worst"/>
    <n v="1200"/>
    <n v="17"/>
    <n v="0.1"/>
    <n v="0.18"/>
    <n v="18000"/>
    <n v="0.3"/>
    <n v="20400"/>
    <n v="18360"/>
    <n v="3304.7999999999997"/>
    <n v="21304.799999999999"/>
    <n v="-2944.7999999999993"/>
    <n v="-883.43999999999971"/>
    <n v="-2061.3599999999997"/>
    <n v="-0.10104705882352939"/>
  </r>
  <r>
    <x v="0"/>
    <x v="0"/>
    <s v="September 2013"/>
    <n v="1"/>
    <x v="2"/>
    <x v="1"/>
    <x v="2"/>
    <s v="Worst"/>
    <n v="1200"/>
    <n v="17"/>
    <n v="0.1"/>
    <n v="0.18"/>
    <n v="18000"/>
    <n v="0.3"/>
    <n v="20400"/>
    <n v="18360"/>
    <n v="3304.7999999999997"/>
    <n v="21304.799999999999"/>
    <n v="-2944.7999999999993"/>
    <n v="-883.43999999999971"/>
    <n v="-2061.3599999999997"/>
    <n v="-0.10104705882352939"/>
  </r>
  <r>
    <x v="0"/>
    <x v="0"/>
    <s v="September 2013"/>
    <n v="1"/>
    <x v="2"/>
    <x v="1"/>
    <x v="3"/>
    <s v="Worst"/>
    <n v="1200"/>
    <n v="17"/>
    <n v="0.1"/>
    <n v="0.18"/>
    <n v="18000"/>
    <n v="0.3"/>
    <n v="20400"/>
    <n v="18360"/>
    <n v="3304.7999999999997"/>
    <n v="21304.799999999999"/>
    <n v="-2944.7999999999993"/>
    <n v="-883.43999999999971"/>
    <n v="-2061.3599999999997"/>
    <n v="-0.10104705882352939"/>
  </r>
  <r>
    <x v="0"/>
    <x v="0"/>
    <s v="September 2013"/>
    <n v="1"/>
    <x v="2"/>
    <x v="1"/>
    <x v="4"/>
    <s v="Worst"/>
    <n v="1200"/>
    <n v="17"/>
    <n v="0.1"/>
    <n v="0.18"/>
    <n v="18000"/>
    <n v="0.3"/>
    <n v="20400"/>
    <n v="18360"/>
    <n v="3304.7999999999997"/>
    <n v="21304.799999999999"/>
    <n v="-2944.7999999999993"/>
    <n v="-883.43999999999971"/>
    <n v="-2061.3599999999997"/>
    <n v="-0.10104705882352939"/>
  </r>
  <r>
    <x v="0"/>
    <x v="0"/>
    <s v="September 2013"/>
    <n v="1"/>
    <x v="2"/>
    <x v="2"/>
    <x v="0"/>
    <s v="Worst"/>
    <n v="1200"/>
    <n v="17"/>
    <n v="0.1"/>
    <n v="0.18"/>
    <n v="18000"/>
    <n v="0.3"/>
    <n v="20400"/>
    <n v="18360"/>
    <n v="3304.7999999999997"/>
    <n v="21304.799999999999"/>
    <n v="-2944.7999999999993"/>
    <n v="-883.43999999999971"/>
    <n v="-2061.3599999999997"/>
    <n v="-0.10104705882352939"/>
  </r>
  <r>
    <x v="0"/>
    <x v="0"/>
    <s v="September 2013"/>
    <n v="1"/>
    <x v="2"/>
    <x v="2"/>
    <x v="1"/>
    <s v="Worst"/>
    <n v="1200"/>
    <n v="17"/>
    <n v="0.1"/>
    <n v="0.18"/>
    <n v="18000"/>
    <n v="0.3"/>
    <n v="20400"/>
    <n v="18360"/>
    <n v="3304.7999999999997"/>
    <n v="21304.799999999999"/>
    <n v="-2944.7999999999993"/>
    <n v="-883.43999999999971"/>
    <n v="-2061.3599999999997"/>
    <n v="-0.10104705882352939"/>
  </r>
  <r>
    <x v="0"/>
    <x v="0"/>
    <s v="September 2013"/>
    <n v="1"/>
    <x v="2"/>
    <x v="2"/>
    <x v="2"/>
    <s v="Worst"/>
    <n v="1200"/>
    <n v="17"/>
    <n v="0.1"/>
    <n v="0.18"/>
    <n v="18000"/>
    <n v="0.3"/>
    <n v="20400"/>
    <n v="18360"/>
    <n v="3304.7999999999997"/>
    <n v="21304.799999999999"/>
    <n v="-2944.7999999999993"/>
    <n v="-883.43999999999971"/>
    <n v="-2061.3599999999997"/>
    <n v="-0.10104705882352939"/>
  </r>
  <r>
    <x v="0"/>
    <x v="0"/>
    <s v="September 2013"/>
    <n v="1"/>
    <x v="2"/>
    <x v="2"/>
    <x v="3"/>
    <s v="Worst"/>
    <n v="1200"/>
    <n v="17"/>
    <n v="0.1"/>
    <n v="0.18"/>
    <n v="18000"/>
    <n v="0.3"/>
    <n v="20400"/>
    <n v="18360"/>
    <n v="3304.7999999999997"/>
    <n v="21304.799999999999"/>
    <n v="-2944.7999999999993"/>
    <n v="-883.43999999999971"/>
    <n v="-2061.3599999999997"/>
    <n v="-0.10104705882352939"/>
  </r>
  <r>
    <x v="0"/>
    <x v="0"/>
    <s v="September 2013"/>
    <n v="1"/>
    <x v="2"/>
    <x v="2"/>
    <x v="4"/>
    <s v="Worst"/>
    <n v="1200"/>
    <n v="17"/>
    <n v="0.1"/>
    <n v="0.18"/>
    <n v="18000"/>
    <n v="0.3"/>
    <n v="20400"/>
    <n v="18360"/>
    <n v="3304.7999999999997"/>
    <n v="21304.799999999999"/>
    <n v="-2944.7999999999993"/>
    <n v="-883.43999999999971"/>
    <n v="-2061.3599999999997"/>
    <n v="-0.10104705882352939"/>
  </r>
  <r>
    <x v="0"/>
    <x v="0"/>
    <s v="September 2013"/>
    <n v="1"/>
    <x v="2"/>
    <x v="3"/>
    <x v="0"/>
    <s v="Worst"/>
    <n v="1200"/>
    <n v="17"/>
    <n v="0.1"/>
    <n v="0.18"/>
    <n v="18000"/>
    <n v="0.3"/>
    <n v="20400"/>
    <n v="18360"/>
    <n v="3304.7999999999997"/>
    <n v="21304.799999999999"/>
    <n v="-2944.7999999999993"/>
    <n v="-883.43999999999971"/>
    <n v="-2061.3599999999997"/>
    <n v="-0.10104705882352939"/>
  </r>
  <r>
    <x v="0"/>
    <x v="0"/>
    <s v="September 2013"/>
    <n v="1"/>
    <x v="2"/>
    <x v="3"/>
    <x v="1"/>
    <s v="Worst"/>
    <n v="1200"/>
    <n v="17"/>
    <n v="0.1"/>
    <n v="0.18"/>
    <n v="18000"/>
    <n v="0.3"/>
    <n v="20400"/>
    <n v="18360"/>
    <n v="3304.7999999999997"/>
    <n v="21304.799999999999"/>
    <n v="-2944.7999999999993"/>
    <n v="-883.43999999999971"/>
    <n v="-2061.3599999999997"/>
    <n v="-0.10104705882352939"/>
  </r>
  <r>
    <x v="0"/>
    <x v="0"/>
    <s v="September 2013"/>
    <n v="1"/>
    <x v="2"/>
    <x v="3"/>
    <x v="2"/>
    <s v="Worst"/>
    <n v="1200"/>
    <n v="17"/>
    <n v="0.1"/>
    <n v="0.18"/>
    <n v="18000"/>
    <n v="0.3"/>
    <n v="20400"/>
    <n v="18360"/>
    <n v="3304.7999999999997"/>
    <n v="21304.799999999999"/>
    <n v="-2944.7999999999993"/>
    <n v="-883.43999999999971"/>
    <n v="-2061.3599999999997"/>
    <n v="-0.10104705882352939"/>
  </r>
  <r>
    <x v="0"/>
    <x v="0"/>
    <s v="September 2013"/>
    <n v="1"/>
    <x v="2"/>
    <x v="3"/>
    <x v="3"/>
    <s v="Worst"/>
    <n v="1200"/>
    <n v="17"/>
    <n v="0.1"/>
    <n v="0.18"/>
    <n v="18000"/>
    <n v="0.3"/>
    <n v="20400"/>
    <n v="18360"/>
    <n v="3304.7999999999997"/>
    <n v="21304.799999999999"/>
    <n v="-2944.7999999999993"/>
    <n v="-883.43999999999971"/>
    <n v="-2061.3599999999997"/>
    <n v="-0.10104705882352939"/>
  </r>
  <r>
    <x v="0"/>
    <x v="0"/>
    <s v="September 2013"/>
    <n v="1"/>
    <x v="2"/>
    <x v="3"/>
    <x v="4"/>
    <s v="Worst"/>
    <n v="1200"/>
    <n v="17"/>
    <n v="0.1"/>
    <n v="0.18"/>
    <n v="18000"/>
    <n v="0.3"/>
    <n v="20400"/>
    <n v="18360"/>
    <n v="3304.7999999999997"/>
    <n v="21304.799999999999"/>
    <n v="-2944.7999999999993"/>
    <n v="-883.43999999999971"/>
    <n v="-2061.3599999999997"/>
    <n v="-0.10104705882352939"/>
  </r>
  <r>
    <x v="0"/>
    <x v="0"/>
    <s v="September 2013"/>
    <n v="1"/>
    <x v="2"/>
    <x v="4"/>
    <x v="0"/>
    <s v="Worst"/>
    <n v="1200"/>
    <n v="17"/>
    <n v="0.1"/>
    <n v="0.18"/>
    <n v="18000"/>
    <n v="0.3"/>
    <n v="20400"/>
    <n v="18360"/>
    <n v="3304.7999999999997"/>
    <n v="21304.799999999999"/>
    <n v="-2944.7999999999993"/>
    <n v="-883.43999999999971"/>
    <n v="-2061.3599999999997"/>
    <n v="-0.10104705882352939"/>
  </r>
  <r>
    <x v="0"/>
    <x v="0"/>
    <s v="September 2013"/>
    <n v="1"/>
    <x v="2"/>
    <x v="4"/>
    <x v="1"/>
    <s v="Worst"/>
    <n v="1200"/>
    <n v="17"/>
    <n v="0.1"/>
    <n v="0.18"/>
    <n v="18000"/>
    <n v="0.3"/>
    <n v="20400"/>
    <n v="18360"/>
    <n v="3304.7999999999997"/>
    <n v="21304.799999999999"/>
    <n v="-2944.7999999999993"/>
    <n v="-883.43999999999971"/>
    <n v="-2061.3599999999997"/>
    <n v="-0.10104705882352939"/>
  </r>
  <r>
    <x v="0"/>
    <x v="0"/>
    <s v="September 2013"/>
    <n v="1"/>
    <x v="2"/>
    <x v="4"/>
    <x v="2"/>
    <s v="Worst"/>
    <n v="1200"/>
    <n v="17"/>
    <n v="0.1"/>
    <n v="0.18"/>
    <n v="18000"/>
    <n v="0.3"/>
    <n v="20400"/>
    <n v="18360"/>
    <n v="3304.7999999999997"/>
    <n v="21304.799999999999"/>
    <n v="-2944.7999999999993"/>
    <n v="-883.43999999999971"/>
    <n v="-2061.3599999999997"/>
    <n v="-0.10104705882352939"/>
  </r>
  <r>
    <x v="0"/>
    <x v="0"/>
    <s v="September 2013"/>
    <n v="1"/>
    <x v="2"/>
    <x v="4"/>
    <x v="3"/>
    <s v="Worst"/>
    <n v="1200"/>
    <n v="17"/>
    <n v="0.1"/>
    <n v="0.18"/>
    <n v="18000"/>
    <n v="0.3"/>
    <n v="20400"/>
    <n v="18360"/>
    <n v="3304.7999999999997"/>
    <n v="21304.799999999999"/>
    <n v="-2944.7999999999993"/>
    <n v="-883.43999999999971"/>
    <n v="-2061.3599999999997"/>
    <n v="-0.10104705882352939"/>
  </r>
  <r>
    <x v="0"/>
    <x v="0"/>
    <s v="September 2013"/>
    <n v="1"/>
    <x v="2"/>
    <x v="4"/>
    <x v="4"/>
    <s v="Worst"/>
    <n v="1200"/>
    <n v="17"/>
    <n v="0.1"/>
    <n v="0.18"/>
    <n v="18000"/>
    <n v="0.3"/>
    <n v="20400"/>
    <n v="18360"/>
    <n v="3304.7999999999997"/>
    <n v="21304.799999999999"/>
    <n v="-2944.7999999999993"/>
    <n v="-883.43999999999971"/>
    <n v="-2061.3599999999997"/>
    <n v="-0.10104705882352939"/>
  </r>
  <r>
    <x v="0"/>
    <x v="0"/>
    <s v="September 2013"/>
    <n v="1"/>
    <x v="3"/>
    <x v="0"/>
    <x v="0"/>
    <s v="Worst"/>
    <n v="1200"/>
    <n v="17"/>
    <n v="0.1"/>
    <n v="0.18"/>
    <n v="18000"/>
    <n v="0.3"/>
    <n v="20400"/>
    <n v="18360"/>
    <n v="3304.7999999999997"/>
    <n v="21304.799999999999"/>
    <n v="-2944.7999999999993"/>
    <n v="-883.43999999999971"/>
    <n v="-2061.3599999999997"/>
    <n v="-0.10104705882352939"/>
  </r>
  <r>
    <x v="0"/>
    <x v="0"/>
    <s v="September 2013"/>
    <n v="1"/>
    <x v="3"/>
    <x v="0"/>
    <x v="1"/>
    <s v="Worst"/>
    <n v="1200"/>
    <n v="17"/>
    <n v="0.1"/>
    <n v="0.18"/>
    <n v="18000"/>
    <n v="0.3"/>
    <n v="20400"/>
    <n v="18360"/>
    <n v="3304.7999999999997"/>
    <n v="21304.799999999999"/>
    <n v="-2944.7999999999993"/>
    <n v="-883.43999999999971"/>
    <n v="-2061.3599999999997"/>
    <n v="-0.10104705882352939"/>
  </r>
  <r>
    <x v="0"/>
    <x v="0"/>
    <s v="September 2013"/>
    <n v="1"/>
    <x v="3"/>
    <x v="0"/>
    <x v="2"/>
    <s v="Worst"/>
    <n v="1200"/>
    <n v="17"/>
    <n v="0.1"/>
    <n v="0.18"/>
    <n v="18000"/>
    <n v="0.3"/>
    <n v="20400"/>
    <n v="18360"/>
    <n v="3304.7999999999997"/>
    <n v="21304.799999999999"/>
    <n v="-2944.7999999999993"/>
    <n v="-883.43999999999971"/>
    <n v="-2061.3599999999997"/>
    <n v="-0.10104705882352939"/>
  </r>
  <r>
    <x v="0"/>
    <x v="0"/>
    <s v="September 2013"/>
    <n v="1"/>
    <x v="3"/>
    <x v="0"/>
    <x v="3"/>
    <s v="Worst"/>
    <n v="1200"/>
    <n v="17"/>
    <n v="0.1"/>
    <n v="0.18"/>
    <n v="18000"/>
    <n v="0.3"/>
    <n v="20400"/>
    <n v="18360"/>
    <n v="3304.7999999999997"/>
    <n v="21304.799999999999"/>
    <n v="-2944.7999999999993"/>
    <n v="-883.43999999999971"/>
    <n v="-2061.3599999999997"/>
    <n v="-0.10104705882352939"/>
  </r>
  <r>
    <x v="0"/>
    <x v="0"/>
    <s v="September 2013"/>
    <n v="1"/>
    <x v="3"/>
    <x v="0"/>
    <x v="4"/>
    <s v="Worst"/>
    <n v="1200"/>
    <n v="17"/>
    <n v="0.1"/>
    <n v="0.18"/>
    <n v="18000"/>
    <n v="0.3"/>
    <n v="20400"/>
    <n v="18360"/>
    <n v="3304.7999999999997"/>
    <n v="21304.799999999999"/>
    <n v="-2944.7999999999993"/>
    <n v="-883.43999999999971"/>
    <n v="-2061.3599999999997"/>
    <n v="-0.10104705882352939"/>
  </r>
  <r>
    <x v="0"/>
    <x v="0"/>
    <s v="September 2013"/>
    <n v="1"/>
    <x v="3"/>
    <x v="1"/>
    <x v="0"/>
    <s v="Worst"/>
    <n v="1200"/>
    <n v="17"/>
    <n v="0.1"/>
    <n v="0.18"/>
    <n v="18000"/>
    <n v="0.3"/>
    <n v="20400"/>
    <n v="18360"/>
    <n v="3304.7999999999997"/>
    <n v="21304.799999999999"/>
    <n v="-2944.7999999999993"/>
    <n v="-883.43999999999971"/>
    <n v="-2061.3599999999997"/>
    <n v="-0.10104705882352939"/>
  </r>
  <r>
    <x v="0"/>
    <x v="0"/>
    <s v="September 2013"/>
    <n v="1"/>
    <x v="3"/>
    <x v="1"/>
    <x v="1"/>
    <s v="Worst"/>
    <n v="1200"/>
    <n v="17"/>
    <n v="0.1"/>
    <n v="0.18"/>
    <n v="18000"/>
    <n v="0.3"/>
    <n v="20400"/>
    <n v="18360"/>
    <n v="3304.7999999999997"/>
    <n v="21304.799999999999"/>
    <n v="-2944.7999999999993"/>
    <n v="-883.43999999999971"/>
    <n v="-2061.3599999999997"/>
    <n v="-0.10104705882352939"/>
  </r>
  <r>
    <x v="0"/>
    <x v="0"/>
    <s v="September 2013"/>
    <n v="1"/>
    <x v="3"/>
    <x v="1"/>
    <x v="2"/>
    <s v="Worst"/>
    <n v="1200"/>
    <n v="17"/>
    <n v="0.1"/>
    <n v="0.18"/>
    <n v="18000"/>
    <n v="0.3"/>
    <n v="20400"/>
    <n v="18360"/>
    <n v="3304.7999999999997"/>
    <n v="21304.799999999999"/>
    <n v="-2944.7999999999993"/>
    <n v="-883.43999999999971"/>
    <n v="-2061.3599999999997"/>
    <n v="-0.10104705882352939"/>
  </r>
  <r>
    <x v="0"/>
    <x v="0"/>
    <s v="September 2013"/>
    <n v="1"/>
    <x v="3"/>
    <x v="1"/>
    <x v="3"/>
    <s v="Worst"/>
    <n v="1200"/>
    <n v="17"/>
    <n v="0.1"/>
    <n v="0.18"/>
    <n v="18000"/>
    <n v="0.3"/>
    <n v="20400"/>
    <n v="18360"/>
    <n v="3304.7999999999997"/>
    <n v="21304.799999999999"/>
    <n v="-2944.7999999999993"/>
    <n v="-883.43999999999971"/>
    <n v="-2061.3599999999997"/>
    <n v="-0.10104705882352939"/>
  </r>
  <r>
    <x v="0"/>
    <x v="0"/>
    <s v="September 2013"/>
    <n v="1"/>
    <x v="3"/>
    <x v="1"/>
    <x v="4"/>
    <s v="Worst"/>
    <n v="1200"/>
    <n v="17"/>
    <n v="0.1"/>
    <n v="0.18"/>
    <n v="18000"/>
    <n v="0.3"/>
    <n v="20400"/>
    <n v="18360"/>
    <n v="3304.7999999999997"/>
    <n v="21304.799999999999"/>
    <n v="-2944.7999999999993"/>
    <n v="-883.43999999999971"/>
    <n v="-2061.3599999999997"/>
    <n v="-0.10104705882352939"/>
  </r>
  <r>
    <x v="0"/>
    <x v="0"/>
    <s v="September 2013"/>
    <n v="1"/>
    <x v="3"/>
    <x v="2"/>
    <x v="0"/>
    <s v="Worst"/>
    <n v="1200"/>
    <n v="17"/>
    <n v="0.1"/>
    <n v="0.18"/>
    <n v="18000"/>
    <n v="0.3"/>
    <n v="20400"/>
    <n v="18360"/>
    <n v="3304.7999999999997"/>
    <n v="21304.799999999999"/>
    <n v="-2944.7999999999993"/>
    <n v="-883.43999999999971"/>
    <n v="-2061.3599999999997"/>
    <n v="-0.10104705882352939"/>
  </r>
  <r>
    <x v="0"/>
    <x v="0"/>
    <s v="September 2013"/>
    <n v="1"/>
    <x v="3"/>
    <x v="2"/>
    <x v="1"/>
    <s v="Worst"/>
    <n v="1200"/>
    <n v="17"/>
    <n v="0.1"/>
    <n v="0.18"/>
    <n v="18000"/>
    <n v="0.3"/>
    <n v="20400"/>
    <n v="18360"/>
    <n v="3304.7999999999997"/>
    <n v="21304.799999999999"/>
    <n v="-2944.7999999999993"/>
    <n v="-883.43999999999971"/>
    <n v="-2061.3599999999997"/>
    <n v="-0.10104705882352939"/>
  </r>
  <r>
    <x v="0"/>
    <x v="0"/>
    <s v="September 2013"/>
    <n v="1"/>
    <x v="3"/>
    <x v="2"/>
    <x v="2"/>
    <s v="Worst"/>
    <n v="1200"/>
    <n v="17"/>
    <n v="0.1"/>
    <n v="0.18"/>
    <n v="18000"/>
    <n v="0.3"/>
    <n v="20400"/>
    <n v="18360"/>
    <n v="3304.7999999999997"/>
    <n v="21304.799999999999"/>
    <n v="-2944.7999999999993"/>
    <n v="-883.43999999999971"/>
    <n v="-2061.3599999999997"/>
    <n v="-0.10104705882352939"/>
  </r>
  <r>
    <x v="0"/>
    <x v="0"/>
    <s v="September 2013"/>
    <n v="1"/>
    <x v="3"/>
    <x v="2"/>
    <x v="3"/>
    <s v="Worst"/>
    <n v="1200"/>
    <n v="17"/>
    <n v="0.1"/>
    <n v="0.18"/>
    <n v="18000"/>
    <n v="0.3"/>
    <n v="20400"/>
    <n v="18360"/>
    <n v="3304.7999999999997"/>
    <n v="21304.799999999999"/>
    <n v="-2944.7999999999993"/>
    <n v="-883.43999999999971"/>
    <n v="-2061.3599999999997"/>
    <n v="-0.10104705882352939"/>
  </r>
  <r>
    <x v="0"/>
    <x v="0"/>
    <s v="September 2013"/>
    <n v="1"/>
    <x v="3"/>
    <x v="2"/>
    <x v="4"/>
    <s v="Worst"/>
    <n v="1200"/>
    <n v="17"/>
    <n v="0.1"/>
    <n v="0.18"/>
    <n v="18000"/>
    <n v="0.3"/>
    <n v="20400"/>
    <n v="18360"/>
    <n v="3304.7999999999997"/>
    <n v="21304.799999999999"/>
    <n v="-2944.7999999999993"/>
    <n v="-883.43999999999971"/>
    <n v="-2061.3599999999997"/>
    <n v="-0.10104705882352939"/>
  </r>
  <r>
    <x v="0"/>
    <x v="0"/>
    <s v="September 2013"/>
    <n v="1"/>
    <x v="3"/>
    <x v="3"/>
    <x v="0"/>
    <s v="Worst"/>
    <n v="1200"/>
    <n v="17"/>
    <n v="0.1"/>
    <n v="0.18"/>
    <n v="18000"/>
    <n v="0.3"/>
    <n v="20400"/>
    <n v="18360"/>
    <n v="3304.7999999999997"/>
    <n v="21304.799999999999"/>
    <n v="-2944.7999999999993"/>
    <n v="-883.43999999999971"/>
    <n v="-2061.3599999999997"/>
    <n v="-0.10104705882352939"/>
  </r>
  <r>
    <x v="0"/>
    <x v="0"/>
    <s v="September 2013"/>
    <n v="1"/>
    <x v="3"/>
    <x v="3"/>
    <x v="1"/>
    <s v="Worst"/>
    <n v="1200"/>
    <n v="17"/>
    <n v="0.1"/>
    <n v="0.18"/>
    <n v="18000"/>
    <n v="0.3"/>
    <n v="20400"/>
    <n v="18360"/>
    <n v="3304.7999999999997"/>
    <n v="21304.799999999999"/>
    <n v="-2944.7999999999993"/>
    <n v="-883.43999999999971"/>
    <n v="-2061.3599999999997"/>
    <n v="-0.10104705882352939"/>
  </r>
  <r>
    <x v="0"/>
    <x v="0"/>
    <s v="September 2013"/>
    <n v="1"/>
    <x v="3"/>
    <x v="3"/>
    <x v="2"/>
    <s v="Worst"/>
    <n v="1200"/>
    <n v="17"/>
    <n v="0.1"/>
    <n v="0.18"/>
    <n v="18000"/>
    <n v="0.3"/>
    <n v="20400"/>
    <n v="18360"/>
    <n v="3304.7999999999997"/>
    <n v="21304.799999999999"/>
    <n v="-2944.7999999999993"/>
    <n v="-883.43999999999971"/>
    <n v="-2061.3599999999997"/>
    <n v="-0.10104705882352939"/>
  </r>
  <r>
    <x v="0"/>
    <x v="0"/>
    <s v="September 2013"/>
    <n v="1"/>
    <x v="3"/>
    <x v="3"/>
    <x v="3"/>
    <s v="Worst"/>
    <n v="1200"/>
    <n v="17"/>
    <n v="0.1"/>
    <n v="0.18"/>
    <n v="18000"/>
    <n v="0.3"/>
    <n v="20400"/>
    <n v="18360"/>
    <n v="3304.7999999999997"/>
    <n v="21304.799999999999"/>
    <n v="-2944.7999999999993"/>
    <n v="-883.43999999999971"/>
    <n v="-2061.3599999999997"/>
    <n v="-0.10104705882352939"/>
  </r>
  <r>
    <x v="0"/>
    <x v="0"/>
    <s v="September 2013"/>
    <n v="1"/>
    <x v="3"/>
    <x v="3"/>
    <x v="4"/>
    <s v="Worst"/>
    <n v="1200"/>
    <n v="17"/>
    <n v="0.1"/>
    <n v="0.18"/>
    <n v="18000"/>
    <n v="0.3"/>
    <n v="20400"/>
    <n v="18360"/>
    <n v="3304.7999999999997"/>
    <n v="21304.799999999999"/>
    <n v="-2944.7999999999993"/>
    <n v="-883.43999999999971"/>
    <n v="-2061.3599999999997"/>
    <n v="-0.10104705882352939"/>
  </r>
  <r>
    <x v="0"/>
    <x v="0"/>
    <s v="September 2013"/>
    <n v="1"/>
    <x v="3"/>
    <x v="4"/>
    <x v="0"/>
    <s v="Worst"/>
    <n v="1200"/>
    <n v="17"/>
    <n v="0.1"/>
    <n v="0.18"/>
    <n v="18000"/>
    <n v="0.3"/>
    <n v="20400"/>
    <n v="18360"/>
    <n v="3304.7999999999997"/>
    <n v="21304.799999999999"/>
    <n v="-2944.7999999999993"/>
    <n v="-883.43999999999971"/>
    <n v="-2061.3599999999997"/>
    <n v="-0.10104705882352939"/>
  </r>
  <r>
    <x v="0"/>
    <x v="0"/>
    <s v="September 2013"/>
    <n v="1"/>
    <x v="3"/>
    <x v="4"/>
    <x v="1"/>
    <s v="Worst"/>
    <n v="1200"/>
    <n v="17"/>
    <n v="0.1"/>
    <n v="0.18"/>
    <n v="18000"/>
    <n v="0.3"/>
    <n v="20400"/>
    <n v="18360"/>
    <n v="3304.7999999999997"/>
    <n v="21304.799999999999"/>
    <n v="-2944.7999999999993"/>
    <n v="-883.43999999999971"/>
    <n v="-2061.3599999999997"/>
    <n v="-0.10104705882352939"/>
  </r>
  <r>
    <x v="0"/>
    <x v="0"/>
    <s v="September 2013"/>
    <n v="1"/>
    <x v="3"/>
    <x v="4"/>
    <x v="2"/>
    <s v="Worst"/>
    <n v="1200"/>
    <n v="17"/>
    <n v="0.1"/>
    <n v="0.18"/>
    <n v="18000"/>
    <n v="0.3"/>
    <n v="20400"/>
    <n v="18360"/>
    <n v="3304.7999999999997"/>
    <n v="21304.799999999999"/>
    <n v="-2944.7999999999993"/>
    <n v="-883.43999999999971"/>
    <n v="-2061.3599999999997"/>
    <n v="-0.10104705882352939"/>
  </r>
  <r>
    <x v="0"/>
    <x v="0"/>
    <s v="September 2013"/>
    <n v="1"/>
    <x v="3"/>
    <x v="4"/>
    <x v="3"/>
    <s v="Worst"/>
    <n v="1200"/>
    <n v="17"/>
    <n v="0.1"/>
    <n v="0.18"/>
    <n v="18000"/>
    <n v="0.3"/>
    <n v="20400"/>
    <n v="18360"/>
    <n v="3304.7999999999997"/>
    <n v="21304.799999999999"/>
    <n v="-2944.7999999999993"/>
    <n v="-883.43999999999971"/>
    <n v="-2061.3599999999997"/>
    <n v="-0.10104705882352939"/>
  </r>
  <r>
    <x v="0"/>
    <x v="0"/>
    <s v="September 2013"/>
    <n v="1"/>
    <x v="3"/>
    <x v="4"/>
    <x v="4"/>
    <s v="Worst"/>
    <n v="1200"/>
    <n v="17"/>
    <n v="0.1"/>
    <n v="0.18"/>
    <n v="18000"/>
    <n v="0.3"/>
    <n v="20400"/>
    <n v="18360"/>
    <n v="3304.7999999999997"/>
    <n v="21304.799999999999"/>
    <n v="-2944.7999999999993"/>
    <n v="-883.43999999999971"/>
    <n v="-2061.3599999999997"/>
    <n v="-0.10104705882352939"/>
  </r>
  <r>
    <x v="0"/>
    <x v="0"/>
    <s v="September 2013"/>
    <n v="1"/>
    <x v="4"/>
    <x v="0"/>
    <x v="0"/>
    <s v="Worst"/>
    <n v="1200"/>
    <n v="17"/>
    <n v="0.1"/>
    <n v="0.18"/>
    <n v="18000"/>
    <n v="0.3"/>
    <n v="20400"/>
    <n v="18360"/>
    <n v="3304.7999999999997"/>
    <n v="21304.799999999999"/>
    <n v="-2944.7999999999993"/>
    <n v="-883.43999999999971"/>
    <n v="-2061.3599999999997"/>
    <n v="-0.10104705882352939"/>
  </r>
  <r>
    <x v="0"/>
    <x v="0"/>
    <s v="September 2013"/>
    <n v="1"/>
    <x v="4"/>
    <x v="0"/>
    <x v="1"/>
    <s v="Worst"/>
    <n v="1200"/>
    <n v="17"/>
    <n v="0.1"/>
    <n v="0.18"/>
    <n v="18000"/>
    <n v="0.3"/>
    <n v="20400"/>
    <n v="18360"/>
    <n v="3304.7999999999997"/>
    <n v="21304.799999999999"/>
    <n v="-2944.7999999999993"/>
    <n v="-883.43999999999971"/>
    <n v="-2061.3599999999997"/>
    <n v="-0.10104705882352939"/>
  </r>
  <r>
    <x v="0"/>
    <x v="0"/>
    <s v="September 2013"/>
    <n v="1"/>
    <x v="4"/>
    <x v="0"/>
    <x v="2"/>
    <s v="Worst"/>
    <n v="1200"/>
    <n v="17"/>
    <n v="0.1"/>
    <n v="0.18"/>
    <n v="18000"/>
    <n v="0.3"/>
    <n v="20400"/>
    <n v="18360"/>
    <n v="3304.7999999999997"/>
    <n v="21304.799999999999"/>
    <n v="-2944.7999999999993"/>
    <n v="-883.43999999999971"/>
    <n v="-2061.3599999999997"/>
    <n v="-0.10104705882352939"/>
  </r>
  <r>
    <x v="0"/>
    <x v="0"/>
    <s v="September 2013"/>
    <n v="1"/>
    <x v="4"/>
    <x v="0"/>
    <x v="3"/>
    <s v="Worst"/>
    <n v="1200"/>
    <n v="17"/>
    <n v="0.1"/>
    <n v="0.18"/>
    <n v="18000"/>
    <n v="0.3"/>
    <n v="20400"/>
    <n v="18360"/>
    <n v="3304.7999999999997"/>
    <n v="21304.799999999999"/>
    <n v="-2944.7999999999993"/>
    <n v="-883.43999999999971"/>
    <n v="-2061.3599999999997"/>
    <n v="-0.10104705882352939"/>
  </r>
  <r>
    <x v="0"/>
    <x v="0"/>
    <s v="September 2013"/>
    <n v="1"/>
    <x v="4"/>
    <x v="0"/>
    <x v="4"/>
    <s v="Worst"/>
    <n v="1200"/>
    <n v="17"/>
    <n v="0.1"/>
    <n v="0.18"/>
    <n v="18000"/>
    <n v="0.3"/>
    <n v="20400"/>
    <n v="18360"/>
    <n v="3304.7999999999997"/>
    <n v="21304.799999999999"/>
    <n v="-2944.7999999999993"/>
    <n v="-883.43999999999971"/>
    <n v="-2061.3599999999997"/>
    <n v="-0.10104705882352939"/>
  </r>
  <r>
    <x v="0"/>
    <x v="0"/>
    <s v="September 2013"/>
    <n v="1"/>
    <x v="4"/>
    <x v="1"/>
    <x v="0"/>
    <s v="Worst"/>
    <n v="1200"/>
    <n v="17"/>
    <n v="0.1"/>
    <n v="0.18"/>
    <n v="18000"/>
    <n v="0.3"/>
    <n v="20400"/>
    <n v="18360"/>
    <n v="3304.7999999999997"/>
    <n v="21304.799999999999"/>
    <n v="-2944.7999999999993"/>
    <n v="-883.43999999999971"/>
    <n v="-2061.3599999999997"/>
    <n v="-0.10104705882352939"/>
  </r>
  <r>
    <x v="0"/>
    <x v="0"/>
    <s v="September 2013"/>
    <n v="1"/>
    <x v="4"/>
    <x v="1"/>
    <x v="1"/>
    <s v="Worst"/>
    <n v="1200"/>
    <n v="17"/>
    <n v="0.1"/>
    <n v="0.18"/>
    <n v="18000"/>
    <n v="0.3"/>
    <n v="20400"/>
    <n v="18360"/>
    <n v="3304.7999999999997"/>
    <n v="21304.799999999999"/>
    <n v="-2944.7999999999993"/>
    <n v="-883.43999999999971"/>
    <n v="-2061.3599999999997"/>
    <n v="-0.10104705882352939"/>
  </r>
  <r>
    <x v="0"/>
    <x v="0"/>
    <s v="September 2013"/>
    <n v="1"/>
    <x v="4"/>
    <x v="1"/>
    <x v="2"/>
    <s v="Worst"/>
    <n v="1200"/>
    <n v="17"/>
    <n v="0.1"/>
    <n v="0.18"/>
    <n v="18000"/>
    <n v="0.3"/>
    <n v="20400"/>
    <n v="18360"/>
    <n v="3304.7999999999997"/>
    <n v="21304.799999999999"/>
    <n v="-2944.7999999999993"/>
    <n v="-883.43999999999971"/>
    <n v="-2061.3599999999997"/>
    <n v="-0.10104705882352939"/>
  </r>
  <r>
    <x v="0"/>
    <x v="0"/>
    <s v="September 2013"/>
    <n v="1"/>
    <x v="4"/>
    <x v="1"/>
    <x v="3"/>
    <s v="Worst"/>
    <n v="1200"/>
    <n v="17"/>
    <n v="0.1"/>
    <n v="0.18"/>
    <n v="18000"/>
    <n v="0.3"/>
    <n v="20400"/>
    <n v="18360"/>
    <n v="3304.7999999999997"/>
    <n v="21304.799999999999"/>
    <n v="-2944.7999999999993"/>
    <n v="-883.43999999999971"/>
    <n v="-2061.3599999999997"/>
    <n v="-0.10104705882352939"/>
  </r>
  <r>
    <x v="0"/>
    <x v="0"/>
    <s v="September 2013"/>
    <n v="1"/>
    <x v="4"/>
    <x v="1"/>
    <x v="4"/>
    <s v="Worst"/>
    <n v="1200"/>
    <n v="17"/>
    <n v="0.1"/>
    <n v="0.18"/>
    <n v="18000"/>
    <n v="0.3"/>
    <n v="20400"/>
    <n v="18360"/>
    <n v="3304.7999999999997"/>
    <n v="21304.799999999999"/>
    <n v="-2944.7999999999993"/>
    <n v="-883.43999999999971"/>
    <n v="-2061.3599999999997"/>
    <n v="-0.10104705882352939"/>
  </r>
  <r>
    <x v="0"/>
    <x v="0"/>
    <s v="September 2013"/>
    <n v="1"/>
    <x v="4"/>
    <x v="2"/>
    <x v="0"/>
    <s v="Worst"/>
    <n v="1200"/>
    <n v="17"/>
    <n v="0.1"/>
    <n v="0.18"/>
    <n v="18000"/>
    <n v="0.3"/>
    <n v="20400"/>
    <n v="18360"/>
    <n v="3304.7999999999997"/>
    <n v="21304.799999999999"/>
    <n v="-2944.7999999999993"/>
    <n v="-883.43999999999971"/>
    <n v="-2061.3599999999997"/>
    <n v="-0.10104705882352939"/>
  </r>
  <r>
    <x v="0"/>
    <x v="0"/>
    <s v="September 2013"/>
    <n v="1"/>
    <x v="4"/>
    <x v="2"/>
    <x v="1"/>
    <s v="Worst"/>
    <n v="1200"/>
    <n v="17"/>
    <n v="0.1"/>
    <n v="0.18"/>
    <n v="18000"/>
    <n v="0.3"/>
    <n v="20400"/>
    <n v="18360"/>
    <n v="3304.7999999999997"/>
    <n v="21304.799999999999"/>
    <n v="-2944.7999999999993"/>
    <n v="-883.43999999999971"/>
    <n v="-2061.3599999999997"/>
    <n v="-0.10104705882352939"/>
  </r>
  <r>
    <x v="0"/>
    <x v="0"/>
    <s v="September 2013"/>
    <n v="1"/>
    <x v="4"/>
    <x v="2"/>
    <x v="2"/>
    <s v="Worst"/>
    <n v="1200"/>
    <n v="17"/>
    <n v="0.1"/>
    <n v="0.18"/>
    <n v="18000"/>
    <n v="0.3"/>
    <n v="20400"/>
    <n v="18360"/>
    <n v="3304.7999999999997"/>
    <n v="21304.799999999999"/>
    <n v="-2944.7999999999993"/>
    <n v="-883.43999999999971"/>
    <n v="-2061.3599999999997"/>
    <n v="-0.10104705882352939"/>
  </r>
  <r>
    <x v="0"/>
    <x v="0"/>
    <s v="September 2013"/>
    <n v="1"/>
    <x v="4"/>
    <x v="2"/>
    <x v="3"/>
    <s v="Worst"/>
    <n v="1200"/>
    <n v="17"/>
    <n v="0.1"/>
    <n v="0.18"/>
    <n v="18000"/>
    <n v="0.3"/>
    <n v="20400"/>
    <n v="18360"/>
    <n v="3304.7999999999997"/>
    <n v="21304.799999999999"/>
    <n v="-2944.7999999999993"/>
    <n v="-883.43999999999971"/>
    <n v="-2061.3599999999997"/>
    <n v="-0.10104705882352939"/>
  </r>
  <r>
    <x v="0"/>
    <x v="0"/>
    <s v="September 2013"/>
    <n v="1"/>
    <x v="4"/>
    <x v="2"/>
    <x v="4"/>
    <s v="Worst"/>
    <n v="1200"/>
    <n v="17"/>
    <n v="0.1"/>
    <n v="0.18"/>
    <n v="18000"/>
    <n v="0.3"/>
    <n v="20400"/>
    <n v="18360"/>
    <n v="3304.7999999999997"/>
    <n v="21304.799999999999"/>
    <n v="-2944.7999999999993"/>
    <n v="-883.43999999999971"/>
    <n v="-2061.3599999999997"/>
    <n v="-0.10104705882352939"/>
  </r>
  <r>
    <x v="0"/>
    <x v="0"/>
    <s v="September 2013"/>
    <n v="1"/>
    <x v="4"/>
    <x v="3"/>
    <x v="0"/>
    <s v="Worst"/>
    <n v="1200"/>
    <n v="17"/>
    <n v="0.1"/>
    <n v="0.18"/>
    <n v="18000"/>
    <n v="0.3"/>
    <n v="20400"/>
    <n v="18360"/>
    <n v="3304.7999999999997"/>
    <n v="21304.799999999999"/>
    <n v="-2944.7999999999993"/>
    <n v="-883.43999999999971"/>
    <n v="-2061.3599999999997"/>
    <n v="-0.10104705882352939"/>
  </r>
  <r>
    <x v="0"/>
    <x v="0"/>
    <s v="September 2013"/>
    <n v="1"/>
    <x v="4"/>
    <x v="3"/>
    <x v="1"/>
    <s v="Worst"/>
    <n v="1200"/>
    <n v="17"/>
    <n v="0.1"/>
    <n v="0.18"/>
    <n v="18000"/>
    <n v="0.3"/>
    <n v="20400"/>
    <n v="18360"/>
    <n v="3304.7999999999997"/>
    <n v="21304.799999999999"/>
    <n v="-2944.7999999999993"/>
    <n v="-883.43999999999971"/>
    <n v="-2061.3599999999997"/>
    <n v="-0.10104705882352939"/>
  </r>
  <r>
    <x v="0"/>
    <x v="0"/>
    <s v="September 2013"/>
    <n v="1"/>
    <x v="4"/>
    <x v="3"/>
    <x v="2"/>
    <s v="Worst"/>
    <n v="1200"/>
    <n v="17"/>
    <n v="0.1"/>
    <n v="0.18"/>
    <n v="18000"/>
    <n v="0.3"/>
    <n v="20400"/>
    <n v="18360"/>
    <n v="3304.7999999999997"/>
    <n v="21304.799999999999"/>
    <n v="-2944.7999999999993"/>
    <n v="-883.43999999999971"/>
    <n v="-2061.3599999999997"/>
    <n v="-0.10104705882352939"/>
  </r>
  <r>
    <x v="0"/>
    <x v="0"/>
    <s v="September 2013"/>
    <n v="1"/>
    <x v="4"/>
    <x v="3"/>
    <x v="3"/>
    <s v="Worst"/>
    <n v="1200"/>
    <n v="17"/>
    <n v="0.1"/>
    <n v="0.18"/>
    <n v="18000"/>
    <n v="0.3"/>
    <n v="20400"/>
    <n v="18360"/>
    <n v="3304.7999999999997"/>
    <n v="21304.799999999999"/>
    <n v="-2944.7999999999993"/>
    <n v="-883.43999999999971"/>
    <n v="-2061.3599999999997"/>
    <n v="-0.10104705882352939"/>
  </r>
  <r>
    <x v="0"/>
    <x v="0"/>
    <s v="September 2013"/>
    <n v="1"/>
    <x v="4"/>
    <x v="3"/>
    <x v="4"/>
    <s v="Worst"/>
    <n v="1200"/>
    <n v="17"/>
    <n v="0.1"/>
    <n v="0.18"/>
    <n v="18000"/>
    <n v="0.3"/>
    <n v="20400"/>
    <n v="18360"/>
    <n v="3304.7999999999997"/>
    <n v="21304.799999999999"/>
    <n v="-2944.7999999999993"/>
    <n v="-883.43999999999971"/>
    <n v="-2061.3599999999997"/>
    <n v="-0.10104705882352939"/>
  </r>
  <r>
    <x v="0"/>
    <x v="0"/>
    <s v="September 2013"/>
    <n v="1"/>
    <x v="4"/>
    <x v="4"/>
    <x v="0"/>
    <s v="Worst"/>
    <n v="1200"/>
    <n v="17"/>
    <n v="0.1"/>
    <n v="0.18"/>
    <n v="18000"/>
    <n v="0.3"/>
    <n v="20400"/>
    <n v="18360"/>
    <n v="3304.7999999999997"/>
    <n v="21304.799999999999"/>
    <n v="-2944.7999999999993"/>
    <n v="-883.43999999999971"/>
    <n v="-2061.3599999999997"/>
    <n v="-0.10104705882352939"/>
  </r>
  <r>
    <x v="0"/>
    <x v="0"/>
    <s v="September 2013"/>
    <n v="1"/>
    <x v="4"/>
    <x v="4"/>
    <x v="1"/>
    <s v="Worst"/>
    <n v="1200"/>
    <n v="17"/>
    <n v="0.1"/>
    <n v="0.18"/>
    <n v="18000"/>
    <n v="0.3"/>
    <n v="20400"/>
    <n v="18360"/>
    <n v="3304.7999999999997"/>
    <n v="21304.799999999999"/>
    <n v="-2944.7999999999993"/>
    <n v="-883.43999999999971"/>
    <n v="-2061.3599999999997"/>
    <n v="-0.10104705882352939"/>
  </r>
  <r>
    <x v="0"/>
    <x v="0"/>
    <s v="September 2013"/>
    <n v="1"/>
    <x v="4"/>
    <x v="4"/>
    <x v="2"/>
    <s v="Worst"/>
    <n v="1200"/>
    <n v="17"/>
    <n v="0.1"/>
    <n v="0.18"/>
    <n v="18000"/>
    <n v="0.3"/>
    <n v="20400"/>
    <n v="18360"/>
    <n v="3304.7999999999997"/>
    <n v="21304.799999999999"/>
    <n v="-2944.7999999999993"/>
    <n v="-883.43999999999971"/>
    <n v="-2061.3599999999997"/>
    <n v="-0.10104705882352939"/>
  </r>
  <r>
    <x v="0"/>
    <x v="0"/>
    <s v="September 2013"/>
    <n v="1"/>
    <x v="4"/>
    <x v="4"/>
    <x v="3"/>
    <s v="Worst"/>
    <n v="1200"/>
    <n v="17"/>
    <n v="0.1"/>
    <n v="0.18"/>
    <n v="18000"/>
    <n v="0.3"/>
    <n v="20400"/>
    <n v="18360"/>
    <n v="3304.7999999999997"/>
    <n v="21304.799999999999"/>
    <n v="-2944.7999999999993"/>
    <n v="-883.43999999999971"/>
    <n v="-2061.3599999999997"/>
    <n v="-0.10104705882352939"/>
  </r>
  <r>
    <x v="0"/>
    <x v="0"/>
    <s v="September 2013"/>
    <n v="1"/>
    <x v="4"/>
    <x v="4"/>
    <x v="4"/>
    <s v="Worst"/>
    <n v="1200"/>
    <n v="17"/>
    <n v="0.1"/>
    <n v="0.18"/>
    <n v="18000"/>
    <n v="0.3"/>
    <n v="20400"/>
    <n v="18360"/>
    <n v="3304.7999999999997"/>
    <n v="21304.799999999999"/>
    <n v="-2944.7999999999993"/>
    <n v="-883.43999999999971"/>
    <n v="-2061.3599999999997"/>
    <n v="-0.10104705882352939"/>
  </r>
  <r>
    <x v="1"/>
    <x v="0"/>
    <s v=" October  2013"/>
    <n v="1"/>
    <x v="0"/>
    <x v="0"/>
    <x v="0"/>
    <s v="Worst"/>
    <n v="1200"/>
    <n v="17"/>
    <n v="0.1"/>
    <n v="0.18"/>
    <n v="18000"/>
    <n v="0.3"/>
    <n v="20400"/>
    <n v="18360"/>
    <n v="3304.7999999999997"/>
    <n v="21304.799999999999"/>
    <n v="-2944.7999999999993"/>
    <n v="-883.43999999999971"/>
    <n v="-2061.3599999999997"/>
    <n v="-0.10104705882352939"/>
  </r>
  <r>
    <x v="1"/>
    <x v="0"/>
    <s v=" October  2013"/>
    <n v="1"/>
    <x v="0"/>
    <x v="0"/>
    <x v="1"/>
    <s v="Worst"/>
    <n v="1200"/>
    <n v="17"/>
    <n v="0.1"/>
    <n v="0.18"/>
    <n v="18000"/>
    <n v="0.3"/>
    <n v="20400"/>
    <n v="18360"/>
    <n v="3304.7999999999997"/>
    <n v="21304.799999999999"/>
    <n v="-2944.7999999999993"/>
    <n v="-883.43999999999971"/>
    <n v="-2061.3599999999997"/>
    <n v="-0.10104705882352939"/>
  </r>
  <r>
    <x v="1"/>
    <x v="0"/>
    <s v=" October  2013"/>
    <n v="1"/>
    <x v="0"/>
    <x v="0"/>
    <x v="2"/>
    <s v="Worst"/>
    <n v="1200"/>
    <n v="17"/>
    <n v="0.1"/>
    <n v="0.18"/>
    <n v="18000"/>
    <n v="0.3"/>
    <n v="20400"/>
    <n v="18360"/>
    <n v="3304.7999999999997"/>
    <n v="21304.799999999999"/>
    <n v="-2944.7999999999993"/>
    <n v="-883.43999999999971"/>
    <n v="-2061.3599999999997"/>
    <n v="-0.10104705882352939"/>
  </r>
  <r>
    <x v="1"/>
    <x v="0"/>
    <s v=" October  2013"/>
    <n v="1"/>
    <x v="0"/>
    <x v="0"/>
    <x v="3"/>
    <s v="Worst"/>
    <n v="1200"/>
    <n v="17"/>
    <n v="0.1"/>
    <n v="0.18"/>
    <n v="18000"/>
    <n v="0.3"/>
    <n v="20400"/>
    <n v="18360"/>
    <n v="3304.7999999999997"/>
    <n v="21304.799999999999"/>
    <n v="-2944.7999999999993"/>
    <n v="-883.43999999999971"/>
    <n v="-2061.3599999999997"/>
    <n v="-0.10104705882352939"/>
  </r>
  <r>
    <x v="1"/>
    <x v="0"/>
    <s v=" October  2013"/>
    <n v="1"/>
    <x v="0"/>
    <x v="0"/>
    <x v="4"/>
    <s v="Worst"/>
    <n v="1200"/>
    <n v="17"/>
    <n v="0.1"/>
    <n v="0.18"/>
    <n v="18000"/>
    <n v="0.3"/>
    <n v="20400"/>
    <n v="18360"/>
    <n v="3304.7999999999997"/>
    <n v="21304.799999999999"/>
    <n v="-2944.7999999999993"/>
    <n v="-883.43999999999971"/>
    <n v="-2061.3599999999997"/>
    <n v="-0.10104705882352939"/>
  </r>
  <r>
    <x v="1"/>
    <x v="0"/>
    <s v=" October  2013"/>
    <n v="1"/>
    <x v="0"/>
    <x v="1"/>
    <x v="0"/>
    <s v="Worst"/>
    <n v="1200"/>
    <n v="17"/>
    <n v="0.1"/>
    <n v="0.18"/>
    <n v="18000"/>
    <n v="0.3"/>
    <n v="20400"/>
    <n v="18360"/>
    <n v="3304.7999999999997"/>
    <n v="21304.799999999999"/>
    <n v="-2944.7999999999993"/>
    <n v="-883.43999999999971"/>
    <n v="-2061.3599999999997"/>
    <n v="-0.10104705882352939"/>
  </r>
  <r>
    <x v="1"/>
    <x v="0"/>
    <s v=" October  2013"/>
    <n v="1"/>
    <x v="0"/>
    <x v="1"/>
    <x v="1"/>
    <s v="Worst"/>
    <n v="1200"/>
    <n v="17"/>
    <n v="0.1"/>
    <n v="0.18"/>
    <n v="18000"/>
    <n v="0.3"/>
    <n v="20400"/>
    <n v="18360"/>
    <n v="3304.7999999999997"/>
    <n v="21304.799999999999"/>
    <n v="-2944.7999999999993"/>
    <n v="-883.43999999999971"/>
    <n v="-2061.3599999999997"/>
    <n v="-0.10104705882352939"/>
  </r>
  <r>
    <x v="1"/>
    <x v="0"/>
    <s v=" October  2013"/>
    <n v="1"/>
    <x v="0"/>
    <x v="1"/>
    <x v="2"/>
    <s v="Worst"/>
    <n v="1200"/>
    <n v="17"/>
    <n v="0.1"/>
    <n v="0.18"/>
    <n v="18000"/>
    <n v="0.3"/>
    <n v="20400"/>
    <n v="18360"/>
    <n v="3304.7999999999997"/>
    <n v="21304.799999999999"/>
    <n v="-2944.7999999999993"/>
    <n v="-883.43999999999971"/>
    <n v="-2061.3599999999997"/>
    <n v="-0.10104705882352939"/>
  </r>
  <r>
    <x v="1"/>
    <x v="0"/>
    <s v=" October  2013"/>
    <n v="1"/>
    <x v="0"/>
    <x v="1"/>
    <x v="3"/>
    <s v="Worst"/>
    <n v="1200"/>
    <n v="17"/>
    <n v="0.1"/>
    <n v="0.18"/>
    <n v="18000"/>
    <n v="0.3"/>
    <n v="20400"/>
    <n v="18360"/>
    <n v="3304.7999999999997"/>
    <n v="21304.799999999999"/>
    <n v="-2944.7999999999993"/>
    <n v="-883.43999999999971"/>
    <n v="-2061.3599999999997"/>
    <n v="-0.10104705882352939"/>
  </r>
  <r>
    <x v="1"/>
    <x v="0"/>
    <s v=" October  2013"/>
    <n v="1"/>
    <x v="0"/>
    <x v="1"/>
    <x v="4"/>
    <s v="Worst"/>
    <n v="1200"/>
    <n v="17"/>
    <n v="0.1"/>
    <n v="0.18"/>
    <n v="18000"/>
    <n v="0.3"/>
    <n v="20400"/>
    <n v="18360"/>
    <n v="3304.7999999999997"/>
    <n v="21304.799999999999"/>
    <n v="-2944.7999999999993"/>
    <n v="-883.43999999999971"/>
    <n v="-2061.3599999999997"/>
    <n v="-0.10104705882352939"/>
  </r>
  <r>
    <x v="1"/>
    <x v="0"/>
    <s v=" October  2013"/>
    <n v="1"/>
    <x v="0"/>
    <x v="2"/>
    <x v="0"/>
    <s v="Worst"/>
    <n v="1200"/>
    <n v="17"/>
    <n v="0.1"/>
    <n v="0.18"/>
    <n v="18000"/>
    <n v="0.3"/>
    <n v="20400"/>
    <n v="18360"/>
    <n v="3304.7999999999997"/>
    <n v="21304.799999999999"/>
    <n v="-2944.7999999999993"/>
    <n v="-883.43999999999971"/>
    <n v="-2061.3599999999997"/>
    <n v="-0.10104705882352939"/>
  </r>
  <r>
    <x v="1"/>
    <x v="0"/>
    <s v=" October  2013"/>
    <n v="1"/>
    <x v="0"/>
    <x v="2"/>
    <x v="1"/>
    <s v="Worst"/>
    <n v="1200"/>
    <n v="17"/>
    <n v="0.1"/>
    <n v="0.18"/>
    <n v="18000"/>
    <n v="0.3"/>
    <n v="20400"/>
    <n v="18360"/>
    <n v="3304.7999999999997"/>
    <n v="21304.799999999999"/>
    <n v="-2944.7999999999993"/>
    <n v="-883.43999999999971"/>
    <n v="-2061.3599999999997"/>
    <n v="-0.10104705882352939"/>
  </r>
  <r>
    <x v="1"/>
    <x v="0"/>
    <s v=" October  2013"/>
    <n v="1"/>
    <x v="0"/>
    <x v="2"/>
    <x v="2"/>
    <s v="Worst"/>
    <n v="1200"/>
    <n v="17"/>
    <n v="0.1"/>
    <n v="0.18"/>
    <n v="18000"/>
    <n v="0.3"/>
    <n v="20400"/>
    <n v="18360"/>
    <n v="3304.7999999999997"/>
    <n v="21304.799999999999"/>
    <n v="-2944.7999999999993"/>
    <n v="-883.43999999999971"/>
    <n v="-2061.3599999999997"/>
    <n v="-0.10104705882352939"/>
  </r>
  <r>
    <x v="1"/>
    <x v="0"/>
    <s v=" October  2013"/>
    <n v="1"/>
    <x v="0"/>
    <x v="2"/>
    <x v="3"/>
    <s v="Worst"/>
    <n v="1200"/>
    <n v="17"/>
    <n v="0.1"/>
    <n v="0.18"/>
    <n v="18000"/>
    <n v="0.3"/>
    <n v="20400"/>
    <n v="18360"/>
    <n v="3304.7999999999997"/>
    <n v="21304.799999999999"/>
    <n v="-2944.7999999999993"/>
    <n v="-883.43999999999971"/>
    <n v="-2061.3599999999997"/>
    <n v="-0.10104705882352939"/>
  </r>
  <r>
    <x v="1"/>
    <x v="0"/>
    <s v=" October  2013"/>
    <n v="1"/>
    <x v="0"/>
    <x v="2"/>
    <x v="4"/>
    <s v="Worst"/>
    <n v="1200"/>
    <n v="17"/>
    <n v="0.1"/>
    <n v="0.18"/>
    <n v="18000"/>
    <n v="0.3"/>
    <n v="20400"/>
    <n v="18360"/>
    <n v="3304.7999999999997"/>
    <n v="21304.799999999999"/>
    <n v="-2944.7999999999993"/>
    <n v="-883.43999999999971"/>
    <n v="-2061.3599999999997"/>
    <n v="-0.10104705882352939"/>
  </r>
  <r>
    <x v="1"/>
    <x v="0"/>
    <s v=" October  2013"/>
    <n v="1"/>
    <x v="0"/>
    <x v="3"/>
    <x v="0"/>
    <s v="Worst"/>
    <n v="1200"/>
    <n v="17"/>
    <n v="0.1"/>
    <n v="0.18"/>
    <n v="18000"/>
    <n v="0.3"/>
    <n v="20400"/>
    <n v="18360"/>
    <n v="3304.7999999999997"/>
    <n v="21304.799999999999"/>
    <n v="-2944.7999999999993"/>
    <n v="-883.43999999999971"/>
    <n v="-2061.3599999999997"/>
    <n v="-0.10104705882352939"/>
  </r>
  <r>
    <x v="1"/>
    <x v="0"/>
    <s v=" October  2013"/>
    <n v="1"/>
    <x v="0"/>
    <x v="3"/>
    <x v="1"/>
    <s v="Worst"/>
    <n v="1200"/>
    <n v="17"/>
    <n v="0.1"/>
    <n v="0.18"/>
    <n v="18000"/>
    <n v="0.3"/>
    <n v="20400"/>
    <n v="18360"/>
    <n v="3304.7999999999997"/>
    <n v="21304.799999999999"/>
    <n v="-2944.7999999999993"/>
    <n v="-883.43999999999971"/>
    <n v="-2061.3599999999997"/>
    <n v="-0.10104705882352939"/>
  </r>
  <r>
    <x v="1"/>
    <x v="0"/>
    <s v=" October  2013"/>
    <n v="1"/>
    <x v="0"/>
    <x v="3"/>
    <x v="2"/>
    <s v="Worst"/>
    <n v="1200"/>
    <n v="17"/>
    <n v="0.1"/>
    <n v="0.18"/>
    <n v="18000"/>
    <n v="0.3"/>
    <n v="20400"/>
    <n v="18360"/>
    <n v="3304.7999999999997"/>
    <n v="21304.799999999999"/>
    <n v="-2944.7999999999993"/>
    <n v="-883.43999999999971"/>
    <n v="-2061.3599999999997"/>
    <n v="-0.10104705882352939"/>
  </r>
  <r>
    <x v="1"/>
    <x v="0"/>
    <s v=" October  2013"/>
    <n v="1"/>
    <x v="0"/>
    <x v="3"/>
    <x v="3"/>
    <s v="Worst"/>
    <n v="1200"/>
    <n v="17"/>
    <n v="0.1"/>
    <n v="0.18"/>
    <n v="18000"/>
    <n v="0.3"/>
    <n v="20400"/>
    <n v="18360"/>
    <n v="3304.7999999999997"/>
    <n v="21304.799999999999"/>
    <n v="-2944.7999999999993"/>
    <n v="-883.43999999999971"/>
    <n v="-2061.3599999999997"/>
    <n v="-0.10104705882352939"/>
  </r>
  <r>
    <x v="1"/>
    <x v="0"/>
    <s v=" October  2013"/>
    <n v="1"/>
    <x v="0"/>
    <x v="3"/>
    <x v="4"/>
    <s v="Worst"/>
    <n v="1200"/>
    <n v="17"/>
    <n v="0.1"/>
    <n v="0.18"/>
    <n v="18000"/>
    <n v="0.3"/>
    <n v="20400"/>
    <n v="18360"/>
    <n v="3304.7999999999997"/>
    <n v="21304.799999999999"/>
    <n v="-2944.7999999999993"/>
    <n v="-883.43999999999971"/>
    <n v="-2061.3599999999997"/>
    <n v="-0.10104705882352939"/>
  </r>
  <r>
    <x v="1"/>
    <x v="0"/>
    <s v=" October  2013"/>
    <n v="1"/>
    <x v="0"/>
    <x v="4"/>
    <x v="0"/>
    <s v="Worst"/>
    <n v="1200"/>
    <n v="17"/>
    <n v="0.1"/>
    <n v="0.18"/>
    <n v="18000"/>
    <n v="0.3"/>
    <n v="20400"/>
    <n v="18360"/>
    <n v="3304.7999999999997"/>
    <n v="21304.799999999999"/>
    <n v="-2944.7999999999993"/>
    <n v="-883.43999999999971"/>
    <n v="-2061.3599999999997"/>
    <n v="-0.10104705882352939"/>
  </r>
  <r>
    <x v="1"/>
    <x v="0"/>
    <s v=" October  2013"/>
    <n v="1"/>
    <x v="0"/>
    <x v="4"/>
    <x v="1"/>
    <s v="Worst"/>
    <n v="1200"/>
    <n v="17"/>
    <n v="0.1"/>
    <n v="0.18"/>
    <n v="18000"/>
    <n v="0.3"/>
    <n v="20400"/>
    <n v="18360"/>
    <n v="3304.7999999999997"/>
    <n v="21304.799999999999"/>
    <n v="-2944.7999999999993"/>
    <n v="-883.43999999999971"/>
    <n v="-2061.3599999999997"/>
    <n v="-0.10104705882352939"/>
  </r>
  <r>
    <x v="1"/>
    <x v="0"/>
    <s v=" October  2013"/>
    <n v="1"/>
    <x v="0"/>
    <x v="4"/>
    <x v="2"/>
    <s v="Worst"/>
    <n v="1200"/>
    <n v="17"/>
    <n v="0.1"/>
    <n v="0.18"/>
    <n v="18000"/>
    <n v="0.3"/>
    <n v="20400"/>
    <n v="18360"/>
    <n v="3304.7999999999997"/>
    <n v="21304.799999999999"/>
    <n v="-2944.7999999999993"/>
    <n v="-883.43999999999971"/>
    <n v="-2061.3599999999997"/>
    <n v="-0.10104705882352939"/>
  </r>
  <r>
    <x v="1"/>
    <x v="0"/>
    <s v=" October  2013"/>
    <n v="1"/>
    <x v="0"/>
    <x v="4"/>
    <x v="3"/>
    <s v="Worst"/>
    <n v="1200"/>
    <n v="17"/>
    <n v="0.1"/>
    <n v="0.18"/>
    <n v="18000"/>
    <n v="0.3"/>
    <n v="20400"/>
    <n v="18360"/>
    <n v="3304.7999999999997"/>
    <n v="21304.799999999999"/>
    <n v="-2944.7999999999993"/>
    <n v="-883.43999999999971"/>
    <n v="-2061.3599999999997"/>
    <n v="-0.10104705882352939"/>
  </r>
  <r>
    <x v="1"/>
    <x v="0"/>
    <s v=" October  2013"/>
    <n v="1"/>
    <x v="0"/>
    <x v="4"/>
    <x v="4"/>
    <s v="Worst"/>
    <n v="1200"/>
    <n v="17"/>
    <n v="0.1"/>
    <n v="0.18"/>
    <n v="18000"/>
    <n v="0.3"/>
    <n v="20400"/>
    <n v="18360"/>
    <n v="3304.7999999999997"/>
    <n v="21304.799999999999"/>
    <n v="-2944.7999999999993"/>
    <n v="-883.43999999999971"/>
    <n v="-2061.3599999999997"/>
    <n v="-0.10104705882352939"/>
  </r>
  <r>
    <x v="1"/>
    <x v="0"/>
    <s v=" October  2013"/>
    <n v="1"/>
    <x v="1"/>
    <x v="0"/>
    <x v="0"/>
    <s v="Worst"/>
    <n v="1200"/>
    <n v="17"/>
    <n v="0.1"/>
    <n v="0.18"/>
    <n v="18000"/>
    <n v="0.3"/>
    <n v="20400"/>
    <n v="18360"/>
    <n v="3304.7999999999997"/>
    <n v="21304.799999999999"/>
    <n v="-2944.7999999999993"/>
    <n v="-883.43999999999971"/>
    <n v="-2061.3599999999997"/>
    <n v="-0.10104705882352939"/>
  </r>
  <r>
    <x v="1"/>
    <x v="0"/>
    <s v=" October  2013"/>
    <n v="1"/>
    <x v="1"/>
    <x v="0"/>
    <x v="1"/>
    <s v="Worst"/>
    <n v="1200"/>
    <n v="17"/>
    <n v="0.1"/>
    <n v="0.18"/>
    <n v="18000"/>
    <n v="0.3"/>
    <n v="20400"/>
    <n v="18360"/>
    <n v="3304.7999999999997"/>
    <n v="21304.799999999999"/>
    <n v="-2944.7999999999993"/>
    <n v="-883.43999999999971"/>
    <n v="-2061.3599999999997"/>
    <n v="-0.10104705882352939"/>
  </r>
  <r>
    <x v="1"/>
    <x v="0"/>
    <s v=" October  2013"/>
    <n v="1"/>
    <x v="1"/>
    <x v="0"/>
    <x v="2"/>
    <s v="Worst"/>
    <n v="1200"/>
    <n v="17"/>
    <n v="0.1"/>
    <n v="0.18"/>
    <n v="18000"/>
    <n v="0.3"/>
    <n v="20400"/>
    <n v="18360"/>
    <n v="3304.7999999999997"/>
    <n v="21304.799999999999"/>
    <n v="-2944.7999999999993"/>
    <n v="-883.43999999999971"/>
    <n v="-2061.3599999999997"/>
    <n v="-0.10104705882352939"/>
  </r>
  <r>
    <x v="1"/>
    <x v="0"/>
    <s v=" October  2013"/>
    <n v="1"/>
    <x v="1"/>
    <x v="0"/>
    <x v="3"/>
    <s v="Worst"/>
    <n v="1200"/>
    <n v="17"/>
    <n v="0.1"/>
    <n v="0.18"/>
    <n v="18000"/>
    <n v="0.3"/>
    <n v="20400"/>
    <n v="18360"/>
    <n v="3304.7999999999997"/>
    <n v="21304.799999999999"/>
    <n v="-2944.7999999999993"/>
    <n v="-883.43999999999971"/>
    <n v="-2061.3599999999997"/>
    <n v="-0.10104705882352939"/>
  </r>
  <r>
    <x v="1"/>
    <x v="0"/>
    <s v=" October  2013"/>
    <n v="1"/>
    <x v="1"/>
    <x v="0"/>
    <x v="4"/>
    <s v="Worst"/>
    <n v="1200"/>
    <n v="17"/>
    <n v="0.1"/>
    <n v="0.18"/>
    <n v="18000"/>
    <n v="0.3"/>
    <n v="20400"/>
    <n v="18360"/>
    <n v="3304.7999999999997"/>
    <n v="21304.799999999999"/>
    <n v="-2944.7999999999993"/>
    <n v="-883.43999999999971"/>
    <n v="-2061.3599999999997"/>
    <n v="-0.10104705882352939"/>
  </r>
  <r>
    <x v="1"/>
    <x v="0"/>
    <s v=" October  2013"/>
    <n v="1"/>
    <x v="1"/>
    <x v="1"/>
    <x v="0"/>
    <s v="Worst"/>
    <n v="1200"/>
    <n v="17"/>
    <n v="0.1"/>
    <n v="0.18"/>
    <n v="18000"/>
    <n v="0.3"/>
    <n v="20400"/>
    <n v="18360"/>
    <n v="3304.7999999999997"/>
    <n v="21304.799999999999"/>
    <n v="-2944.7999999999993"/>
    <n v="-883.43999999999971"/>
    <n v="-2061.3599999999997"/>
    <n v="-0.10104705882352939"/>
  </r>
  <r>
    <x v="1"/>
    <x v="0"/>
    <s v=" October  2013"/>
    <n v="1"/>
    <x v="1"/>
    <x v="1"/>
    <x v="1"/>
    <s v="Worst"/>
    <n v="1200"/>
    <n v="17"/>
    <n v="0.1"/>
    <n v="0.18"/>
    <n v="18000"/>
    <n v="0.3"/>
    <n v="20400"/>
    <n v="18360"/>
    <n v="3304.7999999999997"/>
    <n v="21304.799999999999"/>
    <n v="-2944.7999999999993"/>
    <n v="-883.43999999999971"/>
    <n v="-2061.3599999999997"/>
    <n v="-0.10104705882352939"/>
  </r>
  <r>
    <x v="1"/>
    <x v="0"/>
    <s v=" October  2013"/>
    <n v="1"/>
    <x v="1"/>
    <x v="1"/>
    <x v="2"/>
    <s v="Worst"/>
    <n v="1200"/>
    <n v="17"/>
    <n v="0.1"/>
    <n v="0.18"/>
    <n v="18000"/>
    <n v="0.3"/>
    <n v="20400"/>
    <n v="18360"/>
    <n v="3304.7999999999997"/>
    <n v="21304.799999999999"/>
    <n v="-2944.7999999999993"/>
    <n v="-883.43999999999971"/>
    <n v="-2061.3599999999997"/>
    <n v="-0.10104705882352939"/>
  </r>
  <r>
    <x v="1"/>
    <x v="0"/>
    <s v=" October  2013"/>
    <n v="1"/>
    <x v="1"/>
    <x v="1"/>
    <x v="3"/>
    <s v="Worst"/>
    <n v="1200"/>
    <n v="17"/>
    <n v="0.1"/>
    <n v="0.18"/>
    <n v="18000"/>
    <n v="0.3"/>
    <n v="20400"/>
    <n v="18360"/>
    <n v="3304.7999999999997"/>
    <n v="21304.799999999999"/>
    <n v="-2944.7999999999993"/>
    <n v="-883.43999999999971"/>
    <n v="-2061.3599999999997"/>
    <n v="-0.10104705882352939"/>
  </r>
  <r>
    <x v="1"/>
    <x v="0"/>
    <s v=" October  2013"/>
    <n v="1"/>
    <x v="1"/>
    <x v="1"/>
    <x v="4"/>
    <s v="Worst"/>
    <n v="1200"/>
    <n v="17"/>
    <n v="0.1"/>
    <n v="0.18"/>
    <n v="18000"/>
    <n v="0.3"/>
    <n v="20400"/>
    <n v="18360"/>
    <n v="3304.7999999999997"/>
    <n v="21304.799999999999"/>
    <n v="-2944.7999999999993"/>
    <n v="-883.43999999999971"/>
    <n v="-2061.3599999999997"/>
    <n v="-0.10104705882352939"/>
  </r>
  <r>
    <x v="1"/>
    <x v="0"/>
    <s v=" October  2013"/>
    <n v="1"/>
    <x v="1"/>
    <x v="2"/>
    <x v="0"/>
    <s v="Worst"/>
    <n v="1200"/>
    <n v="17"/>
    <n v="0.1"/>
    <n v="0.18"/>
    <n v="18000"/>
    <n v="0.3"/>
    <n v="20400"/>
    <n v="18360"/>
    <n v="3304.7999999999997"/>
    <n v="21304.799999999999"/>
    <n v="-2944.7999999999993"/>
    <n v="-883.43999999999971"/>
    <n v="-2061.3599999999997"/>
    <n v="-0.10104705882352939"/>
  </r>
  <r>
    <x v="1"/>
    <x v="0"/>
    <s v=" October  2013"/>
    <n v="1"/>
    <x v="1"/>
    <x v="2"/>
    <x v="1"/>
    <s v="Worst"/>
    <n v="1200"/>
    <n v="17"/>
    <n v="0.1"/>
    <n v="0.18"/>
    <n v="18000"/>
    <n v="0.3"/>
    <n v="20400"/>
    <n v="18360"/>
    <n v="3304.7999999999997"/>
    <n v="21304.799999999999"/>
    <n v="-2944.7999999999993"/>
    <n v="-883.43999999999971"/>
    <n v="-2061.3599999999997"/>
    <n v="-0.10104705882352939"/>
  </r>
  <r>
    <x v="1"/>
    <x v="0"/>
    <s v=" October  2013"/>
    <n v="1"/>
    <x v="1"/>
    <x v="2"/>
    <x v="2"/>
    <s v="Worst"/>
    <n v="1200"/>
    <n v="17"/>
    <n v="0.1"/>
    <n v="0.18"/>
    <n v="18000"/>
    <n v="0.3"/>
    <n v="20400"/>
    <n v="18360"/>
    <n v="3304.7999999999997"/>
    <n v="21304.799999999999"/>
    <n v="-2944.7999999999993"/>
    <n v="-883.43999999999971"/>
    <n v="-2061.3599999999997"/>
    <n v="-0.10104705882352939"/>
  </r>
  <r>
    <x v="1"/>
    <x v="0"/>
    <s v=" October  2013"/>
    <n v="1"/>
    <x v="1"/>
    <x v="2"/>
    <x v="3"/>
    <s v="Worst"/>
    <n v="1200"/>
    <n v="17"/>
    <n v="0.1"/>
    <n v="0.18"/>
    <n v="18000"/>
    <n v="0.3"/>
    <n v="20400"/>
    <n v="18360"/>
    <n v="3304.7999999999997"/>
    <n v="21304.799999999999"/>
    <n v="-2944.7999999999993"/>
    <n v="-883.43999999999971"/>
    <n v="-2061.3599999999997"/>
    <n v="-0.10104705882352939"/>
  </r>
  <r>
    <x v="1"/>
    <x v="0"/>
    <s v=" October  2013"/>
    <n v="1"/>
    <x v="1"/>
    <x v="2"/>
    <x v="4"/>
    <s v="Worst"/>
    <n v="1200"/>
    <n v="17"/>
    <n v="0.1"/>
    <n v="0.18"/>
    <n v="18000"/>
    <n v="0.3"/>
    <n v="20400"/>
    <n v="18360"/>
    <n v="3304.7999999999997"/>
    <n v="21304.799999999999"/>
    <n v="-2944.7999999999993"/>
    <n v="-883.43999999999971"/>
    <n v="-2061.3599999999997"/>
    <n v="-0.10104705882352939"/>
  </r>
  <r>
    <x v="1"/>
    <x v="0"/>
    <s v=" October  2013"/>
    <n v="1"/>
    <x v="1"/>
    <x v="3"/>
    <x v="0"/>
    <s v="Worst"/>
    <n v="1200"/>
    <n v="17"/>
    <n v="0.1"/>
    <n v="0.18"/>
    <n v="18000"/>
    <n v="0.3"/>
    <n v="20400"/>
    <n v="18360"/>
    <n v="3304.7999999999997"/>
    <n v="21304.799999999999"/>
    <n v="-2944.7999999999993"/>
    <n v="-883.43999999999971"/>
    <n v="-2061.3599999999997"/>
    <n v="-0.10104705882352939"/>
  </r>
  <r>
    <x v="1"/>
    <x v="0"/>
    <s v=" October  2013"/>
    <n v="1"/>
    <x v="1"/>
    <x v="3"/>
    <x v="1"/>
    <s v="Worst"/>
    <n v="1200"/>
    <n v="17"/>
    <n v="0.1"/>
    <n v="0.18"/>
    <n v="18000"/>
    <n v="0.3"/>
    <n v="20400"/>
    <n v="18360"/>
    <n v="3304.7999999999997"/>
    <n v="21304.799999999999"/>
    <n v="-2944.7999999999993"/>
    <n v="-883.43999999999971"/>
    <n v="-2061.3599999999997"/>
    <n v="-0.10104705882352939"/>
  </r>
  <r>
    <x v="1"/>
    <x v="0"/>
    <s v=" October  2013"/>
    <n v="1"/>
    <x v="1"/>
    <x v="3"/>
    <x v="2"/>
    <s v="Worst"/>
    <n v="1200"/>
    <n v="17"/>
    <n v="0.1"/>
    <n v="0.18"/>
    <n v="18000"/>
    <n v="0.3"/>
    <n v="20400"/>
    <n v="18360"/>
    <n v="3304.7999999999997"/>
    <n v="21304.799999999999"/>
    <n v="-2944.7999999999993"/>
    <n v="-883.43999999999971"/>
    <n v="-2061.3599999999997"/>
    <n v="-0.10104705882352939"/>
  </r>
  <r>
    <x v="1"/>
    <x v="0"/>
    <s v=" October  2013"/>
    <n v="1"/>
    <x v="1"/>
    <x v="3"/>
    <x v="3"/>
    <s v="Worst"/>
    <n v="1200"/>
    <n v="17"/>
    <n v="0.1"/>
    <n v="0.18"/>
    <n v="18000"/>
    <n v="0.3"/>
    <n v="20400"/>
    <n v="18360"/>
    <n v="3304.7999999999997"/>
    <n v="21304.799999999999"/>
    <n v="-2944.7999999999993"/>
    <n v="-883.43999999999971"/>
    <n v="-2061.3599999999997"/>
    <n v="-0.10104705882352939"/>
  </r>
  <r>
    <x v="1"/>
    <x v="0"/>
    <s v=" October  2013"/>
    <n v="1"/>
    <x v="1"/>
    <x v="3"/>
    <x v="4"/>
    <s v="Worst"/>
    <n v="1200"/>
    <n v="17"/>
    <n v="0.1"/>
    <n v="0.18"/>
    <n v="18000"/>
    <n v="0.3"/>
    <n v="20400"/>
    <n v="18360"/>
    <n v="3304.7999999999997"/>
    <n v="21304.799999999999"/>
    <n v="-2944.7999999999993"/>
    <n v="-883.43999999999971"/>
    <n v="-2061.3599999999997"/>
    <n v="-0.10104705882352939"/>
  </r>
  <r>
    <x v="1"/>
    <x v="0"/>
    <s v=" October  2013"/>
    <n v="1"/>
    <x v="1"/>
    <x v="4"/>
    <x v="0"/>
    <s v="Worst"/>
    <n v="1200"/>
    <n v="17"/>
    <n v="0.1"/>
    <n v="0.18"/>
    <n v="18000"/>
    <n v="0.3"/>
    <n v="20400"/>
    <n v="18360"/>
    <n v="3304.7999999999997"/>
    <n v="21304.799999999999"/>
    <n v="-2944.7999999999993"/>
    <n v="-883.43999999999971"/>
    <n v="-2061.3599999999997"/>
    <n v="-0.10104705882352939"/>
  </r>
  <r>
    <x v="1"/>
    <x v="0"/>
    <s v=" October  2013"/>
    <n v="1"/>
    <x v="1"/>
    <x v="4"/>
    <x v="1"/>
    <s v="Worst"/>
    <n v="1200"/>
    <n v="17"/>
    <n v="0.1"/>
    <n v="0.18"/>
    <n v="18000"/>
    <n v="0.3"/>
    <n v="20400"/>
    <n v="18360"/>
    <n v="3304.7999999999997"/>
    <n v="21304.799999999999"/>
    <n v="-2944.7999999999993"/>
    <n v="-883.43999999999971"/>
    <n v="-2061.3599999999997"/>
    <n v="-0.10104705882352939"/>
  </r>
  <r>
    <x v="1"/>
    <x v="0"/>
    <s v=" October  2013"/>
    <n v="1"/>
    <x v="1"/>
    <x v="4"/>
    <x v="2"/>
    <s v="Worst"/>
    <n v="1200"/>
    <n v="17"/>
    <n v="0.1"/>
    <n v="0.18"/>
    <n v="18000"/>
    <n v="0.3"/>
    <n v="20400"/>
    <n v="18360"/>
    <n v="3304.7999999999997"/>
    <n v="21304.799999999999"/>
    <n v="-2944.7999999999993"/>
    <n v="-883.43999999999971"/>
    <n v="-2061.3599999999997"/>
    <n v="-0.10104705882352939"/>
  </r>
  <r>
    <x v="1"/>
    <x v="0"/>
    <s v=" October  2013"/>
    <n v="1"/>
    <x v="1"/>
    <x v="4"/>
    <x v="3"/>
    <s v="Worst"/>
    <n v="1200"/>
    <n v="17"/>
    <n v="0.1"/>
    <n v="0.18"/>
    <n v="18000"/>
    <n v="0.3"/>
    <n v="20400"/>
    <n v="18360"/>
    <n v="3304.7999999999997"/>
    <n v="21304.799999999999"/>
    <n v="-2944.7999999999993"/>
    <n v="-883.43999999999971"/>
    <n v="-2061.3599999999997"/>
    <n v="-0.10104705882352939"/>
  </r>
  <r>
    <x v="1"/>
    <x v="0"/>
    <s v=" October  2013"/>
    <n v="1"/>
    <x v="1"/>
    <x v="4"/>
    <x v="4"/>
    <s v="Worst"/>
    <n v="1200"/>
    <n v="17"/>
    <n v="0.1"/>
    <n v="0.18"/>
    <n v="18000"/>
    <n v="0.3"/>
    <n v="20400"/>
    <n v="18360"/>
    <n v="3304.7999999999997"/>
    <n v="21304.799999999999"/>
    <n v="-2944.7999999999993"/>
    <n v="-883.43999999999971"/>
    <n v="-2061.3599999999997"/>
    <n v="-0.10104705882352939"/>
  </r>
  <r>
    <x v="1"/>
    <x v="0"/>
    <s v=" October  2013"/>
    <n v="1"/>
    <x v="2"/>
    <x v="0"/>
    <x v="0"/>
    <s v="Worst"/>
    <n v="1200"/>
    <n v="17"/>
    <n v="0.1"/>
    <n v="0.18"/>
    <n v="18000"/>
    <n v="0.3"/>
    <n v="20400"/>
    <n v="18360"/>
    <n v="3304.7999999999997"/>
    <n v="21304.799999999999"/>
    <n v="-2944.7999999999993"/>
    <n v="-883.43999999999971"/>
    <n v="-2061.3599999999997"/>
    <n v="-0.10104705882352939"/>
  </r>
  <r>
    <x v="1"/>
    <x v="0"/>
    <s v=" October  2013"/>
    <n v="1"/>
    <x v="2"/>
    <x v="0"/>
    <x v="1"/>
    <s v="Worst"/>
    <n v="1200"/>
    <n v="17"/>
    <n v="0.1"/>
    <n v="0.18"/>
    <n v="18000"/>
    <n v="0.3"/>
    <n v="20400"/>
    <n v="18360"/>
    <n v="3304.7999999999997"/>
    <n v="21304.799999999999"/>
    <n v="-2944.7999999999993"/>
    <n v="-883.43999999999971"/>
    <n v="-2061.3599999999997"/>
    <n v="-0.10104705882352939"/>
  </r>
  <r>
    <x v="1"/>
    <x v="0"/>
    <s v=" October  2013"/>
    <n v="1"/>
    <x v="2"/>
    <x v="0"/>
    <x v="2"/>
    <s v="Worst"/>
    <n v="1200"/>
    <n v="17"/>
    <n v="0.1"/>
    <n v="0.18"/>
    <n v="18000"/>
    <n v="0.3"/>
    <n v="20400"/>
    <n v="18360"/>
    <n v="3304.7999999999997"/>
    <n v="21304.799999999999"/>
    <n v="-2944.7999999999993"/>
    <n v="-883.43999999999971"/>
    <n v="-2061.3599999999997"/>
    <n v="-0.10104705882352939"/>
  </r>
  <r>
    <x v="1"/>
    <x v="0"/>
    <s v=" October  2013"/>
    <n v="1"/>
    <x v="2"/>
    <x v="0"/>
    <x v="3"/>
    <s v="Worst"/>
    <n v="1200"/>
    <n v="17"/>
    <n v="0.1"/>
    <n v="0.18"/>
    <n v="18000"/>
    <n v="0.3"/>
    <n v="20400"/>
    <n v="18360"/>
    <n v="3304.7999999999997"/>
    <n v="21304.799999999999"/>
    <n v="-2944.7999999999993"/>
    <n v="-883.43999999999971"/>
    <n v="-2061.3599999999997"/>
    <n v="-0.10104705882352939"/>
  </r>
  <r>
    <x v="1"/>
    <x v="0"/>
    <s v=" October  2013"/>
    <n v="1"/>
    <x v="2"/>
    <x v="0"/>
    <x v="4"/>
    <s v="Worst"/>
    <n v="1200"/>
    <n v="17"/>
    <n v="0.1"/>
    <n v="0.18"/>
    <n v="18000"/>
    <n v="0.3"/>
    <n v="20400"/>
    <n v="18360"/>
    <n v="3304.7999999999997"/>
    <n v="21304.799999999999"/>
    <n v="-2944.7999999999993"/>
    <n v="-883.43999999999971"/>
    <n v="-2061.3599999999997"/>
    <n v="-0.10104705882352939"/>
  </r>
  <r>
    <x v="1"/>
    <x v="0"/>
    <s v=" October  2013"/>
    <n v="1"/>
    <x v="2"/>
    <x v="1"/>
    <x v="0"/>
    <s v="Worst"/>
    <n v="1200"/>
    <n v="17"/>
    <n v="0.1"/>
    <n v="0.18"/>
    <n v="18000"/>
    <n v="0.3"/>
    <n v="20400"/>
    <n v="18360"/>
    <n v="3304.7999999999997"/>
    <n v="21304.799999999999"/>
    <n v="-2944.7999999999993"/>
    <n v="-883.43999999999971"/>
    <n v="-2061.3599999999997"/>
    <n v="-0.10104705882352939"/>
  </r>
  <r>
    <x v="1"/>
    <x v="0"/>
    <s v=" October  2013"/>
    <n v="1"/>
    <x v="2"/>
    <x v="1"/>
    <x v="1"/>
    <s v="Worst"/>
    <n v="1200"/>
    <n v="17"/>
    <n v="0.1"/>
    <n v="0.18"/>
    <n v="18000"/>
    <n v="0.3"/>
    <n v="20400"/>
    <n v="18360"/>
    <n v="3304.7999999999997"/>
    <n v="21304.799999999999"/>
    <n v="-2944.7999999999993"/>
    <n v="-883.43999999999971"/>
    <n v="-2061.3599999999997"/>
    <n v="-0.10104705882352939"/>
  </r>
  <r>
    <x v="1"/>
    <x v="0"/>
    <s v=" October  2013"/>
    <n v="1"/>
    <x v="2"/>
    <x v="1"/>
    <x v="2"/>
    <s v="Worst"/>
    <n v="1200"/>
    <n v="17"/>
    <n v="0.1"/>
    <n v="0.18"/>
    <n v="18000"/>
    <n v="0.3"/>
    <n v="20400"/>
    <n v="18360"/>
    <n v="3304.7999999999997"/>
    <n v="21304.799999999999"/>
    <n v="-2944.7999999999993"/>
    <n v="-883.43999999999971"/>
    <n v="-2061.3599999999997"/>
    <n v="-0.10104705882352939"/>
  </r>
  <r>
    <x v="1"/>
    <x v="0"/>
    <s v=" October  2013"/>
    <n v="1"/>
    <x v="2"/>
    <x v="1"/>
    <x v="3"/>
    <s v="Worst"/>
    <n v="1200"/>
    <n v="17"/>
    <n v="0.1"/>
    <n v="0.18"/>
    <n v="18000"/>
    <n v="0.3"/>
    <n v="20400"/>
    <n v="18360"/>
    <n v="3304.7999999999997"/>
    <n v="21304.799999999999"/>
    <n v="-2944.7999999999993"/>
    <n v="-883.43999999999971"/>
    <n v="-2061.3599999999997"/>
    <n v="-0.10104705882352939"/>
  </r>
  <r>
    <x v="1"/>
    <x v="0"/>
    <s v=" October  2013"/>
    <n v="1"/>
    <x v="2"/>
    <x v="1"/>
    <x v="4"/>
    <s v="Worst"/>
    <n v="1200"/>
    <n v="17"/>
    <n v="0.1"/>
    <n v="0.18"/>
    <n v="18000"/>
    <n v="0.3"/>
    <n v="20400"/>
    <n v="18360"/>
    <n v="3304.7999999999997"/>
    <n v="21304.799999999999"/>
    <n v="-2944.7999999999993"/>
    <n v="-883.43999999999971"/>
    <n v="-2061.3599999999997"/>
    <n v="-0.10104705882352939"/>
  </r>
  <r>
    <x v="1"/>
    <x v="0"/>
    <s v=" October  2013"/>
    <n v="1"/>
    <x v="2"/>
    <x v="2"/>
    <x v="0"/>
    <s v="Worst"/>
    <n v="1200"/>
    <n v="17"/>
    <n v="0.1"/>
    <n v="0.18"/>
    <n v="18000"/>
    <n v="0.3"/>
    <n v="20400"/>
    <n v="18360"/>
    <n v="3304.7999999999997"/>
    <n v="21304.799999999999"/>
    <n v="-2944.7999999999993"/>
    <n v="-883.43999999999971"/>
    <n v="-2061.3599999999997"/>
    <n v="-0.10104705882352939"/>
  </r>
  <r>
    <x v="1"/>
    <x v="0"/>
    <s v=" October  2013"/>
    <n v="1"/>
    <x v="2"/>
    <x v="2"/>
    <x v="1"/>
    <s v="Worst"/>
    <n v="1200"/>
    <n v="17"/>
    <n v="0.1"/>
    <n v="0.18"/>
    <n v="18000"/>
    <n v="0.3"/>
    <n v="20400"/>
    <n v="18360"/>
    <n v="3304.7999999999997"/>
    <n v="21304.799999999999"/>
    <n v="-2944.7999999999993"/>
    <n v="-883.43999999999971"/>
    <n v="-2061.3599999999997"/>
    <n v="-0.10104705882352939"/>
  </r>
  <r>
    <x v="1"/>
    <x v="0"/>
    <s v=" October  2013"/>
    <n v="1"/>
    <x v="2"/>
    <x v="2"/>
    <x v="2"/>
    <s v="Worst"/>
    <n v="1200"/>
    <n v="17"/>
    <n v="0.1"/>
    <n v="0.18"/>
    <n v="18000"/>
    <n v="0.3"/>
    <n v="20400"/>
    <n v="18360"/>
    <n v="3304.7999999999997"/>
    <n v="21304.799999999999"/>
    <n v="-2944.7999999999993"/>
    <n v="-883.43999999999971"/>
    <n v="-2061.3599999999997"/>
    <n v="-0.10104705882352939"/>
  </r>
  <r>
    <x v="1"/>
    <x v="0"/>
    <s v=" October  2013"/>
    <n v="1"/>
    <x v="2"/>
    <x v="2"/>
    <x v="3"/>
    <s v="Worst"/>
    <n v="1200"/>
    <n v="17"/>
    <n v="0.1"/>
    <n v="0.18"/>
    <n v="18000"/>
    <n v="0.3"/>
    <n v="20400"/>
    <n v="18360"/>
    <n v="3304.7999999999997"/>
    <n v="21304.799999999999"/>
    <n v="-2944.7999999999993"/>
    <n v="-883.43999999999971"/>
    <n v="-2061.3599999999997"/>
    <n v="-0.10104705882352939"/>
  </r>
  <r>
    <x v="1"/>
    <x v="0"/>
    <s v=" October  2013"/>
    <n v="1"/>
    <x v="2"/>
    <x v="2"/>
    <x v="4"/>
    <s v="Worst"/>
    <n v="1200"/>
    <n v="17"/>
    <n v="0.1"/>
    <n v="0.18"/>
    <n v="18000"/>
    <n v="0.3"/>
    <n v="20400"/>
    <n v="18360"/>
    <n v="3304.7999999999997"/>
    <n v="21304.799999999999"/>
    <n v="-2944.7999999999993"/>
    <n v="-883.43999999999971"/>
    <n v="-2061.3599999999997"/>
    <n v="-0.10104705882352939"/>
  </r>
  <r>
    <x v="1"/>
    <x v="0"/>
    <s v=" October  2013"/>
    <n v="1"/>
    <x v="2"/>
    <x v="3"/>
    <x v="0"/>
    <s v="Worst"/>
    <n v="1200"/>
    <n v="17"/>
    <n v="0.1"/>
    <n v="0.18"/>
    <n v="18000"/>
    <n v="0.3"/>
    <n v="20400"/>
    <n v="18360"/>
    <n v="3304.7999999999997"/>
    <n v="21304.799999999999"/>
    <n v="-2944.7999999999993"/>
    <n v="-883.43999999999971"/>
    <n v="-2061.3599999999997"/>
    <n v="-0.10104705882352939"/>
  </r>
  <r>
    <x v="1"/>
    <x v="0"/>
    <s v=" October  2013"/>
    <n v="1"/>
    <x v="2"/>
    <x v="3"/>
    <x v="1"/>
    <s v="Worst"/>
    <n v="1200"/>
    <n v="17"/>
    <n v="0.1"/>
    <n v="0.18"/>
    <n v="18000"/>
    <n v="0.3"/>
    <n v="20400"/>
    <n v="18360"/>
    <n v="3304.7999999999997"/>
    <n v="21304.799999999999"/>
    <n v="-2944.7999999999993"/>
    <n v="-883.43999999999971"/>
    <n v="-2061.3599999999997"/>
    <n v="-0.10104705882352939"/>
  </r>
  <r>
    <x v="1"/>
    <x v="0"/>
    <s v=" October  2013"/>
    <n v="1"/>
    <x v="2"/>
    <x v="3"/>
    <x v="2"/>
    <s v="Worst"/>
    <n v="1200"/>
    <n v="17"/>
    <n v="0.1"/>
    <n v="0.18"/>
    <n v="18000"/>
    <n v="0.3"/>
    <n v="20400"/>
    <n v="18360"/>
    <n v="3304.7999999999997"/>
    <n v="21304.799999999999"/>
    <n v="-2944.7999999999993"/>
    <n v="-883.43999999999971"/>
    <n v="-2061.3599999999997"/>
    <n v="-0.10104705882352939"/>
  </r>
  <r>
    <x v="1"/>
    <x v="0"/>
    <s v=" October  2013"/>
    <n v="1"/>
    <x v="2"/>
    <x v="3"/>
    <x v="3"/>
    <s v="Worst"/>
    <n v="1200"/>
    <n v="17"/>
    <n v="0.1"/>
    <n v="0.18"/>
    <n v="18000"/>
    <n v="0.3"/>
    <n v="20400"/>
    <n v="18360"/>
    <n v="3304.7999999999997"/>
    <n v="21304.799999999999"/>
    <n v="-2944.7999999999993"/>
    <n v="-883.43999999999971"/>
    <n v="-2061.3599999999997"/>
    <n v="-0.10104705882352939"/>
  </r>
  <r>
    <x v="1"/>
    <x v="0"/>
    <s v=" October  2013"/>
    <n v="1"/>
    <x v="2"/>
    <x v="3"/>
    <x v="4"/>
    <s v="Worst"/>
    <n v="1200"/>
    <n v="17"/>
    <n v="0.1"/>
    <n v="0.18"/>
    <n v="18000"/>
    <n v="0.3"/>
    <n v="20400"/>
    <n v="18360"/>
    <n v="3304.7999999999997"/>
    <n v="21304.799999999999"/>
    <n v="-2944.7999999999993"/>
    <n v="-883.43999999999971"/>
    <n v="-2061.3599999999997"/>
    <n v="-0.10104705882352939"/>
  </r>
  <r>
    <x v="1"/>
    <x v="0"/>
    <s v=" October  2013"/>
    <n v="1"/>
    <x v="2"/>
    <x v="4"/>
    <x v="0"/>
    <s v="Worst"/>
    <n v="1200"/>
    <n v="17"/>
    <n v="0.1"/>
    <n v="0.18"/>
    <n v="18000"/>
    <n v="0.3"/>
    <n v="20400"/>
    <n v="18360"/>
    <n v="3304.7999999999997"/>
    <n v="21304.799999999999"/>
    <n v="-2944.7999999999993"/>
    <n v="-883.43999999999971"/>
    <n v="-2061.3599999999997"/>
    <n v="-0.10104705882352939"/>
  </r>
  <r>
    <x v="1"/>
    <x v="0"/>
    <s v=" October  2013"/>
    <n v="1"/>
    <x v="2"/>
    <x v="4"/>
    <x v="1"/>
    <s v="Worst"/>
    <n v="1200"/>
    <n v="17"/>
    <n v="0.1"/>
    <n v="0.18"/>
    <n v="18000"/>
    <n v="0.3"/>
    <n v="20400"/>
    <n v="18360"/>
    <n v="3304.7999999999997"/>
    <n v="21304.799999999999"/>
    <n v="-2944.7999999999993"/>
    <n v="-883.43999999999971"/>
    <n v="-2061.3599999999997"/>
    <n v="-0.10104705882352939"/>
  </r>
  <r>
    <x v="1"/>
    <x v="0"/>
    <s v=" October  2013"/>
    <n v="1"/>
    <x v="2"/>
    <x v="4"/>
    <x v="2"/>
    <s v="Worst"/>
    <n v="1200"/>
    <n v="17"/>
    <n v="0.1"/>
    <n v="0.18"/>
    <n v="18000"/>
    <n v="0.3"/>
    <n v="20400"/>
    <n v="18360"/>
    <n v="3304.7999999999997"/>
    <n v="21304.799999999999"/>
    <n v="-2944.7999999999993"/>
    <n v="-883.43999999999971"/>
    <n v="-2061.3599999999997"/>
    <n v="-0.10104705882352939"/>
  </r>
  <r>
    <x v="1"/>
    <x v="0"/>
    <s v=" October  2013"/>
    <n v="1"/>
    <x v="2"/>
    <x v="4"/>
    <x v="3"/>
    <s v="Worst"/>
    <n v="1200"/>
    <n v="17"/>
    <n v="0.1"/>
    <n v="0.18"/>
    <n v="18000"/>
    <n v="0.3"/>
    <n v="20400"/>
    <n v="18360"/>
    <n v="3304.7999999999997"/>
    <n v="21304.799999999999"/>
    <n v="-2944.7999999999993"/>
    <n v="-883.43999999999971"/>
    <n v="-2061.3599999999997"/>
    <n v="-0.10104705882352939"/>
  </r>
  <r>
    <x v="1"/>
    <x v="0"/>
    <s v=" October  2013"/>
    <n v="1"/>
    <x v="2"/>
    <x v="4"/>
    <x v="4"/>
    <s v="Worst"/>
    <n v="1200"/>
    <n v="17"/>
    <n v="0.1"/>
    <n v="0.18"/>
    <n v="18000"/>
    <n v="0.3"/>
    <n v="20400"/>
    <n v="18360"/>
    <n v="3304.7999999999997"/>
    <n v="21304.799999999999"/>
    <n v="-2944.7999999999993"/>
    <n v="-883.43999999999971"/>
    <n v="-2061.3599999999997"/>
    <n v="-0.10104705882352939"/>
  </r>
  <r>
    <x v="1"/>
    <x v="0"/>
    <s v=" October  2013"/>
    <n v="1"/>
    <x v="3"/>
    <x v="0"/>
    <x v="0"/>
    <s v="Worst"/>
    <n v="1200"/>
    <n v="17"/>
    <n v="0.1"/>
    <n v="0.18"/>
    <n v="18000"/>
    <n v="0.3"/>
    <n v="20400"/>
    <n v="18360"/>
    <n v="3304.7999999999997"/>
    <n v="21304.799999999999"/>
    <n v="-2944.7999999999993"/>
    <n v="-883.43999999999971"/>
    <n v="-2061.3599999999997"/>
    <n v="-0.10104705882352939"/>
  </r>
  <r>
    <x v="1"/>
    <x v="0"/>
    <s v=" October  2013"/>
    <n v="1"/>
    <x v="3"/>
    <x v="0"/>
    <x v="1"/>
    <s v="Worst"/>
    <n v="1200"/>
    <n v="17"/>
    <n v="0.1"/>
    <n v="0.18"/>
    <n v="18000"/>
    <n v="0.3"/>
    <n v="20400"/>
    <n v="18360"/>
    <n v="3304.7999999999997"/>
    <n v="21304.799999999999"/>
    <n v="-2944.7999999999993"/>
    <n v="-883.43999999999971"/>
    <n v="-2061.3599999999997"/>
    <n v="-0.10104705882352939"/>
  </r>
  <r>
    <x v="1"/>
    <x v="0"/>
    <s v=" October  2013"/>
    <n v="1"/>
    <x v="3"/>
    <x v="0"/>
    <x v="2"/>
    <s v="Worst"/>
    <n v="1200"/>
    <n v="17"/>
    <n v="0.1"/>
    <n v="0.18"/>
    <n v="18000"/>
    <n v="0.3"/>
    <n v="20400"/>
    <n v="18360"/>
    <n v="3304.7999999999997"/>
    <n v="21304.799999999999"/>
    <n v="-2944.7999999999993"/>
    <n v="-883.43999999999971"/>
    <n v="-2061.3599999999997"/>
    <n v="-0.10104705882352939"/>
  </r>
  <r>
    <x v="1"/>
    <x v="0"/>
    <s v=" October  2013"/>
    <n v="1"/>
    <x v="3"/>
    <x v="0"/>
    <x v="3"/>
    <s v="Worst"/>
    <n v="1200"/>
    <n v="17"/>
    <n v="0.1"/>
    <n v="0.18"/>
    <n v="18000"/>
    <n v="0.3"/>
    <n v="20400"/>
    <n v="18360"/>
    <n v="3304.7999999999997"/>
    <n v="21304.799999999999"/>
    <n v="-2944.7999999999993"/>
    <n v="-883.43999999999971"/>
    <n v="-2061.3599999999997"/>
    <n v="-0.10104705882352939"/>
  </r>
  <r>
    <x v="1"/>
    <x v="0"/>
    <s v=" October  2013"/>
    <n v="1"/>
    <x v="3"/>
    <x v="0"/>
    <x v="4"/>
    <s v="Worst"/>
    <n v="1200"/>
    <n v="17"/>
    <n v="0.1"/>
    <n v="0.18"/>
    <n v="18000"/>
    <n v="0.3"/>
    <n v="20400"/>
    <n v="18360"/>
    <n v="3304.7999999999997"/>
    <n v="21304.799999999999"/>
    <n v="-2944.7999999999993"/>
    <n v="-883.43999999999971"/>
    <n v="-2061.3599999999997"/>
    <n v="-0.10104705882352939"/>
  </r>
  <r>
    <x v="1"/>
    <x v="0"/>
    <s v=" October  2013"/>
    <n v="1"/>
    <x v="3"/>
    <x v="1"/>
    <x v="0"/>
    <s v="Worst"/>
    <n v="1200"/>
    <n v="17"/>
    <n v="0.1"/>
    <n v="0.18"/>
    <n v="18000"/>
    <n v="0.3"/>
    <n v="20400"/>
    <n v="18360"/>
    <n v="3304.7999999999997"/>
    <n v="21304.799999999999"/>
    <n v="-2944.7999999999993"/>
    <n v="-883.43999999999971"/>
    <n v="-2061.3599999999997"/>
    <n v="-0.10104705882352939"/>
  </r>
  <r>
    <x v="1"/>
    <x v="0"/>
    <s v=" October  2013"/>
    <n v="1"/>
    <x v="3"/>
    <x v="1"/>
    <x v="1"/>
    <s v="Worst"/>
    <n v="1200"/>
    <n v="17"/>
    <n v="0.1"/>
    <n v="0.18"/>
    <n v="18000"/>
    <n v="0.3"/>
    <n v="20400"/>
    <n v="18360"/>
    <n v="3304.7999999999997"/>
    <n v="21304.799999999999"/>
    <n v="-2944.7999999999993"/>
    <n v="-883.43999999999971"/>
    <n v="-2061.3599999999997"/>
    <n v="-0.10104705882352939"/>
  </r>
  <r>
    <x v="1"/>
    <x v="0"/>
    <s v=" October  2013"/>
    <n v="1"/>
    <x v="3"/>
    <x v="1"/>
    <x v="2"/>
    <s v="Worst"/>
    <n v="1200"/>
    <n v="17"/>
    <n v="0.1"/>
    <n v="0.18"/>
    <n v="18000"/>
    <n v="0.3"/>
    <n v="20400"/>
    <n v="18360"/>
    <n v="3304.7999999999997"/>
    <n v="21304.799999999999"/>
    <n v="-2944.7999999999993"/>
    <n v="-883.43999999999971"/>
    <n v="-2061.3599999999997"/>
    <n v="-0.10104705882352939"/>
  </r>
  <r>
    <x v="1"/>
    <x v="0"/>
    <s v=" October  2013"/>
    <n v="1"/>
    <x v="3"/>
    <x v="1"/>
    <x v="3"/>
    <s v="Worst"/>
    <n v="1200"/>
    <n v="17"/>
    <n v="0.1"/>
    <n v="0.18"/>
    <n v="18000"/>
    <n v="0.3"/>
    <n v="20400"/>
    <n v="18360"/>
    <n v="3304.7999999999997"/>
    <n v="21304.799999999999"/>
    <n v="-2944.7999999999993"/>
    <n v="-883.43999999999971"/>
    <n v="-2061.3599999999997"/>
    <n v="-0.10104705882352939"/>
  </r>
  <r>
    <x v="1"/>
    <x v="0"/>
    <s v=" October  2013"/>
    <n v="1"/>
    <x v="3"/>
    <x v="1"/>
    <x v="4"/>
    <s v="Worst"/>
    <n v="1200"/>
    <n v="17"/>
    <n v="0.1"/>
    <n v="0.18"/>
    <n v="18000"/>
    <n v="0.3"/>
    <n v="20400"/>
    <n v="18360"/>
    <n v="3304.7999999999997"/>
    <n v="21304.799999999999"/>
    <n v="-2944.7999999999993"/>
    <n v="-883.43999999999971"/>
    <n v="-2061.3599999999997"/>
    <n v="-0.10104705882352939"/>
  </r>
  <r>
    <x v="1"/>
    <x v="0"/>
    <s v=" October  2013"/>
    <n v="1"/>
    <x v="3"/>
    <x v="2"/>
    <x v="0"/>
    <s v="Worst"/>
    <n v="1200"/>
    <n v="17"/>
    <n v="0.1"/>
    <n v="0.18"/>
    <n v="18000"/>
    <n v="0.3"/>
    <n v="20400"/>
    <n v="18360"/>
    <n v="3304.7999999999997"/>
    <n v="21304.799999999999"/>
    <n v="-2944.7999999999993"/>
    <n v="-883.43999999999971"/>
    <n v="-2061.3599999999997"/>
    <n v="-0.10104705882352939"/>
  </r>
  <r>
    <x v="1"/>
    <x v="0"/>
    <s v=" October  2013"/>
    <n v="1"/>
    <x v="3"/>
    <x v="2"/>
    <x v="1"/>
    <s v="Worst"/>
    <n v="1200"/>
    <n v="17"/>
    <n v="0.1"/>
    <n v="0.18"/>
    <n v="18000"/>
    <n v="0.3"/>
    <n v="20400"/>
    <n v="18360"/>
    <n v="3304.7999999999997"/>
    <n v="21304.799999999999"/>
    <n v="-2944.7999999999993"/>
    <n v="-883.43999999999971"/>
    <n v="-2061.3599999999997"/>
    <n v="-0.10104705882352939"/>
  </r>
  <r>
    <x v="1"/>
    <x v="0"/>
    <s v=" October  2013"/>
    <n v="1"/>
    <x v="3"/>
    <x v="2"/>
    <x v="2"/>
    <s v="Worst"/>
    <n v="1200"/>
    <n v="17"/>
    <n v="0.1"/>
    <n v="0.18"/>
    <n v="18000"/>
    <n v="0.3"/>
    <n v="20400"/>
    <n v="18360"/>
    <n v="3304.7999999999997"/>
    <n v="21304.799999999999"/>
    <n v="-2944.7999999999993"/>
    <n v="-883.43999999999971"/>
    <n v="-2061.3599999999997"/>
    <n v="-0.10104705882352939"/>
  </r>
  <r>
    <x v="1"/>
    <x v="0"/>
    <s v=" October  2013"/>
    <n v="1"/>
    <x v="3"/>
    <x v="2"/>
    <x v="3"/>
    <s v="Worst"/>
    <n v="1200"/>
    <n v="17"/>
    <n v="0.1"/>
    <n v="0.18"/>
    <n v="18000"/>
    <n v="0.3"/>
    <n v="20400"/>
    <n v="18360"/>
    <n v="3304.7999999999997"/>
    <n v="21304.799999999999"/>
    <n v="-2944.7999999999993"/>
    <n v="-883.43999999999971"/>
    <n v="-2061.3599999999997"/>
    <n v="-0.10104705882352939"/>
  </r>
  <r>
    <x v="1"/>
    <x v="0"/>
    <s v=" October  2013"/>
    <n v="1"/>
    <x v="3"/>
    <x v="2"/>
    <x v="4"/>
    <s v="Worst"/>
    <n v="1200"/>
    <n v="17"/>
    <n v="0.1"/>
    <n v="0.18"/>
    <n v="18000"/>
    <n v="0.3"/>
    <n v="20400"/>
    <n v="18360"/>
    <n v="3304.7999999999997"/>
    <n v="21304.799999999999"/>
    <n v="-2944.7999999999993"/>
    <n v="-883.43999999999971"/>
    <n v="-2061.3599999999997"/>
    <n v="-0.10104705882352939"/>
  </r>
  <r>
    <x v="1"/>
    <x v="0"/>
    <s v=" October  2013"/>
    <n v="1"/>
    <x v="3"/>
    <x v="3"/>
    <x v="0"/>
    <s v="Worst"/>
    <n v="1200"/>
    <n v="17"/>
    <n v="0.1"/>
    <n v="0.18"/>
    <n v="18000"/>
    <n v="0.3"/>
    <n v="20400"/>
    <n v="18360"/>
    <n v="3304.7999999999997"/>
    <n v="21304.799999999999"/>
    <n v="-2944.7999999999993"/>
    <n v="-883.43999999999971"/>
    <n v="-2061.3599999999997"/>
    <n v="-0.10104705882352939"/>
  </r>
  <r>
    <x v="1"/>
    <x v="0"/>
    <s v=" October  2013"/>
    <n v="1"/>
    <x v="3"/>
    <x v="3"/>
    <x v="1"/>
    <s v="Worst"/>
    <n v="1200"/>
    <n v="17"/>
    <n v="0.1"/>
    <n v="0.18"/>
    <n v="18000"/>
    <n v="0.3"/>
    <n v="20400"/>
    <n v="18360"/>
    <n v="3304.7999999999997"/>
    <n v="21304.799999999999"/>
    <n v="-2944.7999999999993"/>
    <n v="-883.43999999999971"/>
    <n v="-2061.3599999999997"/>
    <n v="-0.10104705882352939"/>
  </r>
  <r>
    <x v="1"/>
    <x v="0"/>
    <s v=" October  2013"/>
    <n v="1"/>
    <x v="3"/>
    <x v="3"/>
    <x v="2"/>
    <s v="Worst"/>
    <n v="1200"/>
    <n v="17"/>
    <n v="0.1"/>
    <n v="0.18"/>
    <n v="18000"/>
    <n v="0.3"/>
    <n v="20400"/>
    <n v="18360"/>
    <n v="3304.7999999999997"/>
    <n v="21304.799999999999"/>
    <n v="-2944.7999999999993"/>
    <n v="-883.43999999999971"/>
    <n v="-2061.3599999999997"/>
    <n v="-0.10104705882352939"/>
  </r>
  <r>
    <x v="1"/>
    <x v="0"/>
    <s v=" October  2013"/>
    <n v="1"/>
    <x v="3"/>
    <x v="3"/>
    <x v="3"/>
    <s v="Worst"/>
    <n v="1200"/>
    <n v="17"/>
    <n v="0.1"/>
    <n v="0.18"/>
    <n v="18000"/>
    <n v="0.3"/>
    <n v="20400"/>
    <n v="18360"/>
    <n v="3304.7999999999997"/>
    <n v="21304.799999999999"/>
    <n v="-2944.7999999999993"/>
    <n v="-883.43999999999971"/>
    <n v="-2061.3599999999997"/>
    <n v="-0.10104705882352939"/>
  </r>
  <r>
    <x v="1"/>
    <x v="0"/>
    <s v=" October  2013"/>
    <n v="1"/>
    <x v="3"/>
    <x v="3"/>
    <x v="4"/>
    <s v="Worst"/>
    <n v="1200"/>
    <n v="17"/>
    <n v="0.1"/>
    <n v="0.18"/>
    <n v="18000"/>
    <n v="0.3"/>
    <n v="20400"/>
    <n v="18360"/>
    <n v="3304.7999999999997"/>
    <n v="21304.799999999999"/>
    <n v="-2944.7999999999993"/>
    <n v="-883.43999999999971"/>
    <n v="-2061.3599999999997"/>
    <n v="-0.10104705882352939"/>
  </r>
  <r>
    <x v="1"/>
    <x v="0"/>
    <s v=" October  2013"/>
    <n v="1"/>
    <x v="3"/>
    <x v="4"/>
    <x v="0"/>
    <s v="Worst"/>
    <n v="1200"/>
    <n v="17"/>
    <n v="0.1"/>
    <n v="0.18"/>
    <n v="18000"/>
    <n v="0.3"/>
    <n v="20400"/>
    <n v="18360"/>
    <n v="3304.7999999999997"/>
    <n v="21304.799999999999"/>
    <n v="-2944.7999999999993"/>
    <n v="-883.43999999999971"/>
    <n v="-2061.3599999999997"/>
    <n v="-0.10104705882352939"/>
  </r>
  <r>
    <x v="1"/>
    <x v="0"/>
    <s v=" October  2013"/>
    <n v="1"/>
    <x v="3"/>
    <x v="4"/>
    <x v="1"/>
    <s v="Worst"/>
    <n v="1200"/>
    <n v="17"/>
    <n v="0.1"/>
    <n v="0.18"/>
    <n v="18000"/>
    <n v="0.3"/>
    <n v="20400"/>
    <n v="18360"/>
    <n v="3304.7999999999997"/>
    <n v="21304.799999999999"/>
    <n v="-2944.7999999999993"/>
    <n v="-883.43999999999971"/>
    <n v="-2061.3599999999997"/>
    <n v="-0.10104705882352939"/>
  </r>
  <r>
    <x v="1"/>
    <x v="0"/>
    <s v=" October  2013"/>
    <n v="1"/>
    <x v="3"/>
    <x v="4"/>
    <x v="2"/>
    <s v="Worst"/>
    <n v="1200"/>
    <n v="17"/>
    <n v="0.1"/>
    <n v="0.18"/>
    <n v="18000"/>
    <n v="0.3"/>
    <n v="20400"/>
    <n v="18360"/>
    <n v="3304.7999999999997"/>
    <n v="21304.799999999999"/>
    <n v="-2944.7999999999993"/>
    <n v="-883.43999999999971"/>
    <n v="-2061.3599999999997"/>
    <n v="-0.10104705882352939"/>
  </r>
  <r>
    <x v="1"/>
    <x v="0"/>
    <s v=" October  2013"/>
    <n v="1"/>
    <x v="3"/>
    <x v="4"/>
    <x v="3"/>
    <s v="Worst"/>
    <n v="1200"/>
    <n v="17"/>
    <n v="0.1"/>
    <n v="0.18"/>
    <n v="18000"/>
    <n v="0.3"/>
    <n v="20400"/>
    <n v="18360"/>
    <n v="3304.7999999999997"/>
    <n v="21304.799999999999"/>
    <n v="-2944.7999999999993"/>
    <n v="-883.43999999999971"/>
    <n v="-2061.3599999999997"/>
    <n v="-0.10104705882352939"/>
  </r>
  <r>
    <x v="1"/>
    <x v="0"/>
    <s v=" October  2013"/>
    <n v="1"/>
    <x v="3"/>
    <x v="4"/>
    <x v="4"/>
    <s v="Worst"/>
    <n v="1200"/>
    <n v="17"/>
    <n v="0.1"/>
    <n v="0.18"/>
    <n v="18000"/>
    <n v="0.3"/>
    <n v="20400"/>
    <n v="18360"/>
    <n v="3304.7999999999997"/>
    <n v="21304.799999999999"/>
    <n v="-2944.7999999999993"/>
    <n v="-883.43999999999971"/>
    <n v="-2061.3599999999997"/>
    <n v="-0.10104705882352939"/>
  </r>
  <r>
    <x v="1"/>
    <x v="0"/>
    <s v=" October  2013"/>
    <n v="1"/>
    <x v="4"/>
    <x v="0"/>
    <x v="0"/>
    <s v="Worst"/>
    <n v="1200"/>
    <n v="17"/>
    <n v="0.1"/>
    <n v="0.18"/>
    <n v="18000"/>
    <n v="0.3"/>
    <n v="20400"/>
    <n v="18360"/>
    <n v="3304.7999999999997"/>
    <n v="21304.799999999999"/>
    <n v="-2944.7999999999993"/>
    <n v="-883.43999999999971"/>
    <n v="-2061.3599999999997"/>
    <n v="-0.10104705882352939"/>
  </r>
  <r>
    <x v="1"/>
    <x v="0"/>
    <s v=" October  2013"/>
    <n v="1"/>
    <x v="4"/>
    <x v="0"/>
    <x v="1"/>
    <s v="Worst"/>
    <n v="1200"/>
    <n v="17"/>
    <n v="0.1"/>
    <n v="0.18"/>
    <n v="18000"/>
    <n v="0.3"/>
    <n v="20400"/>
    <n v="18360"/>
    <n v="3304.7999999999997"/>
    <n v="21304.799999999999"/>
    <n v="-2944.7999999999993"/>
    <n v="-883.43999999999971"/>
    <n v="-2061.3599999999997"/>
    <n v="-0.10104705882352939"/>
  </r>
  <r>
    <x v="1"/>
    <x v="0"/>
    <s v=" October  2013"/>
    <n v="1"/>
    <x v="4"/>
    <x v="0"/>
    <x v="2"/>
    <s v="Worst"/>
    <n v="1200"/>
    <n v="17"/>
    <n v="0.1"/>
    <n v="0.18"/>
    <n v="18000"/>
    <n v="0.3"/>
    <n v="20400"/>
    <n v="18360"/>
    <n v="3304.7999999999997"/>
    <n v="21304.799999999999"/>
    <n v="-2944.7999999999993"/>
    <n v="-883.43999999999971"/>
    <n v="-2061.3599999999997"/>
    <n v="-0.10104705882352939"/>
  </r>
  <r>
    <x v="1"/>
    <x v="0"/>
    <s v=" October  2013"/>
    <n v="1"/>
    <x v="4"/>
    <x v="0"/>
    <x v="3"/>
    <s v="Worst"/>
    <n v="1200"/>
    <n v="17"/>
    <n v="0.1"/>
    <n v="0.18"/>
    <n v="18000"/>
    <n v="0.3"/>
    <n v="20400"/>
    <n v="18360"/>
    <n v="3304.7999999999997"/>
    <n v="21304.799999999999"/>
    <n v="-2944.7999999999993"/>
    <n v="-883.43999999999971"/>
    <n v="-2061.3599999999997"/>
    <n v="-0.10104705882352939"/>
  </r>
  <r>
    <x v="1"/>
    <x v="0"/>
    <s v=" October  2013"/>
    <n v="1"/>
    <x v="4"/>
    <x v="0"/>
    <x v="4"/>
    <s v="Worst"/>
    <n v="1200"/>
    <n v="17"/>
    <n v="0.1"/>
    <n v="0.18"/>
    <n v="18000"/>
    <n v="0.3"/>
    <n v="20400"/>
    <n v="18360"/>
    <n v="3304.7999999999997"/>
    <n v="21304.799999999999"/>
    <n v="-2944.7999999999993"/>
    <n v="-883.43999999999971"/>
    <n v="-2061.3599999999997"/>
    <n v="-0.10104705882352939"/>
  </r>
  <r>
    <x v="1"/>
    <x v="0"/>
    <s v=" October  2013"/>
    <n v="1"/>
    <x v="4"/>
    <x v="1"/>
    <x v="0"/>
    <s v="Worst"/>
    <n v="1200"/>
    <n v="17"/>
    <n v="0.1"/>
    <n v="0.18"/>
    <n v="18000"/>
    <n v="0.3"/>
    <n v="20400"/>
    <n v="18360"/>
    <n v="3304.7999999999997"/>
    <n v="21304.799999999999"/>
    <n v="-2944.7999999999993"/>
    <n v="-883.43999999999971"/>
    <n v="-2061.3599999999997"/>
    <n v="-0.10104705882352939"/>
  </r>
  <r>
    <x v="1"/>
    <x v="0"/>
    <s v=" October  2013"/>
    <n v="1"/>
    <x v="4"/>
    <x v="1"/>
    <x v="1"/>
    <s v="Worst"/>
    <n v="1200"/>
    <n v="17"/>
    <n v="0.1"/>
    <n v="0.18"/>
    <n v="18000"/>
    <n v="0.3"/>
    <n v="20400"/>
    <n v="18360"/>
    <n v="3304.7999999999997"/>
    <n v="21304.799999999999"/>
    <n v="-2944.7999999999993"/>
    <n v="-883.43999999999971"/>
    <n v="-2061.3599999999997"/>
    <n v="-0.10104705882352939"/>
  </r>
  <r>
    <x v="1"/>
    <x v="0"/>
    <s v=" October  2013"/>
    <n v="1"/>
    <x v="4"/>
    <x v="1"/>
    <x v="2"/>
    <s v="Worst"/>
    <n v="1200"/>
    <n v="17"/>
    <n v="0.1"/>
    <n v="0.18"/>
    <n v="18000"/>
    <n v="0.3"/>
    <n v="20400"/>
    <n v="18360"/>
    <n v="3304.7999999999997"/>
    <n v="21304.799999999999"/>
    <n v="-2944.7999999999993"/>
    <n v="-883.43999999999971"/>
    <n v="-2061.3599999999997"/>
    <n v="-0.10104705882352939"/>
  </r>
  <r>
    <x v="1"/>
    <x v="0"/>
    <s v=" October  2013"/>
    <n v="1"/>
    <x v="4"/>
    <x v="1"/>
    <x v="3"/>
    <s v="Worst"/>
    <n v="1200"/>
    <n v="17"/>
    <n v="0.1"/>
    <n v="0.18"/>
    <n v="18000"/>
    <n v="0.3"/>
    <n v="20400"/>
    <n v="18360"/>
    <n v="3304.7999999999997"/>
    <n v="21304.799999999999"/>
    <n v="-2944.7999999999993"/>
    <n v="-883.43999999999971"/>
    <n v="-2061.3599999999997"/>
    <n v="-0.10104705882352939"/>
  </r>
  <r>
    <x v="1"/>
    <x v="0"/>
    <s v=" October  2013"/>
    <n v="1"/>
    <x v="4"/>
    <x v="1"/>
    <x v="4"/>
    <s v="Worst"/>
    <n v="1200"/>
    <n v="17"/>
    <n v="0.1"/>
    <n v="0.18"/>
    <n v="18000"/>
    <n v="0.3"/>
    <n v="20400"/>
    <n v="18360"/>
    <n v="3304.7999999999997"/>
    <n v="21304.799999999999"/>
    <n v="-2944.7999999999993"/>
    <n v="-883.43999999999971"/>
    <n v="-2061.3599999999997"/>
    <n v="-0.10104705882352939"/>
  </r>
  <r>
    <x v="1"/>
    <x v="0"/>
    <s v=" October  2013"/>
    <n v="1"/>
    <x v="4"/>
    <x v="2"/>
    <x v="0"/>
    <s v="Worst"/>
    <n v="1200"/>
    <n v="17"/>
    <n v="0.1"/>
    <n v="0.18"/>
    <n v="18000"/>
    <n v="0.3"/>
    <n v="20400"/>
    <n v="18360"/>
    <n v="3304.7999999999997"/>
    <n v="21304.799999999999"/>
    <n v="-2944.7999999999993"/>
    <n v="-883.43999999999971"/>
    <n v="-2061.3599999999997"/>
    <n v="-0.10104705882352939"/>
  </r>
  <r>
    <x v="1"/>
    <x v="0"/>
    <s v=" October  2013"/>
    <n v="1"/>
    <x v="4"/>
    <x v="2"/>
    <x v="1"/>
    <s v="Worst"/>
    <n v="1200"/>
    <n v="17"/>
    <n v="0.1"/>
    <n v="0.18"/>
    <n v="18000"/>
    <n v="0.3"/>
    <n v="20400"/>
    <n v="18360"/>
    <n v="3304.7999999999997"/>
    <n v="21304.799999999999"/>
    <n v="-2944.7999999999993"/>
    <n v="-883.43999999999971"/>
    <n v="-2061.3599999999997"/>
    <n v="-0.10104705882352939"/>
  </r>
  <r>
    <x v="1"/>
    <x v="0"/>
    <s v=" October  2013"/>
    <n v="1"/>
    <x v="4"/>
    <x v="2"/>
    <x v="2"/>
    <s v="Worst"/>
    <n v="1200"/>
    <n v="17"/>
    <n v="0.1"/>
    <n v="0.18"/>
    <n v="18000"/>
    <n v="0.3"/>
    <n v="20400"/>
    <n v="18360"/>
    <n v="3304.7999999999997"/>
    <n v="21304.799999999999"/>
    <n v="-2944.7999999999993"/>
    <n v="-883.43999999999971"/>
    <n v="-2061.3599999999997"/>
    <n v="-0.10104705882352939"/>
  </r>
  <r>
    <x v="1"/>
    <x v="0"/>
    <s v=" October  2013"/>
    <n v="1"/>
    <x v="4"/>
    <x v="2"/>
    <x v="3"/>
    <s v="Worst"/>
    <n v="1200"/>
    <n v="17"/>
    <n v="0.1"/>
    <n v="0.18"/>
    <n v="18000"/>
    <n v="0.3"/>
    <n v="20400"/>
    <n v="18360"/>
    <n v="3304.7999999999997"/>
    <n v="21304.799999999999"/>
    <n v="-2944.7999999999993"/>
    <n v="-883.43999999999971"/>
    <n v="-2061.3599999999997"/>
    <n v="-0.10104705882352939"/>
  </r>
  <r>
    <x v="1"/>
    <x v="0"/>
    <s v=" October  2013"/>
    <n v="1"/>
    <x v="4"/>
    <x v="2"/>
    <x v="4"/>
    <s v="Worst"/>
    <n v="1200"/>
    <n v="17"/>
    <n v="0.1"/>
    <n v="0.18"/>
    <n v="18000"/>
    <n v="0.3"/>
    <n v="20400"/>
    <n v="18360"/>
    <n v="3304.7999999999997"/>
    <n v="21304.799999999999"/>
    <n v="-2944.7999999999993"/>
    <n v="-883.43999999999971"/>
    <n v="-2061.3599999999997"/>
    <n v="-0.10104705882352939"/>
  </r>
  <r>
    <x v="1"/>
    <x v="0"/>
    <s v=" October  2013"/>
    <n v="1"/>
    <x v="4"/>
    <x v="3"/>
    <x v="0"/>
    <s v="Worst"/>
    <n v="1200"/>
    <n v="17"/>
    <n v="0.1"/>
    <n v="0.18"/>
    <n v="18000"/>
    <n v="0.3"/>
    <n v="20400"/>
    <n v="18360"/>
    <n v="3304.7999999999997"/>
    <n v="21304.799999999999"/>
    <n v="-2944.7999999999993"/>
    <n v="-883.43999999999971"/>
    <n v="-2061.3599999999997"/>
    <n v="-0.10104705882352939"/>
  </r>
  <r>
    <x v="1"/>
    <x v="0"/>
    <s v=" October  2013"/>
    <n v="1"/>
    <x v="4"/>
    <x v="3"/>
    <x v="1"/>
    <s v="Worst"/>
    <n v="1200"/>
    <n v="17"/>
    <n v="0.1"/>
    <n v="0.18"/>
    <n v="18000"/>
    <n v="0.3"/>
    <n v="20400"/>
    <n v="18360"/>
    <n v="3304.7999999999997"/>
    <n v="21304.799999999999"/>
    <n v="-2944.7999999999993"/>
    <n v="-883.43999999999971"/>
    <n v="-2061.3599999999997"/>
    <n v="-0.10104705882352939"/>
  </r>
  <r>
    <x v="1"/>
    <x v="0"/>
    <s v=" October  2013"/>
    <n v="1"/>
    <x v="4"/>
    <x v="3"/>
    <x v="2"/>
    <s v="Worst"/>
    <n v="1200"/>
    <n v="17"/>
    <n v="0.1"/>
    <n v="0.18"/>
    <n v="18000"/>
    <n v="0.3"/>
    <n v="20400"/>
    <n v="18360"/>
    <n v="3304.7999999999997"/>
    <n v="21304.799999999999"/>
    <n v="-2944.7999999999993"/>
    <n v="-883.43999999999971"/>
    <n v="-2061.3599999999997"/>
    <n v="-0.10104705882352939"/>
  </r>
  <r>
    <x v="1"/>
    <x v="0"/>
    <s v=" October  2013"/>
    <n v="1"/>
    <x v="4"/>
    <x v="3"/>
    <x v="3"/>
    <s v="Worst"/>
    <n v="1200"/>
    <n v="17"/>
    <n v="0.1"/>
    <n v="0.18"/>
    <n v="18000"/>
    <n v="0.3"/>
    <n v="20400"/>
    <n v="18360"/>
    <n v="3304.7999999999997"/>
    <n v="21304.799999999999"/>
    <n v="-2944.7999999999993"/>
    <n v="-883.43999999999971"/>
    <n v="-2061.3599999999997"/>
    <n v="-0.10104705882352939"/>
  </r>
  <r>
    <x v="1"/>
    <x v="0"/>
    <s v=" October  2013"/>
    <n v="1"/>
    <x v="4"/>
    <x v="3"/>
    <x v="4"/>
    <s v="Worst"/>
    <n v="1200"/>
    <n v="17"/>
    <n v="0.1"/>
    <n v="0.18"/>
    <n v="18000"/>
    <n v="0.3"/>
    <n v="20400"/>
    <n v="18360"/>
    <n v="3304.7999999999997"/>
    <n v="21304.799999999999"/>
    <n v="-2944.7999999999993"/>
    <n v="-883.43999999999971"/>
    <n v="-2061.3599999999997"/>
    <n v="-0.10104705882352939"/>
  </r>
  <r>
    <x v="1"/>
    <x v="0"/>
    <s v=" October  2013"/>
    <n v="1"/>
    <x v="4"/>
    <x v="4"/>
    <x v="0"/>
    <s v="Worst"/>
    <n v="1200"/>
    <n v="17"/>
    <n v="0.1"/>
    <n v="0.18"/>
    <n v="18000"/>
    <n v="0.3"/>
    <n v="20400"/>
    <n v="18360"/>
    <n v="3304.7999999999997"/>
    <n v="21304.799999999999"/>
    <n v="-2944.7999999999993"/>
    <n v="-883.43999999999971"/>
    <n v="-2061.3599999999997"/>
    <n v="-0.10104705882352939"/>
  </r>
  <r>
    <x v="1"/>
    <x v="0"/>
    <s v=" October  2013"/>
    <n v="1"/>
    <x v="4"/>
    <x v="4"/>
    <x v="1"/>
    <s v="Worst"/>
    <n v="1200"/>
    <n v="17"/>
    <n v="0.1"/>
    <n v="0.18"/>
    <n v="18000"/>
    <n v="0.3"/>
    <n v="20400"/>
    <n v="18360"/>
    <n v="3304.7999999999997"/>
    <n v="21304.799999999999"/>
    <n v="-2944.7999999999993"/>
    <n v="-883.43999999999971"/>
    <n v="-2061.3599999999997"/>
    <n v="-0.10104705882352939"/>
  </r>
  <r>
    <x v="1"/>
    <x v="0"/>
    <s v=" October  2013"/>
    <n v="1"/>
    <x v="4"/>
    <x v="4"/>
    <x v="2"/>
    <s v="Worst"/>
    <n v="1200"/>
    <n v="17"/>
    <n v="0.1"/>
    <n v="0.18"/>
    <n v="18000"/>
    <n v="0.3"/>
    <n v="20400"/>
    <n v="18360"/>
    <n v="3304.7999999999997"/>
    <n v="21304.799999999999"/>
    <n v="-2944.7999999999993"/>
    <n v="-883.43999999999971"/>
    <n v="-2061.3599999999997"/>
    <n v="-0.10104705882352939"/>
  </r>
  <r>
    <x v="1"/>
    <x v="0"/>
    <s v=" October  2013"/>
    <n v="1"/>
    <x v="4"/>
    <x v="4"/>
    <x v="3"/>
    <s v="Worst"/>
    <n v="1200"/>
    <n v="17"/>
    <n v="0.1"/>
    <n v="0.18"/>
    <n v="18000"/>
    <n v="0.3"/>
    <n v="20400"/>
    <n v="18360"/>
    <n v="3304.7999999999997"/>
    <n v="21304.799999999999"/>
    <n v="-2944.7999999999993"/>
    <n v="-883.43999999999971"/>
    <n v="-2061.3599999999997"/>
    <n v="-0.10104705882352939"/>
  </r>
  <r>
    <x v="1"/>
    <x v="0"/>
    <s v=" October  2013"/>
    <n v="1"/>
    <x v="4"/>
    <x v="4"/>
    <x v="4"/>
    <s v="Worst"/>
    <n v="1200"/>
    <n v="17"/>
    <n v="0.1"/>
    <n v="0.18"/>
    <n v="18000"/>
    <n v="0.3"/>
    <n v="20400"/>
    <n v="18360"/>
    <n v="3304.7999999999997"/>
    <n v="21304.799999999999"/>
    <n v="-2944.7999999999993"/>
    <n v="-883.43999999999971"/>
    <n v="-2061.3599999999997"/>
    <n v="-0.10104705882352939"/>
  </r>
  <r>
    <x v="2"/>
    <x v="0"/>
    <s v="November 2013"/>
    <n v="1"/>
    <x v="0"/>
    <x v="0"/>
    <x v="0"/>
    <s v="Worst"/>
    <n v="1200"/>
    <n v="17"/>
    <n v="0.1"/>
    <n v="0.18"/>
    <n v="18000"/>
    <n v="0.3"/>
    <n v="20400"/>
    <n v="18360"/>
    <n v="3304.7999999999997"/>
    <n v="21304.799999999999"/>
    <n v="-2944.7999999999993"/>
    <n v="-883.43999999999971"/>
    <n v="-2061.3599999999997"/>
    <n v="-0.10104705882352939"/>
  </r>
  <r>
    <x v="2"/>
    <x v="0"/>
    <s v="November 2013"/>
    <n v="1"/>
    <x v="0"/>
    <x v="0"/>
    <x v="1"/>
    <s v="Worst"/>
    <n v="1200"/>
    <n v="17"/>
    <n v="0.1"/>
    <n v="0.18"/>
    <n v="18000"/>
    <n v="0.3"/>
    <n v="20400"/>
    <n v="18360"/>
    <n v="3304.7999999999997"/>
    <n v="21304.799999999999"/>
    <n v="-2944.7999999999993"/>
    <n v="-883.43999999999971"/>
    <n v="-2061.3599999999997"/>
    <n v="-0.10104705882352939"/>
  </r>
  <r>
    <x v="2"/>
    <x v="0"/>
    <s v="November 2013"/>
    <n v="1"/>
    <x v="0"/>
    <x v="0"/>
    <x v="2"/>
    <s v="Worst"/>
    <n v="1200"/>
    <n v="17"/>
    <n v="0.1"/>
    <n v="0.18"/>
    <n v="18000"/>
    <n v="0.3"/>
    <n v="20400"/>
    <n v="18360"/>
    <n v="3304.7999999999997"/>
    <n v="21304.799999999999"/>
    <n v="-2944.7999999999993"/>
    <n v="-883.43999999999971"/>
    <n v="-2061.3599999999997"/>
    <n v="-0.10104705882352939"/>
  </r>
  <r>
    <x v="2"/>
    <x v="0"/>
    <s v="November 2013"/>
    <n v="1"/>
    <x v="0"/>
    <x v="0"/>
    <x v="3"/>
    <s v="Worst"/>
    <n v="1200"/>
    <n v="17"/>
    <n v="0.1"/>
    <n v="0.18"/>
    <n v="18000"/>
    <n v="0.3"/>
    <n v="20400"/>
    <n v="18360"/>
    <n v="3304.7999999999997"/>
    <n v="21304.799999999999"/>
    <n v="-2944.7999999999993"/>
    <n v="-883.43999999999971"/>
    <n v="-2061.3599999999997"/>
    <n v="-0.10104705882352939"/>
  </r>
  <r>
    <x v="2"/>
    <x v="0"/>
    <s v="November 2013"/>
    <n v="1"/>
    <x v="0"/>
    <x v="0"/>
    <x v="4"/>
    <s v="Worst"/>
    <n v="1200"/>
    <n v="17"/>
    <n v="0.1"/>
    <n v="0.18"/>
    <n v="18000"/>
    <n v="0.3"/>
    <n v="20400"/>
    <n v="18360"/>
    <n v="3304.7999999999997"/>
    <n v="21304.799999999999"/>
    <n v="-2944.7999999999993"/>
    <n v="-883.43999999999971"/>
    <n v="-2061.3599999999997"/>
    <n v="-0.10104705882352939"/>
  </r>
  <r>
    <x v="2"/>
    <x v="0"/>
    <s v="November 2013"/>
    <n v="1"/>
    <x v="0"/>
    <x v="1"/>
    <x v="0"/>
    <s v="Worst"/>
    <n v="1200"/>
    <n v="17"/>
    <n v="0.1"/>
    <n v="0.18"/>
    <n v="18000"/>
    <n v="0.3"/>
    <n v="20400"/>
    <n v="18360"/>
    <n v="3304.7999999999997"/>
    <n v="21304.799999999999"/>
    <n v="-2944.7999999999993"/>
    <n v="-883.43999999999971"/>
    <n v="-2061.3599999999997"/>
    <n v="-0.10104705882352939"/>
  </r>
  <r>
    <x v="2"/>
    <x v="0"/>
    <s v="November 2013"/>
    <n v="1"/>
    <x v="0"/>
    <x v="1"/>
    <x v="1"/>
    <s v="Worst"/>
    <n v="1200"/>
    <n v="17"/>
    <n v="0.1"/>
    <n v="0.18"/>
    <n v="18000"/>
    <n v="0.3"/>
    <n v="20400"/>
    <n v="18360"/>
    <n v="3304.7999999999997"/>
    <n v="21304.799999999999"/>
    <n v="-2944.7999999999993"/>
    <n v="-883.43999999999971"/>
    <n v="-2061.3599999999997"/>
    <n v="-0.10104705882352939"/>
  </r>
  <r>
    <x v="2"/>
    <x v="0"/>
    <s v="November 2013"/>
    <n v="1"/>
    <x v="0"/>
    <x v="1"/>
    <x v="2"/>
    <s v="Worst"/>
    <n v="1200"/>
    <n v="17"/>
    <n v="0.1"/>
    <n v="0.18"/>
    <n v="18000"/>
    <n v="0.3"/>
    <n v="20400"/>
    <n v="18360"/>
    <n v="3304.7999999999997"/>
    <n v="21304.799999999999"/>
    <n v="-2944.7999999999993"/>
    <n v="-883.43999999999971"/>
    <n v="-2061.3599999999997"/>
    <n v="-0.10104705882352939"/>
  </r>
  <r>
    <x v="2"/>
    <x v="0"/>
    <s v="November 2013"/>
    <n v="1"/>
    <x v="0"/>
    <x v="1"/>
    <x v="3"/>
    <s v="Worst"/>
    <n v="1200"/>
    <n v="17"/>
    <n v="0.1"/>
    <n v="0.18"/>
    <n v="18000"/>
    <n v="0.3"/>
    <n v="20400"/>
    <n v="18360"/>
    <n v="3304.7999999999997"/>
    <n v="21304.799999999999"/>
    <n v="-2944.7999999999993"/>
    <n v="-883.43999999999971"/>
    <n v="-2061.3599999999997"/>
    <n v="-0.10104705882352939"/>
  </r>
  <r>
    <x v="2"/>
    <x v="0"/>
    <s v="November 2013"/>
    <n v="1"/>
    <x v="0"/>
    <x v="1"/>
    <x v="4"/>
    <s v="Worst"/>
    <n v="1200"/>
    <n v="17"/>
    <n v="0.1"/>
    <n v="0.18"/>
    <n v="18000"/>
    <n v="0.3"/>
    <n v="20400"/>
    <n v="18360"/>
    <n v="3304.7999999999997"/>
    <n v="21304.799999999999"/>
    <n v="-2944.7999999999993"/>
    <n v="-883.43999999999971"/>
    <n v="-2061.3599999999997"/>
    <n v="-0.10104705882352939"/>
  </r>
  <r>
    <x v="2"/>
    <x v="0"/>
    <s v="November 2013"/>
    <n v="1"/>
    <x v="0"/>
    <x v="2"/>
    <x v="0"/>
    <s v="Worst"/>
    <n v="1200"/>
    <n v="17"/>
    <n v="0.1"/>
    <n v="0.18"/>
    <n v="18000"/>
    <n v="0.3"/>
    <n v="20400"/>
    <n v="18360"/>
    <n v="3304.7999999999997"/>
    <n v="21304.799999999999"/>
    <n v="-2944.7999999999993"/>
    <n v="-883.43999999999971"/>
    <n v="-2061.3599999999997"/>
    <n v="-0.10104705882352939"/>
  </r>
  <r>
    <x v="2"/>
    <x v="0"/>
    <s v="November 2013"/>
    <n v="1"/>
    <x v="0"/>
    <x v="2"/>
    <x v="1"/>
    <s v="Worst"/>
    <n v="1200"/>
    <n v="17"/>
    <n v="0.1"/>
    <n v="0.18"/>
    <n v="18000"/>
    <n v="0.3"/>
    <n v="20400"/>
    <n v="18360"/>
    <n v="3304.7999999999997"/>
    <n v="21304.799999999999"/>
    <n v="-2944.7999999999993"/>
    <n v="-883.43999999999971"/>
    <n v="-2061.3599999999997"/>
    <n v="-0.10104705882352939"/>
  </r>
  <r>
    <x v="2"/>
    <x v="0"/>
    <s v="November 2013"/>
    <n v="1"/>
    <x v="0"/>
    <x v="2"/>
    <x v="2"/>
    <s v="Worst"/>
    <n v="1200"/>
    <n v="17"/>
    <n v="0.1"/>
    <n v="0.18"/>
    <n v="18000"/>
    <n v="0.3"/>
    <n v="20400"/>
    <n v="18360"/>
    <n v="3304.7999999999997"/>
    <n v="21304.799999999999"/>
    <n v="-2944.7999999999993"/>
    <n v="-883.43999999999971"/>
    <n v="-2061.3599999999997"/>
    <n v="-0.10104705882352939"/>
  </r>
  <r>
    <x v="2"/>
    <x v="0"/>
    <s v="November 2013"/>
    <n v="1"/>
    <x v="0"/>
    <x v="2"/>
    <x v="3"/>
    <s v="Worst"/>
    <n v="1200"/>
    <n v="17"/>
    <n v="0.1"/>
    <n v="0.18"/>
    <n v="18000"/>
    <n v="0.3"/>
    <n v="20400"/>
    <n v="18360"/>
    <n v="3304.7999999999997"/>
    <n v="21304.799999999999"/>
    <n v="-2944.7999999999993"/>
    <n v="-883.43999999999971"/>
    <n v="-2061.3599999999997"/>
    <n v="-0.10104705882352939"/>
  </r>
  <r>
    <x v="2"/>
    <x v="0"/>
    <s v="November 2013"/>
    <n v="1"/>
    <x v="0"/>
    <x v="2"/>
    <x v="4"/>
    <s v="Worst"/>
    <n v="1200"/>
    <n v="17"/>
    <n v="0.1"/>
    <n v="0.18"/>
    <n v="18000"/>
    <n v="0.3"/>
    <n v="20400"/>
    <n v="18360"/>
    <n v="3304.7999999999997"/>
    <n v="21304.799999999999"/>
    <n v="-2944.7999999999993"/>
    <n v="-883.43999999999971"/>
    <n v="-2061.3599999999997"/>
    <n v="-0.10104705882352939"/>
  </r>
  <r>
    <x v="2"/>
    <x v="0"/>
    <s v="November 2013"/>
    <n v="1"/>
    <x v="0"/>
    <x v="3"/>
    <x v="0"/>
    <s v="Worst"/>
    <n v="1200"/>
    <n v="17"/>
    <n v="0.1"/>
    <n v="0.18"/>
    <n v="18000"/>
    <n v="0.3"/>
    <n v="20400"/>
    <n v="18360"/>
    <n v="3304.7999999999997"/>
    <n v="21304.799999999999"/>
    <n v="-2944.7999999999993"/>
    <n v="-883.43999999999971"/>
    <n v="-2061.3599999999997"/>
    <n v="-0.10104705882352939"/>
  </r>
  <r>
    <x v="2"/>
    <x v="0"/>
    <s v="November 2013"/>
    <n v="1"/>
    <x v="0"/>
    <x v="3"/>
    <x v="1"/>
    <s v="Worst"/>
    <n v="1200"/>
    <n v="17"/>
    <n v="0.1"/>
    <n v="0.18"/>
    <n v="18000"/>
    <n v="0.3"/>
    <n v="20400"/>
    <n v="18360"/>
    <n v="3304.7999999999997"/>
    <n v="21304.799999999999"/>
    <n v="-2944.7999999999993"/>
    <n v="-883.43999999999971"/>
    <n v="-2061.3599999999997"/>
    <n v="-0.10104705882352939"/>
  </r>
  <r>
    <x v="2"/>
    <x v="0"/>
    <s v="November 2013"/>
    <n v="1"/>
    <x v="0"/>
    <x v="3"/>
    <x v="2"/>
    <s v="Worst"/>
    <n v="1200"/>
    <n v="17"/>
    <n v="0.1"/>
    <n v="0.18"/>
    <n v="18000"/>
    <n v="0.3"/>
    <n v="20400"/>
    <n v="18360"/>
    <n v="3304.7999999999997"/>
    <n v="21304.799999999999"/>
    <n v="-2944.7999999999993"/>
    <n v="-883.43999999999971"/>
    <n v="-2061.3599999999997"/>
    <n v="-0.10104705882352939"/>
  </r>
  <r>
    <x v="2"/>
    <x v="0"/>
    <s v="November 2013"/>
    <n v="1"/>
    <x v="0"/>
    <x v="3"/>
    <x v="3"/>
    <s v="Worst"/>
    <n v="1200"/>
    <n v="17"/>
    <n v="0.1"/>
    <n v="0.18"/>
    <n v="18000"/>
    <n v="0.3"/>
    <n v="20400"/>
    <n v="18360"/>
    <n v="3304.7999999999997"/>
    <n v="21304.799999999999"/>
    <n v="-2944.7999999999993"/>
    <n v="-883.43999999999971"/>
    <n v="-2061.3599999999997"/>
    <n v="-0.10104705882352939"/>
  </r>
  <r>
    <x v="2"/>
    <x v="0"/>
    <s v="November 2013"/>
    <n v="1"/>
    <x v="0"/>
    <x v="3"/>
    <x v="4"/>
    <s v="Worst"/>
    <n v="1200"/>
    <n v="17"/>
    <n v="0.1"/>
    <n v="0.18"/>
    <n v="18000"/>
    <n v="0.3"/>
    <n v="20400"/>
    <n v="18360"/>
    <n v="3304.7999999999997"/>
    <n v="21304.799999999999"/>
    <n v="-2944.7999999999993"/>
    <n v="-883.43999999999971"/>
    <n v="-2061.3599999999997"/>
    <n v="-0.10104705882352939"/>
  </r>
  <r>
    <x v="2"/>
    <x v="0"/>
    <s v="November 2013"/>
    <n v="1"/>
    <x v="0"/>
    <x v="4"/>
    <x v="0"/>
    <s v="Worst"/>
    <n v="1200"/>
    <n v="17"/>
    <n v="0.1"/>
    <n v="0.18"/>
    <n v="18000"/>
    <n v="0.3"/>
    <n v="20400"/>
    <n v="18360"/>
    <n v="3304.7999999999997"/>
    <n v="21304.799999999999"/>
    <n v="-2944.7999999999993"/>
    <n v="-883.43999999999971"/>
    <n v="-2061.3599999999997"/>
    <n v="-0.10104705882352939"/>
  </r>
  <r>
    <x v="2"/>
    <x v="0"/>
    <s v="November 2013"/>
    <n v="1"/>
    <x v="0"/>
    <x v="4"/>
    <x v="1"/>
    <s v="Worst"/>
    <n v="1200"/>
    <n v="17"/>
    <n v="0.1"/>
    <n v="0.18"/>
    <n v="18000"/>
    <n v="0.3"/>
    <n v="20400"/>
    <n v="18360"/>
    <n v="3304.7999999999997"/>
    <n v="21304.799999999999"/>
    <n v="-2944.7999999999993"/>
    <n v="-883.43999999999971"/>
    <n v="-2061.3599999999997"/>
    <n v="-0.10104705882352939"/>
  </r>
  <r>
    <x v="2"/>
    <x v="0"/>
    <s v="November 2013"/>
    <n v="1"/>
    <x v="0"/>
    <x v="4"/>
    <x v="2"/>
    <s v="Worst"/>
    <n v="1200"/>
    <n v="17"/>
    <n v="0.1"/>
    <n v="0.18"/>
    <n v="18000"/>
    <n v="0.3"/>
    <n v="20400"/>
    <n v="18360"/>
    <n v="3304.7999999999997"/>
    <n v="21304.799999999999"/>
    <n v="-2944.7999999999993"/>
    <n v="-883.43999999999971"/>
    <n v="-2061.3599999999997"/>
    <n v="-0.10104705882352939"/>
  </r>
  <r>
    <x v="2"/>
    <x v="0"/>
    <s v="November 2013"/>
    <n v="1"/>
    <x v="0"/>
    <x v="4"/>
    <x v="3"/>
    <s v="Worst"/>
    <n v="1200"/>
    <n v="17"/>
    <n v="0.1"/>
    <n v="0.18"/>
    <n v="18000"/>
    <n v="0.3"/>
    <n v="20400"/>
    <n v="18360"/>
    <n v="3304.7999999999997"/>
    <n v="21304.799999999999"/>
    <n v="-2944.7999999999993"/>
    <n v="-883.43999999999971"/>
    <n v="-2061.3599999999997"/>
    <n v="-0.10104705882352939"/>
  </r>
  <r>
    <x v="2"/>
    <x v="0"/>
    <s v="November 2013"/>
    <n v="1"/>
    <x v="0"/>
    <x v="4"/>
    <x v="4"/>
    <s v="Worst"/>
    <n v="1200"/>
    <n v="17"/>
    <n v="0.1"/>
    <n v="0.18"/>
    <n v="18000"/>
    <n v="0.3"/>
    <n v="20400"/>
    <n v="18360"/>
    <n v="3304.7999999999997"/>
    <n v="21304.799999999999"/>
    <n v="-2944.7999999999993"/>
    <n v="-883.43999999999971"/>
    <n v="-2061.3599999999997"/>
    <n v="-0.10104705882352939"/>
  </r>
  <r>
    <x v="2"/>
    <x v="0"/>
    <s v="November 2013"/>
    <n v="1"/>
    <x v="1"/>
    <x v="0"/>
    <x v="0"/>
    <s v="Worst"/>
    <n v="1200"/>
    <n v="17"/>
    <n v="0.1"/>
    <n v="0.18"/>
    <n v="18000"/>
    <n v="0.3"/>
    <n v="20400"/>
    <n v="18360"/>
    <n v="3304.7999999999997"/>
    <n v="21304.799999999999"/>
    <n v="-2944.7999999999993"/>
    <n v="-883.43999999999971"/>
    <n v="-2061.3599999999997"/>
    <n v="-0.10104705882352939"/>
  </r>
  <r>
    <x v="2"/>
    <x v="0"/>
    <s v="November 2013"/>
    <n v="1"/>
    <x v="1"/>
    <x v="0"/>
    <x v="1"/>
    <s v="Worst"/>
    <n v="1200"/>
    <n v="17"/>
    <n v="0.1"/>
    <n v="0.18"/>
    <n v="18000"/>
    <n v="0.3"/>
    <n v="20400"/>
    <n v="18360"/>
    <n v="3304.7999999999997"/>
    <n v="21304.799999999999"/>
    <n v="-2944.7999999999993"/>
    <n v="-883.43999999999971"/>
    <n v="-2061.3599999999997"/>
    <n v="-0.10104705882352939"/>
  </r>
  <r>
    <x v="2"/>
    <x v="0"/>
    <s v="November 2013"/>
    <n v="1"/>
    <x v="1"/>
    <x v="0"/>
    <x v="2"/>
    <s v="Worst"/>
    <n v="1200"/>
    <n v="17"/>
    <n v="0.1"/>
    <n v="0.18"/>
    <n v="18000"/>
    <n v="0.3"/>
    <n v="20400"/>
    <n v="18360"/>
    <n v="3304.7999999999997"/>
    <n v="21304.799999999999"/>
    <n v="-2944.7999999999993"/>
    <n v="-883.43999999999971"/>
    <n v="-2061.3599999999997"/>
    <n v="-0.10104705882352939"/>
  </r>
  <r>
    <x v="2"/>
    <x v="0"/>
    <s v="November 2013"/>
    <n v="1"/>
    <x v="1"/>
    <x v="0"/>
    <x v="3"/>
    <s v="Worst"/>
    <n v="1200"/>
    <n v="17"/>
    <n v="0.1"/>
    <n v="0.18"/>
    <n v="18000"/>
    <n v="0.3"/>
    <n v="20400"/>
    <n v="18360"/>
    <n v="3304.7999999999997"/>
    <n v="21304.799999999999"/>
    <n v="-2944.7999999999993"/>
    <n v="-883.43999999999971"/>
    <n v="-2061.3599999999997"/>
    <n v="-0.10104705882352939"/>
  </r>
  <r>
    <x v="2"/>
    <x v="0"/>
    <s v="November 2013"/>
    <n v="1"/>
    <x v="1"/>
    <x v="0"/>
    <x v="4"/>
    <s v="Worst"/>
    <n v="1200"/>
    <n v="17"/>
    <n v="0.1"/>
    <n v="0.18"/>
    <n v="18000"/>
    <n v="0.3"/>
    <n v="20400"/>
    <n v="18360"/>
    <n v="3304.7999999999997"/>
    <n v="21304.799999999999"/>
    <n v="-2944.7999999999993"/>
    <n v="-883.43999999999971"/>
    <n v="-2061.3599999999997"/>
    <n v="-0.10104705882352939"/>
  </r>
  <r>
    <x v="2"/>
    <x v="0"/>
    <s v="November 2013"/>
    <n v="1"/>
    <x v="1"/>
    <x v="1"/>
    <x v="0"/>
    <s v="Worst"/>
    <n v="1200"/>
    <n v="17"/>
    <n v="0.1"/>
    <n v="0.18"/>
    <n v="18000"/>
    <n v="0.3"/>
    <n v="20400"/>
    <n v="18360"/>
    <n v="3304.7999999999997"/>
    <n v="21304.799999999999"/>
    <n v="-2944.7999999999993"/>
    <n v="-883.43999999999971"/>
    <n v="-2061.3599999999997"/>
    <n v="-0.10104705882352939"/>
  </r>
  <r>
    <x v="2"/>
    <x v="0"/>
    <s v="November 2013"/>
    <n v="1"/>
    <x v="1"/>
    <x v="1"/>
    <x v="1"/>
    <s v="Worst"/>
    <n v="1200"/>
    <n v="17"/>
    <n v="0.1"/>
    <n v="0.18"/>
    <n v="18000"/>
    <n v="0.3"/>
    <n v="20400"/>
    <n v="18360"/>
    <n v="3304.7999999999997"/>
    <n v="21304.799999999999"/>
    <n v="-2944.7999999999993"/>
    <n v="-883.43999999999971"/>
    <n v="-2061.3599999999997"/>
    <n v="-0.10104705882352939"/>
  </r>
  <r>
    <x v="2"/>
    <x v="0"/>
    <s v="November 2013"/>
    <n v="1"/>
    <x v="1"/>
    <x v="1"/>
    <x v="2"/>
    <s v="Worst"/>
    <n v="1200"/>
    <n v="17"/>
    <n v="0.1"/>
    <n v="0.18"/>
    <n v="18000"/>
    <n v="0.3"/>
    <n v="20400"/>
    <n v="18360"/>
    <n v="3304.7999999999997"/>
    <n v="21304.799999999999"/>
    <n v="-2944.7999999999993"/>
    <n v="-883.43999999999971"/>
    <n v="-2061.3599999999997"/>
    <n v="-0.10104705882352939"/>
  </r>
  <r>
    <x v="2"/>
    <x v="0"/>
    <s v="November 2013"/>
    <n v="1"/>
    <x v="1"/>
    <x v="1"/>
    <x v="3"/>
    <s v="Worst"/>
    <n v="1200"/>
    <n v="17"/>
    <n v="0.1"/>
    <n v="0.18"/>
    <n v="18000"/>
    <n v="0.3"/>
    <n v="20400"/>
    <n v="18360"/>
    <n v="3304.7999999999997"/>
    <n v="21304.799999999999"/>
    <n v="-2944.7999999999993"/>
    <n v="-883.43999999999971"/>
    <n v="-2061.3599999999997"/>
    <n v="-0.10104705882352939"/>
  </r>
  <r>
    <x v="2"/>
    <x v="0"/>
    <s v="November 2013"/>
    <n v="1"/>
    <x v="1"/>
    <x v="1"/>
    <x v="4"/>
    <s v="Worst"/>
    <n v="1200"/>
    <n v="17"/>
    <n v="0.1"/>
    <n v="0.18"/>
    <n v="18000"/>
    <n v="0.3"/>
    <n v="20400"/>
    <n v="18360"/>
    <n v="3304.7999999999997"/>
    <n v="21304.799999999999"/>
    <n v="-2944.7999999999993"/>
    <n v="-883.43999999999971"/>
    <n v="-2061.3599999999997"/>
    <n v="-0.10104705882352939"/>
  </r>
  <r>
    <x v="2"/>
    <x v="0"/>
    <s v="November 2013"/>
    <n v="1"/>
    <x v="1"/>
    <x v="2"/>
    <x v="0"/>
    <s v="Worst"/>
    <n v="1200"/>
    <n v="17"/>
    <n v="0.1"/>
    <n v="0.18"/>
    <n v="18000"/>
    <n v="0.3"/>
    <n v="20400"/>
    <n v="18360"/>
    <n v="3304.7999999999997"/>
    <n v="21304.799999999999"/>
    <n v="-2944.7999999999993"/>
    <n v="-883.43999999999971"/>
    <n v="-2061.3599999999997"/>
    <n v="-0.10104705882352939"/>
  </r>
  <r>
    <x v="2"/>
    <x v="0"/>
    <s v="November 2013"/>
    <n v="1"/>
    <x v="1"/>
    <x v="2"/>
    <x v="1"/>
    <s v="Worst"/>
    <n v="1200"/>
    <n v="17"/>
    <n v="0.1"/>
    <n v="0.18"/>
    <n v="18000"/>
    <n v="0.3"/>
    <n v="20400"/>
    <n v="18360"/>
    <n v="3304.7999999999997"/>
    <n v="21304.799999999999"/>
    <n v="-2944.7999999999993"/>
    <n v="-883.43999999999971"/>
    <n v="-2061.3599999999997"/>
    <n v="-0.10104705882352939"/>
  </r>
  <r>
    <x v="2"/>
    <x v="0"/>
    <s v="November 2013"/>
    <n v="1"/>
    <x v="1"/>
    <x v="2"/>
    <x v="2"/>
    <s v="Worst"/>
    <n v="1200"/>
    <n v="17"/>
    <n v="0.1"/>
    <n v="0.18"/>
    <n v="18000"/>
    <n v="0.3"/>
    <n v="20400"/>
    <n v="18360"/>
    <n v="3304.7999999999997"/>
    <n v="21304.799999999999"/>
    <n v="-2944.7999999999993"/>
    <n v="-883.43999999999971"/>
    <n v="-2061.3599999999997"/>
    <n v="-0.10104705882352939"/>
  </r>
  <r>
    <x v="2"/>
    <x v="0"/>
    <s v="November 2013"/>
    <n v="1"/>
    <x v="1"/>
    <x v="2"/>
    <x v="3"/>
    <s v="Worst"/>
    <n v="1200"/>
    <n v="17"/>
    <n v="0.1"/>
    <n v="0.18"/>
    <n v="18000"/>
    <n v="0.3"/>
    <n v="20400"/>
    <n v="18360"/>
    <n v="3304.7999999999997"/>
    <n v="21304.799999999999"/>
    <n v="-2944.7999999999993"/>
    <n v="-883.43999999999971"/>
    <n v="-2061.3599999999997"/>
    <n v="-0.10104705882352939"/>
  </r>
  <r>
    <x v="2"/>
    <x v="0"/>
    <s v="November 2013"/>
    <n v="1"/>
    <x v="1"/>
    <x v="2"/>
    <x v="4"/>
    <s v="Worst"/>
    <n v="1200"/>
    <n v="17"/>
    <n v="0.1"/>
    <n v="0.18"/>
    <n v="18000"/>
    <n v="0.3"/>
    <n v="20400"/>
    <n v="18360"/>
    <n v="3304.7999999999997"/>
    <n v="21304.799999999999"/>
    <n v="-2944.7999999999993"/>
    <n v="-883.43999999999971"/>
    <n v="-2061.3599999999997"/>
    <n v="-0.10104705882352939"/>
  </r>
  <r>
    <x v="2"/>
    <x v="0"/>
    <s v="November 2013"/>
    <n v="1"/>
    <x v="1"/>
    <x v="3"/>
    <x v="0"/>
    <s v="Worst"/>
    <n v="1200"/>
    <n v="17"/>
    <n v="0.1"/>
    <n v="0.18"/>
    <n v="18000"/>
    <n v="0.3"/>
    <n v="20400"/>
    <n v="18360"/>
    <n v="3304.7999999999997"/>
    <n v="21304.799999999999"/>
    <n v="-2944.7999999999993"/>
    <n v="-883.43999999999971"/>
    <n v="-2061.3599999999997"/>
    <n v="-0.10104705882352939"/>
  </r>
  <r>
    <x v="2"/>
    <x v="0"/>
    <s v="November 2013"/>
    <n v="1"/>
    <x v="1"/>
    <x v="3"/>
    <x v="1"/>
    <s v="Worst"/>
    <n v="1200"/>
    <n v="17"/>
    <n v="0.1"/>
    <n v="0.18"/>
    <n v="18000"/>
    <n v="0.3"/>
    <n v="20400"/>
    <n v="18360"/>
    <n v="3304.7999999999997"/>
    <n v="21304.799999999999"/>
    <n v="-2944.7999999999993"/>
    <n v="-883.43999999999971"/>
    <n v="-2061.3599999999997"/>
    <n v="-0.10104705882352939"/>
  </r>
  <r>
    <x v="2"/>
    <x v="0"/>
    <s v="November 2013"/>
    <n v="1"/>
    <x v="1"/>
    <x v="3"/>
    <x v="2"/>
    <s v="Worst"/>
    <n v="1200"/>
    <n v="17"/>
    <n v="0.1"/>
    <n v="0.18"/>
    <n v="18000"/>
    <n v="0.3"/>
    <n v="20400"/>
    <n v="18360"/>
    <n v="3304.7999999999997"/>
    <n v="21304.799999999999"/>
    <n v="-2944.7999999999993"/>
    <n v="-883.43999999999971"/>
    <n v="-2061.3599999999997"/>
    <n v="-0.10104705882352939"/>
  </r>
  <r>
    <x v="2"/>
    <x v="0"/>
    <s v="November 2013"/>
    <n v="1"/>
    <x v="1"/>
    <x v="3"/>
    <x v="3"/>
    <s v="Worst"/>
    <n v="1200"/>
    <n v="17"/>
    <n v="0.1"/>
    <n v="0.18"/>
    <n v="18000"/>
    <n v="0.3"/>
    <n v="20400"/>
    <n v="18360"/>
    <n v="3304.7999999999997"/>
    <n v="21304.799999999999"/>
    <n v="-2944.7999999999993"/>
    <n v="-883.43999999999971"/>
    <n v="-2061.3599999999997"/>
    <n v="-0.10104705882352939"/>
  </r>
  <r>
    <x v="2"/>
    <x v="0"/>
    <s v="November 2013"/>
    <n v="1"/>
    <x v="1"/>
    <x v="3"/>
    <x v="4"/>
    <s v="Worst"/>
    <n v="1200"/>
    <n v="17"/>
    <n v="0.1"/>
    <n v="0.18"/>
    <n v="18000"/>
    <n v="0.3"/>
    <n v="20400"/>
    <n v="18360"/>
    <n v="3304.7999999999997"/>
    <n v="21304.799999999999"/>
    <n v="-2944.7999999999993"/>
    <n v="-883.43999999999971"/>
    <n v="-2061.3599999999997"/>
    <n v="-0.10104705882352939"/>
  </r>
  <r>
    <x v="2"/>
    <x v="0"/>
    <s v="November 2013"/>
    <n v="1"/>
    <x v="1"/>
    <x v="4"/>
    <x v="0"/>
    <s v="Worst"/>
    <n v="1200"/>
    <n v="17"/>
    <n v="0.1"/>
    <n v="0.18"/>
    <n v="18000"/>
    <n v="0.3"/>
    <n v="20400"/>
    <n v="18360"/>
    <n v="3304.7999999999997"/>
    <n v="21304.799999999999"/>
    <n v="-2944.7999999999993"/>
    <n v="-883.43999999999971"/>
    <n v="-2061.3599999999997"/>
    <n v="-0.10104705882352939"/>
  </r>
  <r>
    <x v="2"/>
    <x v="0"/>
    <s v="November 2013"/>
    <n v="1"/>
    <x v="1"/>
    <x v="4"/>
    <x v="1"/>
    <s v="Worst"/>
    <n v="1200"/>
    <n v="17"/>
    <n v="0.1"/>
    <n v="0.18"/>
    <n v="18000"/>
    <n v="0.3"/>
    <n v="20400"/>
    <n v="18360"/>
    <n v="3304.7999999999997"/>
    <n v="21304.799999999999"/>
    <n v="-2944.7999999999993"/>
    <n v="-883.43999999999971"/>
    <n v="-2061.3599999999997"/>
    <n v="-0.10104705882352939"/>
  </r>
  <r>
    <x v="2"/>
    <x v="0"/>
    <s v="November 2013"/>
    <n v="1"/>
    <x v="1"/>
    <x v="4"/>
    <x v="2"/>
    <s v="Worst"/>
    <n v="1200"/>
    <n v="17"/>
    <n v="0.1"/>
    <n v="0.18"/>
    <n v="18000"/>
    <n v="0.3"/>
    <n v="20400"/>
    <n v="18360"/>
    <n v="3304.7999999999997"/>
    <n v="21304.799999999999"/>
    <n v="-2944.7999999999993"/>
    <n v="-883.43999999999971"/>
    <n v="-2061.3599999999997"/>
    <n v="-0.10104705882352939"/>
  </r>
  <r>
    <x v="2"/>
    <x v="0"/>
    <s v="November 2013"/>
    <n v="1"/>
    <x v="1"/>
    <x v="4"/>
    <x v="3"/>
    <s v="Worst"/>
    <n v="1200"/>
    <n v="17"/>
    <n v="0.1"/>
    <n v="0.18"/>
    <n v="18000"/>
    <n v="0.3"/>
    <n v="20400"/>
    <n v="18360"/>
    <n v="3304.7999999999997"/>
    <n v="21304.799999999999"/>
    <n v="-2944.7999999999993"/>
    <n v="-883.43999999999971"/>
    <n v="-2061.3599999999997"/>
    <n v="-0.10104705882352939"/>
  </r>
  <r>
    <x v="2"/>
    <x v="0"/>
    <s v="November 2013"/>
    <n v="1"/>
    <x v="1"/>
    <x v="4"/>
    <x v="4"/>
    <s v="Worst"/>
    <n v="1200"/>
    <n v="17"/>
    <n v="0.1"/>
    <n v="0.18"/>
    <n v="18000"/>
    <n v="0.3"/>
    <n v="20400"/>
    <n v="18360"/>
    <n v="3304.7999999999997"/>
    <n v="21304.799999999999"/>
    <n v="-2944.7999999999993"/>
    <n v="-883.43999999999971"/>
    <n v="-2061.3599999999997"/>
    <n v="-0.10104705882352939"/>
  </r>
  <r>
    <x v="2"/>
    <x v="0"/>
    <s v="November 2013"/>
    <n v="1"/>
    <x v="2"/>
    <x v="0"/>
    <x v="0"/>
    <s v="Worst"/>
    <n v="1200"/>
    <n v="17"/>
    <n v="0.1"/>
    <n v="0.18"/>
    <n v="18000"/>
    <n v="0.3"/>
    <n v="20400"/>
    <n v="18360"/>
    <n v="3304.7999999999997"/>
    <n v="21304.799999999999"/>
    <n v="-2944.7999999999993"/>
    <n v="-883.43999999999971"/>
    <n v="-2061.3599999999997"/>
    <n v="-0.10104705882352939"/>
  </r>
  <r>
    <x v="2"/>
    <x v="0"/>
    <s v="November 2013"/>
    <n v="1"/>
    <x v="2"/>
    <x v="0"/>
    <x v="1"/>
    <s v="Worst"/>
    <n v="1200"/>
    <n v="17"/>
    <n v="0.1"/>
    <n v="0.18"/>
    <n v="18000"/>
    <n v="0.3"/>
    <n v="20400"/>
    <n v="18360"/>
    <n v="3304.7999999999997"/>
    <n v="21304.799999999999"/>
    <n v="-2944.7999999999993"/>
    <n v="-883.43999999999971"/>
    <n v="-2061.3599999999997"/>
    <n v="-0.10104705882352939"/>
  </r>
  <r>
    <x v="2"/>
    <x v="0"/>
    <s v="November 2013"/>
    <n v="1"/>
    <x v="2"/>
    <x v="0"/>
    <x v="2"/>
    <s v="Worst"/>
    <n v="1200"/>
    <n v="17"/>
    <n v="0.1"/>
    <n v="0.18"/>
    <n v="18000"/>
    <n v="0.3"/>
    <n v="20400"/>
    <n v="18360"/>
    <n v="3304.7999999999997"/>
    <n v="21304.799999999999"/>
    <n v="-2944.7999999999993"/>
    <n v="-883.43999999999971"/>
    <n v="-2061.3599999999997"/>
    <n v="-0.10104705882352939"/>
  </r>
  <r>
    <x v="2"/>
    <x v="0"/>
    <s v="November 2013"/>
    <n v="1"/>
    <x v="2"/>
    <x v="0"/>
    <x v="3"/>
    <s v="Worst"/>
    <n v="1200"/>
    <n v="17"/>
    <n v="0.1"/>
    <n v="0.18"/>
    <n v="18000"/>
    <n v="0.3"/>
    <n v="20400"/>
    <n v="18360"/>
    <n v="3304.7999999999997"/>
    <n v="21304.799999999999"/>
    <n v="-2944.7999999999993"/>
    <n v="-883.43999999999971"/>
    <n v="-2061.3599999999997"/>
    <n v="-0.10104705882352939"/>
  </r>
  <r>
    <x v="2"/>
    <x v="0"/>
    <s v="November 2013"/>
    <n v="1"/>
    <x v="2"/>
    <x v="0"/>
    <x v="4"/>
    <s v="Worst"/>
    <n v="1200"/>
    <n v="17"/>
    <n v="0.1"/>
    <n v="0.18"/>
    <n v="18000"/>
    <n v="0.3"/>
    <n v="20400"/>
    <n v="18360"/>
    <n v="3304.7999999999997"/>
    <n v="21304.799999999999"/>
    <n v="-2944.7999999999993"/>
    <n v="-883.43999999999971"/>
    <n v="-2061.3599999999997"/>
    <n v="-0.10104705882352939"/>
  </r>
  <r>
    <x v="2"/>
    <x v="0"/>
    <s v="November 2013"/>
    <n v="1"/>
    <x v="2"/>
    <x v="1"/>
    <x v="0"/>
    <s v="Worst"/>
    <n v="1200"/>
    <n v="17"/>
    <n v="0.1"/>
    <n v="0.18"/>
    <n v="18000"/>
    <n v="0.3"/>
    <n v="20400"/>
    <n v="18360"/>
    <n v="3304.7999999999997"/>
    <n v="21304.799999999999"/>
    <n v="-2944.7999999999993"/>
    <n v="-883.43999999999971"/>
    <n v="-2061.3599999999997"/>
    <n v="-0.10104705882352939"/>
  </r>
  <r>
    <x v="2"/>
    <x v="0"/>
    <s v="November 2013"/>
    <n v="1"/>
    <x v="2"/>
    <x v="1"/>
    <x v="1"/>
    <s v="Worst"/>
    <n v="1200"/>
    <n v="17"/>
    <n v="0.1"/>
    <n v="0.18"/>
    <n v="18000"/>
    <n v="0.3"/>
    <n v="20400"/>
    <n v="18360"/>
    <n v="3304.7999999999997"/>
    <n v="21304.799999999999"/>
    <n v="-2944.7999999999993"/>
    <n v="-883.43999999999971"/>
    <n v="-2061.3599999999997"/>
    <n v="-0.10104705882352939"/>
  </r>
  <r>
    <x v="2"/>
    <x v="0"/>
    <s v="November 2013"/>
    <n v="1"/>
    <x v="2"/>
    <x v="1"/>
    <x v="2"/>
    <s v="Worst"/>
    <n v="1200"/>
    <n v="17"/>
    <n v="0.1"/>
    <n v="0.18"/>
    <n v="18000"/>
    <n v="0.3"/>
    <n v="20400"/>
    <n v="18360"/>
    <n v="3304.7999999999997"/>
    <n v="21304.799999999999"/>
    <n v="-2944.7999999999993"/>
    <n v="-883.43999999999971"/>
    <n v="-2061.3599999999997"/>
    <n v="-0.10104705882352939"/>
  </r>
  <r>
    <x v="2"/>
    <x v="0"/>
    <s v="November 2013"/>
    <n v="1"/>
    <x v="2"/>
    <x v="1"/>
    <x v="3"/>
    <s v="Worst"/>
    <n v="1200"/>
    <n v="17"/>
    <n v="0.1"/>
    <n v="0.18"/>
    <n v="18000"/>
    <n v="0.3"/>
    <n v="20400"/>
    <n v="18360"/>
    <n v="3304.7999999999997"/>
    <n v="21304.799999999999"/>
    <n v="-2944.7999999999993"/>
    <n v="-883.43999999999971"/>
    <n v="-2061.3599999999997"/>
    <n v="-0.10104705882352939"/>
  </r>
  <r>
    <x v="2"/>
    <x v="0"/>
    <s v="November 2013"/>
    <n v="1"/>
    <x v="2"/>
    <x v="1"/>
    <x v="4"/>
    <s v="Worst"/>
    <n v="1200"/>
    <n v="17"/>
    <n v="0.1"/>
    <n v="0.18"/>
    <n v="18000"/>
    <n v="0.3"/>
    <n v="20400"/>
    <n v="18360"/>
    <n v="3304.7999999999997"/>
    <n v="21304.799999999999"/>
    <n v="-2944.7999999999993"/>
    <n v="-883.43999999999971"/>
    <n v="-2061.3599999999997"/>
    <n v="-0.10104705882352939"/>
  </r>
  <r>
    <x v="2"/>
    <x v="0"/>
    <s v="November 2013"/>
    <n v="1"/>
    <x v="2"/>
    <x v="2"/>
    <x v="0"/>
    <s v="Worst"/>
    <n v="1200"/>
    <n v="17"/>
    <n v="0.1"/>
    <n v="0.18"/>
    <n v="18000"/>
    <n v="0.3"/>
    <n v="20400"/>
    <n v="18360"/>
    <n v="3304.7999999999997"/>
    <n v="21304.799999999999"/>
    <n v="-2944.7999999999993"/>
    <n v="-883.43999999999971"/>
    <n v="-2061.3599999999997"/>
    <n v="-0.10104705882352939"/>
  </r>
  <r>
    <x v="2"/>
    <x v="0"/>
    <s v="November 2013"/>
    <n v="1"/>
    <x v="2"/>
    <x v="2"/>
    <x v="1"/>
    <s v="Worst"/>
    <n v="1200"/>
    <n v="17"/>
    <n v="0.1"/>
    <n v="0.18"/>
    <n v="18000"/>
    <n v="0.3"/>
    <n v="20400"/>
    <n v="18360"/>
    <n v="3304.7999999999997"/>
    <n v="21304.799999999999"/>
    <n v="-2944.7999999999993"/>
    <n v="-883.43999999999971"/>
    <n v="-2061.3599999999997"/>
    <n v="-0.10104705882352939"/>
  </r>
  <r>
    <x v="2"/>
    <x v="0"/>
    <s v="November 2013"/>
    <n v="1"/>
    <x v="2"/>
    <x v="2"/>
    <x v="2"/>
    <s v="Worst"/>
    <n v="1200"/>
    <n v="17"/>
    <n v="0.1"/>
    <n v="0.18"/>
    <n v="18000"/>
    <n v="0.3"/>
    <n v="20400"/>
    <n v="18360"/>
    <n v="3304.7999999999997"/>
    <n v="21304.799999999999"/>
    <n v="-2944.7999999999993"/>
    <n v="-883.43999999999971"/>
    <n v="-2061.3599999999997"/>
    <n v="-0.10104705882352939"/>
  </r>
  <r>
    <x v="2"/>
    <x v="0"/>
    <s v="November 2013"/>
    <n v="1"/>
    <x v="2"/>
    <x v="2"/>
    <x v="3"/>
    <s v="Worst"/>
    <n v="1200"/>
    <n v="17"/>
    <n v="0.1"/>
    <n v="0.18"/>
    <n v="18000"/>
    <n v="0.3"/>
    <n v="20400"/>
    <n v="18360"/>
    <n v="3304.7999999999997"/>
    <n v="21304.799999999999"/>
    <n v="-2944.7999999999993"/>
    <n v="-883.43999999999971"/>
    <n v="-2061.3599999999997"/>
    <n v="-0.10104705882352939"/>
  </r>
  <r>
    <x v="2"/>
    <x v="0"/>
    <s v="November 2013"/>
    <n v="1"/>
    <x v="2"/>
    <x v="2"/>
    <x v="4"/>
    <s v="Worst"/>
    <n v="1200"/>
    <n v="17"/>
    <n v="0.1"/>
    <n v="0.18"/>
    <n v="18000"/>
    <n v="0.3"/>
    <n v="20400"/>
    <n v="18360"/>
    <n v="3304.7999999999997"/>
    <n v="21304.799999999999"/>
    <n v="-2944.7999999999993"/>
    <n v="-883.43999999999971"/>
    <n v="-2061.3599999999997"/>
    <n v="-0.10104705882352939"/>
  </r>
  <r>
    <x v="2"/>
    <x v="0"/>
    <s v="November 2013"/>
    <n v="1"/>
    <x v="2"/>
    <x v="3"/>
    <x v="0"/>
    <s v="Worst"/>
    <n v="1200"/>
    <n v="17"/>
    <n v="0.1"/>
    <n v="0.18"/>
    <n v="18000"/>
    <n v="0.3"/>
    <n v="20400"/>
    <n v="18360"/>
    <n v="3304.7999999999997"/>
    <n v="21304.799999999999"/>
    <n v="-2944.7999999999993"/>
    <n v="-883.43999999999971"/>
    <n v="-2061.3599999999997"/>
    <n v="-0.10104705882352939"/>
  </r>
  <r>
    <x v="2"/>
    <x v="0"/>
    <s v="November 2013"/>
    <n v="1"/>
    <x v="2"/>
    <x v="3"/>
    <x v="1"/>
    <s v="Worst"/>
    <n v="1200"/>
    <n v="17"/>
    <n v="0.1"/>
    <n v="0.18"/>
    <n v="18000"/>
    <n v="0.3"/>
    <n v="20400"/>
    <n v="18360"/>
    <n v="3304.7999999999997"/>
    <n v="21304.799999999999"/>
    <n v="-2944.7999999999993"/>
    <n v="-883.43999999999971"/>
    <n v="-2061.3599999999997"/>
    <n v="-0.10104705882352939"/>
  </r>
  <r>
    <x v="2"/>
    <x v="0"/>
    <s v="November 2013"/>
    <n v="1"/>
    <x v="2"/>
    <x v="3"/>
    <x v="2"/>
    <s v="Worst"/>
    <n v="1200"/>
    <n v="17"/>
    <n v="0.1"/>
    <n v="0.18"/>
    <n v="18000"/>
    <n v="0.3"/>
    <n v="20400"/>
    <n v="18360"/>
    <n v="3304.7999999999997"/>
    <n v="21304.799999999999"/>
    <n v="-2944.7999999999993"/>
    <n v="-883.43999999999971"/>
    <n v="-2061.3599999999997"/>
    <n v="-0.10104705882352939"/>
  </r>
  <r>
    <x v="2"/>
    <x v="0"/>
    <s v="November 2013"/>
    <n v="1"/>
    <x v="2"/>
    <x v="3"/>
    <x v="3"/>
    <s v="Worst"/>
    <n v="1200"/>
    <n v="17"/>
    <n v="0.1"/>
    <n v="0.18"/>
    <n v="18000"/>
    <n v="0.3"/>
    <n v="20400"/>
    <n v="18360"/>
    <n v="3304.7999999999997"/>
    <n v="21304.799999999999"/>
    <n v="-2944.7999999999993"/>
    <n v="-883.43999999999971"/>
    <n v="-2061.3599999999997"/>
    <n v="-0.10104705882352939"/>
  </r>
  <r>
    <x v="2"/>
    <x v="0"/>
    <s v="November 2013"/>
    <n v="1"/>
    <x v="2"/>
    <x v="3"/>
    <x v="4"/>
    <s v="Worst"/>
    <n v="1200"/>
    <n v="17"/>
    <n v="0.1"/>
    <n v="0.18"/>
    <n v="18000"/>
    <n v="0.3"/>
    <n v="20400"/>
    <n v="18360"/>
    <n v="3304.7999999999997"/>
    <n v="21304.799999999999"/>
    <n v="-2944.7999999999993"/>
    <n v="-883.43999999999971"/>
    <n v="-2061.3599999999997"/>
    <n v="-0.10104705882352939"/>
  </r>
  <r>
    <x v="2"/>
    <x v="0"/>
    <s v="November 2013"/>
    <n v="1"/>
    <x v="2"/>
    <x v="4"/>
    <x v="0"/>
    <s v="Worst"/>
    <n v="1200"/>
    <n v="17"/>
    <n v="0.1"/>
    <n v="0.18"/>
    <n v="18000"/>
    <n v="0.3"/>
    <n v="20400"/>
    <n v="18360"/>
    <n v="3304.7999999999997"/>
    <n v="21304.799999999999"/>
    <n v="-2944.7999999999993"/>
    <n v="-883.43999999999971"/>
    <n v="-2061.3599999999997"/>
    <n v="-0.10104705882352939"/>
  </r>
  <r>
    <x v="2"/>
    <x v="0"/>
    <s v="November 2013"/>
    <n v="1"/>
    <x v="2"/>
    <x v="4"/>
    <x v="1"/>
    <s v="Worst"/>
    <n v="1200"/>
    <n v="17"/>
    <n v="0.1"/>
    <n v="0.18"/>
    <n v="18000"/>
    <n v="0.3"/>
    <n v="20400"/>
    <n v="18360"/>
    <n v="3304.7999999999997"/>
    <n v="21304.799999999999"/>
    <n v="-2944.7999999999993"/>
    <n v="-883.43999999999971"/>
    <n v="-2061.3599999999997"/>
    <n v="-0.10104705882352939"/>
  </r>
  <r>
    <x v="2"/>
    <x v="0"/>
    <s v="November 2013"/>
    <n v="1"/>
    <x v="2"/>
    <x v="4"/>
    <x v="2"/>
    <s v="Worst"/>
    <n v="1200"/>
    <n v="17"/>
    <n v="0.1"/>
    <n v="0.18"/>
    <n v="18000"/>
    <n v="0.3"/>
    <n v="20400"/>
    <n v="18360"/>
    <n v="3304.7999999999997"/>
    <n v="21304.799999999999"/>
    <n v="-2944.7999999999993"/>
    <n v="-883.43999999999971"/>
    <n v="-2061.3599999999997"/>
    <n v="-0.10104705882352939"/>
  </r>
  <r>
    <x v="2"/>
    <x v="0"/>
    <s v="November 2013"/>
    <n v="1"/>
    <x v="2"/>
    <x v="4"/>
    <x v="3"/>
    <s v="Worst"/>
    <n v="1200"/>
    <n v="17"/>
    <n v="0.1"/>
    <n v="0.18"/>
    <n v="18000"/>
    <n v="0.3"/>
    <n v="20400"/>
    <n v="18360"/>
    <n v="3304.7999999999997"/>
    <n v="21304.799999999999"/>
    <n v="-2944.7999999999993"/>
    <n v="-883.43999999999971"/>
    <n v="-2061.3599999999997"/>
    <n v="-0.10104705882352939"/>
  </r>
  <r>
    <x v="2"/>
    <x v="0"/>
    <s v="November 2013"/>
    <n v="1"/>
    <x v="2"/>
    <x v="4"/>
    <x v="4"/>
    <s v="Worst"/>
    <n v="1200"/>
    <n v="17"/>
    <n v="0.1"/>
    <n v="0.18"/>
    <n v="18000"/>
    <n v="0.3"/>
    <n v="20400"/>
    <n v="18360"/>
    <n v="3304.7999999999997"/>
    <n v="21304.799999999999"/>
    <n v="-2944.7999999999993"/>
    <n v="-883.43999999999971"/>
    <n v="-2061.3599999999997"/>
    <n v="-0.10104705882352939"/>
  </r>
  <r>
    <x v="2"/>
    <x v="0"/>
    <s v="November 2013"/>
    <n v="1"/>
    <x v="3"/>
    <x v="0"/>
    <x v="0"/>
    <s v="Worst"/>
    <n v="1200"/>
    <n v="17"/>
    <n v="0.1"/>
    <n v="0.18"/>
    <n v="18000"/>
    <n v="0.3"/>
    <n v="20400"/>
    <n v="18360"/>
    <n v="3304.7999999999997"/>
    <n v="21304.799999999999"/>
    <n v="-2944.7999999999993"/>
    <n v="-883.43999999999971"/>
    <n v="-2061.3599999999997"/>
    <n v="-0.10104705882352939"/>
  </r>
  <r>
    <x v="2"/>
    <x v="0"/>
    <s v="November 2013"/>
    <n v="1"/>
    <x v="3"/>
    <x v="0"/>
    <x v="1"/>
    <s v="Worst"/>
    <n v="1200"/>
    <n v="17"/>
    <n v="0.1"/>
    <n v="0.18"/>
    <n v="18000"/>
    <n v="0.3"/>
    <n v="20400"/>
    <n v="18360"/>
    <n v="3304.7999999999997"/>
    <n v="21304.799999999999"/>
    <n v="-2944.7999999999993"/>
    <n v="-883.43999999999971"/>
    <n v="-2061.3599999999997"/>
    <n v="-0.10104705882352939"/>
  </r>
  <r>
    <x v="2"/>
    <x v="0"/>
    <s v="November 2013"/>
    <n v="1"/>
    <x v="3"/>
    <x v="0"/>
    <x v="2"/>
    <s v="Worst"/>
    <n v="1200"/>
    <n v="17"/>
    <n v="0.1"/>
    <n v="0.18"/>
    <n v="18000"/>
    <n v="0.3"/>
    <n v="20400"/>
    <n v="18360"/>
    <n v="3304.7999999999997"/>
    <n v="21304.799999999999"/>
    <n v="-2944.7999999999993"/>
    <n v="-883.43999999999971"/>
    <n v="-2061.3599999999997"/>
    <n v="-0.10104705882352939"/>
  </r>
  <r>
    <x v="2"/>
    <x v="0"/>
    <s v="November 2013"/>
    <n v="1"/>
    <x v="3"/>
    <x v="0"/>
    <x v="3"/>
    <s v="Worst"/>
    <n v="1200"/>
    <n v="17"/>
    <n v="0.1"/>
    <n v="0.18"/>
    <n v="18000"/>
    <n v="0.3"/>
    <n v="20400"/>
    <n v="18360"/>
    <n v="3304.7999999999997"/>
    <n v="21304.799999999999"/>
    <n v="-2944.7999999999993"/>
    <n v="-883.43999999999971"/>
    <n v="-2061.3599999999997"/>
    <n v="-0.10104705882352939"/>
  </r>
  <r>
    <x v="2"/>
    <x v="0"/>
    <s v="November 2013"/>
    <n v="1"/>
    <x v="3"/>
    <x v="0"/>
    <x v="4"/>
    <s v="Worst"/>
    <n v="1200"/>
    <n v="17"/>
    <n v="0.1"/>
    <n v="0.18"/>
    <n v="18000"/>
    <n v="0.3"/>
    <n v="20400"/>
    <n v="18360"/>
    <n v="3304.7999999999997"/>
    <n v="21304.799999999999"/>
    <n v="-2944.7999999999993"/>
    <n v="-883.43999999999971"/>
    <n v="-2061.3599999999997"/>
    <n v="-0.10104705882352939"/>
  </r>
  <r>
    <x v="2"/>
    <x v="0"/>
    <s v="November 2013"/>
    <n v="1"/>
    <x v="3"/>
    <x v="1"/>
    <x v="0"/>
    <s v="Worst"/>
    <n v="1200"/>
    <n v="17"/>
    <n v="0.1"/>
    <n v="0.18"/>
    <n v="18000"/>
    <n v="0.3"/>
    <n v="20400"/>
    <n v="18360"/>
    <n v="3304.7999999999997"/>
    <n v="21304.799999999999"/>
    <n v="-2944.7999999999993"/>
    <n v="-883.43999999999971"/>
    <n v="-2061.3599999999997"/>
    <n v="-0.10104705882352939"/>
  </r>
  <r>
    <x v="2"/>
    <x v="0"/>
    <s v="November 2013"/>
    <n v="1"/>
    <x v="3"/>
    <x v="1"/>
    <x v="1"/>
    <s v="Worst"/>
    <n v="1200"/>
    <n v="17"/>
    <n v="0.1"/>
    <n v="0.18"/>
    <n v="18000"/>
    <n v="0.3"/>
    <n v="20400"/>
    <n v="18360"/>
    <n v="3304.7999999999997"/>
    <n v="21304.799999999999"/>
    <n v="-2944.7999999999993"/>
    <n v="-883.43999999999971"/>
    <n v="-2061.3599999999997"/>
    <n v="-0.10104705882352939"/>
  </r>
  <r>
    <x v="2"/>
    <x v="0"/>
    <s v="November 2013"/>
    <n v="1"/>
    <x v="3"/>
    <x v="1"/>
    <x v="2"/>
    <s v="Worst"/>
    <n v="1200"/>
    <n v="17"/>
    <n v="0.1"/>
    <n v="0.18"/>
    <n v="18000"/>
    <n v="0.3"/>
    <n v="20400"/>
    <n v="18360"/>
    <n v="3304.7999999999997"/>
    <n v="21304.799999999999"/>
    <n v="-2944.7999999999993"/>
    <n v="-883.43999999999971"/>
    <n v="-2061.3599999999997"/>
    <n v="-0.10104705882352939"/>
  </r>
  <r>
    <x v="2"/>
    <x v="0"/>
    <s v="November 2013"/>
    <n v="1"/>
    <x v="3"/>
    <x v="1"/>
    <x v="3"/>
    <s v="Worst"/>
    <n v="1200"/>
    <n v="17"/>
    <n v="0.1"/>
    <n v="0.18"/>
    <n v="18000"/>
    <n v="0.3"/>
    <n v="20400"/>
    <n v="18360"/>
    <n v="3304.7999999999997"/>
    <n v="21304.799999999999"/>
    <n v="-2944.7999999999993"/>
    <n v="-883.43999999999971"/>
    <n v="-2061.3599999999997"/>
    <n v="-0.10104705882352939"/>
  </r>
  <r>
    <x v="2"/>
    <x v="0"/>
    <s v="November 2013"/>
    <n v="1"/>
    <x v="3"/>
    <x v="1"/>
    <x v="4"/>
    <s v="Worst"/>
    <n v="1200"/>
    <n v="17"/>
    <n v="0.1"/>
    <n v="0.18"/>
    <n v="18000"/>
    <n v="0.3"/>
    <n v="20400"/>
    <n v="18360"/>
    <n v="3304.7999999999997"/>
    <n v="21304.799999999999"/>
    <n v="-2944.7999999999993"/>
    <n v="-883.43999999999971"/>
    <n v="-2061.3599999999997"/>
    <n v="-0.10104705882352939"/>
  </r>
  <r>
    <x v="2"/>
    <x v="0"/>
    <s v="November 2013"/>
    <n v="1"/>
    <x v="3"/>
    <x v="2"/>
    <x v="0"/>
    <s v="Worst"/>
    <n v="1200"/>
    <n v="17"/>
    <n v="0.1"/>
    <n v="0.18"/>
    <n v="18000"/>
    <n v="0.3"/>
    <n v="20400"/>
    <n v="18360"/>
    <n v="3304.7999999999997"/>
    <n v="21304.799999999999"/>
    <n v="-2944.7999999999993"/>
    <n v="-883.43999999999971"/>
    <n v="-2061.3599999999997"/>
    <n v="-0.10104705882352939"/>
  </r>
  <r>
    <x v="2"/>
    <x v="0"/>
    <s v="November 2013"/>
    <n v="1"/>
    <x v="3"/>
    <x v="2"/>
    <x v="1"/>
    <s v="Worst"/>
    <n v="1200"/>
    <n v="17"/>
    <n v="0.1"/>
    <n v="0.18"/>
    <n v="18000"/>
    <n v="0.3"/>
    <n v="20400"/>
    <n v="18360"/>
    <n v="3304.7999999999997"/>
    <n v="21304.799999999999"/>
    <n v="-2944.7999999999993"/>
    <n v="-883.43999999999971"/>
    <n v="-2061.3599999999997"/>
    <n v="-0.10104705882352939"/>
  </r>
  <r>
    <x v="2"/>
    <x v="0"/>
    <s v="November 2013"/>
    <n v="1"/>
    <x v="3"/>
    <x v="2"/>
    <x v="2"/>
    <s v="Worst"/>
    <n v="1200"/>
    <n v="17"/>
    <n v="0.1"/>
    <n v="0.18"/>
    <n v="18000"/>
    <n v="0.3"/>
    <n v="20400"/>
    <n v="18360"/>
    <n v="3304.7999999999997"/>
    <n v="21304.799999999999"/>
    <n v="-2944.7999999999993"/>
    <n v="-883.43999999999971"/>
    <n v="-2061.3599999999997"/>
    <n v="-0.10104705882352939"/>
  </r>
  <r>
    <x v="2"/>
    <x v="0"/>
    <s v="November 2013"/>
    <n v="1"/>
    <x v="3"/>
    <x v="2"/>
    <x v="3"/>
    <s v="Worst"/>
    <n v="1200"/>
    <n v="17"/>
    <n v="0.1"/>
    <n v="0.18"/>
    <n v="18000"/>
    <n v="0.3"/>
    <n v="20400"/>
    <n v="18360"/>
    <n v="3304.7999999999997"/>
    <n v="21304.799999999999"/>
    <n v="-2944.7999999999993"/>
    <n v="-883.43999999999971"/>
    <n v="-2061.3599999999997"/>
    <n v="-0.10104705882352939"/>
  </r>
  <r>
    <x v="2"/>
    <x v="0"/>
    <s v="November 2013"/>
    <n v="1"/>
    <x v="3"/>
    <x v="2"/>
    <x v="4"/>
    <s v="Worst"/>
    <n v="1200"/>
    <n v="17"/>
    <n v="0.1"/>
    <n v="0.18"/>
    <n v="18000"/>
    <n v="0.3"/>
    <n v="20400"/>
    <n v="18360"/>
    <n v="3304.7999999999997"/>
    <n v="21304.799999999999"/>
    <n v="-2944.7999999999993"/>
    <n v="-883.43999999999971"/>
    <n v="-2061.3599999999997"/>
    <n v="-0.10104705882352939"/>
  </r>
  <r>
    <x v="2"/>
    <x v="0"/>
    <s v="November 2013"/>
    <n v="1"/>
    <x v="3"/>
    <x v="3"/>
    <x v="0"/>
    <s v="Worst"/>
    <n v="1200"/>
    <n v="17"/>
    <n v="0.1"/>
    <n v="0.18"/>
    <n v="18000"/>
    <n v="0.3"/>
    <n v="20400"/>
    <n v="18360"/>
    <n v="3304.7999999999997"/>
    <n v="21304.799999999999"/>
    <n v="-2944.7999999999993"/>
    <n v="-883.43999999999971"/>
    <n v="-2061.3599999999997"/>
    <n v="-0.10104705882352939"/>
  </r>
  <r>
    <x v="2"/>
    <x v="0"/>
    <s v="November 2013"/>
    <n v="1"/>
    <x v="3"/>
    <x v="3"/>
    <x v="1"/>
    <s v="Worst"/>
    <n v="1200"/>
    <n v="17"/>
    <n v="0.1"/>
    <n v="0.18"/>
    <n v="18000"/>
    <n v="0.3"/>
    <n v="20400"/>
    <n v="18360"/>
    <n v="3304.7999999999997"/>
    <n v="21304.799999999999"/>
    <n v="-2944.7999999999993"/>
    <n v="-883.43999999999971"/>
    <n v="-2061.3599999999997"/>
    <n v="-0.10104705882352939"/>
  </r>
  <r>
    <x v="2"/>
    <x v="0"/>
    <s v="November 2013"/>
    <n v="1"/>
    <x v="3"/>
    <x v="3"/>
    <x v="2"/>
    <s v="Worst"/>
    <n v="1200"/>
    <n v="17"/>
    <n v="0.1"/>
    <n v="0.18"/>
    <n v="18000"/>
    <n v="0.3"/>
    <n v="20400"/>
    <n v="18360"/>
    <n v="3304.7999999999997"/>
    <n v="21304.799999999999"/>
    <n v="-2944.7999999999993"/>
    <n v="-883.43999999999971"/>
    <n v="-2061.3599999999997"/>
    <n v="-0.10104705882352939"/>
  </r>
  <r>
    <x v="2"/>
    <x v="0"/>
    <s v="November 2013"/>
    <n v="1"/>
    <x v="3"/>
    <x v="3"/>
    <x v="3"/>
    <s v="Worst"/>
    <n v="1200"/>
    <n v="17"/>
    <n v="0.1"/>
    <n v="0.18"/>
    <n v="18000"/>
    <n v="0.3"/>
    <n v="20400"/>
    <n v="18360"/>
    <n v="3304.7999999999997"/>
    <n v="21304.799999999999"/>
    <n v="-2944.7999999999993"/>
    <n v="-883.43999999999971"/>
    <n v="-2061.3599999999997"/>
    <n v="-0.10104705882352939"/>
  </r>
  <r>
    <x v="2"/>
    <x v="0"/>
    <s v="November 2013"/>
    <n v="1"/>
    <x v="3"/>
    <x v="3"/>
    <x v="4"/>
    <s v="Worst"/>
    <n v="1200"/>
    <n v="17"/>
    <n v="0.1"/>
    <n v="0.18"/>
    <n v="18000"/>
    <n v="0.3"/>
    <n v="20400"/>
    <n v="18360"/>
    <n v="3304.7999999999997"/>
    <n v="21304.799999999999"/>
    <n v="-2944.7999999999993"/>
    <n v="-883.43999999999971"/>
    <n v="-2061.3599999999997"/>
    <n v="-0.10104705882352939"/>
  </r>
  <r>
    <x v="2"/>
    <x v="0"/>
    <s v="November 2013"/>
    <n v="1"/>
    <x v="3"/>
    <x v="4"/>
    <x v="0"/>
    <s v="Worst"/>
    <n v="1200"/>
    <n v="17"/>
    <n v="0.1"/>
    <n v="0.18"/>
    <n v="18000"/>
    <n v="0.3"/>
    <n v="20400"/>
    <n v="18360"/>
    <n v="3304.7999999999997"/>
    <n v="21304.799999999999"/>
    <n v="-2944.7999999999993"/>
    <n v="-883.43999999999971"/>
    <n v="-2061.3599999999997"/>
    <n v="-0.10104705882352939"/>
  </r>
  <r>
    <x v="2"/>
    <x v="0"/>
    <s v="November 2013"/>
    <n v="1"/>
    <x v="3"/>
    <x v="4"/>
    <x v="1"/>
    <s v="Worst"/>
    <n v="1200"/>
    <n v="17"/>
    <n v="0.1"/>
    <n v="0.18"/>
    <n v="18000"/>
    <n v="0.3"/>
    <n v="20400"/>
    <n v="18360"/>
    <n v="3304.7999999999997"/>
    <n v="21304.799999999999"/>
    <n v="-2944.7999999999993"/>
    <n v="-883.43999999999971"/>
    <n v="-2061.3599999999997"/>
    <n v="-0.10104705882352939"/>
  </r>
  <r>
    <x v="2"/>
    <x v="0"/>
    <s v="November 2013"/>
    <n v="1"/>
    <x v="3"/>
    <x v="4"/>
    <x v="2"/>
    <s v="Worst"/>
    <n v="1200"/>
    <n v="17"/>
    <n v="0.1"/>
    <n v="0.18"/>
    <n v="18000"/>
    <n v="0.3"/>
    <n v="20400"/>
    <n v="18360"/>
    <n v="3304.7999999999997"/>
    <n v="21304.799999999999"/>
    <n v="-2944.7999999999993"/>
    <n v="-883.43999999999971"/>
    <n v="-2061.3599999999997"/>
    <n v="-0.10104705882352939"/>
  </r>
  <r>
    <x v="2"/>
    <x v="0"/>
    <s v="November 2013"/>
    <n v="1"/>
    <x v="3"/>
    <x v="4"/>
    <x v="3"/>
    <s v="Worst"/>
    <n v="1200"/>
    <n v="17"/>
    <n v="0.1"/>
    <n v="0.18"/>
    <n v="18000"/>
    <n v="0.3"/>
    <n v="20400"/>
    <n v="18360"/>
    <n v="3304.7999999999997"/>
    <n v="21304.799999999999"/>
    <n v="-2944.7999999999993"/>
    <n v="-883.43999999999971"/>
    <n v="-2061.3599999999997"/>
    <n v="-0.10104705882352939"/>
  </r>
  <r>
    <x v="2"/>
    <x v="0"/>
    <s v="November 2013"/>
    <n v="1"/>
    <x v="3"/>
    <x v="4"/>
    <x v="4"/>
    <s v="Worst"/>
    <n v="1200"/>
    <n v="17"/>
    <n v="0.1"/>
    <n v="0.18"/>
    <n v="18000"/>
    <n v="0.3"/>
    <n v="20400"/>
    <n v="18360"/>
    <n v="3304.7999999999997"/>
    <n v="21304.799999999999"/>
    <n v="-2944.7999999999993"/>
    <n v="-883.43999999999971"/>
    <n v="-2061.3599999999997"/>
    <n v="-0.10104705882352939"/>
  </r>
  <r>
    <x v="2"/>
    <x v="0"/>
    <s v="November 2013"/>
    <n v="1"/>
    <x v="4"/>
    <x v="0"/>
    <x v="0"/>
    <s v="Worst"/>
    <n v="1200"/>
    <n v="17"/>
    <n v="0.1"/>
    <n v="0.18"/>
    <n v="18000"/>
    <n v="0.3"/>
    <n v="20400"/>
    <n v="18360"/>
    <n v="3304.7999999999997"/>
    <n v="21304.799999999999"/>
    <n v="-2944.7999999999993"/>
    <n v="-883.43999999999971"/>
    <n v="-2061.3599999999997"/>
    <n v="-0.10104705882352939"/>
  </r>
  <r>
    <x v="2"/>
    <x v="0"/>
    <s v="November 2013"/>
    <n v="1"/>
    <x v="4"/>
    <x v="0"/>
    <x v="1"/>
    <s v="Worst"/>
    <n v="1200"/>
    <n v="17"/>
    <n v="0.1"/>
    <n v="0.18"/>
    <n v="18000"/>
    <n v="0.3"/>
    <n v="20400"/>
    <n v="18360"/>
    <n v="3304.7999999999997"/>
    <n v="21304.799999999999"/>
    <n v="-2944.7999999999993"/>
    <n v="-883.43999999999971"/>
    <n v="-2061.3599999999997"/>
    <n v="-0.10104705882352939"/>
  </r>
  <r>
    <x v="2"/>
    <x v="0"/>
    <s v="November 2013"/>
    <n v="1"/>
    <x v="4"/>
    <x v="0"/>
    <x v="2"/>
    <s v="Worst"/>
    <n v="1200"/>
    <n v="17"/>
    <n v="0.1"/>
    <n v="0.18"/>
    <n v="18000"/>
    <n v="0.3"/>
    <n v="20400"/>
    <n v="18360"/>
    <n v="3304.7999999999997"/>
    <n v="21304.799999999999"/>
    <n v="-2944.7999999999993"/>
    <n v="-883.43999999999971"/>
    <n v="-2061.3599999999997"/>
    <n v="-0.10104705882352939"/>
  </r>
  <r>
    <x v="2"/>
    <x v="0"/>
    <s v="November 2013"/>
    <n v="1"/>
    <x v="4"/>
    <x v="0"/>
    <x v="3"/>
    <s v="Worst"/>
    <n v="1200"/>
    <n v="17"/>
    <n v="0.1"/>
    <n v="0.18"/>
    <n v="18000"/>
    <n v="0.3"/>
    <n v="20400"/>
    <n v="18360"/>
    <n v="3304.7999999999997"/>
    <n v="21304.799999999999"/>
    <n v="-2944.7999999999993"/>
    <n v="-883.43999999999971"/>
    <n v="-2061.3599999999997"/>
    <n v="-0.10104705882352939"/>
  </r>
  <r>
    <x v="2"/>
    <x v="0"/>
    <s v="November 2013"/>
    <n v="1"/>
    <x v="4"/>
    <x v="0"/>
    <x v="4"/>
    <s v="Worst"/>
    <n v="1200"/>
    <n v="17"/>
    <n v="0.1"/>
    <n v="0.18"/>
    <n v="18000"/>
    <n v="0.3"/>
    <n v="20400"/>
    <n v="18360"/>
    <n v="3304.7999999999997"/>
    <n v="21304.799999999999"/>
    <n v="-2944.7999999999993"/>
    <n v="-883.43999999999971"/>
    <n v="-2061.3599999999997"/>
    <n v="-0.10104705882352939"/>
  </r>
  <r>
    <x v="2"/>
    <x v="0"/>
    <s v="November 2013"/>
    <n v="1"/>
    <x v="4"/>
    <x v="1"/>
    <x v="0"/>
    <s v="Worst"/>
    <n v="1200"/>
    <n v="17"/>
    <n v="0.1"/>
    <n v="0.18"/>
    <n v="18000"/>
    <n v="0.3"/>
    <n v="20400"/>
    <n v="18360"/>
    <n v="3304.7999999999997"/>
    <n v="21304.799999999999"/>
    <n v="-2944.7999999999993"/>
    <n v="-883.43999999999971"/>
    <n v="-2061.3599999999997"/>
    <n v="-0.10104705882352939"/>
  </r>
  <r>
    <x v="2"/>
    <x v="0"/>
    <s v="November 2013"/>
    <n v="1"/>
    <x v="4"/>
    <x v="1"/>
    <x v="1"/>
    <s v="Worst"/>
    <n v="1200"/>
    <n v="17"/>
    <n v="0.1"/>
    <n v="0.18"/>
    <n v="18000"/>
    <n v="0.3"/>
    <n v="20400"/>
    <n v="18360"/>
    <n v="3304.7999999999997"/>
    <n v="21304.799999999999"/>
    <n v="-2944.7999999999993"/>
    <n v="-883.43999999999971"/>
    <n v="-2061.3599999999997"/>
    <n v="-0.10104705882352939"/>
  </r>
  <r>
    <x v="2"/>
    <x v="0"/>
    <s v="November 2013"/>
    <n v="1"/>
    <x v="4"/>
    <x v="1"/>
    <x v="2"/>
    <s v="Worst"/>
    <n v="1200"/>
    <n v="17"/>
    <n v="0.1"/>
    <n v="0.18"/>
    <n v="18000"/>
    <n v="0.3"/>
    <n v="20400"/>
    <n v="18360"/>
    <n v="3304.7999999999997"/>
    <n v="21304.799999999999"/>
    <n v="-2944.7999999999993"/>
    <n v="-883.43999999999971"/>
    <n v="-2061.3599999999997"/>
    <n v="-0.10104705882352939"/>
  </r>
  <r>
    <x v="2"/>
    <x v="0"/>
    <s v="November 2013"/>
    <n v="1"/>
    <x v="4"/>
    <x v="1"/>
    <x v="3"/>
    <s v="Worst"/>
    <n v="1200"/>
    <n v="17"/>
    <n v="0.1"/>
    <n v="0.18"/>
    <n v="18000"/>
    <n v="0.3"/>
    <n v="20400"/>
    <n v="18360"/>
    <n v="3304.7999999999997"/>
    <n v="21304.799999999999"/>
    <n v="-2944.7999999999993"/>
    <n v="-883.43999999999971"/>
    <n v="-2061.3599999999997"/>
    <n v="-0.10104705882352939"/>
  </r>
  <r>
    <x v="2"/>
    <x v="0"/>
    <s v="November 2013"/>
    <n v="1"/>
    <x v="4"/>
    <x v="1"/>
    <x v="4"/>
    <s v="Worst"/>
    <n v="1200"/>
    <n v="17"/>
    <n v="0.1"/>
    <n v="0.18"/>
    <n v="18000"/>
    <n v="0.3"/>
    <n v="20400"/>
    <n v="18360"/>
    <n v="3304.7999999999997"/>
    <n v="21304.799999999999"/>
    <n v="-2944.7999999999993"/>
    <n v="-883.43999999999971"/>
    <n v="-2061.3599999999997"/>
    <n v="-0.10104705882352939"/>
  </r>
  <r>
    <x v="2"/>
    <x v="0"/>
    <s v="November 2013"/>
    <n v="1"/>
    <x v="4"/>
    <x v="2"/>
    <x v="0"/>
    <s v="Worst"/>
    <n v="1200"/>
    <n v="17"/>
    <n v="0.1"/>
    <n v="0.18"/>
    <n v="18000"/>
    <n v="0.3"/>
    <n v="20400"/>
    <n v="18360"/>
    <n v="3304.7999999999997"/>
    <n v="21304.799999999999"/>
    <n v="-2944.7999999999993"/>
    <n v="-883.43999999999971"/>
    <n v="-2061.3599999999997"/>
    <n v="-0.10104705882352939"/>
  </r>
  <r>
    <x v="2"/>
    <x v="0"/>
    <s v="November 2013"/>
    <n v="1"/>
    <x v="4"/>
    <x v="2"/>
    <x v="1"/>
    <s v="Worst"/>
    <n v="1200"/>
    <n v="17"/>
    <n v="0.1"/>
    <n v="0.18"/>
    <n v="18000"/>
    <n v="0.3"/>
    <n v="20400"/>
    <n v="18360"/>
    <n v="3304.7999999999997"/>
    <n v="21304.799999999999"/>
    <n v="-2944.7999999999993"/>
    <n v="-883.43999999999971"/>
    <n v="-2061.3599999999997"/>
    <n v="-0.10104705882352939"/>
  </r>
  <r>
    <x v="2"/>
    <x v="0"/>
    <s v="November 2013"/>
    <n v="1"/>
    <x v="4"/>
    <x v="2"/>
    <x v="2"/>
    <s v="Worst"/>
    <n v="1200"/>
    <n v="17"/>
    <n v="0.1"/>
    <n v="0.18"/>
    <n v="18000"/>
    <n v="0.3"/>
    <n v="20400"/>
    <n v="18360"/>
    <n v="3304.7999999999997"/>
    <n v="21304.799999999999"/>
    <n v="-2944.7999999999993"/>
    <n v="-883.43999999999971"/>
    <n v="-2061.3599999999997"/>
    <n v="-0.10104705882352939"/>
  </r>
  <r>
    <x v="2"/>
    <x v="0"/>
    <s v="November 2013"/>
    <n v="1"/>
    <x v="4"/>
    <x v="2"/>
    <x v="3"/>
    <s v="Worst"/>
    <n v="1200"/>
    <n v="17"/>
    <n v="0.1"/>
    <n v="0.18"/>
    <n v="18000"/>
    <n v="0.3"/>
    <n v="20400"/>
    <n v="18360"/>
    <n v="3304.7999999999997"/>
    <n v="21304.799999999999"/>
    <n v="-2944.7999999999993"/>
    <n v="-883.43999999999971"/>
    <n v="-2061.3599999999997"/>
    <n v="-0.10104705882352939"/>
  </r>
  <r>
    <x v="2"/>
    <x v="0"/>
    <s v="November 2013"/>
    <n v="1"/>
    <x v="4"/>
    <x v="2"/>
    <x v="4"/>
    <s v="Worst"/>
    <n v="1200"/>
    <n v="17"/>
    <n v="0.1"/>
    <n v="0.18"/>
    <n v="18000"/>
    <n v="0.3"/>
    <n v="20400"/>
    <n v="18360"/>
    <n v="3304.7999999999997"/>
    <n v="21304.799999999999"/>
    <n v="-2944.7999999999993"/>
    <n v="-883.43999999999971"/>
    <n v="-2061.3599999999997"/>
    <n v="-0.10104705882352939"/>
  </r>
  <r>
    <x v="2"/>
    <x v="0"/>
    <s v="November 2013"/>
    <n v="1"/>
    <x v="4"/>
    <x v="3"/>
    <x v="0"/>
    <s v="Worst"/>
    <n v="1200"/>
    <n v="17"/>
    <n v="0.1"/>
    <n v="0.18"/>
    <n v="18000"/>
    <n v="0.3"/>
    <n v="20400"/>
    <n v="18360"/>
    <n v="3304.7999999999997"/>
    <n v="21304.799999999999"/>
    <n v="-2944.7999999999993"/>
    <n v="-883.43999999999971"/>
    <n v="-2061.3599999999997"/>
    <n v="-0.10104705882352939"/>
  </r>
  <r>
    <x v="2"/>
    <x v="0"/>
    <s v="November 2013"/>
    <n v="1"/>
    <x v="4"/>
    <x v="3"/>
    <x v="1"/>
    <s v="Worst"/>
    <n v="1200"/>
    <n v="17"/>
    <n v="0.1"/>
    <n v="0.18"/>
    <n v="18000"/>
    <n v="0.3"/>
    <n v="20400"/>
    <n v="18360"/>
    <n v="3304.7999999999997"/>
    <n v="21304.799999999999"/>
    <n v="-2944.7999999999993"/>
    <n v="-883.43999999999971"/>
    <n v="-2061.3599999999997"/>
    <n v="-0.10104705882352939"/>
  </r>
  <r>
    <x v="2"/>
    <x v="0"/>
    <s v="November 2013"/>
    <n v="1"/>
    <x v="4"/>
    <x v="3"/>
    <x v="2"/>
    <s v="Worst"/>
    <n v="1200"/>
    <n v="17"/>
    <n v="0.1"/>
    <n v="0.18"/>
    <n v="18000"/>
    <n v="0.3"/>
    <n v="20400"/>
    <n v="18360"/>
    <n v="3304.7999999999997"/>
    <n v="21304.799999999999"/>
    <n v="-2944.7999999999993"/>
    <n v="-883.43999999999971"/>
    <n v="-2061.3599999999997"/>
    <n v="-0.10104705882352939"/>
  </r>
  <r>
    <x v="2"/>
    <x v="0"/>
    <s v="November 2013"/>
    <n v="1"/>
    <x v="4"/>
    <x v="3"/>
    <x v="3"/>
    <s v="Worst"/>
    <n v="1200"/>
    <n v="17"/>
    <n v="0.1"/>
    <n v="0.18"/>
    <n v="18000"/>
    <n v="0.3"/>
    <n v="20400"/>
    <n v="18360"/>
    <n v="3304.7999999999997"/>
    <n v="21304.799999999999"/>
    <n v="-2944.7999999999993"/>
    <n v="-883.43999999999971"/>
    <n v="-2061.3599999999997"/>
    <n v="-0.10104705882352939"/>
  </r>
  <r>
    <x v="2"/>
    <x v="0"/>
    <s v="November 2013"/>
    <n v="1"/>
    <x v="4"/>
    <x v="3"/>
    <x v="4"/>
    <s v="Worst"/>
    <n v="1200"/>
    <n v="17"/>
    <n v="0.1"/>
    <n v="0.18"/>
    <n v="18000"/>
    <n v="0.3"/>
    <n v="20400"/>
    <n v="18360"/>
    <n v="3304.7999999999997"/>
    <n v="21304.799999999999"/>
    <n v="-2944.7999999999993"/>
    <n v="-883.43999999999971"/>
    <n v="-2061.3599999999997"/>
    <n v="-0.10104705882352939"/>
  </r>
  <r>
    <x v="2"/>
    <x v="0"/>
    <s v="November 2013"/>
    <n v="1"/>
    <x v="4"/>
    <x v="4"/>
    <x v="0"/>
    <s v="Worst"/>
    <n v="1200"/>
    <n v="17"/>
    <n v="0.1"/>
    <n v="0.18"/>
    <n v="18000"/>
    <n v="0.3"/>
    <n v="20400"/>
    <n v="18360"/>
    <n v="3304.7999999999997"/>
    <n v="21304.799999999999"/>
    <n v="-2944.7999999999993"/>
    <n v="-883.43999999999971"/>
    <n v="-2061.3599999999997"/>
    <n v="-0.10104705882352939"/>
  </r>
  <r>
    <x v="2"/>
    <x v="0"/>
    <s v="November 2013"/>
    <n v="1"/>
    <x v="4"/>
    <x v="4"/>
    <x v="1"/>
    <s v="Worst"/>
    <n v="1200"/>
    <n v="17"/>
    <n v="0.1"/>
    <n v="0.18"/>
    <n v="18000"/>
    <n v="0.3"/>
    <n v="20400"/>
    <n v="18360"/>
    <n v="3304.7999999999997"/>
    <n v="21304.799999999999"/>
    <n v="-2944.7999999999993"/>
    <n v="-883.43999999999971"/>
    <n v="-2061.3599999999997"/>
    <n v="-0.10104705882352939"/>
  </r>
  <r>
    <x v="2"/>
    <x v="0"/>
    <s v="November 2013"/>
    <n v="1"/>
    <x v="4"/>
    <x v="4"/>
    <x v="2"/>
    <s v="Worst"/>
    <n v="1200"/>
    <n v="17"/>
    <n v="0.1"/>
    <n v="0.18"/>
    <n v="18000"/>
    <n v="0.3"/>
    <n v="20400"/>
    <n v="18360"/>
    <n v="3304.7999999999997"/>
    <n v="21304.799999999999"/>
    <n v="-2944.7999999999993"/>
    <n v="-883.43999999999971"/>
    <n v="-2061.3599999999997"/>
    <n v="-0.10104705882352939"/>
  </r>
  <r>
    <x v="2"/>
    <x v="0"/>
    <s v="November 2013"/>
    <n v="1"/>
    <x v="4"/>
    <x v="4"/>
    <x v="3"/>
    <s v="Worst"/>
    <n v="1200"/>
    <n v="17"/>
    <n v="0.1"/>
    <n v="0.18"/>
    <n v="18000"/>
    <n v="0.3"/>
    <n v="20400"/>
    <n v="18360"/>
    <n v="3304.7999999999997"/>
    <n v="21304.799999999999"/>
    <n v="-2944.7999999999993"/>
    <n v="-883.43999999999971"/>
    <n v="-2061.3599999999997"/>
    <n v="-0.10104705882352939"/>
  </r>
  <r>
    <x v="2"/>
    <x v="0"/>
    <s v="November 2013"/>
    <n v="1"/>
    <x v="4"/>
    <x v="4"/>
    <x v="4"/>
    <s v="Worst"/>
    <n v="1200"/>
    <n v="17"/>
    <n v="0.1"/>
    <n v="0.18"/>
    <n v="18000"/>
    <n v="0.3"/>
    <n v="20400"/>
    <n v="18360"/>
    <n v="3304.7999999999997"/>
    <n v="21304.799999999999"/>
    <n v="-2944.7999999999993"/>
    <n v="-883.43999999999971"/>
    <n v="-2061.3599999999997"/>
    <n v="-0.10104705882352939"/>
  </r>
  <r>
    <x v="3"/>
    <x v="0"/>
    <s v="December 2013"/>
    <n v="1"/>
    <x v="0"/>
    <x v="0"/>
    <x v="0"/>
    <s v="Worst"/>
    <n v="1200"/>
    <n v="17"/>
    <n v="0.1"/>
    <n v="0.18"/>
    <n v="18000"/>
    <n v="0.3"/>
    <n v="20400"/>
    <n v="18360"/>
    <n v="3304.7999999999997"/>
    <n v="21304.799999999999"/>
    <n v="-2944.7999999999993"/>
    <n v="-883.43999999999971"/>
    <n v="-2061.3599999999997"/>
    <n v="-0.10104705882352939"/>
  </r>
  <r>
    <x v="3"/>
    <x v="0"/>
    <s v="December 2013"/>
    <n v="1"/>
    <x v="0"/>
    <x v="0"/>
    <x v="1"/>
    <s v="Worst"/>
    <n v="1200"/>
    <n v="17"/>
    <n v="0.1"/>
    <n v="0.18"/>
    <n v="18000"/>
    <n v="0.3"/>
    <n v="20400"/>
    <n v="18360"/>
    <n v="3304.7999999999997"/>
    <n v="21304.799999999999"/>
    <n v="-2944.7999999999993"/>
    <n v="-883.43999999999971"/>
    <n v="-2061.3599999999997"/>
    <n v="-0.10104705882352939"/>
  </r>
  <r>
    <x v="3"/>
    <x v="0"/>
    <s v="December 2013"/>
    <n v="1"/>
    <x v="0"/>
    <x v="0"/>
    <x v="2"/>
    <s v="Worst"/>
    <n v="1200"/>
    <n v="17"/>
    <n v="0.1"/>
    <n v="0.18"/>
    <n v="18000"/>
    <n v="0.3"/>
    <n v="20400"/>
    <n v="18360"/>
    <n v="3304.7999999999997"/>
    <n v="21304.799999999999"/>
    <n v="-2944.7999999999993"/>
    <n v="-883.43999999999971"/>
    <n v="-2061.3599999999997"/>
    <n v="-0.10104705882352939"/>
  </r>
  <r>
    <x v="3"/>
    <x v="0"/>
    <s v="December 2013"/>
    <n v="1"/>
    <x v="0"/>
    <x v="0"/>
    <x v="3"/>
    <s v="Worst"/>
    <n v="1200"/>
    <n v="17"/>
    <n v="0.1"/>
    <n v="0.18"/>
    <n v="18000"/>
    <n v="0.3"/>
    <n v="20400"/>
    <n v="18360"/>
    <n v="3304.7999999999997"/>
    <n v="21304.799999999999"/>
    <n v="-2944.7999999999993"/>
    <n v="-883.43999999999971"/>
    <n v="-2061.3599999999997"/>
    <n v="-0.10104705882352939"/>
  </r>
  <r>
    <x v="3"/>
    <x v="0"/>
    <s v="December 2013"/>
    <n v="1"/>
    <x v="0"/>
    <x v="0"/>
    <x v="4"/>
    <s v="Worst"/>
    <n v="1200"/>
    <n v="17"/>
    <n v="0.1"/>
    <n v="0.18"/>
    <n v="18000"/>
    <n v="0.3"/>
    <n v="20400"/>
    <n v="18360"/>
    <n v="3304.7999999999997"/>
    <n v="21304.799999999999"/>
    <n v="-2944.7999999999993"/>
    <n v="-883.43999999999971"/>
    <n v="-2061.3599999999997"/>
    <n v="-0.10104705882352939"/>
  </r>
  <r>
    <x v="3"/>
    <x v="0"/>
    <s v="December 2013"/>
    <n v="1"/>
    <x v="0"/>
    <x v="1"/>
    <x v="0"/>
    <s v="Worst"/>
    <n v="1200"/>
    <n v="17"/>
    <n v="0.1"/>
    <n v="0.18"/>
    <n v="18000"/>
    <n v="0.3"/>
    <n v="20400"/>
    <n v="18360"/>
    <n v="3304.7999999999997"/>
    <n v="21304.799999999999"/>
    <n v="-2944.7999999999993"/>
    <n v="-883.43999999999971"/>
    <n v="-2061.3599999999997"/>
    <n v="-0.10104705882352939"/>
  </r>
  <r>
    <x v="3"/>
    <x v="0"/>
    <s v="December 2013"/>
    <n v="1"/>
    <x v="0"/>
    <x v="1"/>
    <x v="1"/>
    <s v="Worst"/>
    <n v="1200"/>
    <n v="17"/>
    <n v="0.1"/>
    <n v="0.18"/>
    <n v="18000"/>
    <n v="0.3"/>
    <n v="20400"/>
    <n v="18360"/>
    <n v="3304.7999999999997"/>
    <n v="21304.799999999999"/>
    <n v="-2944.7999999999993"/>
    <n v="-883.43999999999971"/>
    <n v="-2061.3599999999997"/>
    <n v="-0.10104705882352939"/>
  </r>
  <r>
    <x v="3"/>
    <x v="0"/>
    <s v="December 2013"/>
    <n v="1"/>
    <x v="0"/>
    <x v="1"/>
    <x v="2"/>
    <s v="Worst"/>
    <n v="1200"/>
    <n v="17"/>
    <n v="0.1"/>
    <n v="0.18"/>
    <n v="18000"/>
    <n v="0.3"/>
    <n v="20400"/>
    <n v="18360"/>
    <n v="3304.7999999999997"/>
    <n v="21304.799999999999"/>
    <n v="-2944.7999999999993"/>
    <n v="-883.43999999999971"/>
    <n v="-2061.3599999999997"/>
    <n v="-0.10104705882352939"/>
  </r>
  <r>
    <x v="3"/>
    <x v="0"/>
    <s v="December 2013"/>
    <n v="1"/>
    <x v="0"/>
    <x v="1"/>
    <x v="3"/>
    <s v="Worst"/>
    <n v="1200"/>
    <n v="17"/>
    <n v="0.1"/>
    <n v="0.18"/>
    <n v="18000"/>
    <n v="0.3"/>
    <n v="20400"/>
    <n v="18360"/>
    <n v="3304.7999999999997"/>
    <n v="21304.799999999999"/>
    <n v="-2944.7999999999993"/>
    <n v="-883.43999999999971"/>
    <n v="-2061.3599999999997"/>
    <n v="-0.10104705882352939"/>
  </r>
  <r>
    <x v="3"/>
    <x v="0"/>
    <s v="December 2013"/>
    <n v="1"/>
    <x v="0"/>
    <x v="1"/>
    <x v="4"/>
    <s v="Worst"/>
    <n v="1200"/>
    <n v="17"/>
    <n v="0.1"/>
    <n v="0.18"/>
    <n v="18000"/>
    <n v="0.3"/>
    <n v="20400"/>
    <n v="18360"/>
    <n v="3304.7999999999997"/>
    <n v="21304.799999999999"/>
    <n v="-2944.7999999999993"/>
    <n v="-883.43999999999971"/>
    <n v="-2061.3599999999997"/>
    <n v="-0.10104705882352939"/>
  </r>
  <r>
    <x v="3"/>
    <x v="0"/>
    <s v="December 2013"/>
    <n v="1"/>
    <x v="0"/>
    <x v="2"/>
    <x v="0"/>
    <s v="Worst"/>
    <n v="1200"/>
    <n v="17"/>
    <n v="0.1"/>
    <n v="0.18"/>
    <n v="18000"/>
    <n v="0.3"/>
    <n v="20400"/>
    <n v="18360"/>
    <n v="3304.7999999999997"/>
    <n v="21304.799999999999"/>
    <n v="-2944.7999999999993"/>
    <n v="-883.43999999999971"/>
    <n v="-2061.3599999999997"/>
    <n v="-0.10104705882352939"/>
  </r>
  <r>
    <x v="3"/>
    <x v="0"/>
    <s v="December 2013"/>
    <n v="1"/>
    <x v="0"/>
    <x v="2"/>
    <x v="1"/>
    <s v="Worst"/>
    <n v="1200"/>
    <n v="17"/>
    <n v="0.1"/>
    <n v="0.18"/>
    <n v="18000"/>
    <n v="0.3"/>
    <n v="20400"/>
    <n v="18360"/>
    <n v="3304.7999999999997"/>
    <n v="21304.799999999999"/>
    <n v="-2944.7999999999993"/>
    <n v="-883.43999999999971"/>
    <n v="-2061.3599999999997"/>
    <n v="-0.10104705882352939"/>
  </r>
  <r>
    <x v="3"/>
    <x v="0"/>
    <s v="December 2013"/>
    <n v="1"/>
    <x v="0"/>
    <x v="2"/>
    <x v="2"/>
    <s v="Worst"/>
    <n v="1200"/>
    <n v="17"/>
    <n v="0.1"/>
    <n v="0.18"/>
    <n v="18000"/>
    <n v="0.3"/>
    <n v="20400"/>
    <n v="18360"/>
    <n v="3304.7999999999997"/>
    <n v="21304.799999999999"/>
    <n v="-2944.7999999999993"/>
    <n v="-883.43999999999971"/>
    <n v="-2061.3599999999997"/>
    <n v="-0.10104705882352939"/>
  </r>
  <r>
    <x v="3"/>
    <x v="0"/>
    <s v="December 2013"/>
    <n v="1"/>
    <x v="0"/>
    <x v="2"/>
    <x v="3"/>
    <s v="Worst"/>
    <n v="1200"/>
    <n v="17"/>
    <n v="0.1"/>
    <n v="0.18"/>
    <n v="18000"/>
    <n v="0.3"/>
    <n v="20400"/>
    <n v="18360"/>
    <n v="3304.7999999999997"/>
    <n v="21304.799999999999"/>
    <n v="-2944.7999999999993"/>
    <n v="-883.43999999999971"/>
    <n v="-2061.3599999999997"/>
    <n v="-0.10104705882352939"/>
  </r>
  <r>
    <x v="3"/>
    <x v="0"/>
    <s v="December 2013"/>
    <n v="1"/>
    <x v="0"/>
    <x v="2"/>
    <x v="4"/>
    <s v="Worst"/>
    <n v="1200"/>
    <n v="17"/>
    <n v="0.1"/>
    <n v="0.18"/>
    <n v="18000"/>
    <n v="0.3"/>
    <n v="20400"/>
    <n v="18360"/>
    <n v="3304.7999999999997"/>
    <n v="21304.799999999999"/>
    <n v="-2944.7999999999993"/>
    <n v="-883.43999999999971"/>
    <n v="-2061.3599999999997"/>
    <n v="-0.10104705882352939"/>
  </r>
  <r>
    <x v="3"/>
    <x v="0"/>
    <s v="December 2013"/>
    <n v="1"/>
    <x v="0"/>
    <x v="3"/>
    <x v="0"/>
    <s v="Worst"/>
    <n v="1200"/>
    <n v="17"/>
    <n v="0.1"/>
    <n v="0.18"/>
    <n v="18000"/>
    <n v="0.3"/>
    <n v="20400"/>
    <n v="18360"/>
    <n v="3304.7999999999997"/>
    <n v="21304.799999999999"/>
    <n v="-2944.7999999999993"/>
    <n v="-883.43999999999971"/>
    <n v="-2061.3599999999997"/>
    <n v="-0.10104705882352939"/>
  </r>
  <r>
    <x v="3"/>
    <x v="0"/>
    <s v="December 2013"/>
    <n v="1"/>
    <x v="0"/>
    <x v="3"/>
    <x v="1"/>
    <s v="Worst"/>
    <n v="1200"/>
    <n v="17"/>
    <n v="0.1"/>
    <n v="0.18"/>
    <n v="18000"/>
    <n v="0.3"/>
    <n v="20400"/>
    <n v="18360"/>
    <n v="3304.7999999999997"/>
    <n v="21304.799999999999"/>
    <n v="-2944.7999999999993"/>
    <n v="-883.43999999999971"/>
    <n v="-2061.3599999999997"/>
    <n v="-0.10104705882352939"/>
  </r>
  <r>
    <x v="3"/>
    <x v="0"/>
    <s v="December 2013"/>
    <n v="1"/>
    <x v="0"/>
    <x v="3"/>
    <x v="2"/>
    <s v="Worst"/>
    <n v="1200"/>
    <n v="17"/>
    <n v="0.1"/>
    <n v="0.18"/>
    <n v="18000"/>
    <n v="0.3"/>
    <n v="20400"/>
    <n v="18360"/>
    <n v="3304.7999999999997"/>
    <n v="21304.799999999999"/>
    <n v="-2944.7999999999993"/>
    <n v="-883.43999999999971"/>
    <n v="-2061.3599999999997"/>
    <n v="-0.10104705882352939"/>
  </r>
  <r>
    <x v="3"/>
    <x v="0"/>
    <s v="December 2013"/>
    <n v="1"/>
    <x v="0"/>
    <x v="3"/>
    <x v="3"/>
    <s v="Worst"/>
    <n v="1200"/>
    <n v="17"/>
    <n v="0.1"/>
    <n v="0.18"/>
    <n v="18000"/>
    <n v="0.3"/>
    <n v="20400"/>
    <n v="18360"/>
    <n v="3304.7999999999997"/>
    <n v="21304.799999999999"/>
    <n v="-2944.7999999999993"/>
    <n v="-883.43999999999971"/>
    <n v="-2061.3599999999997"/>
    <n v="-0.10104705882352939"/>
  </r>
  <r>
    <x v="3"/>
    <x v="0"/>
    <s v="December 2013"/>
    <n v="1"/>
    <x v="0"/>
    <x v="3"/>
    <x v="4"/>
    <s v="Worst"/>
    <n v="1200"/>
    <n v="17"/>
    <n v="0.1"/>
    <n v="0.18"/>
    <n v="18000"/>
    <n v="0.3"/>
    <n v="20400"/>
    <n v="18360"/>
    <n v="3304.7999999999997"/>
    <n v="21304.799999999999"/>
    <n v="-2944.7999999999993"/>
    <n v="-883.43999999999971"/>
    <n v="-2061.3599999999997"/>
    <n v="-0.10104705882352939"/>
  </r>
  <r>
    <x v="3"/>
    <x v="0"/>
    <s v="December 2013"/>
    <n v="1"/>
    <x v="0"/>
    <x v="4"/>
    <x v="0"/>
    <s v="Worst"/>
    <n v="1200"/>
    <n v="17"/>
    <n v="0.1"/>
    <n v="0.18"/>
    <n v="18000"/>
    <n v="0.3"/>
    <n v="20400"/>
    <n v="18360"/>
    <n v="3304.7999999999997"/>
    <n v="21304.799999999999"/>
    <n v="-2944.7999999999993"/>
    <n v="-883.43999999999971"/>
    <n v="-2061.3599999999997"/>
    <n v="-0.10104705882352939"/>
  </r>
  <r>
    <x v="3"/>
    <x v="0"/>
    <s v="December 2013"/>
    <n v="1"/>
    <x v="0"/>
    <x v="4"/>
    <x v="1"/>
    <s v="Worst"/>
    <n v="1200"/>
    <n v="17"/>
    <n v="0.1"/>
    <n v="0.18"/>
    <n v="18000"/>
    <n v="0.3"/>
    <n v="20400"/>
    <n v="18360"/>
    <n v="3304.7999999999997"/>
    <n v="21304.799999999999"/>
    <n v="-2944.7999999999993"/>
    <n v="-883.43999999999971"/>
    <n v="-2061.3599999999997"/>
    <n v="-0.10104705882352939"/>
  </r>
  <r>
    <x v="3"/>
    <x v="0"/>
    <s v="December 2013"/>
    <n v="1"/>
    <x v="0"/>
    <x v="4"/>
    <x v="2"/>
    <s v="Worst"/>
    <n v="1200"/>
    <n v="17"/>
    <n v="0.1"/>
    <n v="0.18"/>
    <n v="18000"/>
    <n v="0.3"/>
    <n v="20400"/>
    <n v="18360"/>
    <n v="3304.7999999999997"/>
    <n v="21304.799999999999"/>
    <n v="-2944.7999999999993"/>
    <n v="-883.43999999999971"/>
    <n v="-2061.3599999999997"/>
    <n v="-0.10104705882352939"/>
  </r>
  <r>
    <x v="3"/>
    <x v="0"/>
    <s v="December 2013"/>
    <n v="1"/>
    <x v="0"/>
    <x v="4"/>
    <x v="3"/>
    <s v="Worst"/>
    <n v="1200"/>
    <n v="17"/>
    <n v="0.1"/>
    <n v="0.18"/>
    <n v="18000"/>
    <n v="0.3"/>
    <n v="20400"/>
    <n v="18360"/>
    <n v="3304.7999999999997"/>
    <n v="21304.799999999999"/>
    <n v="-2944.7999999999993"/>
    <n v="-883.43999999999971"/>
    <n v="-2061.3599999999997"/>
    <n v="-0.10104705882352939"/>
  </r>
  <r>
    <x v="3"/>
    <x v="0"/>
    <s v="December 2013"/>
    <n v="1"/>
    <x v="0"/>
    <x v="4"/>
    <x v="4"/>
    <s v="Worst"/>
    <n v="1200"/>
    <n v="17"/>
    <n v="0.1"/>
    <n v="0.18"/>
    <n v="18000"/>
    <n v="0.3"/>
    <n v="20400"/>
    <n v="18360"/>
    <n v="3304.7999999999997"/>
    <n v="21304.799999999999"/>
    <n v="-2944.7999999999993"/>
    <n v="-883.43999999999971"/>
    <n v="-2061.3599999999997"/>
    <n v="-0.10104705882352939"/>
  </r>
  <r>
    <x v="3"/>
    <x v="0"/>
    <s v="December 2013"/>
    <n v="1"/>
    <x v="1"/>
    <x v="0"/>
    <x v="0"/>
    <s v="Worst"/>
    <n v="1200"/>
    <n v="17"/>
    <n v="0.1"/>
    <n v="0.18"/>
    <n v="18000"/>
    <n v="0.3"/>
    <n v="20400"/>
    <n v="18360"/>
    <n v="3304.7999999999997"/>
    <n v="21304.799999999999"/>
    <n v="-2944.7999999999993"/>
    <n v="-883.43999999999971"/>
    <n v="-2061.3599999999997"/>
    <n v="-0.10104705882352939"/>
  </r>
  <r>
    <x v="3"/>
    <x v="0"/>
    <s v="December 2013"/>
    <n v="1"/>
    <x v="1"/>
    <x v="0"/>
    <x v="1"/>
    <s v="Worst"/>
    <n v="1200"/>
    <n v="17"/>
    <n v="0.1"/>
    <n v="0.18"/>
    <n v="18000"/>
    <n v="0.3"/>
    <n v="20400"/>
    <n v="18360"/>
    <n v="3304.7999999999997"/>
    <n v="21304.799999999999"/>
    <n v="-2944.7999999999993"/>
    <n v="-883.43999999999971"/>
    <n v="-2061.3599999999997"/>
    <n v="-0.10104705882352939"/>
  </r>
  <r>
    <x v="3"/>
    <x v="0"/>
    <s v="December 2013"/>
    <n v="1"/>
    <x v="1"/>
    <x v="0"/>
    <x v="2"/>
    <s v="Worst"/>
    <n v="1200"/>
    <n v="17"/>
    <n v="0.1"/>
    <n v="0.18"/>
    <n v="18000"/>
    <n v="0.3"/>
    <n v="20400"/>
    <n v="18360"/>
    <n v="3304.7999999999997"/>
    <n v="21304.799999999999"/>
    <n v="-2944.7999999999993"/>
    <n v="-883.43999999999971"/>
    <n v="-2061.3599999999997"/>
    <n v="-0.10104705882352939"/>
  </r>
  <r>
    <x v="3"/>
    <x v="0"/>
    <s v="December 2013"/>
    <n v="1"/>
    <x v="1"/>
    <x v="0"/>
    <x v="3"/>
    <s v="Worst"/>
    <n v="1200"/>
    <n v="17"/>
    <n v="0.1"/>
    <n v="0.18"/>
    <n v="18000"/>
    <n v="0.3"/>
    <n v="20400"/>
    <n v="18360"/>
    <n v="3304.7999999999997"/>
    <n v="21304.799999999999"/>
    <n v="-2944.7999999999993"/>
    <n v="-883.43999999999971"/>
    <n v="-2061.3599999999997"/>
    <n v="-0.10104705882352939"/>
  </r>
  <r>
    <x v="3"/>
    <x v="0"/>
    <s v="December 2013"/>
    <n v="1"/>
    <x v="1"/>
    <x v="0"/>
    <x v="4"/>
    <s v="Worst"/>
    <n v="1200"/>
    <n v="17"/>
    <n v="0.1"/>
    <n v="0.18"/>
    <n v="18000"/>
    <n v="0.3"/>
    <n v="20400"/>
    <n v="18360"/>
    <n v="3304.7999999999997"/>
    <n v="21304.799999999999"/>
    <n v="-2944.7999999999993"/>
    <n v="-883.43999999999971"/>
    <n v="-2061.3599999999997"/>
    <n v="-0.10104705882352939"/>
  </r>
  <r>
    <x v="3"/>
    <x v="0"/>
    <s v="December 2013"/>
    <n v="1"/>
    <x v="1"/>
    <x v="1"/>
    <x v="0"/>
    <s v="Worst"/>
    <n v="1200"/>
    <n v="17"/>
    <n v="0.1"/>
    <n v="0.18"/>
    <n v="18000"/>
    <n v="0.3"/>
    <n v="20400"/>
    <n v="18360"/>
    <n v="3304.7999999999997"/>
    <n v="21304.799999999999"/>
    <n v="-2944.7999999999993"/>
    <n v="-883.43999999999971"/>
    <n v="-2061.3599999999997"/>
    <n v="-0.10104705882352939"/>
  </r>
  <r>
    <x v="3"/>
    <x v="0"/>
    <s v="December 2013"/>
    <n v="1"/>
    <x v="1"/>
    <x v="1"/>
    <x v="1"/>
    <s v="Worst"/>
    <n v="1200"/>
    <n v="17"/>
    <n v="0.1"/>
    <n v="0.18"/>
    <n v="18000"/>
    <n v="0.3"/>
    <n v="20400"/>
    <n v="18360"/>
    <n v="3304.7999999999997"/>
    <n v="21304.799999999999"/>
    <n v="-2944.7999999999993"/>
    <n v="-883.43999999999971"/>
    <n v="-2061.3599999999997"/>
    <n v="-0.10104705882352939"/>
  </r>
  <r>
    <x v="3"/>
    <x v="0"/>
    <s v="December 2013"/>
    <n v="1"/>
    <x v="1"/>
    <x v="1"/>
    <x v="2"/>
    <s v="Worst"/>
    <n v="1200"/>
    <n v="17"/>
    <n v="0.1"/>
    <n v="0.18"/>
    <n v="18000"/>
    <n v="0.3"/>
    <n v="20400"/>
    <n v="18360"/>
    <n v="3304.7999999999997"/>
    <n v="21304.799999999999"/>
    <n v="-2944.7999999999993"/>
    <n v="-883.43999999999971"/>
    <n v="-2061.3599999999997"/>
    <n v="-0.10104705882352939"/>
  </r>
  <r>
    <x v="3"/>
    <x v="0"/>
    <s v="December 2013"/>
    <n v="1"/>
    <x v="1"/>
    <x v="1"/>
    <x v="3"/>
    <s v="Worst"/>
    <n v="1200"/>
    <n v="17"/>
    <n v="0.1"/>
    <n v="0.18"/>
    <n v="18000"/>
    <n v="0.3"/>
    <n v="20400"/>
    <n v="18360"/>
    <n v="3304.7999999999997"/>
    <n v="21304.799999999999"/>
    <n v="-2944.7999999999993"/>
    <n v="-883.43999999999971"/>
    <n v="-2061.3599999999997"/>
    <n v="-0.10104705882352939"/>
  </r>
  <r>
    <x v="3"/>
    <x v="0"/>
    <s v="December 2013"/>
    <n v="1"/>
    <x v="1"/>
    <x v="1"/>
    <x v="4"/>
    <s v="Worst"/>
    <n v="1200"/>
    <n v="17"/>
    <n v="0.1"/>
    <n v="0.18"/>
    <n v="18000"/>
    <n v="0.3"/>
    <n v="20400"/>
    <n v="18360"/>
    <n v="3304.7999999999997"/>
    <n v="21304.799999999999"/>
    <n v="-2944.7999999999993"/>
    <n v="-883.43999999999971"/>
    <n v="-2061.3599999999997"/>
    <n v="-0.10104705882352939"/>
  </r>
  <r>
    <x v="3"/>
    <x v="0"/>
    <s v="December 2013"/>
    <n v="1"/>
    <x v="1"/>
    <x v="2"/>
    <x v="0"/>
    <s v="Worst"/>
    <n v="1200"/>
    <n v="17"/>
    <n v="0.1"/>
    <n v="0.18"/>
    <n v="18000"/>
    <n v="0.3"/>
    <n v="20400"/>
    <n v="18360"/>
    <n v="3304.7999999999997"/>
    <n v="21304.799999999999"/>
    <n v="-2944.7999999999993"/>
    <n v="-883.43999999999971"/>
    <n v="-2061.3599999999997"/>
    <n v="-0.10104705882352939"/>
  </r>
  <r>
    <x v="3"/>
    <x v="0"/>
    <s v="December 2013"/>
    <n v="1"/>
    <x v="1"/>
    <x v="2"/>
    <x v="1"/>
    <s v="Worst"/>
    <n v="1200"/>
    <n v="17"/>
    <n v="0.1"/>
    <n v="0.18"/>
    <n v="18000"/>
    <n v="0.3"/>
    <n v="20400"/>
    <n v="18360"/>
    <n v="3304.7999999999997"/>
    <n v="21304.799999999999"/>
    <n v="-2944.7999999999993"/>
    <n v="-883.43999999999971"/>
    <n v="-2061.3599999999997"/>
    <n v="-0.10104705882352939"/>
  </r>
  <r>
    <x v="3"/>
    <x v="0"/>
    <s v="December 2013"/>
    <n v="1"/>
    <x v="1"/>
    <x v="2"/>
    <x v="2"/>
    <s v="Worst"/>
    <n v="1200"/>
    <n v="17"/>
    <n v="0.1"/>
    <n v="0.18"/>
    <n v="18000"/>
    <n v="0.3"/>
    <n v="20400"/>
    <n v="18360"/>
    <n v="3304.7999999999997"/>
    <n v="21304.799999999999"/>
    <n v="-2944.7999999999993"/>
    <n v="-883.43999999999971"/>
    <n v="-2061.3599999999997"/>
    <n v="-0.10104705882352939"/>
  </r>
  <r>
    <x v="3"/>
    <x v="0"/>
    <s v="December 2013"/>
    <n v="1"/>
    <x v="1"/>
    <x v="2"/>
    <x v="3"/>
    <s v="Worst"/>
    <n v="1200"/>
    <n v="17"/>
    <n v="0.1"/>
    <n v="0.18"/>
    <n v="18000"/>
    <n v="0.3"/>
    <n v="20400"/>
    <n v="18360"/>
    <n v="3304.7999999999997"/>
    <n v="21304.799999999999"/>
    <n v="-2944.7999999999993"/>
    <n v="-883.43999999999971"/>
    <n v="-2061.3599999999997"/>
    <n v="-0.10104705882352939"/>
  </r>
  <r>
    <x v="3"/>
    <x v="0"/>
    <s v="December 2013"/>
    <n v="1"/>
    <x v="1"/>
    <x v="2"/>
    <x v="4"/>
    <s v="Worst"/>
    <n v="1200"/>
    <n v="17"/>
    <n v="0.1"/>
    <n v="0.18"/>
    <n v="18000"/>
    <n v="0.3"/>
    <n v="20400"/>
    <n v="18360"/>
    <n v="3304.7999999999997"/>
    <n v="21304.799999999999"/>
    <n v="-2944.7999999999993"/>
    <n v="-883.43999999999971"/>
    <n v="-2061.3599999999997"/>
    <n v="-0.10104705882352939"/>
  </r>
  <r>
    <x v="3"/>
    <x v="0"/>
    <s v="December 2013"/>
    <n v="1"/>
    <x v="1"/>
    <x v="3"/>
    <x v="0"/>
    <s v="Worst"/>
    <n v="1200"/>
    <n v="17"/>
    <n v="0.1"/>
    <n v="0.18"/>
    <n v="18000"/>
    <n v="0.3"/>
    <n v="20400"/>
    <n v="18360"/>
    <n v="3304.7999999999997"/>
    <n v="21304.799999999999"/>
    <n v="-2944.7999999999993"/>
    <n v="-883.43999999999971"/>
    <n v="-2061.3599999999997"/>
    <n v="-0.10104705882352939"/>
  </r>
  <r>
    <x v="3"/>
    <x v="0"/>
    <s v="December 2013"/>
    <n v="1"/>
    <x v="1"/>
    <x v="3"/>
    <x v="1"/>
    <s v="Worst"/>
    <n v="1200"/>
    <n v="17"/>
    <n v="0.1"/>
    <n v="0.18"/>
    <n v="18000"/>
    <n v="0.3"/>
    <n v="20400"/>
    <n v="18360"/>
    <n v="3304.7999999999997"/>
    <n v="21304.799999999999"/>
    <n v="-2944.7999999999993"/>
    <n v="-883.43999999999971"/>
    <n v="-2061.3599999999997"/>
    <n v="-0.10104705882352939"/>
  </r>
  <r>
    <x v="3"/>
    <x v="0"/>
    <s v="December 2013"/>
    <n v="1"/>
    <x v="1"/>
    <x v="3"/>
    <x v="2"/>
    <s v="Worst"/>
    <n v="1200"/>
    <n v="17"/>
    <n v="0.1"/>
    <n v="0.18"/>
    <n v="18000"/>
    <n v="0.3"/>
    <n v="20400"/>
    <n v="18360"/>
    <n v="3304.7999999999997"/>
    <n v="21304.799999999999"/>
    <n v="-2944.7999999999993"/>
    <n v="-883.43999999999971"/>
    <n v="-2061.3599999999997"/>
    <n v="-0.10104705882352939"/>
  </r>
  <r>
    <x v="3"/>
    <x v="0"/>
    <s v="December 2013"/>
    <n v="1"/>
    <x v="1"/>
    <x v="3"/>
    <x v="3"/>
    <s v="Worst"/>
    <n v="1200"/>
    <n v="17"/>
    <n v="0.1"/>
    <n v="0.18"/>
    <n v="18000"/>
    <n v="0.3"/>
    <n v="20400"/>
    <n v="18360"/>
    <n v="3304.7999999999997"/>
    <n v="21304.799999999999"/>
    <n v="-2944.7999999999993"/>
    <n v="-883.43999999999971"/>
    <n v="-2061.3599999999997"/>
    <n v="-0.10104705882352939"/>
  </r>
  <r>
    <x v="3"/>
    <x v="0"/>
    <s v="December 2013"/>
    <n v="1"/>
    <x v="1"/>
    <x v="3"/>
    <x v="4"/>
    <s v="Worst"/>
    <n v="1200"/>
    <n v="17"/>
    <n v="0.1"/>
    <n v="0.18"/>
    <n v="18000"/>
    <n v="0.3"/>
    <n v="20400"/>
    <n v="18360"/>
    <n v="3304.7999999999997"/>
    <n v="21304.799999999999"/>
    <n v="-2944.7999999999993"/>
    <n v="-883.43999999999971"/>
    <n v="-2061.3599999999997"/>
    <n v="-0.10104705882352939"/>
  </r>
  <r>
    <x v="3"/>
    <x v="0"/>
    <s v="December 2013"/>
    <n v="1"/>
    <x v="1"/>
    <x v="4"/>
    <x v="0"/>
    <s v="Worst"/>
    <n v="1200"/>
    <n v="17"/>
    <n v="0.1"/>
    <n v="0.18"/>
    <n v="18000"/>
    <n v="0.3"/>
    <n v="20400"/>
    <n v="18360"/>
    <n v="3304.7999999999997"/>
    <n v="21304.799999999999"/>
    <n v="-2944.7999999999993"/>
    <n v="-883.43999999999971"/>
    <n v="-2061.3599999999997"/>
    <n v="-0.10104705882352939"/>
  </r>
  <r>
    <x v="3"/>
    <x v="0"/>
    <s v="December 2013"/>
    <n v="1"/>
    <x v="1"/>
    <x v="4"/>
    <x v="1"/>
    <s v="Worst"/>
    <n v="1200"/>
    <n v="17"/>
    <n v="0.1"/>
    <n v="0.18"/>
    <n v="18000"/>
    <n v="0.3"/>
    <n v="20400"/>
    <n v="18360"/>
    <n v="3304.7999999999997"/>
    <n v="21304.799999999999"/>
    <n v="-2944.7999999999993"/>
    <n v="-883.43999999999971"/>
    <n v="-2061.3599999999997"/>
    <n v="-0.10104705882352939"/>
  </r>
  <r>
    <x v="3"/>
    <x v="0"/>
    <s v="December 2013"/>
    <n v="1"/>
    <x v="1"/>
    <x v="4"/>
    <x v="2"/>
    <s v="Worst"/>
    <n v="1200"/>
    <n v="17"/>
    <n v="0.1"/>
    <n v="0.18"/>
    <n v="18000"/>
    <n v="0.3"/>
    <n v="20400"/>
    <n v="18360"/>
    <n v="3304.7999999999997"/>
    <n v="21304.799999999999"/>
    <n v="-2944.7999999999993"/>
    <n v="-883.43999999999971"/>
    <n v="-2061.3599999999997"/>
    <n v="-0.10104705882352939"/>
  </r>
  <r>
    <x v="3"/>
    <x v="0"/>
    <s v="December 2013"/>
    <n v="1"/>
    <x v="1"/>
    <x v="4"/>
    <x v="3"/>
    <s v="Worst"/>
    <n v="1200"/>
    <n v="17"/>
    <n v="0.1"/>
    <n v="0.18"/>
    <n v="18000"/>
    <n v="0.3"/>
    <n v="20400"/>
    <n v="18360"/>
    <n v="3304.7999999999997"/>
    <n v="21304.799999999999"/>
    <n v="-2944.7999999999993"/>
    <n v="-883.43999999999971"/>
    <n v="-2061.3599999999997"/>
    <n v="-0.10104705882352939"/>
  </r>
  <r>
    <x v="3"/>
    <x v="0"/>
    <s v="December 2013"/>
    <n v="1"/>
    <x v="1"/>
    <x v="4"/>
    <x v="4"/>
    <s v="Worst"/>
    <n v="1200"/>
    <n v="17"/>
    <n v="0.1"/>
    <n v="0.18"/>
    <n v="18000"/>
    <n v="0.3"/>
    <n v="20400"/>
    <n v="18360"/>
    <n v="3304.7999999999997"/>
    <n v="21304.799999999999"/>
    <n v="-2944.7999999999993"/>
    <n v="-883.43999999999971"/>
    <n v="-2061.3599999999997"/>
    <n v="-0.10104705882352939"/>
  </r>
  <r>
    <x v="3"/>
    <x v="0"/>
    <s v="December 2013"/>
    <n v="1"/>
    <x v="2"/>
    <x v="0"/>
    <x v="0"/>
    <s v="Worst"/>
    <n v="1200"/>
    <n v="17"/>
    <n v="0.1"/>
    <n v="0.18"/>
    <n v="18000"/>
    <n v="0.3"/>
    <n v="20400"/>
    <n v="18360"/>
    <n v="3304.7999999999997"/>
    <n v="21304.799999999999"/>
    <n v="-2944.7999999999993"/>
    <n v="-883.43999999999971"/>
    <n v="-2061.3599999999997"/>
    <n v="-0.10104705882352939"/>
  </r>
  <r>
    <x v="3"/>
    <x v="0"/>
    <s v="December 2013"/>
    <n v="1"/>
    <x v="2"/>
    <x v="0"/>
    <x v="1"/>
    <s v="Worst"/>
    <n v="1200"/>
    <n v="17"/>
    <n v="0.1"/>
    <n v="0.18"/>
    <n v="18000"/>
    <n v="0.3"/>
    <n v="20400"/>
    <n v="18360"/>
    <n v="3304.7999999999997"/>
    <n v="21304.799999999999"/>
    <n v="-2944.7999999999993"/>
    <n v="-883.43999999999971"/>
    <n v="-2061.3599999999997"/>
    <n v="-0.10104705882352939"/>
  </r>
  <r>
    <x v="3"/>
    <x v="0"/>
    <s v="December 2013"/>
    <n v="1"/>
    <x v="2"/>
    <x v="0"/>
    <x v="2"/>
    <s v="Worst"/>
    <n v="1200"/>
    <n v="17"/>
    <n v="0.1"/>
    <n v="0.18"/>
    <n v="18000"/>
    <n v="0.3"/>
    <n v="20400"/>
    <n v="18360"/>
    <n v="3304.7999999999997"/>
    <n v="21304.799999999999"/>
    <n v="-2944.7999999999993"/>
    <n v="-883.43999999999971"/>
    <n v="-2061.3599999999997"/>
    <n v="-0.10104705882352939"/>
  </r>
  <r>
    <x v="3"/>
    <x v="0"/>
    <s v="December 2013"/>
    <n v="1"/>
    <x v="2"/>
    <x v="0"/>
    <x v="3"/>
    <s v="Worst"/>
    <n v="1200"/>
    <n v="17"/>
    <n v="0.1"/>
    <n v="0.18"/>
    <n v="18000"/>
    <n v="0.3"/>
    <n v="20400"/>
    <n v="18360"/>
    <n v="3304.7999999999997"/>
    <n v="21304.799999999999"/>
    <n v="-2944.7999999999993"/>
    <n v="-883.43999999999971"/>
    <n v="-2061.3599999999997"/>
    <n v="-0.10104705882352939"/>
  </r>
  <r>
    <x v="3"/>
    <x v="0"/>
    <s v="December 2013"/>
    <n v="1"/>
    <x v="2"/>
    <x v="0"/>
    <x v="4"/>
    <s v="Worst"/>
    <n v="1200"/>
    <n v="17"/>
    <n v="0.1"/>
    <n v="0.18"/>
    <n v="18000"/>
    <n v="0.3"/>
    <n v="20400"/>
    <n v="18360"/>
    <n v="3304.7999999999997"/>
    <n v="21304.799999999999"/>
    <n v="-2944.7999999999993"/>
    <n v="-883.43999999999971"/>
    <n v="-2061.3599999999997"/>
    <n v="-0.10104705882352939"/>
  </r>
  <r>
    <x v="3"/>
    <x v="0"/>
    <s v="December 2013"/>
    <n v="1"/>
    <x v="2"/>
    <x v="1"/>
    <x v="0"/>
    <s v="Worst"/>
    <n v="1200"/>
    <n v="17"/>
    <n v="0.1"/>
    <n v="0.18"/>
    <n v="18000"/>
    <n v="0.3"/>
    <n v="20400"/>
    <n v="18360"/>
    <n v="3304.7999999999997"/>
    <n v="21304.799999999999"/>
    <n v="-2944.7999999999993"/>
    <n v="-883.43999999999971"/>
    <n v="-2061.3599999999997"/>
    <n v="-0.10104705882352939"/>
  </r>
  <r>
    <x v="3"/>
    <x v="0"/>
    <s v="December 2013"/>
    <n v="1"/>
    <x v="2"/>
    <x v="1"/>
    <x v="1"/>
    <s v="Worst"/>
    <n v="1200"/>
    <n v="17"/>
    <n v="0.1"/>
    <n v="0.18"/>
    <n v="18000"/>
    <n v="0.3"/>
    <n v="20400"/>
    <n v="18360"/>
    <n v="3304.7999999999997"/>
    <n v="21304.799999999999"/>
    <n v="-2944.7999999999993"/>
    <n v="-883.43999999999971"/>
    <n v="-2061.3599999999997"/>
    <n v="-0.10104705882352939"/>
  </r>
  <r>
    <x v="3"/>
    <x v="0"/>
    <s v="December 2013"/>
    <n v="1"/>
    <x v="2"/>
    <x v="1"/>
    <x v="2"/>
    <s v="Worst"/>
    <n v="1200"/>
    <n v="17"/>
    <n v="0.1"/>
    <n v="0.18"/>
    <n v="18000"/>
    <n v="0.3"/>
    <n v="20400"/>
    <n v="18360"/>
    <n v="3304.7999999999997"/>
    <n v="21304.799999999999"/>
    <n v="-2944.7999999999993"/>
    <n v="-883.43999999999971"/>
    <n v="-2061.3599999999997"/>
    <n v="-0.10104705882352939"/>
  </r>
  <r>
    <x v="3"/>
    <x v="0"/>
    <s v="December 2013"/>
    <n v="1"/>
    <x v="2"/>
    <x v="1"/>
    <x v="3"/>
    <s v="Worst"/>
    <n v="1200"/>
    <n v="17"/>
    <n v="0.1"/>
    <n v="0.18"/>
    <n v="18000"/>
    <n v="0.3"/>
    <n v="20400"/>
    <n v="18360"/>
    <n v="3304.7999999999997"/>
    <n v="21304.799999999999"/>
    <n v="-2944.7999999999993"/>
    <n v="-883.43999999999971"/>
    <n v="-2061.3599999999997"/>
    <n v="-0.10104705882352939"/>
  </r>
  <r>
    <x v="3"/>
    <x v="0"/>
    <s v="December 2013"/>
    <n v="1"/>
    <x v="2"/>
    <x v="1"/>
    <x v="4"/>
    <s v="Worst"/>
    <n v="1200"/>
    <n v="17"/>
    <n v="0.1"/>
    <n v="0.18"/>
    <n v="18000"/>
    <n v="0.3"/>
    <n v="20400"/>
    <n v="18360"/>
    <n v="3304.7999999999997"/>
    <n v="21304.799999999999"/>
    <n v="-2944.7999999999993"/>
    <n v="-883.43999999999971"/>
    <n v="-2061.3599999999997"/>
    <n v="-0.10104705882352939"/>
  </r>
  <r>
    <x v="3"/>
    <x v="0"/>
    <s v="December 2013"/>
    <n v="1"/>
    <x v="2"/>
    <x v="2"/>
    <x v="0"/>
    <s v="Worst"/>
    <n v="1200"/>
    <n v="17"/>
    <n v="0.1"/>
    <n v="0.18"/>
    <n v="18000"/>
    <n v="0.3"/>
    <n v="20400"/>
    <n v="18360"/>
    <n v="3304.7999999999997"/>
    <n v="21304.799999999999"/>
    <n v="-2944.7999999999993"/>
    <n v="-883.43999999999971"/>
    <n v="-2061.3599999999997"/>
    <n v="-0.10104705882352939"/>
  </r>
  <r>
    <x v="3"/>
    <x v="0"/>
    <s v="December 2013"/>
    <n v="1"/>
    <x v="2"/>
    <x v="2"/>
    <x v="1"/>
    <s v="Worst"/>
    <n v="1200"/>
    <n v="17"/>
    <n v="0.1"/>
    <n v="0.18"/>
    <n v="18000"/>
    <n v="0.3"/>
    <n v="20400"/>
    <n v="18360"/>
    <n v="3304.7999999999997"/>
    <n v="21304.799999999999"/>
    <n v="-2944.7999999999993"/>
    <n v="-883.43999999999971"/>
    <n v="-2061.3599999999997"/>
    <n v="-0.10104705882352939"/>
  </r>
  <r>
    <x v="3"/>
    <x v="0"/>
    <s v="December 2013"/>
    <n v="1"/>
    <x v="2"/>
    <x v="2"/>
    <x v="2"/>
    <s v="Worst"/>
    <n v="1200"/>
    <n v="17"/>
    <n v="0.1"/>
    <n v="0.18"/>
    <n v="18000"/>
    <n v="0.3"/>
    <n v="20400"/>
    <n v="18360"/>
    <n v="3304.7999999999997"/>
    <n v="21304.799999999999"/>
    <n v="-2944.7999999999993"/>
    <n v="-883.43999999999971"/>
    <n v="-2061.3599999999997"/>
    <n v="-0.10104705882352939"/>
  </r>
  <r>
    <x v="3"/>
    <x v="0"/>
    <s v="December 2013"/>
    <n v="1"/>
    <x v="2"/>
    <x v="2"/>
    <x v="3"/>
    <s v="Worst"/>
    <n v="1200"/>
    <n v="17"/>
    <n v="0.1"/>
    <n v="0.18"/>
    <n v="18000"/>
    <n v="0.3"/>
    <n v="20400"/>
    <n v="18360"/>
    <n v="3304.7999999999997"/>
    <n v="21304.799999999999"/>
    <n v="-2944.7999999999993"/>
    <n v="-883.43999999999971"/>
    <n v="-2061.3599999999997"/>
    <n v="-0.10104705882352939"/>
  </r>
  <r>
    <x v="3"/>
    <x v="0"/>
    <s v="December 2013"/>
    <n v="1"/>
    <x v="2"/>
    <x v="2"/>
    <x v="4"/>
    <s v="Worst"/>
    <n v="1200"/>
    <n v="17"/>
    <n v="0.1"/>
    <n v="0.18"/>
    <n v="18000"/>
    <n v="0.3"/>
    <n v="20400"/>
    <n v="18360"/>
    <n v="3304.7999999999997"/>
    <n v="21304.799999999999"/>
    <n v="-2944.7999999999993"/>
    <n v="-883.43999999999971"/>
    <n v="-2061.3599999999997"/>
    <n v="-0.10104705882352939"/>
  </r>
  <r>
    <x v="3"/>
    <x v="0"/>
    <s v="December 2013"/>
    <n v="1"/>
    <x v="2"/>
    <x v="3"/>
    <x v="0"/>
    <s v="Worst"/>
    <n v="1200"/>
    <n v="17"/>
    <n v="0.1"/>
    <n v="0.18"/>
    <n v="18000"/>
    <n v="0.3"/>
    <n v="20400"/>
    <n v="18360"/>
    <n v="3304.7999999999997"/>
    <n v="21304.799999999999"/>
    <n v="-2944.7999999999993"/>
    <n v="-883.43999999999971"/>
    <n v="-2061.3599999999997"/>
    <n v="-0.10104705882352939"/>
  </r>
  <r>
    <x v="3"/>
    <x v="0"/>
    <s v="December 2013"/>
    <n v="1"/>
    <x v="2"/>
    <x v="3"/>
    <x v="1"/>
    <s v="Worst"/>
    <n v="1200"/>
    <n v="17"/>
    <n v="0.1"/>
    <n v="0.18"/>
    <n v="18000"/>
    <n v="0.3"/>
    <n v="20400"/>
    <n v="18360"/>
    <n v="3304.7999999999997"/>
    <n v="21304.799999999999"/>
    <n v="-2944.7999999999993"/>
    <n v="-883.43999999999971"/>
    <n v="-2061.3599999999997"/>
    <n v="-0.10104705882352939"/>
  </r>
  <r>
    <x v="3"/>
    <x v="0"/>
    <s v="December 2013"/>
    <n v="1"/>
    <x v="2"/>
    <x v="3"/>
    <x v="2"/>
    <s v="Worst"/>
    <n v="1200"/>
    <n v="17"/>
    <n v="0.1"/>
    <n v="0.18"/>
    <n v="18000"/>
    <n v="0.3"/>
    <n v="20400"/>
    <n v="18360"/>
    <n v="3304.7999999999997"/>
    <n v="21304.799999999999"/>
    <n v="-2944.7999999999993"/>
    <n v="-883.43999999999971"/>
    <n v="-2061.3599999999997"/>
    <n v="-0.10104705882352939"/>
  </r>
  <r>
    <x v="3"/>
    <x v="0"/>
    <s v="December 2013"/>
    <n v="1"/>
    <x v="2"/>
    <x v="3"/>
    <x v="3"/>
    <s v="Worst"/>
    <n v="1200"/>
    <n v="17"/>
    <n v="0.1"/>
    <n v="0.18"/>
    <n v="18000"/>
    <n v="0.3"/>
    <n v="20400"/>
    <n v="18360"/>
    <n v="3304.7999999999997"/>
    <n v="21304.799999999999"/>
    <n v="-2944.7999999999993"/>
    <n v="-883.43999999999971"/>
    <n v="-2061.3599999999997"/>
    <n v="-0.10104705882352939"/>
  </r>
  <r>
    <x v="3"/>
    <x v="0"/>
    <s v="December 2013"/>
    <n v="1"/>
    <x v="2"/>
    <x v="3"/>
    <x v="4"/>
    <s v="Worst"/>
    <n v="1200"/>
    <n v="17"/>
    <n v="0.1"/>
    <n v="0.18"/>
    <n v="18000"/>
    <n v="0.3"/>
    <n v="20400"/>
    <n v="18360"/>
    <n v="3304.7999999999997"/>
    <n v="21304.799999999999"/>
    <n v="-2944.7999999999993"/>
    <n v="-883.43999999999971"/>
    <n v="-2061.3599999999997"/>
    <n v="-0.10104705882352939"/>
  </r>
  <r>
    <x v="3"/>
    <x v="0"/>
    <s v="December 2013"/>
    <n v="1"/>
    <x v="2"/>
    <x v="4"/>
    <x v="0"/>
    <s v="Worst"/>
    <n v="1200"/>
    <n v="17"/>
    <n v="0.1"/>
    <n v="0.18"/>
    <n v="18000"/>
    <n v="0.3"/>
    <n v="20400"/>
    <n v="18360"/>
    <n v="3304.7999999999997"/>
    <n v="21304.799999999999"/>
    <n v="-2944.7999999999993"/>
    <n v="-883.43999999999971"/>
    <n v="-2061.3599999999997"/>
    <n v="-0.10104705882352939"/>
  </r>
  <r>
    <x v="3"/>
    <x v="0"/>
    <s v="December 2013"/>
    <n v="1"/>
    <x v="2"/>
    <x v="4"/>
    <x v="1"/>
    <s v="Worst"/>
    <n v="1200"/>
    <n v="17"/>
    <n v="0.1"/>
    <n v="0.18"/>
    <n v="18000"/>
    <n v="0.3"/>
    <n v="20400"/>
    <n v="18360"/>
    <n v="3304.7999999999997"/>
    <n v="21304.799999999999"/>
    <n v="-2944.7999999999993"/>
    <n v="-883.43999999999971"/>
    <n v="-2061.3599999999997"/>
    <n v="-0.10104705882352939"/>
  </r>
  <r>
    <x v="3"/>
    <x v="0"/>
    <s v="December 2013"/>
    <n v="1"/>
    <x v="2"/>
    <x v="4"/>
    <x v="2"/>
    <s v="Worst"/>
    <n v="1200"/>
    <n v="17"/>
    <n v="0.1"/>
    <n v="0.18"/>
    <n v="18000"/>
    <n v="0.3"/>
    <n v="20400"/>
    <n v="18360"/>
    <n v="3304.7999999999997"/>
    <n v="21304.799999999999"/>
    <n v="-2944.7999999999993"/>
    <n v="-883.43999999999971"/>
    <n v="-2061.3599999999997"/>
    <n v="-0.10104705882352939"/>
  </r>
  <r>
    <x v="3"/>
    <x v="0"/>
    <s v="December 2013"/>
    <n v="1"/>
    <x v="2"/>
    <x v="4"/>
    <x v="3"/>
    <s v="Worst"/>
    <n v="1200"/>
    <n v="17"/>
    <n v="0.1"/>
    <n v="0.18"/>
    <n v="18000"/>
    <n v="0.3"/>
    <n v="20400"/>
    <n v="18360"/>
    <n v="3304.7999999999997"/>
    <n v="21304.799999999999"/>
    <n v="-2944.7999999999993"/>
    <n v="-883.43999999999971"/>
    <n v="-2061.3599999999997"/>
    <n v="-0.10104705882352939"/>
  </r>
  <r>
    <x v="3"/>
    <x v="0"/>
    <s v="December 2013"/>
    <n v="1"/>
    <x v="2"/>
    <x v="4"/>
    <x v="4"/>
    <s v="Worst"/>
    <n v="1200"/>
    <n v="17"/>
    <n v="0.1"/>
    <n v="0.18"/>
    <n v="18000"/>
    <n v="0.3"/>
    <n v="20400"/>
    <n v="18360"/>
    <n v="3304.7999999999997"/>
    <n v="21304.799999999999"/>
    <n v="-2944.7999999999993"/>
    <n v="-883.43999999999971"/>
    <n v="-2061.3599999999997"/>
    <n v="-0.10104705882352939"/>
  </r>
  <r>
    <x v="3"/>
    <x v="0"/>
    <s v="December 2013"/>
    <n v="1"/>
    <x v="3"/>
    <x v="0"/>
    <x v="0"/>
    <s v="Worst"/>
    <n v="1200"/>
    <n v="17"/>
    <n v="0.1"/>
    <n v="0.18"/>
    <n v="18000"/>
    <n v="0.3"/>
    <n v="20400"/>
    <n v="18360"/>
    <n v="3304.7999999999997"/>
    <n v="21304.799999999999"/>
    <n v="-2944.7999999999993"/>
    <n v="-883.43999999999971"/>
    <n v="-2061.3599999999997"/>
    <n v="-0.10104705882352939"/>
  </r>
  <r>
    <x v="3"/>
    <x v="0"/>
    <s v="December 2013"/>
    <n v="1"/>
    <x v="3"/>
    <x v="0"/>
    <x v="1"/>
    <s v="Worst"/>
    <n v="1200"/>
    <n v="17"/>
    <n v="0.1"/>
    <n v="0.18"/>
    <n v="18000"/>
    <n v="0.3"/>
    <n v="20400"/>
    <n v="18360"/>
    <n v="3304.7999999999997"/>
    <n v="21304.799999999999"/>
    <n v="-2944.7999999999993"/>
    <n v="-883.43999999999971"/>
    <n v="-2061.3599999999997"/>
    <n v="-0.10104705882352939"/>
  </r>
  <r>
    <x v="3"/>
    <x v="0"/>
    <s v="December 2013"/>
    <n v="1"/>
    <x v="3"/>
    <x v="0"/>
    <x v="2"/>
    <s v="Worst"/>
    <n v="1200"/>
    <n v="17"/>
    <n v="0.1"/>
    <n v="0.18"/>
    <n v="18000"/>
    <n v="0.3"/>
    <n v="20400"/>
    <n v="18360"/>
    <n v="3304.7999999999997"/>
    <n v="21304.799999999999"/>
    <n v="-2944.7999999999993"/>
    <n v="-883.43999999999971"/>
    <n v="-2061.3599999999997"/>
    <n v="-0.10104705882352939"/>
  </r>
  <r>
    <x v="3"/>
    <x v="0"/>
    <s v="December 2013"/>
    <n v="1"/>
    <x v="3"/>
    <x v="0"/>
    <x v="3"/>
    <s v="Worst"/>
    <n v="1200"/>
    <n v="17"/>
    <n v="0.1"/>
    <n v="0.18"/>
    <n v="18000"/>
    <n v="0.3"/>
    <n v="20400"/>
    <n v="18360"/>
    <n v="3304.7999999999997"/>
    <n v="21304.799999999999"/>
    <n v="-2944.7999999999993"/>
    <n v="-883.43999999999971"/>
    <n v="-2061.3599999999997"/>
    <n v="-0.10104705882352939"/>
  </r>
  <r>
    <x v="3"/>
    <x v="0"/>
    <s v="December 2013"/>
    <n v="1"/>
    <x v="3"/>
    <x v="0"/>
    <x v="4"/>
    <s v="Worst"/>
    <n v="1200"/>
    <n v="17"/>
    <n v="0.1"/>
    <n v="0.18"/>
    <n v="18000"/>
    <n v="0.3"/>
    <n v="20400"/>
    <n v="18360"/>
    <n v="3304.7999999999997"/>
    <n v="21304.799999999999"/>
    <n v="-2944.7999999999993"/>
    <n v="-883.43999999999971"/>
    <n v="-2061.3599999999997"/>
    <n v="-0.10104705882352939"/>
  </r>
  <r>
    <x v="3"/>
    <x v="0"/>
    <s v="December 2013"/>
    <n v="1"/>
    <x v="3"/>
    <x v="1"/>
    <x v="0"/>
    <s v="Worst"/>
    <n v="1200"/>
    <n v="17"/>
    <n v="0.1"/>
    <n v="0.18"/>
    <n v="18000"/>
    <n v="0.3"/>
    <n v="20400"/>
    <n v="18360"/>
    <n v="3304.7999999999997"/>
    <n v="21304.799999999999"/>
    <n v="-2944.7999999999993"/>
    <n v="-883.43999999999971"/>
    <n v="-2061.3599999999997"/>
    <n v="-0.10104705882352939"/>
  </r>
  <r>
    <x v="3"/>
    <x v="0"/>
    <s v="December 2013"/>
    <n v="1"/>
    <x v="3"/>
    <x v="1"/>
    <x v="1"/>
    <s v="Worst"/>
    <n v="1200"/>
    <n v="17"/>
    <n v="0.1"/>
    <n v="0.18"/>
    <n v="18000"/>
    <n v="0.3"/>
    <n v="20400"/>
    <n v="18360"/>
    <n v="3304.7999999999997"/>
    <n v="21304.799999999999"/>
    <n v="-2944.7999999999993"/>
    <n v="-883.43999999999971"/>
    <n v="-2061.3599999999997"/>
    <n v="-0.10104705882352939"/>
  </r>
  <r>
    <x v="3"/>
    <x v="0"/>
    <s v="December 2013"/>
    <n v="1"/>
    <x v="3"/>
    <x v="1"/>
    <x v="2"/>
    <s v="Worst"/>
    <n v="1200"/>
    <n v="17"/>
    <n v="0.1"/>
    <n v="0.18"/>
    <n v="18000"/>
    <n v="0.3"/>
    <n v="20400"/>
    <n v="18360"/>
    <n v="3304.7999999999997"/>
    <n v="21304.799999999999"/>
    <n v="-2944.7999999999993"/>
    <n v="-883.43999999999971"/>
    <n v="-2061.3599999999997"/>
    <n v="-0.10104705882352939"/>
  </r>
  <r>
    <x v="3"/>
    <x v="0"/>
    <s v="December 2013"/>
    <n v="1"/>
    <x v="3"/>
    <x v="1"/>
    <x v="3"/>
    <s v="Worst"/>
    <n v="1200"/>
    <n v="17"/>
    <n v="0.1"/>
    <n v="0.18"/>
    <n v="18000"/>
    <n v="0.3"/>
    <n v="20400"/>
    <n v="18360"/>
    <n v="3304.7999999999997"/>
    <n v="21304.799999999999"/>
    <n v="-2944.7999999999993"/>
    <n v="-883.43999999999971"/>
    <n v="-2061.3599999999997"/>
    <n v="-0.10104705882352939"/>
  </r>
  <r>
    <x v="3"/>
    <x v="0"/>
    <s v="December 2013"/>
    <n v="1"/>
    <x v="3"/>
    <x v="1"/>
    <x v="4"/>
    <s v="Worst"/>
    <n v="1200"/>
    <n v="17"/>
    <n v="0.1"/>
    <n v="0.18"/>
    <n v="18000"/>
    <n v="0.3"/>
    <n v="20400"/>
    <n v="18360"/>
    <n v="3304.7999999999997"/>
    <n v="21304.799999999999"/>
    <n v="-2944.7999999999993"/>
    <n v="-883.43999999999971"/>
    <n v="-2061.3599999999997"/>
    <n v="-0.10104705882352939"/>
  </r>
  <r>
    <x v="3"/>
    <x v="0"/>
    <s v="December 2013"/>
    <n v="1"/>
    <x v="3"/>
    <x v="2"/>
    <x v="0"/>
    <s v="Worst"/>
    <n v="1200"/>
    <n v="17"/>
    <n v="0.1"/>
    <n v="0.18"/>
    <n v="18000"/>
    <n v="0.3"/>
    <n v="20400"/>
    <n v="18360"/>
    <n v="3304.7999999999997"/>
    <n v="21304.799999999999"/>
    <n v="-2944.7999999999993"/>
    <n v="-883.43999999999971"/>
    <n v="-2061.3599999999997"/>
    <n v="-0.10104705882352939"/>
  </r>
  <r>
    <x v="3"/>
    <x v="0"/>
    <s v="December 2013"/>
    <n v="1"/>
    <x v="3"/>
    <x v="2"/>
    <x v="1"/>
    <s v="Worst"/>
    <n v="1200"/>
    <n v="17"/>
    <n v="0.1"/>
    <n v="0.18"/>
    <n v="18000"/>
    <n v="0.3"/>
    <n v="20400"/>
    <n v="18360"/>
    <n v="3304.7999999999997"/>
    <n v="21304.799999999999"/>
    <n v="-2944.7999999999993"/>
    <n v="-883.43999999999971"/>
    <n v="-2061.3599999999997"/>
    <n v="-0.10104705882352939"/>
  </r>
  <r>
    <x v="3"/>
    <x v="0"/>
    <s v="December 2013"/>
    <n v="1"/>
    <x v="3"/>
    <x v="2"/>
    <x v="2"/>
    <s v="Worst"/>
    <n v="1200"/>
    <n v="17"/>
    <n v="0.1"/>
    <n v="0.18"/>
    <n v="18000"/>
    <n v="0.3"/>
    <n v="20400"/>
    <n v="18360"/>
    <n v="3304.7999999999997"/>
    <n v="21304.799999999999"/>
    <n v="-2944.7999999999993"/>
    <n v="-883.43999999999971"/>
    <n v="-2061.3599999999997"/>
    <n v="-0.10104705882352939"/>
  </r>
  <r>
    <x v="3"/>
    <x v="0"/>
    <s v="December 2013"/>
    <n v="1"/>
    <x v="3"/>
    <x v="2"/>
    <x v="3"/>
    <s v="Worst"/>
    <n v="1200"/>
    <n v="17"/>
    <n v="0.1"/>
    <n v="0.18"/>
    <n v="18000"/>
    <n v="0.3"/>
    <n v="20400"/>
    <n v="18360"/>
    <n v="3304.7999999999997"/>
    <n v="21304.799999999999"/>
    <n v="-2944.7999999999993"/>
    <n v="-883.43999999999971"/>
    <n v="-2061.3599999999997"/>
    <n v="-0.10104705882352939"/>
  </r>
  <r>
    <x v="3"/>
    <x v="0"/>
    <s v="December 2013"/>
    <n v="1"/>
    <x v="3"/>
    <x v="2"/>
    <x v="4"/>
    <s v="Worst"/>
    <n v="1200"/>
    <n v="17"/>
    <n v="0.1"/>
    <n v="0.18"/>
    <n v="18000"/>
    <n v="0.3"/>
    <n v="20400"/>
    <n v="18360"/>
    <n v="3304.7999999999997"/>
    <n v="21304.799999999999"/>
    <n v="-2944.7999999999993"/>
    <n v="-883.43999999999971"/>
    <n v="-2061.3599999999997"/>
    <n v="-0.10104705882352939"/>
  </r>
  <r>
    <x v="3"/>
    <x v="0"/>
    <s v="December 2013"/>
    <n v="1"/>
    <x v="3"/>
    <x v="3"/>
    <x v="0"/>
    <s v="Worst"/>
    <n v="1200"/>
    <n v="17"/>
    <n v="0.1"/>
    <n v="0.18"/>
    <n v="18000"/>
    <n v="0.3"/>
    <n v="20400"/>
    <n v="18360"/>
    <n v="3304.7999999999997"/>
    <n v="21304.799999999999"/>
    <n v="-2944.7999999999993"/>
    <n v="-883.43999999999971"/>
    <n v="-2061.3599999999997"/>
    <n v="-0.10104705882352939"/>
  </r>
  <r>
    <x v="3"/>
    <x v="0"/>
    <s v="December 2013"/>
    <n v="1"/>
    <x v="3"/>
    <x v="3"/>
    <x v="1"/>
    <s v="Worst"/>
    <n v="1200"/>
    <n v="17"/>
    <n v="0.1"/>
    <n v="0.18"/>
    <n v="18000"/>
    <n v="0.3"/>
    <n v="20400"/>
    <n v="18360"/>
    <n v="3304.7999999999997"/>
    <n v="21304.799999999999"/>
    <n v="-2944.7999999999993"/>
    <n v="-883.43999999999971"/>
    <n v="-2061.3599999999997"/>
    <n v="-0.10104705882352939"/>
  </r>
  <r>
    <x v="3"/>
    <x v="0"/>
    <s v="December 2013"/>
    <n v="1"/>
    <x v="3"/>
    <x v="3"/>
    <x v="2"/>
    <s v="Worst"/>
    <n v="1200"/>
    <n v="17"/>
    <n v="0.1"/>
    <n v="0.18"/>
    <n v="18000"/>
    <n v="0.3"/>
    <n v="20400"/>
    <n v="18360"/>
    <n v="3304.7999999999997"/>
    <n v="21304.799999999999"/>
    <n v="-2944.7999999999993"/>
    <n v="-883.43999999999971"/>
    <n v="-2061.3599999999997"/>
    <n v="-0.10104705882352939"/>
  </r>
  <r>
    <x v="3"/>
    <x v="0"/>
    <s v="December 2013"/>
    <n v="1"/>
    <x v="3"/>
    <x v="3"/>
    <x v="3"/>
    <s v="Worst"/>
    <n v="1200"/>
    <n v="17"/>
    <n v="0.1"/>
    <n v="0.18"/>
    <n v="18000"/>
    <n v="0.3"/>
    <n v="20400"/>
    <n v="18360"/>
    <n v="3304.7999999999997"/>
    <n v="21304.799999999999"/>
    <n v="-2944.7999999999993"/>
    <n v="-883.43999999999971"/>
    <n v="-2061.3599999999997"/>
    <n v="-0.10104705882352939"/>
  </r>
  <r>
    <x v="3"/>
    <x v="0"/>
    <s v="December 2013"/>
    <n v="1"/>
    <x v="3"/>
    <x v="3"/>
    <x v="4"/>
    <s v="Worst"/>
    <n v="1200"/>
    <n v="17"/>
    <n v="0.1"/>
    <n v="0.18"/>
    <n v="18000"/>
    <n v="0.3"/>
    <n v="20400"/>
    <n v="18360"/>
    <n v="3304.7999999999997"/>
    <n v="21304.799999999999"/>
    <n v="-2944.7999999999993"/>
    <n v="-883.43999999999971"/>
    <n v="-2061.3599999999997"/>
    <n v="-0.10104705882352939"/>
  </r>
  <r>
    <x v="3"/>
    <x v="0"/>
    <s v="December 2013"/>
    <n v="1"/>
    <x v="3"/>
    <x v="4"/>
    <x v="0"/>
    <s v="Worst"/>
    <n v="1200"/>
    <n v="17"/>
    <n v="0.1"/>
    <n v="0.18"/>
    <n v="18000"/>
    <n v="0.3"/>
    <n v="20400"/>
    <n v="18360"/>
    <n v="3304.7999999999997"/>
    <n v="21304.799999999999"/>
    <n v="-2944.7999999999993"/>
    <n v="-883.43999999999971"/>
    <n v="-2061.3599999999997"/>
    <n v="-0.10104705882352939"/>
  </r>
  <r>
    <x v="3"/>
    <x v="0"/>
    <s v="December 2013"/>
    <n v="1"/>
    <x v="3"/>
    <x v="4"/>
    <x v="1"/>
    <s v="Worst"/>
    <n v="1200"/>
    <n v="17"/>
    <n v="0.1"/>
    <n v="0.18"/>
    <n v="18000"/>
    <n v="0.3"/>
    <n v="20400"/>
    <n v="18360"/>
    <n v="3304.7999999999997"/>
    <n v="21304.799999999999"/>
    <n v="-2944.7999999999993"/>
    <n v="-883.43999999999971"/>
    <n v="-2061.3599999999997"/>
    <n v="-0.10104705882352939"/>
  </r>
  <r>
    <x v="3"/>
    <x v="0"/>
    <s v="December 2013"/>
    <n v="1"/>
    <x v="3"/>
    <x v="4"/>
    <x v="2"/>
    <s v="Worst"/>
    <n v="1200"/>
    <n v="17"/>
    <n v="0.1"/>
    <n v="0.18"/>
    <n v="18000"/>
    <n v="0.3"/>
    <n v="20400"/>
    <n v="18360"/>
    <n v="3304.7999999999997"/>
    <n v="21304.799999999999"/>
    <n v="-2944.7999999999993"/>
    <n v="-883.43999999999971"/>
    <n v="-2061.3599999999997"/>
    <n v="-0.10104705882352939"/>
  </r>
  <r>
    <x v="3"/>
    <x v="0"/>
    <s v="December 2013"/>
    <n v="1"/>
    <x v="3"/>
    <x v="4"/>
    <x v="3"/>
    <s v="Worst"/>
    <n v="1200"/>
    <n v="17"/>
    <n v="0.1"/>
    <n v="0.18"/>
    <n v="18000"/>
    <n v="0.3"/>
    <n v="20400"/>
    <n v="18360"/>
    <n v="3304.7999999999997"/>
    <n v="21304.799999999999"/>
    <n v="-2944.7999999999993"/>
    <n v="-883.43999999999971"/>
    <n v="-2061.3599999999997"/>
    <n v="-0.10104705882352939"/>
  </r>
  <r>
    <x v="3"/>
    <x v="0"/>
    <s v="December 2013"/>
    <n v="1"/>
    <x v="3"/>
    <x v="4"/>
    <x v="4"/>
    <s v="Worst"/>
    <n v="1200"/>
    <n v="17"/>
    <n v="0.1"/>
    <n v="0.18"/>
    <n v="18000"/>
    <n v="0.3"/>
    <n v="20400"/>
    <n v="18360"/>
    <n v="3304.7999999999997"/>
    <n v="21304.799999999999"/>
    <n v="-2944.7999999999993"/>
    <n v="-883.43999999999971"/>
    <n v="-2061.3599999999997"/>
    <n v="-0.10104705882352939"/>
  </r>
  <r>
    <x v="3"/>
    <x v="0"/>
    <s v="December 2013"/>
    <n v="1"/>
    <x v="4"/>
    <x v="0"/>
    <x v="0"/>
    <s v="Worst"/>
    <n v="1200"/>
    <n v="17"/>
    <n v="0.1"/>
    <n v="0.18"/>
    <n v="18000"/>
    <n v="0.3"/>
    <n v="20400"/>
    <n v="18360"/>
    <n v="3304.7999999999997"/>
    <n v="21304.799999999999"/>
    <n v="-2944.7999999999993"/>
    <n v="-883.43999999999971"/>
    <n v="-2061.3599999999997"/>
    <n v="-0.10104705882352939"/>
  </r>
  <r>
    <x v="3"/>
    <x v="0"/>
    <s v="December 2013"/>
    <n v="1"/>
    <x v="4"/>
    <x v="0"/>
    <x v="1"/>
    <s v="Worst"/>
    <n v="1200"/>
    <n v="17"/>
    <n v="0.1"/>
    <n v="0.18"/>
    <n v="18000"/>
    <n v="0.3"/>
    <n v="20400"/>
    <n v="18360"/>
    <n v="3304.7999999999997"/>
    <n v="21304.799999999999"/>
    <n v="-2944.7999999999993"/>
    <n v="-883.43999999999971"/>
    <n v="-2061.3599999999997"/>
    <n v="-0.10104705882352939"/>
  </r>
  <r>
    <x v="3"/>
    <x v="0"/>
    <s v="December 2013"/>
    <n v="1"/>
    <x v="4"/>
    <x v="0"/>
    <x v="2"/>
    <s v="Worst"/>
    <n v="1200"/>
    <n v="17"/>
    <n v="0.1"/>
    <n v="0.18"/>
    <n v="18000"/>
    <n v="0.3"/>
    <n v="20400"/>
    <n v="18360"/>
    <n v="3304.7999999999997"/>
    <n v="21304.799999999999"/>
    <n v="-2944.7999999999993"/>
    <n v="-883.43999999999971"/>
    <n v="-2061.3599999999997"/>
    <n v="-0.10104705882352939"/>
  </r>
  <r>
    <x v="3"/>
    <x v="0"/>
    <s v="December 2013"/>
    <n v="1"/>
    <x v="4"/>
    <x v="0"/>
    <x v="3"/>
    <s v="Worst"/>
    <n v="1200"/>
    <n v="17"/>
    <n v="0.1"/>
    <n v="0.18"/>
    <n v="18000"/>
    <n v="0.3"/>
    <n v="20400"/>
    <n v="18360"/>
    <n v="3304.7999999999997"/>
    <n v="21304.799999999999"/>
    <n v="-2944.7999999999993"/>
    <n v="-883.43999999999971"/>
    <n v="-2061.3599999999997"/>
    <n v="-0.10104705882352939"/>
  </r>
  <r>
    <x v="3"/>
    <x v="0"/>
    <s v="December 2013"/>
    <n v="1"/>
    <x v="4"/>
    <x v="0"/>
    <x v="4"/>
    <s v="Worst"/>
    <n v="1200"/>
    <n v="17"/>
    <n v="0.1"/>
    <n v="0.18"/>
    <n v="18000"/>
    <n v="0.3"/>
    <n v="20400"/>
    <n v="18360"/>
    <n v="3304.7999999999997"/>
    <n v="21304.799999999999"/>
    <n v="-2944.7999999999993"/>
    <n v="-883.43999999999971"/>
    <n v="-2061.3599999999997"/>
    <n v="-0.10104705882352939"/>
  </r>
  <r>
    <x v="3"/>
    <x v="0"/>
    <s v="December 2013"/>
    <n v="1"/>
    <x v="4"/>
    <x v="1"/>
    <x v="0"/>
    <s v="Worst"/>
    <n v="1200"/>
    <n v="17"/>
    <n v="0.1"/>
    <n v="0.18"/>
    <n v="18000"/>
    <n v="0.3"/>
    <n v="20400"/>
    <n v="18360"/>
    <n v="3304.7999999999997"/>
    <n v="21304.799999999999"/>
    <n v="-2944.7999999999993"/>
    <n v="-883.43999999999971"/>
    <n v="-2061.3599999999997"/>
    <n v="-0.10104705882352939"/>
  </r>
  <r>
    <x v="3"/>
    <x v="0"/>
    <s v="December 2013"/>
    <n v="1"/>
    <x v="4"/>
    <x v="1"/>
    <x v="1"/>
    <s v="Worst"/>
    <n v="1200"/>
    <n v="17"/>
    <n v="0.1"/>
    <n v="0.18"/>
    <n v="18000"/>
    <n v="0.3"/>
    <n v="20400"/>
    <n v="18360"/>
    <n v="3304.7999999999997"/>
    <n v="21304.799999999999"/>
    <n v="-2944.7999999999993"/>
    <n v="-883.43999999999971"/>
    <n v="-2061.3599999999997"/>
    <n v="-0.10104705882352939"/>
  </r>
  <r>
    <x v="3"/>
    <x v="0"/>
    <s v="December 2013"/>
    <n v="1"/>
    <x v="4"/>
    <x v="1"/>
    <x v="2"/>
    <s v="Worst"/>
    <n v="1200"/>
    <n v="17"/>
    <n v="0.1"/>
    <n v="0.18"/>
    <n v="18000"/>
    <n v="0.3"/>
    <n v="20400"/>
    <n v="18360"/>
    <n v="3304.7999999999997"/>
    <n v="21304.799999999999"/>
    <n v="-2944.7999999999993"/>
    <n v="-883.43999999999971"/>
    <n v="-2061.3599999999997"/>
    <n v="-0.10104705882352939"/>
  </r>
  <r>
    <x v="3"/>
    <x v="0"/>
    <s v="December 2013"/>
    <n v="1"/>
    <x v="4"/>
    <x v="1"/>
    <x v="3"/>
    <s v="Worst"/>
    <n v="1200"/>
    <n v="17"/>
    <n v="0.1"/>
    <n v="0.18"/>
    <n v="18000"/>
    <n v="0.3"/>
    <n v="20400"/>
    <n v="18360"/>
    <n v="3304.7999999999997"/>
    <n v="21304.799999999999"/>
    <n v="-2944.7999999999993"/>
    <n v="-883.43999999999971"/>
    <n v="-2061.3599999999997"/>
    <n v="-0.10104705882352939"/>
  </r>
  <r>
    <x v="3"/>
    <x v="0"/>
    <s v="December 2013"/>
    <n v="1"/>
    <x v="4"/>
    <x v="1"/>
    <x v="4"/>
    <s v="Worst"/>
    <n v="1200"/>
    <n v="17"/>
    <n v="0.1"/>
    <n v="0.18"/>
    <n v="18000"/>
    <n v="0.3"/>
    <n v="20400"/>
    <n v="18360"/>
    <n v="3304.7999999999997"/>
    <n v="21304.799999999999"/>
    <n v="-2944.7999999999993"/>
    <n v="-883.43999999999971"/>
    <n v="-2061.3599999999997"/>
    <n v="-0.10104705882352939"/>
  </r>
  <r>
    <x v="3"/>
    <x v="0"/>
    <s v="December 2013"/>
    <n v="1"/>
    <x v="4"/>
    <x v="2"/>
    <x v="0"/>
    <s v="Worst"/>
    <n v="1200"/>
    <n v="17"/>
    <n v="0.1"/>
    <n v="0.18"/>
    <n v="18000"/>
    <n v="0.3"/>
    <n v="20400"/>
    <n v="18360"/>
    <n v="3304.7999999999997"/>
    <n v="21304.799999999999"/>
    <n v="-2944.7999999999993"/>
    <n v="-883.43999999999971"/>
    <n v="-2061.3599999999997"/>
    <n v="-0.10104705882352939"/>
  </r>
  <r>
    <x v="3"/>
    <x v="0"/>
    <s v="December 2013"/>
    <n v="1"/>
    <x v="4"/>
    <x v="2"/>
    <x v="1"/>
    <s v="Worst"/>
    <n v="1200"/>
    <n v="17"/>
    <n v="0.1"/>
    <n v="0.18"/>
    <n v="18000"/>
    <n v="0.3"/>
    <n v="20400"/>
    <n v="18360"/>
    <n v="3304.7999999999997"/>
    <n v="21304.799999999999"/>
    <n v="-2944.7999999999993"/>
    <n v="-883.43999999999971"/>
    <n v="-2061.3599999999997"/>
    <n v="-0.10104705882352939"/>
  </r>
  <r>
    <x v="3"/>
    <x v="0"/>
    <s v="December 2013"/>
    <n v="1"/>
    <x v="4"/>
    <x v="2"/>
    <x v="2"/>
    <s v="Worst"/>
    <n v="1200"/>
    <n v="17"/>
    <n v="0.1"/>
    <n v="0.18"/>
    <n v="18000"/>
    <n v="0.3"/>
    <n v="20400"/>
    <n v="18360"/>
    <n v="3304.7999999999997"/>
    <n v="21304.799999999999"/>
    <n v="-2944.7999999999993"/>
    <n v="-883.43999999999971"/>
    <n v="-2061.3599999999997"/>
    <n v="-0.10104705882352939"/>
  </r>
  <r>
    <x v="3"/>
    <x v="0"/>
    <s v="December 2013"/>
    <n v="1"/>
    <x v="4"/>
    <x v="2"/>
    <x v="3"/>
    <s v="Worst"/>
    <n v="1200"/>
    <n v="17"/>
    <n v="0.1"/>
    <n v="0.18"/>
    <n v="18000"/>
    <n v="0.3"/>
    <n v="20400"/>
    <n v="18360"/>
    <n v="3304.7999999999997"/>
    <n v="21304.799999999999"/>
    <n v="-2944.7999999999993"/>
    <n v="-883.43999999999971"/>
    <n v="-2061.3599999999997"/>
    <n v="-0.10104705882352939"/>
  </r>
  <r>
    <x v="3"/>
    <x v="0"/>
    <s v="December 2013"/>
    <n v="1"/>
    <x v="4"/>
    <x v="2"/>
    <x v="4"/>
    <s v="Worst"/>
    <n v="1200"/>
    <n v="17"/>
    <n v="0.1"/>
    <n v="0.18"/>
    <n v="18000"/>
    <n v="0.3"/>
    <n v="20400"/>
    <n v="18360"/>
    <n v="3304.7999999999997"/>
    <n v="21304.799999999999"/>
    <n v="-2944.7999999999993"/>
    <n v="-883.43999999999971"/>
    <n v="-2061.3599999999997"/>
    <n v="-0.10104705882352939"/>
  </r>
  <r>
    <x v="3"/>
    <x v="0"/>
    <s v="December 2013"/>
    <n v="1"/>
    <x v="4"/>
    <x v="3"/>
    <x v="0"/>
    <s v="Worst"/>
    <n v="1200"/>
    <n v="17"/>
    <n v="0.1"/>
    <n v="0.18"/>
    <n v="18000"/>
    <n v="0.3"/>
    <n v="20400"/>
    <n v="18360"/>
    <n v="3304.7999999999997"/>
    <n v="21304.799999999999"/>
    <n v="-2944.7999999999993"/>
    <n v="-883.43999999999971"/>
    <n v="-2061.3599999999997"/>
    <n v="-0.10104705882352939"/>
  </r>
  <r>
    <x v="3"/>
    <x v="0"/>
    <s v="December 2013"/>
    <n v="1"/>
    <x v="4"/>
    <x v="3"/>
    <x v="1"/>
    <s v="Worst"/>
    <n v="1200"/>
    <n v="17"/>
    <n v="0.1"/>
    <n v="0.18"/>
    <n v="18000"/>
    <n v="0.3"/>
    <n v="20400"/>
    <n v="18360"/>
    <n v="3304.7999999999997"/>
    <n v="21304.799999999999"/>
    <n v="-2944.7999999999993"/>
    <n v="-883.43999999999971"/>
    <n v="-2061.3599999999997"/>
    <n v="-0.10104705882352939"/>
  </r>
  <r>
    <x v="3"/>
    <x v="0"/>
    <s v="December 2013"/>
    <n v="1"/>
    <x v="4"/>
    <x v="3"/>
    <x v="2"/>
    <s v="Worst"/>
    <n v="1200"/>
    <n v="17"/>
    <n v="0.1"/>
    <n v="0.18"/>
    <n v="18000"/>
    <n v="0.3"/>
    <n v="20400"/>
    <n v="18360"/>
    <n v="3304.7999999999997"/>
    <n v="21304.799999999999"/>
    <n v="-2944.7999999999993"/>
    <n v="-883.43999999999971"/>
    <n v="-2061.3599999999997"/>
    <n v="-0.10104705882352939"/>
  </r>
  <r>
    <x v="3"/>
    <x v="0"/>
    <s v="December 2013"/>
    <n v="1"/>
    <x v="4"/>
    <x v="3"/>
    <x v="3"/>
    <s v="Worst"/>
    <n v="1200"/>
    <n v="17"/>
    <n v="0.1"/>
    <n v="0.18"/>
    <n v="18000"/>
    <n v="0.3"/>
    <n v="20400"/>
    <n v="18360"/>
    <n v="3304.7999999999997"/>
    <n v="21304.799999999999"/>
    <n v="-2944.7999999999993"/>
    <n v="-883.43999999999971"/>
    <n v="-2061.3599999999997"/>
    <n v="-0.10104705882352939"/>
  </r>
  <r>
    <x v="3"/>
    <x v="0"/>
    <s v="December 2013"/>
    <n v="1"/>
    <x v="4"/>
    <x v="3"/>
    <x v="4"/>
    <s v="Worst"/>
    <n v="1200"/>
    <n v="17"/>
    <n v="0.1"/>
    <n v="0.18"/>
    <n v="18000"/>
    <n v="0.3"/>
    <n v="20400"/>
    <n v="18360"/>
    <n v="3304.7999999999997"/>
    <n v="21304.799999999999"/>
    <n v="-2944.7999999999993"/>
    <n v="-883.43999999999971"/>
    <n v="-2061.3599999999997"/>
    <n v="-0.10104705882352939"/>
  </r>
  <r>
    <x v="3"/>
    <x v="0"/>
    <s v="December 2013"/>
    <n v="1"/>
    <x v="4"/>
    <x v="4"/>
    <x v="0"/>
    <s v="Worst"/>
    <n v="1200"/>
    <n v="17"/>
    <n v="0.1"/>
    <n v="0.18"/>
    <n v="18000"/>
    <n v="0.3"/>
    <n v="20400"/>
    <n v="18360"/>
    <n v="3304.7999999999997"/>
    <n v="21304.799999999999"/>
    <n v="-2944.7999999999993"/>
    <n v="-883.43999999999971"/>
    <n v="-2061.3599999999997"/>
    <n v="-0.10104705882352939"/>
  </r>
  <r>
    <x v="3"/>
    <x v="0"/>
    <s v="December 2013"/>
    <n v="1"/>
    <x v="4"/>
    <x v="4"/>
    <x v="1"/>
    <s v="Worst"/>
    <n v="1200"/>
    <n v="17"/>
    <n v="0.1"/>
    <n v="0.18"/>
    <n v="18000"/>
    <n v="0.3"/>
    <n v="20400"/>
    <n v="18360"/>
    <n v="3304.7999999999997"/>
    <n v="21304.799999999999"/>
    <n v="-2944.7999999999993"/>
    <n v="-883.43999999999971"/>
    <n v="-2061.3599999999997"/>
    <n v="-0.10104705882352939"/>
  </r>
  <r>
    <x v="3"/>
    <x v="0"/>
    <s v="December 2013"/>
    <n v="1"/>
    <x v="4"/>
    <x v="4"/>
    <x v="2"/>
    <s v="Worst"/>
    <n v="1200"/>
    <n v="17"/>
    <n v="0.1"/>
    <n v="0.18"/>
    <n v="18000"/>
    <n v="0.3"/>
    <n v="20400"/>
    <n v="18360"/>
    <n v="3304.7999999999997"/>
    <n v="21304.799999999999"/>
    <n v="-2944.7999999999993"/>
    <n v="-883.43999999999971"/>
    <n v="-2061.3599999999997"/>
    <n v="-0.10104705882352939"/>
  </r>
  <r>
    <x v="3"/>
    <x v="0"/>
    <s v="December 2013"/>
    <n v="1"/>
    <x v="4"/>
    <x v="4"/>
    <x v="3"/>
    <s v="Worst"/>
    <n v="1200"/>
    <n v="17"/>
    <n v="0.1"/>
    <n v="0.18"/>
    <n v="18000"/>
    <n v="0.3"/>
    <n v="20400"/>
    <n v="18360"/>
    <n v="3304.7999999999997"/>
    <n v="21304.799999999999"/>
    <n v="-2944.7999999999993"/>
    <n v="-883.43999999999971"/>
    <n v="-2061.3599999999997"/>
    <n v="-0.10104705882352939"/>
  </r>
  <r>
    <x v="3"/>
    <x v="0"/>
    <s v="December 2013"/>
    <n v="1"/>
    <x v="4"/>
    <x v="4"/>
    <x v="4"/>
    <s v="Worst"/>
    <n v="1200"/>
    <n v="17"/>
    <n v="0.1"/>
    <n v="0.18"/>
    <n v="18000"/>
    <n v="0.3"/>
    <n v="20400"/>
    <n v="18360"/>
    <n v="3304.7999999999997"/>
    <n v="21304.799999999999"/>
    <n v="-2944.7999999999993"/>
    <n v="-883.43999999999971"/>
    <n v="-2061.3599999999997"/>
    <n v="-0.10104705882352939"/>
  </r>
  <r>
    <x v="4"/>
    <x v="1"/>
    <s v="January 2014"/>
    <n v="1"/>
    <x v="0"/>
    <x v="0"/>
    <x v="0"/>
    <s v="Worst"/>
    <n v="1200"/>
    <n v="17"/>
    <n v="0.1"/>
    <n v="0.18"/>
    <n v="18000"/>
    <n v="0.3"/>
    <n v="20400"/>
    <n v="18360"/>
    <n v="3304.7999999999997"/>
    <n v="21304.799999999999"/>
    <n v="-2944.7999999999993"/>
    <n v="-883.43999999999971"/>
    <n v="-2061.3599999999997"/>
    <n v="-0.10104705882352939"/>
  </r>
  <r>
    <x v="4"/>
    <x v="1"/>
    <s v="January 2014"/>
    <n v="1"/>
    <x v="0"/>
    <x v="0"/>
    <x v="1"/>
    <s v="Worst"/>
    <n v="1200"/>
    <n v="17"/>
    <n v="0.1"/>
    <n v="0.18"/>
    <n v="18000"/>
    <n v="0.3"/>
    <n v="20400"/>
    <n v="18360"/>
    <n v="3304.7999999999997"/>
    <n v="21304.799999999999"/>
    <n v="-2944.7999999999993"/>
    <n v="-883.43999999999971"/>
    <n v="-2061.3599999999997"/>
    <n v="-0.10104705882352939"/>
  </r>
  <r>
    <x v="4"/>
    <x v="1"/>
    <s v="January 2014"/>
    <n v="1"/>
    <x v="0"/>
    <x v="0"/>
    <x v="2"/>
    <s v="Worst"/>
    <n v="1200"/>
    <n v="17"/>
    <n v="0.1"/>
    <n v="0.18"/>
    <n v="18000"/>
    <n v="0.3"/>
    <n v="20400"/>
    <n v="18360"/>
    <n v="3304.7999999999997"/>
    <n v="21304.799999999999"/>
    <n v="-2944.7999999999993"/>
    <n v="-883.43999999999971"/>
    <n v="-2061.3599999999997"/>
    <n v="-0.10104705882352939"/>
  </r>
  <r>
    <x v="4"/>
    <x v="1"/>
    <s v="January 2014"/>
    <n v="1"/>
    <x v="0"/>
    <x v="0"/>
    <x v="3"/>
    <s v="Worst"/>
    <n v="1200"/>
    <n v="17"/>
    <n v="0.1"/>
    <n v="0.18"/>
    <n v="18000"/>
    <n v="0.3"/>
    <n v="20400"/>
    <n v="18360"/>
    <n v="3304.7999999999997"/>
    <n v="21304.799999999999"/>
    <n v="-2944.7999999999993"/>
    <n v="-883.43999999999971"/>
    <n v="-2061.3599999999997"/>
    <n v="-0.10104705882352939"/>
  </r>
  <r>
    <x v="4"/>
    <x v="1"/>
    <s v="January 2014"/>
    <n v="1"/>
    <x v="0"/>
    <x v="0"/>
    <x v="4"/>
    <s v="Worst"/>
    <n v="1200"/>
    <n v="17"/>
    <n v="0.1"/>
    <n v="0.18"/>
    <n v="18000"/>
    <n v="0.3"/>
    <n v="20400"/>
    <n v="18360"/>
    <n v="3304.7999999999997"/>
    <n v="21304.799999999999"/>
    <n v="-2944.7999999999993"/>
    <n v="-883.43999999999971"/>
    <n v="-2061.3599999999997"/>
    <n v="-0.10104705882352939"/>
  </r>
  <r>
    <x v="4"/>
    <x v="1"/>
    <s v="January 2014"/>
    <n v="1"/>
    <x v="0"/>
    <x v="1"/>
    <x v="0"/>
    <s v="Worst"/>
    <n v="1200"/>
    <n v="17"/>
    <n v="0.1"/>
    <n v="0.18"/>
    <n v="18000"/>
    <n v="0.3"/>
    <n v="20400"/>
    <n v="18360"/>
    <n v="3304.7999999999997"/>
    <n v="21304.799999999999"/>
    <n v="-2944.7999999999993"/>
    <n v="-883.43999999999971"/>
    <n v="-2061.3599999999997"/>
    <n v="-0.10104705882352939"/>
  </r>
  <r>
    <x v="4"/>
    <x v="1"/>
    <s v="January 2014"/>
    <n v="1"/>
    <x v="0"/>
    <x v="1"/>
    <x v="1"/>
    <s v="Worst"/>
    <n v="1200"/>
    <n v="17"/>
    <n v="0.1"/>
    <n v="0.18"/>
    <n v="18000"/>
    <n v="0.3"/>
    <n v="20400"/>
    <n v="18360"/>
    <n v="3304.7999999999997"/>
    <n v="21304.799999999999"/>
    <n v="-2944.7999999999993"/>
    <n v="-883.43999999999971"/>
    <n v="-2061.3599999999997"/>
    <n v="-0.10104705882352939"/>
  </r>
  <r>
    <x v="4"/>
    <x v="1"/>
    <s v="January 2014"/>
    <n v="1"/>
    <x v="0"/>
    <x v="1"/>
    <x v="2"/>
    <s v="Worst"/>
    <n v="1200"/>
    <n v="17"/>
    <n v="0.1"/>
    <n v="0.18"/>
    <n v="18000"/>
    <n v="0.3"/>
    <n v="20400"/>
    <n v="18360"/>
    <n v="3304.7999999999997"/>
    <n v="21304.799999999999"/>
    <n v="-2944.7999999999993"/>
    <n v="-883.43999999999971"/>
    <n v="-2061.3599999999997"/>
    <n v="-0.10104705882352939"/>
  </r>
  <r>
    <x v="4"/>
    <x v="1"/>
    <s v="January 2014"/>
    <n v="1"/>
    <x v="0"/>
    <x v="1"/>
    <x v="3"/>
    <s v="Worst"/>
    <n v="1200"/>
    <n v="17"/>
    <n v="0.1"/>
    <n v="0.18"/>
    <n v="18000"/>
    <n v="0.3"/>
    <n v="20400"/>
    <n v="18360"/>
    <n v="3304.7999999999997"/>
    <n v="21304.799999999999"/>
    <n v="-2944.7999999999993"/>
    <n v="-883.43999999999971"/>
    <n v="-2061.3599999999997"/>
    <n v="-0.10104705882352939"/>
  </r>
  <r>
    <x v="4"/>
    <x v="1"/>
    <s v="January 2014"/>
    <n v="1"/>
    <x v="0"/>
    <x v="1"/>
    <x v="4"/>
    <s v="Worst"/>
    <n v="1200"/>
    <n v="17"/>
    <n v="0.1"/>
    <n v="0.18"/>
    <n v="18000"/>
    <n v="0.3"/>
    <n v="20400"/>
    <n v="18360"/>
    <n v="3304.7999999999997"/>
    <n v="21304.799999999999"/>
    <n v="-2944.7999999999993"/>
    <n v="-883.43999999999971"/>
    <n v="-2061.3599999999997"/>
    <n v="-0.10104705882352939"/>
  </r>
  <r>
    <x v="4"/>
    <x v="1"/>
    <s v="January 2014"/>
    <n v="1"/>
    <x v="0"/>
    <x v="2"/>
    <x v="0"/>
    <s v="Worst"/>
    <n v="1200"/>
    <n v="17"/>
    <n v="0.1"/>
    <n v="0.18"/>
    <n v="18000"/>
    <n v="0.3"/>
    <n v="20400"/>
    <n v="18360"/>
    <n v="3304.7999999999997"/>
    <n v="21304.799999999999"/>
    <n v="-2944.7999999999993"/>
    <n v="-883.43999999999971"/>
    <n v="-2061.3599999999997"/>
    <n v="-0.10104705882352939"/>
  </r>
  <r>
    <x v="4"/>
    <x v="1"/>
    <s v="January 2014"/>
    <n v="1"/>
    <x v="0"/>
    <x v="2"/>
    <x v="1"/>
    <s v="Worst"/>
    <n v="1200"/>
    <n v="17"/>
    <n v="0.1"/>
    <n v="0.18"/>
    <n v="18000"/>
    <n v="0.3"/>
    <n v="20400"/>
    <n v="18360"/>
    <n v="3304.7999999999997"/>
    <n v="21304.799999999999"/>
    <n v="-2944.7999999999993"/>
    <n v="-883.43999999999971"/>
    <n v="-2061.3599999999997"/>
    <n v="-0.10104705882352939"/>
  </r>
  <r>
    <x v="4"/>
    <x v="1"/>
    <s v="January 2014"/>
    <n v="1"/>
    <x v="0"/>
    <x v="2"/>
    <x v="2"/>
    <s v="Worst"/>
    <n v="1200"/>
    <n v="17"/>
    <n v="0.1"/>
    <n v="0.18"/>
    <n v="18000"/>
    <n v="0.3"/>
    <n v="20400"/>
    <n v="18360"/>
    <n v="3304.7999999999997"/>
    <n v="21304.799999999999"/>
    <n v="-2944.7999999999993"/>
    <n v="-883.43999999999971"/>
    <n v="-2061.3599999999997"/>
    <n v="-0.10104705882352939"/>
  </r>
  <r>
    <x v="4"/>
    <x v="1"/>
    <s v="January 2014"/>
    <n v="1"/>
    <x v="0"/>
    <x v="2"/>
    <x v="3"/>
    <s v="Worst"/>
    <n v="1200"/>
    <n v="17"/>
    <n v="0.1"/>
    <n v="0.18"/>
    <n v="18000"/>
    <n v="0.3"/>
    <n v="20400"/>
    <n v="18360"/>
    <n v="3304.7999999999997"/>
    <n v="21304.799999999999"/>
    <n v="-2944.7999999999993"/>
    <n v="-883.43999999999971"/>
    <n v="-2061.3599999999997"/>
    <n v="-0.10104705882352939"/>
  </r>
  <r>
    <x v="4"/>
    <x v="1"/>
    <s v="January 2014"/>
    <n v="1"/>
    <x v="0"/>
    <x v="2"/>
    <x v="4"/>
    <s v="Worst"/>
    <n v="1200"/>
    <n v="17"/>
    <n v="0.1"/>
    <n v="0.18"/>
    <n v="18000"/>
    <n v="0.3"/>
    <n v="20400"/>
    <n v="18360"/>
    <n v="3304.7999999999997"/>
    <n v="21304.799999999999"/>
    <n v="-2944.7999999999993"/>
    <n v="-883.43999999999971"/>
    <n v="-2061.3599999999997"/>
    <n v="-0.10104705882352939"/>
  </r>
  <r>
    <x v="4"/>
    <x v="1"/>
    <s v="January 2014"/>
    <n v="1"/>
    <x v="0"/>
    <x v="3"/>
    <x v="0"/>
    <s v="Worst"/>
    <n v="1200"/>
    <n v="17"/>
    <n v="0.1"/>
    <n v="0.18"/>
    <n v="18000"/>
    <n v="0.3"/>
    <n v="20400"/>
    <n v="18360"/>
    <n v="3304.7999999999997"/>
    <n v="21304.799999999999"/>
    <n v="-2944.7999999999993"/>
    <n v="-883.43999999999971"/>
    <n v="-2061.3599999999997"/>
    <n v="-0.10104705882352939"/>
  </r>
  <r>
    <x v="4"/>
    <x v="1"/>
    <s v="January 2014"/>
    <n v="1"/>
    <x v="0"/>
    <x v="3"/>
    <x v="1"/>
    <s v="Worst"/>
    <n v="1200"/>
    <n v="17"/>
    <n v="0.1"/>
    <n v="0.18"/>
    <n v="18000"/>
    <n v="0.3"/>
    <n v="20400"/>
    <n v="18360"/>
    <n v="3304.7999999999997"/>
    <n v="21304.799999999999"/>
    <n v="-2944.7999999999993"/>
    <n v="-883.43999999999971"/>
    <n v="-2061.3599999999997"/>
    <n v="-0.10104705882352939"/>
  </r>
  <r>
    <x v="4"/>
    <x v="1"/>
    <s v="January 2014"/>
    <n v="1"/>
    <x v="0"/>
    <x v="3"/>
    <x v="2"/>
    <s v="Worst"/>
    <n v="1200"/>
    <n v="17"/>
    <n v="0.1"/>
    <n v="0.18"/>
    <n v="18000"/>
    <n v="0.3"/>
    <n v="20400"/>
    <n v="18360"/>
    <n v="3304.7999999999997"/>
    <n v="21304.799999999999"/>
    <n v="-2944.7999999999993"/>
    <n v="-883.43999999999971"/>
    <n v="-2061.3599999999997"/>
    <n v="-0.10104705882352939"/>
  </r>
  <r>
    <x v="4"/>
    <x v="1"/>
    <s v="January 2014"/>
    <n v="1"/>
    <x v="0"/>
    <x v="3"/>
    <x v="3"/>
    <s v="Worst"/>
    <n v="1200"/>
    <n v="17"/>
    <n v="0.1"/>
    <n v="0.18"/>
    <n v="18000"/>
    <n v="0.3"/>
    <n v="20400"/>
    <n v="18360"/>
    <n v="3304.7999999999997"/>
    <n v="21304.799999999999"/>
    <n v="-2944.7999999999993"/>
    <n v="-883.43999999999971"/>
    <n v="-2061.3599999999997"/>
    <n v="-0.10104705882352939"/>
  </r>
  <r>
    <x v="4"/>
    <x v="1"/>
    <s v="January 2014"/>
    <n v="1"/>
    <x v="0"/>
    <x v="3"/>
    <x v="4"/>
    <s v="Worst"/>
    <n v="1200"/>
    <n v="17"/>
    <n v="0.1"/>
    <n v="0.18"/>
    <n v="18000"/>
    <n v="0.3"/>
    <n v="20400"/>
    <n v="18360"/>
    <n v="3304.7999999999997"/>
    <n v="21304.799999999999"/>
    <n v="-2944.7999999999993"/>
    <n v="-883.43999999999971"/>
    <n v="-2061.3599999999997"/>
    <n v="-0.10104705882352939"/>
  </r>
  <r>
    <x v="4"/>
    <x v="1"/>
    <s v="January 2014"/>
    <n v="1"/>
    <x v="0"/>
    <x v="4"/>
    <x v="0"/>
    <s v="Worst"/>
    <n v="1200"/>
    <n v="17"/>
    <n v="0.1"/>
    <n v="0.18"/>
    <n v="18000"/>
    <n v="0.3"/>
    <n v="20400"/>
    <n v="18360"/>
    <n v="3304.7999999999997"/>
    <n v="21304.799999999999"/>
    <n v="-2944.7999999999993"/>
    <n v="-883.43999999999971"/>
    <n v="-2061.3599999999997"/>
    <n v="-0.10104705882352939"/>
  </r>
  <r>
    <x v="4"/>
    <x v="1"/>
    <s v="January 2014"/>
    <n v="1"/>
    <x v="0"/>
    <x v="4"/>
    <x v="1"/>
    <s v="Worst"/>
    <n v="1200"/>
    <n v="17"/>
    <n v="0.1"/>
    <n v="0.18"/>
    <n v="18000"/>
    <n v="0.3"/>
    <n v="20400"/>
    <n v="18360"/>
    <n v="3304.7999999999997"/>
    <n v="21304.799999999999"/>
    <n v="-2944.7999999999993"/>
    <n v="-883.43999999999971"/>
    <n v="-2061.3599999999997"/>
    <n v="-0.10104705882352939"/>
  </r>
  <r>
    <x v="4"/>
    <x v="1"/>
    <s v="January 2014"/>
    <n v="1"/>
    <x v="0"/>
    <x v="4"/>
    <x v="2"/>
    <s v="Worst"/>
    <n v="1200"/>
    <n v="17"/>
    <n v="0.1"/>
    <n v="0.18"/>
    <n v="18000"/>
    <n v="0.3"/>
    <n v="20400"/>
    <n v="18360"/>
    <n v="3304.7999999999997"/>
    <n v="21304.799999999999"/>
    <n v="-2944.7999999999993"/>
    <n v="-883.43999999999971"/>
    <n v="-2061.3599999999997"/>
    <n v="-0.10104705882352939"/>
  </r>
  <r>
    <x v="4"/>
    <x v="1"/>
    <s v="January 2014"/>
    <n v="1"/>
    <x v="0"/>
    <x v="4"/>
    <x v="3"/>
    <s v="Worst"/>
    <n v="1200"/>
    <n v="17"/>
    <n v="0.1"/>
    <n v="0.18"/>
    <n v="18000"/>
    <n v="0.3"/>
    <n v="20400"/>
    <n v="18360"/>
    <n v="3304.7999999999997"/>
    <n v="21304.799999999999"/>
    <n v="-2944.7999999999993"/>
    <n v="-883.43999999999971"/>
    <n v="-2061.3599999999997"/>
    <n v="-0.10104705882352939"/>
  </r>
  <r>
    <x v="4"/>
    <x v="1"/>
    <s v="January 2014"/>
    <n v="1"/>
    <x v="0"/>
    <x v="4"/>
    <x v="4"/>
    <s v="Worst"/>
    <n v="1200"/>
    <n v="17"/>
    <n v="0.1"/>
    <n v="0.18"/>
    <n v="18000"/>
    <n v="0.3"/>
    <n v="20400"/>
    <n v="18360"/>
    <n v="3304.7999999999997"/>
    <n v="21304.799999999999"/>
    <n v="-2944.7999999999993"/>
    <n v="-883.43999999999971"/>
    <n v="-2061.3599999999997"/>
    <n v="-0.10104705882352939"/>
  </r>
  <r>
    <x v="4"/>
    <x v="1"/>
    <s v="January 2014"/>
    <n v="1"/>
    <x v="1"/>
    <x v="0"/>
    <x v="0"/>
    <s v="Worst"/>
    <n v="1200"/>
    <n v="17"/>
    <n v="0.1"/>
    <n v="0.18"/>
    <n v="18000"/>
    <n v="0.3"/>
    <n v="20400"/>
    <n v="18360"/>
    <n v="3304.7999999999997"/>
    <n v="21304.799999999999"/>
    <n v="-2944.7999999999993"/>
    <n v="-883.43999999999971"/>
    <n v="-2061.3599999999997"/>
    <n v="-0.10104705882352939"/>
  </r>
  <r>
    <x v="4"/>
    <x v="1"/>
    <s v="January 2014"/>
    <n v="1"/>
    <x v="1"/>
    <x v="0"/>
    <x v="1"/>
    <s v="Worst"/>
    <n v="1200"/>
    <n v="17"/>
    <n v="0.1"/>
    <n v="0.18"/>
    <n v="18000"/>
    <n v="0.3"/>
    <n v="20400"/>
    <n v="18360"/>
    <n v="3304.7999999999997"/>
    <n v="21304.799999999999"/>
    <n v="-2944.7999999999993"/>
    <n v="-883.43999999999971"/>
    <n v="-2061.3599999999997"/>
    <n v="-0.10104705882352939"/>
  </r>
  <r>
    <x v="4"/>
    <x v="1"/>
    <s v="January 2014"/>
    <n v="1"/>
    <x v="1"/>
    <x v="0"/>
    <x v="2"/>
    <s v="Worst"/>
    <n v="1200"/>
    <n v="17"/>
    <n v="0.1"/>
    <n v="0.18"/>
    <n v="18000"/>
    <n v="0.3"/>
    <n v="20400"/>
    <n v="18360"/>
    <n v="3304.7999999999997"/>
    <n v="21304.799999999999"/>
    <n v="-2944.7999999999993"/>
    <n v="-883.43999999999971"/>
    <n v="-2061.3599999999997"/>
    <n v="-0.10104705882352939"/>
  </r>
  <r>
    <x v="4"/>
    <x v="1"/>
    <s v="January 2014"/>
    <n v="1"/>
    <x v="1"/>
    <x v="0"/>
    <x v="3"/>
    <s v="Worst"/>
    <n v="1200"/>
    <n v="17"/>
    <n v="0.1"/>
    <n v="0.18"/>
    <n v="18000"/>
    <n v="0.3"/>
    <n v="20400"/>
    <n v="18360"/>
    <n v="3304.7999999999997"/>
    <n v="21304.799999999999"/>
    <n v="-2944.7999999999993"/>
    <n v="-883.43999999999971"/>
    <n v="-2061.3599999999997"/>
    <n v="-0.10104705882352939"/>
  </r>
  <r>
    <x v="4"/>
    <x v="1"/>
    <s v="January 2014"/>
    <n v="1"/>
    <x v="1"/>
    <x v="0"/>
    <x v="4"/>
    <s v="Worst"/>
    <n v="1200"/>
    <n v="17"/>
    <n v="0.1"/>
    <n v="0.18"/>
    <n v="18000"/>
    <n v="0.3"/>
    <n v="20400"/>
    <n v="18360"/>
    <n v="3304.7999999999997"/>
    <n v="21304.799999999999"/>
    <n v="-2944.7999999999993"/>
    <n v="-883.43999999999971"/>
    <n v="-2061.3599999999997"/>
    <n v="-0.10104705882352939"/>
  </r>
  <r>
    <x v="4"/>
    <x v="1"/>
    <s v="January 2014"/>
    <n v="1"/>
    <x v="1"/>
    <x v="1"/>
    <x v="0"/>
    <s v="Worst"/>
    <n v="1200"/>
    <n v="17"/>
    <n v="0.1"/>
    <n v="0.18"/>
    <n v="18000"/>
    <n v="0.3"/>
    <n v="20400"/>
    <n v="18360"/>
    <n v="3304.7999999999997"/>
    <n v="21304.799999999999"/>
    <n v="-2944.7999999999993"/>
    <n v="-883.43999999999971"/>
    <n v="-2061.3599999999997"/>
    <n v="-0.10104705882352939"/>
  </r>
  <r>
    <x v="4"/>
    <x v="1"/>
    <s v="January 2014"/>
    <n v="1"/>
    <x v="1"/>
    <x v="1"/>
    <x v="1"/>
    <s v="Worst"/>
    <n v="1200"/>
    <n v="17"/>
    <n v="0.1"/>
    <n v="0.18"/>
    <n v="18000"/>
    <n v="0.3"/>
    <n v="20400"/>
    <n v="18360"/>
    <n v="3304.7999999999997"/>
    <n v="21304.799999999999"/>
    <n v="-2944.7999999999993"/>
    <n v="-883.43999999999971"/>
    <n v="-2061.3599999999997"/>
    <n v="-0.10104705882352939"/>
  </r>
  <r>
    <x v="4"/>
    <x v="1"/>
    <s v="January 2014"/>
    <n v="1"/>
    <x v="1"/>
    <x v="1"/>
    <x v="2"/>
    <s v="Worst"/>
    <n v="1200"/>
    <n v="17"/>
    <n v="0.1"/>
    <n v="0.18"/>
    <n v="18000"/>
    <n v="0.3"/>
    <n v="20400"/>
    <n v="18360"/>
    <n v="3304.7999999999997"/>
    <n v="21304.799999999999"/>
    <n v="-2944.7999999999993"/>
    <n v="-883.43999999999971"/>
    <n v="-2061.3599999999997"/>
    <n v="-0.10104705882352939"/>
  </r>
  <r>
    <x v="4"/>
    <x v="1"/>
    <s v="January 2014"/>
    <n v="1"/>
    <x v="1"/>
    <x v="1"/>
    <x v="3"/>
    <s v="Worst"/>
    <n v="1200"/>
    <n v="17"/>
    <n v="0.1"/>
    <n v="0.18"/>
    <n v="18000"/>
    <n v="0.3"/>
    <n v="20400"/>
    <n v="18360"/>
    <n v="3304.7999999999997"/>
    <n v="21304.799999999999"/>
    <n v="-2944.7999999999993"/>
    <n v="-883.43999999999971"/>
    <n v="-2061.3599999999997"/>
    <n v="-0.10104705882352939"/>
  </r>
  <r>
    <x v="4"/>
    <x v="1"/>
    <s v="January 2014"/>
    <n v="1"/>
    <x v="1"/>
    <x v="1"/>
    <x v="4"/>
    <s v="Worst"/>
    <n v="1200"/>
    <n v="17"/>
    <n v="0.1"/>
    <n v="0.18"/>
    <n v="18000"/>
    <n v="0.3"/>
    <n v="20400"/>
    <n v="18360"/>
    <n v="3304.7999999999997"/>
    <n v="21304.799999999999"/>
    <n v="-2944.7999999999993"/>
    <n v="-883.43999999999971"/>
    <n v="-2061.3599999999997"/>
    <n v="-0.10104705882352939"/>
  </r>
  <r>
    <x v="4"/>
    <x v="1"/>
    <s v="January 2014"/>
    <n v="1"/>
    <x v="1"/>
    <x v="2"/>
    <x v="0"/>
    <s v="Worst"/>
    <n v="1200"/>
    <n v="17"/>
    <n v="0.1"/>
    <n v="0.18"/>
    <n v="18000"/>
    <n v="0.3"/>
    <n v="20400"/>
    <n v="18360"/>
    <n v="3304.7999999999997"/>
    <n v="21304.799999999999"/>
    <n v="-2944.7999999999993"/>
    <n v="-883.43999999999971"/>
    <n v="-2061.3599999999997"/>
    <n v="-0.10104705882352939"/>
  </r>
  <r>
    <x v="4"/>
    <x v="1"/>
    <s v="January 2014"/>
    <n v="1"/>
    <x v="1"/>
    <x v="2"/>
    <x v="1"/>
    <s v="Worst"/>
    <n v="1200"/>
    <n v="17"/>
    <n v="0.1"/>
    <n v="0.18"/>
    <n v="18000"/>
    <n v="0.3"/>
    <n v="20400"/>
    <n v="18360"/>
    <n v="3304.7999999999997"/>
    <n v="21304.799999999999"/>
    <n v="-2944.7999999999993"/>
    <n v="-883.43999999999971"/>
    <n v="-2061.3599999999997"/>
    <n v="-0.10104705882352939"/>
  </r>
  <r>
    <x v="4"/>
    <x v="1"/>
    <s v="January 2014"/>
    <n v="1"/>
    <x v="1"/>
    <x v="2"/>
    <x v="2"/>
    <s v="Worst"/>
    <n v="1200"/>
    <n v="17"/>
    <n v="0.1"/>
    <n v="0.18"/>
    <n v="18000"/>
    <n v="0.3"/>
    <n v="20400"/>
    <n v="18360"/>
    <n v="3304.7999999999997"/>
    <n v="21304.799999999999"/>
    <n v="-2944.7999999999993"/>
    <n v="-883.43999999999971"/>
    <n v="-2061.3599999999997"/>
    <n v="-0.10104705882352939"/>
  </r>
  <r>
    <x v="4"/>
    <x v="1"/>
    <s v="January 2014"/>
    <n v="1"/>
    <x v="1"/>
    <x v="2"/>
    <x v="3"/>
    <s v="Worst"/>
    <n v="1200"/>
    <n v="17"/>
    <n v="0.1"/>
    <n v="0.18"/>
    <n v="18000"/>
    <n v="0.3"/>
    <n v="20400"/>
    <n v="18360"/>
    <n v="3304.7999999999997"/>
    <n v="21304.799999999999"/>
    <n v="-2944.7999999999993"/>
    <n v="-883.43999999999971"/>
    <n v="-2061.3599999999997"/>
    <n v="-0.10104705882352939"/>
  </r>
  <r>
    <x v="4"/>
    <x v="1"/>
    <s v="January 2014"/>
    <n v="1"/>
    <x v="1"/>
    <x v="2"/>
    <x v="4"/>
    <s v="Worst"/>
    <n v="1200"/>
    <n v="17"/>
    <n v="0.1"/>
    <n v="0.18"/>
    <n v="18000"/>
    <n v="0.3"/>
    <n v="20400"/>
    <n v="18360"/>
    <n v="3304.7999999999997"/>
    <n v="21304.799999999999"/>
    <n v="-2944.7999999999993"/>
    <n v="-883.43999999999971"/>
    <n v="-2061.3599999999997"/>
    <n v="-0.10104705882352939"/>
  </r>
  <r>
    <x v="4"/>
    <x v="1"/>
    <s v="January 2014"/>
    <n v="1"/>
    <x v="1"/>
    <x v="3"/>
    <x v="0"/>
    <s v="Worst"/>
    <n v="1200"/>
    <n v="17"/>
    <n v="0.1"/>
    <n v="0.18"/>
    <n v="18000"/>
    <n v="0.3"/>
    <n v="20400"/>
    <n v="18360"/>
    <n v="3304.7999999999997"/>
    <n v="21304.799999999999"/>
    <n v="-2944.7999999999993"/>
    <n v="-883.43999999999971"/>
    <n v="-2061.3599999999997"/>
    <n v="-0.10104705882352939"/>
  </r>
  <r>
    <x v="4"/>
    <x v="1"/>
    <s v="January 2014"/>
    <n v="1"/>
    <x v="1"/>
    <x v="3"/>
    <x v="1"/>
    <s v="Worst"/>
    <n v="1200"/>
    <n v="17"/>
    <n v="0.1"/>
    <n v="0.18"/>
    <n v="18000"/>
    <n v="0.3"/>
    <n v="20400"/>
    <n v="18360"/>
    <n v="3304.7999999999997"/>
    <n v="21304.799999999999"/>
    <n v="-2944.7999999999993"/>
    <n v="-883.43999999999971"/>
    <n v="-2061.3599999999997"/>
    <n v="-0.10104705882352939"/>
  </r>
  <r>
    <x v="4"/>
    <x v="1"/>
    <s v="January 2014"/>
    <n v="1"/>
    <x v="1"/>
    <x v="3"/>
    <x v="2"/>
    <s v="Worst"/>
    <n v="1200"/>
    <n v="17"/>
    <n v="0.1"/>
    <n v="0.18"/>
    <n v="18000"/>
    <n v="0.3"/>
    <n v="20400"/>
    <n v="18360"/>
    <n v="3304.7999999999997"/>
    <n v="21304.799999999999"/>
    <n v="-2944.7999999999993"/>
    <n v="-883.43999999999971"/>
    <n v="-2061.3599999999997"/>
    <n v="-0.10104705882352939"/>
  </r>
  <r>
    <x v="4"/>
    <x v="1"/>
    <s v="January 2014"/>
    <n v="1"/>
    <x v="1"/>
    <x v="3"/>
    <x v="3"/>
    <s v="Worst"/>
    <n v="1200"/>
    <n v="17"/>
    <n v="0.1"/>
    <n v="0.18"/>
    <n v="18000"/>
    <n v="0.3"/>
    <n v="20400"/>
    <n v="18360"/>
    <n v="3304.7999999999997"/>
    <n v="21304.799999999999"/>
    <n v="-2944.7999999999993"/>
    <n v="-883.43999999999971"/>
    <n v="-2061.3599999999997"/>
    <n v="-0.10104705882352939"/>
  </r>
  <r>
    <x v="4"/>
    <x v="1"/>
    <s v="January 2014"/>
    <n v="1"/>
    <x v="1"/>
    <x v="3"/>
    <x v="4"/>
    <s v="Worst"/>
    <n v="1200"/>
    <n v="17"/>
    <n v="0.1"/>
    <n v="0.18"/>
    <n v="18000"/>
    <n v="0.3"/>
    <n v="20400"/>
    <n v="18360"/>
    <n v="3304.7999999999997"/>
    <n v="21304.799999999999"/>
    <n v="-2944.7999999999993"/>
    <n v="-883.43999999999971"/>
    <n v="-2061.3599999999997"/>
    <n v="-0.10104705882352939"/>
  </r>
  <r>
    <x v="4"/>
    <x v="1"/>
    <s v="January 2014"/>
    <n v="1"/>
    <x v="1"/>
    <x v="4"/>
    <x v="0"/>
    <s v="Worst"/>
    <n v="1200"/>
    <n v="17"/>
    <n v="0.1"/>
    <n v="0.18"/>
    <n v="18000"/>
    <n v="0.3"/>
    <n v="20400"/>
    <n v="18360"/>
    <n v="3304.7999999999997"/>
    <n v="21304.799999999999"/>
    <n v="-2944.7999999999993"/>
    <n v="-883.43999999999971"/>
    <n v="-2061.3599999999997"/>
    <n v="-0.10104705882352939"/>
  </r>
  <r>
    <x v="4"/>
    <x v="1"/>
    <s v="January 2014"/>
    <n v="1"/>
    <x v="1"/>
    <x v="4"/>
    <x v="1"/>
    <s v="Worst"/>
    <n v="1200"/>
    <n v="17"/>
    <n v="0.1"/>
    <n v="0.18"/>
    <n v="18000"/>
    <n v="0.3"/>
    <n v="20400"/>
    <n v="18360"/>
    <n v="3304.7999999999997"/>
    <n v="21304.799999999999"/>
    <n v="-2944.7999999999993"/>
    <n v="-883.43999999999971"/>
    <n v="-2061.3599999999997"/>
    <n v="-0.10104705882352939"/>
  </r>
  <r>
    <x v="4"/>
    <x v="1"/>
    <s v="January 2014"/>
    <n v="1"/>
    <x v="1"/>
    <x v="4"/>
    <x v="2"/>
    <s v="Worst"/>
    <n v="1200"/>
    <n v="17"/>
    <n v="0.1"/>
    <n v="0.18"/>
    <n v="18000"/>
    <n v="0.3"/>
    <n v="20400"/>
    <n v="18360"/>
    <n v="3304.7999999999997"/>
    <n v="21304.799999999999"/>
    <n v="-2944.7999999999993"/>
    <n v="-883.43999999999971"/>
    <n v="-2061.3599999999997"/>
    <n v="-0.10104705882352939"/>
  </r>
  <r>
    <x v="4"/>
    <x v="1"/>
    <s v="January 2014"/>
    <n v="1"/>
    <x v="1"/>
    <x v="4"/>
    <x v="3"/>
    <s v="Worst"/>
    <n v="1200"/>
    <n v="17"/>
    <n v="0.1"/>
    <n v="0.18"/>
    <n v="18000"/>
    <n v="0.3"/>
    <n v="20400"/>
    <n v="18360"/>
    <n v="3304.7999999999997"/>
    <n v="21304.799999999999"/>
    <n v="-2944.7999999999993"/>
    <n v="-883.43999999999971"/>
    <n v="-2061.3599999999997"/>
    <n v="-0.10104705882352939"/>
  </r>
  <r>
    <x v="4"/>
    <x v="1"/>
    <s v="January 2014"/>
    <n v="1"/>
    <x v="1"/>
    <x v="4"/>
    <x v="4"/>
    <s v="Worst"/>
    <n v="1200"/>
    <n v="17"/>
    <n v="0.1"/>
    <n v="0.18"/>
    <n v="18000"/>
    <n v="0.3"/>
    <n v="20400"/>
    <n v="18360"/>
    <n v="3304.7999999999997"/>
    <n v="21304.799999999999"/>
    <n v="-2944.7999999999993"/>
    <n v="-883.43999999999971"/>
    <n v="-2061.3599999999997"/>
    <n v="-0.10104705882352939"/>
  </r>
  <r>
    <x v="4"/>
    <x v="1"/>
    <s v="January 2014"/>
    <n v="1"/>
    <x v="2"/>
    <x v="0"/>
    <x v="0"/>
    <s v="Worst"/>
    <n v="1200"/>
    <n v="17"/>
    <n v="0.1"/>
    <n v="0.18"/>
    <n v="18000"/>
    <n v="0.3"/>
    <n v="20400"/>
    <n v="18360"/>
    <n v="3304.7999999999997"/>
    <n v="21304.799999999999"/>
    <n v="-2944.7999999999993"/>
    <n v="-883.43999999999971"/>
    <n v="-2061.3599999999997"/>
    <n v="-0.10104705882352939"/>
  </r>
  <r>
    <x v="4"/>
    <x v="1"/>
    <s v="January 2014"/>
    <n v="1"/>
    <x v="2"/>
    <x v="0"/>
    <x v="1"/>
    <s v="Worst"/>
    <n v="1200"/>
    <n v="17"/>
    <n v="0.1"/>
    <n v="0.18"/>
    <n v="18000"/>
    <n v="0.3"/>
    <n v="20400"/>
    <n v="18360"/>
    <n v="3304.7999999999997"/>
    <n v="21304.799999999999"/>
    <n v="-2944.7999999999993"/>
    <n v="-883.43999999999971"/>
    <n v="-2061.3599999999997"/>
    <n v="-0.10104705882352939"/>
  </r>
  <r>
    <x v="4"/>
    <x v="1"/>
    <s v="January 2014"/>
    <n v="1"/>
    <x v="2"/>
    <x v="0"/>
    <x v="2"/>
    <s v="Worst"/>
    <n v="1200"/>
    <n v="17"/>
    <n v="0.1"/>
    <n v="0.18"/>
    <n v="18000"/>
    <n v="0.3"/>
    <n v="20400"/>
    <n v="18360"/>
    <n v="3304.7999999999997"/>
    <n v="21304.799999999999"/>
    <n v="-2944.7999999999993"/>
    <n v="-883.43999999999971"/>
    <n v="-2061.3599999999997"/>
    <n v="-0.10104705882352939"/>
  </r>
  <r>
    <x v="4"/>
    <x v="1"/>
    <s v="January 2014"/>
    <n v="1"/>
    <x v="2"/>
    <x v="0"/>
    <x v="3"/>
    <s v="Worst"/>
    <n v="1200"/>
    <n v="17"/>
    <n v="0.1"/>
    <n v="0.18"/>
    <n v="18000"/>
    <n v="0.3"/>
    <n v="20400"/>
    <n v="18360"/>
    <n v="3304.7999999999997"/>
    <n v="21304.799999999999"/>
    <n v="-2944.7999999999993"/>
    <n v="-883.43999999999971"/>
    <n v="-2061.3599999999997"/>
    <n v="-0.10104705882352939"/>
  </r>
  <r>
    <x v="4"/>
    <x v="1"/>
    <s v="January 2014"/>
    <n v="1"/>
    <x v="2"/>
    <x v="0"/>
    <x v="4"/>
    <s v="Worst"/>
    <n v="1200"/>
    <n v="17"/>
    <n v="0.1"/>
    <n v="0.18"/>
    <n v="18000"/>
    <n v="0.3"/>
    <n v="20400"/>
    <n v="18360"/>
    <n v="3304.7999999999997"/>
    <n v="21304.799999999999"/>
    <n v="-2944.7999999999993"/>
    <n v="-883.43999999999971"/>
    <n v="-2061.3599999999997"/>
    <n v="-0.10104705882352939"/>
  </r>
  <r>
    <x v="4"/>
    <x v="1"/>
    <s v="January 2014"/>
    <n v="1"/>
    <x v="2"/>
    <x v="1"/>
    <x v="0"/>
    <s v="Worst"/>
    <n v="1200"/>
    <n v="17"/>
    <n v="0.1"/>
    <n v="0.18"/>
    <n v="18000"/>
    <n v="0.3"/>
    <n v="20400"/>
    <n v="18360"/>
    <n v="3304.7999999999997"/>
    <n v="21304.799999999999"/>
    <n v="-2944.7999999999993"/>
    <n v="-883.43999999999971"/>
    <n v="-2061.3599999999997"/>
    <n v="-0.10104705882352939"/>
  </r>
  <r>
    <x v="4"/>
    <x v="1"/>
    <s v="January 2014"/>
    <n v="1"/>
    <x v="2"/>
    <x v="1"/>
    <x v="1"/>
    <s v="Worst"/>
    <n v="1200"/>
    <n v="17"/>
    <n v="0.1"/>
    <n v="0.18"/>
    <n v="18000"/>
    <n v="0.3"/>
    <n v="20400"/>
    <n v="18360"/>
    <n v="3304.7999999999997"/>
    <n v="21304.799999999999"/>
    <n v="-2944.7999999999993"/>
    <n v="-883.43999999999971"/>
    <n v="-2061.3599999999997"/>
    <n v="-0.10104705882352939"/>
  </r>
  <r>
    <x v="4"/>
    <x v="1"/>
    <s v="January 2014"/>
    <n v="1"/>
    <x v="2"/>
    <x v="1"/>
    <x v="2"/>
    <s v="Worst"/>
    <n v="1200"/>
    <n v="17"/>
    <n v="0.1"/>
    <n v="0.18"/>
    <n v="18000"/>
    <n v="0.3"/>
    <n v="20400"/>
    <n v="18360"/>
    <n v="3304.7999999999997"/>
    <n v="21304.799999999999"/>
    <n v="-2944.7999999999993"/>
    <n v="-883.43999999999971"/>
    <n v="-2061.3599999999997"/>
    <n v="-0.10104705882352939"/>
  </r>
  <r>
    <x v="4"/>
    <x v="1"/>
    <s v="January 2014"/>
    <n v="1"/>
    <x v="2"/>
    <x v="1"/>
    <x v="3"/>
    <s v="Worst"/>
    <n v="1200"/>
    <n v="17"/>
    <n v="0.1"/>
    <n v="0.18"/>
    <n v="18000"/>
    <n v="0.3"/>
    <n v="20400"/>
    <n v="18360"/>
    <n v="3304.7999999999997"/>
    <n v="21304.799999999999"/>
    <n v="-2944.7999999999993"/>
    <n v="-883.43999999999971"/>
    <n v="-2061.3599999999997"/>
    <n v="-0.10104705882352939"/>
  </r>
  <r>
    <x v="4"/>
    <x v="1"/>
    <s v="January 2014"/>
    <n v="1"/>
    <x v="2"/>
    <x v="1"/>
    <x v="4"/>
    <s v="Worst"/>
    <n v="1200"/>
    <n v="17"/>
    <n v="0.1"/>
    <n v="0.18"/>
    <n v="18000"/>
    <n v="0.3"/>
    <n v="20400"/>
    <n v="18360"/>
    <n v="3304.7999999999997"/>
    <n v="21304.799999999999"/>
    <n v="-2944.7999999999993"/>
    <n v="-883.43999999999971"/>
    <n v="-2061.3599999999997"/>
    <n v="-0.10104705882352939"/>
  </r>
  <r>
    <x v="4"/>
    <x v="1"/>
    <s v="January 2014"/>
    <n v="1"/>
    <x v="2"/>
    <x v="2"/>
    <x v="0"/>
    <s v="Worst"/>
    <n v="1200"/>
    <n v="17"/>
    <n v="0.1"/>
    <n v="0.18"/>
    <n v="18000"/>
    <n v="0.3"/>
    <n v="20400"/>
    <n v="18360"/>
    <n v="3304.7999999999997"/>
    <n v="21304.799999999999"/>
    <n v="-2944.7999999999993"/>
    <n v="-883.43999999999971"/>
    <n v="-2061.3599999999997"/>
    <n v="-0.10104705882352939"/>
  </r>
  <r>
    <x v="4"/>
    <x v="1"/>
    <s v="January 2014"/>
    <n v="1"/>
    <x v="2"/>
    <x v="2"/>
    <x v="1"/>
    <s v="Worst"/>
    <n v="1200"/>
    <n v="17"/>
    <n v="0.1"/>
    <n v="0.18"/>
    <n v="18000"/>
    <n v="0.3"/>
    <n v="20400"/>
    <n v="18360"/>
    <n v="3304.7999999999997"/>
    <n v="21304.799999999999"/>
    <n v="-2944.7999999999993"/>
    <n v="-883.43999999999971"/>
    <n v="-2061.3599999999997"/>
    <n v="-0.10104705882352939"/>
  </r>
  <r>
    <x v="4"/>
    <x v="1"/>
    <s v="January 2014"/>
    <n v="1"/>
    <x v="2"/>
    <x v="2"/>
    <x v="2"/>
    <s v="Worst"/>
    <n v="1200"/>
    <n v="17"/>
    <n v="0.1"/>
    <n v="0.18"/>
    <n v="18000"/>
    <n v="0.3"/>
    <n v="20400"/>
    <n v="18360"/>
    <n v="3304.7999999999997"/>
    <n v="21304.799999999999"/>
    <n v="-2944.7999999999993"/>
    <n v="-883.43999999999971"/>
    <n v="-2061.3599999999997"/>
    <n v="-0.10104705882352939"/>
  </r>
  <r>
    <x v="4"/>
    <x v="1"/>
    <s v="January 2014"/>
    <n v="1"/>
    <x v="2"/>
    <x v="2"/>
    <x v="3"/>
    <s v="Worst"/>
    <n v="1200"/>
    <n v="17"/>
    <n v="0.1"/>
    <n v="0.18"/>
    <n v="18000"/>
    <n v="0.3"/>
    <n v="20400"/>
    <n v="18360"/>
    <n v="3304.7999999999997"/>
    <n v="21304.799999999999"/>
    <n v="-2944.7999999999993"/>
    <n v="-883.43999999999971"/>
    <n v="-2061.3599999999997"/>
    <n v="-0.10104705882352939"/>
  </r>
  <r>
    <x v="4"/>
    <x v="1"/>
    <s v="January 2014"/>
    <n v="1"/>
    <x v="2"/>
    <x v="2"/>
    <x v="4"/>
    <s v="Worst"/>
    <n v="1200"/>
    <n v="17"/>
    <n v="0.1"/>
    <n v="0.18"/>
    <n v="18000"/>
    <n v="0.3"/>
    <n v="20400"/>
    <n v="18360"/>
    <n v="3304.7999999999997"/>
    <n v="21304.799999999999"/>
    <n v="-2944.7999999999993"/>
    <n v="-883.43999999999971"/>
    <n v="-2061.3599999999997"/>
    <n v="-0.10104705882352939"/>
  </r>
  <r>
    <x v="4"/>
    <x v="1"/>
    <s v="January 2014"/>
    <n v="1"/>
    <x v="2"/>
    <x v="3"/>
    <x v="0"/>
    <s v="Worst"/>
    <n v="1200"/>
    <n v="17"/>
    <n v="0.1"/>
    <n v="0.18"/>
    <n v="18000"/>
    <n v="0.3"/>
    <n v="20400"/>
    <n v="18360"/>
    <n v="3304.7999999999997"/>
    <n v="21304.799999999999"/>
    <n v="-2944.7999999999993"/>
    <n v="-883.43999999999971"/>
    <n v="-2061.3599999999997"/>
    <n v="-0.10104705882352939"/>
  </r>
  <r>
    <x v="4"/>
    <x v="1"/>
    <s v="January 2014"/>
    <n v="1"/>
    <x v="2"/>
    <x v="3"/>
    <x v="1"/>
    <s v="Worst"/>
    <n v="1200"/>
    <n v="17"/>
    <n v="0.1"/>
    <n v="0.18"/>
    <n v="18000"/>
    <n v="0.3"/>
    <n v="20400"/>
    <n v="18360"/>
    <n v="3304.7999999999997"/>
    <n v="21304.799999999999"/>
    <n v="-2944.7999999999993"/>
    <n v="-883.43999999999971"/>
    <n v="-2061.3599999999997"/>
    <n v="-0.10104705882352939"/>
  </r>
  <r>
    <x v="4"/>
    <x v="1"/>
    <s v="January 2014"/>
    <n v="1"/>
    <x v="2"/>
    <x v="3"/>
    <x v="2"/>
    <s v="Worst"/>
    <n v="1200"/>
    <n v="17"/>
    <n v="0.1"/>
    <n v="0.18"/>
    <n v="18000"/>
    <n v="0.3"/>
    <n v="20400"/>
    <n v="18360"/>
    <n v="3304.7999999999997"/>
    <n v="21304.799999999999"/>
    <n v="-2944.7999999999993"/>
    <n v="-883.43999999999971"/>
    <n v="-2061.3599999999997"/>
    <n v="-0.10104705882352939"/>
  </r>
  <r>
    <x v="4"/>
    <x v="1"/>
    <s v="January 2014"/>
    <n v="1"/>
    <x v="2"/>
    <x v="3"/>
    <x v="3"/>
    <s v="Worst"/>
    <n v="1200"/>
    <n v="17"/>
    <n v="0.1"/>
    <n v="0.18"/>
    <n v="18000"/>
    <n v="0.3"/>
    <n v="20400"/>
    <n v="18360"/>
    <n v="3304.7999999999997"/>
    <n v="21304.799999999999"/>
    <n v="-2944.7999999999993"/>
    <n v="-883.43999999999971"/>
    <n v="-2061.3599999999997"/>
    <n v="-0.10104705882352939"/>
  </r>
  <r>
    <x v="4"/>
    <x v="1"/>
    <s v="January 2014"/>
    <n v="1"/>
    <x v="2"/>
    <x v="3"/>
    <x v="4"/>
    <s v="Worst"/>
    <n v="1200"/>
    <n v="17"/>
    <n v="0.1"/>
    <n v="0.18"/>
    <n v="18000"/>
    <n v="0.3"/>
    <n v="20400"/>
    <n v="18360"/>
    <n v="3304.7999999999997"/>
    <n v="21304.799999999999"/>
    <n v="-2944.7999999999993"/>
    <n v="-883.43999999999971"/>
    <n v="-2061.3599999999997"/>
    <n v="-0.10104705882352939"/>
  </r>
  <r>
    <x v="4"/>
    <x v="1"/>
    <s v="January 2014"/>
    <n v="1"/>
    <x v="2"/>
    <x v="4"/>
    <x v="0"/>
    <s v="Worst"/>
    <n v="1200"/>
    <n v="17"/>
    <n v="0.1"/>
    <n v="0.18"/>
    <n v="18000"/>
    <n v="0.3"/>
    <n v="20400"/>
    <n v="18360"/>
    <n v="3304.7999999999997"/>
    <n v="21304.799999999999"/>
    <n v="-2944.7999999999993"/>
    <n v="-883.43999999999971"/>
    <n v="-2061.3599999999997"/>
    <n v="-0.10104705882352939"/>
  </r>
  <r>
    <x v="4"/>
    <x v="1"/>
    <s v="January 2014"/>
    <n v="1"/>
    <x v="2"/>
    <x v="4"/>
    <x v="1"/>
    <s v="Worst"/>
    <n v="1200"/>
    <n v="17"/>
    <n v="0.1"/>
    <n v="0.18"/>
    <n v="18000"/>
    <n v="0.3"/>
    <n v="20400"/>
    <n v="18360"/>
    <n v="3304.7999999999997"/>
    <n v="21304.799999999999"/>
    <n v="-2944.7999999999993"/>
    <n v="-883.43999999999971"/>
    <n v="-2061.3599999999997"/>
    <n v="-0.10104705882352939"/>
  </r>
  <r>
    <x v="4"/>
    <x v="1"/>
    <s v="January 2014"/>
    <n v="1"/>
    <x v="2"/>
    <x v="4"/>
    <x v="2"/>
    <s v="Worst"/>
    <n v="1200"/>
    <n v="17"/>
    <n v="0.1"/>
    <n v="0.18"/>
    <n v="18000"/>
    <n v="0.3"/>
    <n v="20400"/>
    <n v="18360"/>
    <n v="3304.7999999999997"/>
    <n v="21304.799999999999"/>
    <n v="-2944.7999999999993"/>
    <n v="-883.43999999999971"/>
    <n v="-2061.3599999999997"/>
    <n v="-0.10104705882352939"/>
  </r>
  <r>
    <x v="4"/>
    <x v="1"/>
    <s v="January 2014"/>
    <n v="1"/>
    <x v="2"/>
    <x v="4"/>
    <x v="3"/>
    <s v="Worst"/>
    <n v="1200"/>
    <n v="17"/>
    <n v="0.1"/>
    <n v="0.18"/>
    <n v="18000"/>
    <n v="0.3"/>
    <n v="20400"/>
    <n v="18360"/>
    <n v="3304.7999999999997"/>
    <n v="21304.799999999999"/>
    <n v="-2944.7999999999993"/>
    <n v="-883.43999999999971"/>
    <n v="-2061.3599999999997"/>
    <n v="-0.10104705882352939"/>
  </r>
  <r>
    <x v="4"/>
    <x v="1"/>
    <s v="January 2014"/>
    <n v="1"/>
    <x v="2"/>
    <x v="4"/>
    <x v="4"/>
    <s v="Worst"/>
    <n v="1200"/>
    <n v="17"/>
    <n v="0.1"/>
    <n v="0.18"/>
    <n v="18000"/>
    <n v="0.3"/>
    <n v="20400"/>
    <n v="18360"/>
    <n v="3304.7999999999997"/>
    <n v="21304.799999999999"/>
    <n v="-2944.7999999999993"/>
    <n v="-883.43999999999971"/>
    <n v="-2061.3599999999997"/>
    <n v="-0.10104705882352939"/>
  </r>
  <r>
    <x v="4"/>
    <x v="1"/>
    <s v="January 2014"/>
    <n v="1"/>
    <x v="3"/>
    <x v="0"/>
    <x v="0"/>
    <s v="Worst"/>
    <n v="1200"/>
    <n v="17"/>
    <n v="0.1"/>
    <n v="0.18"/>
    <n v="18000"/>
    <n v="0.3"/>
    <n v="20400"/>
    <n v="18360"/>
    <n v="3304.7999999999997"/>
    <n v="21304.799999999999"/>
    <n v="-2944.7999999999993"/>
    <n v="-883.43999999999971"/>
    <n v="-2061.3599999999997"/>
    <n v="-0.10104705882352939"/>
  </r>
  <r>
    <x v="4"/>
    <x v="1"/>
    <s v="January 2014"/>
    <n v="1"/>
    <x v="3"/>
    <x v="0"/>
    <x v="1"/>
    <s v="Worst"/>
    <n v="1200"/>
    <n v="17"/>
    <n v="0.1"/>
    <n v="0.18"/>
    <n v="18000"/>
    <n v="0.3"/>
    <n v="20400"/>
    <n v="18360"/>
    <n v="3304.7999999999997"/>
    <n v="21304.799999999999"/>
    <n v="-2944.7999999999993"/>
    <n v="-883.43999999999971"/>
    <n v="-2061.3599999999997"/>
    <n v="-0.10104705882352939"/>
  </r>
  <r>
    <x v="4"/>
    <x v="1"/>
    <s v="January 2014"/>
    <n v="1"/>
    <x v="3"/>
    <x v="0"/>
    <x v="2"/>
    <s v="Worst"/>
    <n v="1200"/>
    <n v="17"/>
    <n v="0.1"/>
    <n v="0.18"/>
    <n v="18000"/>
    <n v="0.3"/>
    <n v="20400"/>
    <n v="18360"/>
    <n v="3304.7999999999997"/>
    <n v="21304.799999999999"/>
    <n v="-2944.7999999999993"/>
    <n v="-883.43999999999971"/>
    <n v="-2061.3599999999997"/>
    <n v="-0.10104705882352939"/>
  </r>
  <r>
    <x v="4"/>
    <x v="1"/>
    <s v="January 2014"/>
    <n v="1"/>
    <x v="3"/>
    <x v="0"/>
    <x v="3"/>
    <s v="Worst"/>
    <n v="1200"/>
    <n v="17"/>
    <n v="0.1"/>
    <n v="0.18"/>
    <n v="18000"/>
    <n v="0.3"/>
    <n v="20400"/>
    <n v="18360"/>
    <n v="3304.7999999999997"/>
    <n v="21304.799999999999"/>
    <n v="-2944.7999999999993"/>
    <n v="-883.43999999999971"/>
    <n v="-2061.3599999999997"/>
    <n v="-0.10104705882352939"/>
  </r>
  <r>
    <x v="4"/>
    <x v="1"/>
    <s v="January 2014"/>
    <n v="1"/>
    <x v="3"/>
    <x v="0"/>
    <x v="4"/>
    <s v="Worst"/>
    <n v="1200"/>
    <n v="17"/>
    <n v="0.1"/>
    <n v="0.18"/>
    <n v="18000"/>
    <n v="0.3"/>
    <n v="20400"/>
    <n v="18360"/>
    <n v="3304.7999999999997"/>
    <n v="21304.799999999999"/>
    <n v="-2944.7999999999993"/>
    <n v="-883.43999999999971"/>
    <n v="-2061.3599999999997"/>
    <n v="-0.10104705882352939"/>
  </r>
  <r>
    <x v="4"/>
    <x v="1"/>
    <s v="January 2014"/>
    <n v="1"/>
    <x v="3"/>
    <x v="1"/>
    <x v="0"/>
    <s v="Worst"/>
    <n v="1200"/>
    <n v="17"/>
    <n v="0.1"/>
    <n v="0.18"/>
    <n v="18000"/>
    <n v="0.3"/>
    <n v="20400"/>
    <n v="18360"/>
    <n v="3304.7999999999997"/>
    <n v="21304.799999999999"/>
    <n v="-2944.7999999999993"/>
    <n v="-883.43999999999971"/>
    <n v="-2061.3599999999997"/>
    <n v="-0.10104705882352939"/>
  </r>
  <r>
    <x v="4"/>
    <x v="1"/>
    <s v="January 2014"/>
    <n v="1"/>
    <x v="3"/>
    <x v="1"/>
    <x v="1"/>
    <s v="Worst"/>
    <n v="1200"/>
    <n v="17"/>
    <n v="0.1"/>
    <n v="0.18"/>
    <n v="18000"/>
    <n v="0.3"/>
    <n v="20400"/>
    <n v="18360"/>
    <n v="3304.7999999999997"/>
    <n v="21304.799999999999"/>
    <n v="-2944.7999999999993"/>
    <n v="-883.43999999999971"/>
    <n v="-2061.3599999999997"/>
    <n v="-0.10104705882352939"/>
  </r>
  <r>
    <x v="4"/>
    <x v="1"/>
    <s v="January 2014"/>
    <n v="1"/>
    <x v="3"/>
    <x v="1"/>
    <x v="2"/>
    <s v="Worst"/>
    <n v="1200"/>
    <n v="17"/>
    <n v="0.1"/>
    <n v="0.18"/>
    <n v="18000"/>
    <n v="0.3"/>
    <n v="20400"/>
    <n v="18360"/>
    <n v="3304.7999999999997"/>
    <n v="21304.799999999999"/>
    <n v="-2944.7999999999993"/>
    <n v="-883.43999999999971"/>
    <n v="-2061.3599999999997"/>
    <n v="-0.10104705882352939"/>
  </r>
  <r>
    <x v="4"/>
    <x v="1"/>
    <s v="January 2014"/>
    <n v="1"/>
    <x v="3"/>
    <x v="1"/>
    <x v="3"/>
    <s v="Worst"/>
    <n v="1200"/>
    <n v="17"/>
    <n v="0.1"/>
    <n v="0.18"/>
    <n v="18000"/>
    <n v="0.3"/>
    <n v="20400"/>
    <n v="18360"/>
    <n v="3304.7999999999997"/>
    <n v="21304.799999999999"/>
    <n v="-2944.7999999999993"/>
    <n v="-883.43999999999971"/>
    <n v="-2061.3599999999997"/>
    <n v="-0.10104705882352939"/>
  </r>
  <r>
    <x v="4"/>
    <x v="1"/>
    <s v="January 2014"/>
    <n v="1"/>
    <x v="3"/>
    <x v="1"/>
    <x v="4"/>
    <s v="Worst"/>
    <n v="1200"/>
    <n v="17"/>
    <n v="0.1"/>
    <n v="0.18"/>
    <n v="18000"/>
    <n v="0.3"/>
    <n v="20400"/>
    <n v="18360"/>
    <n v="3304.7999999999997"/>
    <n v="21304.799999999999"/>
    <n v="-2944.7999999999993"/>
    <n v="-883.43999999999971"/>
    <n v="-2061.3599999999997"/>
    <n v="-0.10104705882352939"/>
  </r>
  <r>
    <x v="4"/>
    <x v="1"/>
    <s v="January 2014"/>
    <n v="1"/>
    <x v="3"/>
    <x v="2"/>
    <x v="0"/>
    <s v="Worst"/>
    <n v="1200"/>
    <n v="17"/>
    <n v="0.1"/>
    <n v="0.18"/>
    <n v="18000"/>
    <n v="0.3"/>
    <n v="20400"/>
    <n v="18360"/>
    <n v="3304.7999999999997"/>
    <n v="21304.799999999999"/>
    <n v="-2944.7999999999993"/>
    <n v="-883.43999999999971"/>
    <n v="-2061.3599999999997"/>
    <n v="-0.10104705882352939"/>
  </r>
  <r>
    <x v="4"/>
    <x v="1"/>
    <s v="January 2014"/>
    <n v="1"/>
    <x v="3"/>
    <x v="2"/>
    <x v="1"/>
    <s v="Worst"/>
    <n v="1200"/>
    <n v="17"/>
    <n v="0.1"/>
    <n v="0.18"/>
    <n v="18000"/>
    <n v="0.3"/>
    <n v="20400"/>
    <n v="18360"/>
    <n v="3304.7999999999997"/>
    <n v="21304.799999999999"/>
    <n v="-2944.7999999999993"/>
    <n v="-883.43999999999971"/>
    <n v="-2061.3599999999997"/>
    <n v="-0.10104705882352939"/>
  </r>
  <r>
    <x v="4"/>
    <x v="1"/>
    <s v="January 2014"/>
    <n v="1"/>
    <x v="3"/>
    <x v="2"/>
    <x v="2"/>
    <s v="Worst"/>
    <n v="1200"/>
    <n v="17"/>
    <n v="0.1"/>
    <n v="0.18"/>
    <n v="18000"/>
    <n v="0.3"/>
    <n v="20400"/>
    <n v="18360"/>
    <n v="3304.7999999999997"/>
    <n v="21304.799999999999"/>
    <n v="-2944.7999999999993"/>
    <n v="-883.43999999999971"/>
    <n v="-2061.3599999999997"/>
    <n v="-0.10104705882352939"/>
  </r>
  <r>
    <x v="4"/>
    <x v="1"/>
    <s v="January 2014"/>
    <n v="1"/>
    <x v="3"/>
    <x v="2"/>
    <x v="3"/>
    <s v="Worst"/>
    <n v="1200"/>
    <n v="17"/>
    <n v="0.1"/>
    <n v="0.18"/>
    <n v="18000"/>
    <n v="0.3"/>
    <n v="20400"/>
    <n v="18360"/>
    <n v="3304.7999999999997"/>
    <n v="21304.799999999999"/>
    <n v="-2944.7999999999993"/>
    <n v="-883.43999999999971"/>
    <n v="-2061.3599999999997"/>
    <n v="-0.10104705882352939"/>
  </r>
  <r>
    <x v="4"/>
    <x v="1"/>
    <s v="January 2014"/>
    <n v="1"/>
    <x v="3"/>
    <x v="2"/>
    <x v="4"/>
    <s v="Worst"/>
    <n v="1200"/>
    <n v="17"/>
    <n v="0.1"/>
    <n v="0.18"/>
    <n v="18000"/>
    <n v="0.3"/>
    <n v="20400"/>
    <n v="18360"/>
    <n v="3304.7999999999997"/>
    <n v="21304.799999999999"/>
    <n v="-2944.7999999999993"/>
    <n v="-883.43999999999971"/>
    <n v="-2061.3599999999997"/>
    <n v="-0.10104705882352939"/>
  </r>
  <r>
    <x v="4"/>
    <x v="1"/>
    <s v="January 2014"/>
    <n v="1"/>
    <x v="3"/>
    <x v="3"/>
    <x v="0"/>
    <s v="Worst"/>
    <n v="1200"/>
    <n v="17"/>
    <n v="0.1"/>
    <n v="0.18"/>
    <n v="18000"/>
    <n v="0.3"/>
    <n v="20400"/>
    <n v="18360"/>
    <n v="3304.7999999999997"/>
    <n v="21304.799999999999"/>
    <n v="-2944.7999999999993"/>
    <n v="-883.43999999999971"/>
    <n v="-2061.3599999999997"/>
    <n v="-0.10104705882352939"/>
  </r>
  <r>
    <x v="4"/>
    <x v="1"/>
    <s v="January 2014"/>
    <n v="1"/>
    <x v="3"/>
    <x v="3"/>
    <x v="1"/>
    <s v="Worst"/>
    <n v="1200"/>
    <n v="17"/>
    <n v="0.1"/>
    <n v="0.18"/>
    <n v="18000"/>
    <n v="0.3"/>
    <n v="20400"/>
    <n v="18360"/>
    <n v="3304.7999999999997"/>
    <n v="21304.799999999999"/>
    <n v="-2944.7999999999993"/>
    <n v="-883.43999999999971"/>
    <n v="-2061.3599999999997"/>
    <n v="-0.10104705882352939"/>
  </r>
  <r>
    <x v="4"/>
    <x v="1"/>
    <s v="January 2014"/>
    <n v="1"/>
    <x v="3"/>
    <x v="3"/>
    <x v="2"/>
    <s v="Worst"/>
    <n v="1200"/>
    <n v="17"/>
    <n v="0.1"/>
    <n v="0.18"/>
    <n v="18000"/>
    <n v="0.3"/>
    <n v="20400"/>
    <n v="18360"/>
    <n v="3304.7999999999997"/>
    <n v="21304.799999999999"/>
    <n v="-2944.7999999999993"/>
    <n v="-883.43999999999971"/>
    <n v="-2061.3599999999997"/>
    <n v="-0.10104705882352939"/>
  </r>
  <r>
    <x v="4"/>
    <x v="1"/>
    <s v="January 2014"/>
    <n v="1"/>
    <x v="3"/>
    <x v="3"/>
    <x v="3"/>
    <s v="Worst"/>
    <n v="1200"/>
    <n v="17"/>
    <n v="0.1"/>
    <n v="0.18"/>
    <n v="18000"/>
    <n v="0.3"/>
    <n v="20400"/>
    <n v="18360"/>
    <n v="3304.7999999999997"/>
    <n v="21304.799999999999"/>
    <n v="-2944.7999999999993"/>
    <n v="-883.43999999999971"/>
    <n v="-2061.3599999999997"/>
    <n v="-0.10104705882352939"/>
  </r>
  <r>
    <x v="4"/>
    <x v="1"/>
    <s v="January 2014"/>
    <n v="1"/>
    <x v="3"/>
    <x v="3"/>
    <x v="4"/>
    <s v="Worst"/>
    <n v="1200"/>
    <n v="17"/>
    <n v="0.1"/>
    <n v="0.18"/>
    <n v="18000"/>
    <n v="0.3"/>
    <n v="20400"/>
    <n v="18360"/>
    <n v="3304.7999999999997"/>
    <n v="21304.799999999999"/>
    <n v="-2944.7999999999993"/>
    <n v="-883.43999999999971"/>
    <n v="-2061.3599999999997"/>
    <n v="-0.10104705882352939"/>
  </r>
  <r>
    <x v="4"/>
    <x v="1"/>
    <s v="January 2014"/>
    <n v="1"/>
    <x v="3"/>
    <x v="4"/>
    <x v="0"/>
    <s v="Worst"/>
    <n v="1200"/>
    <n v="17"/>
    <n v="0.1"/>
    <n v="0.18"/>
    <n v="18000"/>
    <n v="0.3"/>
    <n v="20400"/>
    <n v="18360"/>
    <n v="3304.7999999999997"/>
    <n v="21304.799999999999"/>
    <n v="-2944.7999999999993"/>
    <n v="-883.43999999999971"/>
    <n v="-2061.3599999999997"/>
    <n v="-0.10104705882352939"/>
  </r>
  <r>
    <x v="4"/>
    <x v="1"/>
    <s v="January 2014"/>
    <n v="1"/>
    <x v="3"/>
    <x v="4"/>
    <x v="1"/>
    <s v="Worst"/>
    <n v="1200"/>
    <n v="17"/>
    <n v="0.1"/>
    <n v="0.18"/>
    <n v="18000"/>
    <n v="0.3"/>
    <n v="20400"/>
    <n v="18360"/>
    <n v="3304.7999999999997"/>
    <n v="21304.799999999999"/>
    <n v="-2944.7999999999993"/>
    <n v="-883.43999999999971"/>
    <n v="-2061.3599999999997"/>
    <n v="-0.10104705882352939"/>
  </r>
  <r>
    <x v="4"/>
    <x v="1"/>
    <s v="January 2014"/>
    <n v="1"/>
    <x v="3"/>
    <x v="4"/>
    <x v="2"/>
    <s v="Worst"/>
    <n v="1200"/>
    <n v="17"/>
    <n v="0.1"/>
    <n v="0.18"/>
    <n v="18000"/>
    <n v="0.3"/>
    <n v="20400"/>
    <n v="18360"/>
    <n v="3304.7999999999997"/>
    <n v="21304.799999999999"/>
    <n v="-2944.7999999999993"/>
    <n v="-883.43999999999971"/>
    <n v="-2061.3599999999997"/>
    <n v="-0.10104705882352939"/>
  </r>
  <r>
    <x v="4"/>
    <x v="1"/>
    <s v="January 2014"/>
    <n v="1"/>
    <x v="3"/>
    <x v="4"/>
    <x v="3"/>
    <s v="Worst"/>
    <n v="1200"/>
    <n v="17"/>
    <n v="0.1"/>
    <n v="0.18"/>
    <n v="18000"/>
    <n v="0.3"/>
    <n v="20400"/>
    <n v="18360"/>
    <n v="3304.7999999999997"/>
    <n v="21304.799999999999"/>
    <n v="-2944.7999999999993"/>
    <n v="-883.43999999999971"/>
    <n v="-2061.3599999999997"/>
    <n v="-0.10104705882352939"/>
  </r>
  <r>
    <x v="4"/>
    <x v="1"/>
    <s v="January 2014"/>
    <n v="1"/>
    <x v="3"/>
    <x v="4"/>
    <x v="4"/>
    <s v="Worst"/>
    <n v="1200"/>
    <n v="17"/>
    <n v="0.1"/>
    <n v="0.18"/>
    <n v="18000"/>
    <n v="0.3"/>
    <n v="20400"/>
    <n v="18360"/>
    <n v="3304.7999999999997"/>
    <n v="21304.799999999999"/>
    <n v="-2944.7999999999993"/>
    <n v="-883.43999999999971"/>
    <n v="-2061.3599999999997"/>
    <n v="-0.10104705882352939"/>
  </r>
  <r>
    <x v="4"/>
    <x v="1"/>
    <s v="January 2014"/>
    <n v="1"/>
    <x v="4"/>
    <x v="0"/>
    <x v="0"/>
    <s v="Worst"/>
    <n v="1200"/>
    <n v="17"/>
    <n v="0.1"/>
    <n v="0.18"/>
    <n v="18000"/>
    <n v="0.3"/>
    <n v="20400"/>
    <n v="18360"/>
    <n v="3304.7999999999997"/>
    <n v="21304.799999999999"/>
    <n v="-2944.7999999999993"/>
    <n v="-883.43999999999971"/>
    <n v="-2061.3599999999997"/>
    <n v="-0.10104705882352939"/>
  </r>
  <r>
    <x v="4"/>
    <x v="1"/>
    <s v="January 2014"/>
    <n v="1"/>
    <x v="4"/>
    <x v="0"/>
    <x v="1"/>
    <s v="Worst"/>
    <n v="1200"/>
    <n v="17"/>
    <n v="0.1"/>
    <n v="0.18"/>
    <n v="18000"/>
    <n v="0.3"/>
    <n v="20400"/>
    <n v="18360"/>
    <n v="3304.7999999999997"/>
    <n v="21304.799999999999"/>
    <n v="-2944.7999999999993"/>
    <n v="-883.43999999999971"/>
    <n v="-2061.3599999999997"/>
    <n v="-0.10104705882352939"/>
  </r>
  <r>
    <x v="4"/>
    <x v="1"/>
    <s v="January 2014"/>
    <n v="1"/>
    <x v="4"/>
    <x v="0"/>
    <x v="2"/>
    <s v="Worst"/>
    <n v="1200"/>
    <n v="17"/>
    <n v="0.1"/>
    <n v="0.18"/>
    <n v="18000"/>
    <n v="0.3"/>
    <n v="20400"/>
    <n v="18360"/>
    <n v="3304.7999999999997"/>
    <n v="21304.799999999999"/>
    <n v="-2944.7999999999993"/>
    <n v="-883.43999999999971"/>
    <n v="-2061.3599999999997"/>
    <n v="-0.10104705882352939"/>
  </r>
  <r>
    <x v="4"/>
    <x v="1"/>
    <s v="January 2014"/>
    <n v="1"/>
    <x v="4"/>
    <x v="0"/>
    <x v="3"/>
    <s v="Worst"/>
    <n v="1200"/>
    <n v="17"/>
    <n v="0.1"/>
    <n v="0.18"/>
    <n v="18000"/>
    <n v="0.3"/>
    <n v="20400"/>
    <n v="18360"/>
    <n v="3304.7999999999997"/>
    <n v="21304.799999999999"/>
    <n v="-2944.7999999999993"/>
    <n v="-883.43999999999971"/>
    <n v="-2061.3599999999997"/>
    <n v="-0.10104705882352939"/>
  </r>
  <r>
    <x v="4"/>
    <x v="1"/>
    <s v="January 2014"/>
    <n v="1"/>
    <x v="4"/>
    <x v="0"/>
    <x v="4"/>
    <s v="Worst"/>
    <n v="1200"/>
    <n v="17"/>
    <n v="0.1"/>
    <n v="0.18"/>
    <n v="18000"/>
    <n v="0.3"/>
    <n v="20400"/>
    <n v="18360"/>
    <n v="3304.7999999999997"/>
    <n v="21304.799999999999"/>
    <n v="-2944.7999999999993"/>
    <n v="-883.43999999999971"/>
    <n v="-2061.3599999999997"/>
    <n v="-0.10104705882352939"/>
  </r>
  <r>
    <x v="4"/>
    <x v="1"/>
    <s v="January 2014"/>
    <n v="1"/>
    <x v="4"/>
    <x v="1"/>
    <x v="0"/>
    <s v="Worst"/>
    <n v="1200"/>
    <n v="17"/>
    <n v="0.1"/>
    <n v="0.18"/>
    <n v="18000"/>
    <n v="0.3"/>
    <n v="20400"/>
    <n v="18360"/>
    <n v="3304.7999999999997"/>
    <n v="21304.799999999999"/>
    <n v="-2944.7999999999993"/>
    <n v="-883.43999999999971"/>
    <n v="-2061.3599999999997"/>
    <n v="-0.10104705882352939"/>
  </r>
  <r>
    <x v="4"/>
    <x v="1"/>
    <s v="January 2014"/>
    <n v="1"/>
    <x v="4"/>
    <x v="1"/>
    <x v="1"/>
    <s v="Worst"/>
    <n v="1200"/>
    <n v="17"/>
    <n v="0.1"/>
    <n v="0.18"/>
    <n v="18000"/>
    <n v="0.3"/>
    <n v="20400"/>
    <n v="18360"/>
    <n v="3304.7999999999997"/>
    <n v="21304.799999999999"/>
    <n v="-2944.7999999999993"/>
    <n v="-883.43999999999971"/>
    <n v="-2061.3599999999997"/>
    <n v="-0.10104705882352939"/>
  </r>
  <r>
    <x v="4"/>
    <x v="1"/>
    <s v="January 2014"/>
    <n v="1"/>
    <x v="4"/>
    <x v="1"/>
    <x v="2"/>
    <s v="Worst"/>
    <n v="1200"/>
    <n v="17"/>
    <n v="0.1"/>
    <n v="0.18"/>
    <n v="18000"/>
    <n v="0.3"/>
    <n v="20400"/>
    <n v="18360"/>
    <n v="3304.7999999999997"/>
    <n v="21304.799999999999"/>
    <n v="-2944.7999999999993"/>
    <n v="-883.43999999999971"/>
    <n v="-2061.3599999999997"/>
    <n v="-0.10104705882352939"/>
  </r>
  <r>
    <x v="4"/>
    <x v="1"/>
    <s v="January 2014"/>
    <n v="1"/>
    <x v="4"/>
    <x v="1"/>
    <x v="3"/>
    <s v="Worst"/>
    <n v="1200"/>
    <n v="17"/>
    <n v="0.1"/>
    <n v="0.18"/>
    <n v="18000"/>
    <n v="0.3"/>
    <n v="20400"/>
    <n v="18360"/>
    <n v="3304.7999999999997"/>
    <n v="21304.799999999999"/>
    <n v="-2944.7999999999993"/>
    <n v="-883.43999999999971"/>
    <n v="-2061.3599999999997"/>
    <n v="-0.10104705882352939"/>
  </r>
  <r>
    <x v="4"/>
    <x v="1"/>
    <s v="January 2014"/>
    <n v="1"/>
    <x v="4"/>
    <x v="1"/>
    <x v="4"/>
    <s v="Worst"/>
    <n v="1200"/>
    <n v="17"/>
    <n v="0.1"/>
    <n v="0.18"/>
    <n v="18000"/>
    <n v="0.3"/>
    <n v="20400"/>
    <n v="18360"/>
    <n v="3304.7999999999997"/>
    <n v="21304.799999999999"/>
    <n v="-2944.7999999999993"/>
    <n v="-883.43999999999971"/>
    <n v="-2061.3599999999997"/>
    <n v="-0.10104705882352939"/>
  </r>
  <r>
    <x v="4"/>
    <x v="1"/>
    <s v="January 2014"/>
    <n v="1"/>
    <x v="4"/>
    <x v="2"/>
    <x v="0"/>
    <s v="Worst"/>
    <n v="1200"/>
    <n v="17"/>
    <n v="0.1"/>
    <n v="0.18"/>
    <n v="18000"/>
    <n v="0.3"/>
    <n v="20400"/>
    <n v="18360"/>
    <n v="3304.7999999999997"/>
    <n v="21304.799999999999"/>
    <n v="-2944.7999999999993"/>
    <n v="-883.43999999999971"/>
    <n v="-2061.3599999999997"/>
    <n v="-0.10104705882352939"/>
  </r>
  <r>
    <x v="4"/>
    <x v="1"/>
    <s v="January 2014"/>
    <n v="1"/>
    <x v="4"/>
    <x v="2"/>
    <x v="1"/>
    <s v="Worst"/>
    <n v="1200"/>
    <n v="17"/>
    <n v="0.1"/>
    <n v="0.18"/>
    <n v="18000"/>
    <n v="0.3"/>
    <n v="20400"/>
    <n v="18360"/>
    <n v="3304.7999999999997"/>
    <n v="21304.799999999999"/>
    <n v="-2944.7999999999993"/>
    <n v="-883.43999999999971"/>
    <n v="-2061.3599999999997"/>
    <n v="-0.10104705882352939"/>
  </r>
  <r>
    <x v="4"/>
    <x v="1"/>
    <s v="January 2014"/>
    <n v="1"/>
    <x v="4"/>
    <x v="2"/>
    <x v="2"/>
    <s v="Worst"/>
    <n v="1200"/>
    <n v="17"/>
    <n v="0.1"/>
    <n v="0.18"/>
    <n v="18000"/>
    <n v="0.3"/>
    <n v="20400"/>
    <n v="18360"/>
    <n v="3304.7999999999997"/>
    <n v="21304.799999999999"/>
    <n v="-2944.7999999999993"/>
    <n v="-883.43999999999971"/>
    <n v="-2061.3599999999997"/>
    <n v="-0.10104705882352939"/>
  </r>
  <r>
    <x v="4"/>
    <x v="1"/>
    <s v="January 2014"/>
    <n v="1"/>
    <x v="4"/>
    <x v="2"/>
    <x v="3"/>
    <s v="Worst"/>
    <n v="1200"/>
    <n v="17"/>
    <n v="0.1"/>
    <n v="0.18"/>
    <n v="18000"/>
    <n v="0.3"/>
    <n v="20400"/>
    <n v="18360"/>
    <n v="3304.7999999999997"/>
    <n v="21304.799999999999"/>
    <n v="-2944.7999999999993"/>
    <n v="-883.43999999999971"/>
    <n v="-2061.3599999999997"/>
    <n v="-0.10104705882352939"/>
  </r>
  <r>
    <x v="4"/>
    <x v="1"/>
    <s v="January 2014"/>
    <n v="1"/>
    <x v="4"/>
    <x v="2"/>
    <x v="4"/>
    <s v="Worst"/>
    <n v="1200"/>
    <n v="17"/>
    <n v="0.1"/>
    <n v="0.18"/>
    <n v="18000"/>
    <n v="0.3"/>
    <n v="20400"/>
    <n v="18360"/>
    <n v="3304.7999999999997"/>
    <n v="21304.799999999999"/>
    <n v="-2944.7999999999993"/>
    <n v="-883.43999999999971"/>
    <n v="-2061.3599999999997"/>
    <n v="-0.10104705882352939"/>
  </r>
  <r>
    <x v="4"/>
    <x v="1"/>
    <s v="January 2014"/>
    <n v="1"/>
    <x v="4"/>
    <x v="3"/>
    <x v="0"/>
    <s v="Worst"/>
    <n v="1200"/>
    <n v="17"/>
    <n v="0.1"/>
    <n v="0.18"/>
    <n v="18000"/>
    <n v="0.3"/>
    <n v="20400"/>
    <n v="18360"/>
    <n v="3304.7999999999997"/>
    <n v="21304.799999999999"/>
    <n v="-2944.7999999999993"/>
    <n v="-883.43999999999971"/>
    <n v="-2061.3599999999997"/>
    <n v="-0.10104705882352939"/>
  </r>
  <r>
    <x v="4"/>
    <x v="1"/>
    <s v="January 2014"/>
    <n v="1"/>
    <x v="4"/>
    <x v="3"/>
    <x v="1"/>
    <s v="Worst"/>
    <n v="1200"/>
    <n v="17"/>
    <n v="0.1"/>
    <n v="0.18"/>
    <n v="18000"/>
    <n v="0.3"/>
    <n v="20400"/>
    <n v="18360"/>
    <n v="3304.7999999999997"/>
    <n v="21304.799999999999"/>
    <n v="-2944.7999999999993"/>
    <n v="-883.43999999999971"/>
    <n v="-2061.3599999999997"/>
    <n v="-0.10104705882352939"/>
  </r>
  <r>
    <x v="4"/>
    <x v="1"/>
    <s v="January 2014"/>
    <n v="1"/>
    <x v="4"/>
    <x v="3"/>
    <x v="2"/>
    <s v="Worst"/>
    <n v="1200"/>
    <n v="17"/>
    <n v="0.1"/>
    <n v="0.18"/>
    <n v="18000"/>
    <n v="0.3"/>
    <n v="20400"/>
    <n v="18360"/>
    <n v="3304.7999999999997"/>
    <n v="21304.799999999999"/>
    <n v="-2944.7999999999993"/>
    <n v="-883.43999999999971"/>
    <n v="-2061.3599999999997"/>
    <n v="-0.10104705882352939"/>
  </r>
  <r>
    <x v="4"/>
    <x v="1"/>
    <s v="January 2014"/>
    <n v="1"/>
    <x v="4"/>
    <x v="3"/>
    <x v="3"/>
    <s v="Worst"/>
    <n v="1200"/>
    <n v="17"/>
    <n v="0.1"/>
    <n v="0.18"/>
    <n v="18000"/>
    <n v="0.3"/>
    <n v="20400"/>
    <n v="18360"/>
    <n v="3304.7999999999997"/>
    <n v="21304.799999999999"/>
    <n v="-2944.7999999999993"/>
    <n v="-883.43999999999971"/>
    <n v="-2061.3599999999997"/>
    <n v="-0.10104705882352939"/>
  </r>
  <r>
    <x v="4"/>
    <x v="1"/>
    <s v="January 2014"/>
    <n v="1"/>
    <x v="4"/>
    <x v="3"/>
    <x v="4"/>
    <s v="Worst"/>
    <n v="1200"/>
    <n v="17"/>
    <n v="0.1"/>
    <n v="0.18"/>
    <n v="18000"/>
    <n v="0.3"/>
    <n v="20400"/>
    <n v="18360"/>
    <n v="3304.7999999999997"/>
    <n v="21304.799999999999"/>
    <n v="-2944.7999999999993"/>
    <n v="-883.43999999999971"/>
    <n v="-2061.3599999999997"/>
    <n v="-0.10104705882352939"/>
  </r>
  <r>
    <x v="4"/>
    <x v="1"/>
    <s v="January 2014"/>
    <n v="1"/>
    <x v="4"/>
    <x v="4"/>
    <x v="0"/>
    <s v="Worst"/>
    <n v="1200"/>
    <n v="17"/>
    <n v="0.1"/>
    <n v="0.18"/>
    <n v="18000"/>
    <n v="0.3"/>
    <n v="20400"/>
    <n v="18360"/>
    <n v="3304.7999999999997"/>
    <n v="21304.799999999999"/>
    <n v="-2944.7999999999993"/>
    <n v="-883.43999999999971"/>
    <n v="-2061.3599999999997"/>
    <n v="-0.10104705882352939"/>
  </r>
  <r>
    <x v="4"/>
    <x v="1"/>
    <s v="January 2014"/>
    <n v="1"/>
    <x v="4"/>
    <x v="4"/>
    <x v="1"/>
    <s v="Worst"/>
    <n v="1200"/>
    <n v="17"/>
    <n v="0.1"/>
    <n v="0.18"/>
    <n v="18000"/>
    <n v="0.3"/>
    <n v="20400"/>
    <n v="18360"/>
    <n v="3304.7999999999997"/>
    <n v="21304.799999999999"/>
    <n v="-2944.7999999999993"/>
    <n v="-883.43999999999971"/>
    <n v="-2061.3599999999997"/>
    <n v="-0.10104705882352939"/>
  </r>
  <r>
    <x v="4"/>
    <x v="1"/>
    <s v="January 2014"/>
    <n v="1"/>
    <x v="4"/>
    <x v="4"/>
    <x v="2"/>
    <s v="Worst"/>
    <n v="1200"/>
    <n v="17"/>
    <n v="0.1"/>
    <n v="0.18"/>
    <n v="18000"/>
    <n v="0.3"/>
    <n v="20400"/>
    <n v="18360"/>
    <n v="3304.7999999999997"/>
    <n v="21304.799999999999"/>
    <n v="-2944.7999999999993"/>
    <n v="-883.43999999999971"/>
    <n v="-2061.3599999999997"/>
    <n v="-0.10104705882352939"/>
  </r>
  <r>
    <x v="4"/>
    <x v="1"/>
    <s v="January 2014"/>
    <n v="1"/>
    <x v="4"/>
    <x v="4"/>
    <x v="3"/>
    <s v="Worst"/>
    <n v="1200"/>
    <n v="17"/>
    <n v="0.1"/>
    <n v="0.18"/>
    <n v="18000"/>
    <n v="0.3"/>
    <n v="20400"/>
    <n v="18360"/>
    <n v="3304.7999999999997"/>
    <n v="21304.799999999999"/>
    <n v="-2944.7999999999993"/>
    <n v="-883.43999999999971"/>
    <n v="-2061.3599999999997"/>
    <n v="-0.10104705882352939"/>
  </r>
  <r>
    <x v="4"/>
    <x v="1"/>
    <s v="January 2014"/>
    <n v="1"/>
    <x v="4"/>
    <x v="4"/>
    <x v="4"/>
    <s v="Worst"/>
    <n v="1200"/>
    <n v="17"/>
    <n v="0.1"/>
    <n v="0.18"/>
    <n v="18000"/>
    <n v="0.3"/>
    <n v="20400"/>
    <n v="18360"/>
    <n v="3304.7999999999997"/>
    <n v="21304.799999999999"/>
    <n v="-2944.7999999999993"/>
    <n v="-883.43999999999971"/>
    <n v="-2061.3599999999997"/>
    <n v="-0.10104705882352939"/>
  </r>
  <r>
    <x v="5"/>
    <x v="1"/>
    <s v="February 2014"/>
    <n v="1"/>
    <x v="0"/>
    <x v="0"/>
    <x v="0"/>
    <s v="Worst"/>
    <n v="1200"/>
    <n v="17"/>
    <n v="0.1"/>
    <n v="0.18"/>
    <n v="18000"/>
    <n v="0.3"/>
    <n v="20400"/>
    <n v="18360"/>
    <n v="3304.7999999999997"/>
    <n v="21304.799999999999"/>
    <n v="-2944.7999999999993"/>
    <n v="-883.43999999999971"/>
    <n v="-2061.3599999999997"/>
    <n v="-0.10104705882352939"/>
  </r>
  <r>
    <x v="5"/>
    <x v="1"/>
    <s v="February 2014"/>
    <n v="1"/>
    <x v="0"/>
    <x v="0"/>
    <x v="1"/>
    <s v="Worst"/>
    <n v="1200"/>
    <n v="17"/>
    <n v="0.1"/>
    <n v="0.18"/>
    <n v="18000"/>
    <n v="0.3"/>
    <n v="20400"/>
    <n v="18360"/>
    <n v="3304.7999999999997"/>
    <n v="21304.799999999999"/>
    <n v="-2944.7999999999993"/>
    <n v="-883.43999999999971"/>
    <n v="-2061.3599999999997"/>
    <n v="-0.10104705882352939"/>
  </r>
  <r>
    <x v="5"/>
    <x v="1"/>
    <s v="February 2014"/>
    <n v="1"/>
    <x v="0"/>
    <x v="0"/>
    <x v="2"/>
    <s v="Worst"/>
    <n v="1200"/>
    <n v="17"/>
    <n v="0.1"/>
    <n v="0.18"/>
    <n v="18000"/>
    <n v="0.3"/>
    <n v="20400"/>
    <n v="18360"/>
    <n v="3304.7999999999997"/>
    <n v="21304.799999999999"/>
    <n v="-2944.7999999999993"/>
    <n v="-883.43999999999971"/>
    <n v="-2061.3599999999997"/>
    <n v="-0.10104705882352939"/>
  </r>
  <r>
    <x v="5"/>
    <x v="1"/>
    <s v="February 2014"/>
    <n v="1"/>
    <x v="0"/>
    <x v="0"/>
    <x v="3"/>
    <s v="Worst"/>
    <n v="1200"/>
    <n v="17"/>
    <n v="0.1"/>
    <n v="0.18"/>
    <n v="18000"/>
    <n v="0.3"/>
    <n v="20400"/>
    <n v="18360"/>
    <n v="3304.7999999999997"/>
    <n v="21304.799999999999"/>
    <n v="-2944.7999999999993"/>
    <n v="-883.43999999999971"/>
    <n v="-2061.3599999999997"/>
    <n v="-0.10104705882352939"/>
  </r>
  <r>
    <x v="5"/>
    <x v="1"/>
    <s v="February 2014"/>
    <n v="1"/>
    <x v="0"/>
    <x v="0"/>
    <x v="4"/>
    <s v="Worst"/>
    <n v="1200"/>
    <n v="17"/>
    <n v="0.1"/>
    <n v="0.18"/>
    <n v="18000"/>
    <n v="0.3"/>
    <n v="20400"/>
    <n v="18360"/>
    <n v="3304.7999999999997"/>
    <n v="21304.799999999999"/>
    <n v="-2944.7999999999993"/>
    <n v="-883.43999999999971"/>
    <n v="-2061.3599999999997"/>
    <n v="-0.10104705882352939"/>
  </r>
  <r>
    <x v="5"/>
    <x v="1"/>
    <s v="February 2014"/>
    <n v="1"/>
    <x v="0"/>
    <x v="1"/>
    <x v="0"/>
    <s v="Worst"/>
    <n v="1200"/>
    <n v="17"/>
    <n v="0.1"/>
    <n v="0.18"/>
    <n v="18000"/>
    <n v="0.3"/>
    <n v="20400"/>
    <n v="18360"/>
    <n v="3304.7999999999997"/>
    <n v="21304.799999999999"/>
    <n v="-2944.7999999999993"/>
    <n v="-883.43999999999971"/>
    <n v="-2061.3599999999997"/>
    <n v="-0.10104705882352939"/>
  </r>
  <r>
    <x v="5"/>
    <x v="1"/>
    <s v="February 2014"/>
    <n v="1"/>
    <x v="0"/>
    <x v="1"/>
    <x v="1"/>
    <s v="Worst"/>
    <n v="1200"/>
    <n v="17"/>
    <n v="0.1"/>
    <n v="0.18"/>
    <n v="18000"/>
    <n v="0.3"/>
    <n v="20400"/>
    <n v="18360"/>
    <n v="3304.7999999999997"/>
    <n v="21304.799999999999"/>
    <n v="-2944.7999999999993"/>
    <n v="-883.43999999999971"/>
    <n v="-2061.3599999999997"/>
    <n v="-0.10104705882352939"/>
  </r>
  <r>
    <x v="5"/>
    <x v="1"/>
    <s v="February 2014"/>
    <n v="1"/>
    <x v="0"/>
    <x v="1"/>
    <x v="2"/>
    <s v="Worst"/>
    <n v="1200"/>
    <n v="17"/>
    <n v="0.1"/>
    <n v="0.18"/>
    <n v="18000"/>
    <n v="0.3"/>
    <n v="20400"/>
    <n v="18360"/>
    <n v="3304.7999999999997"/>
    <n v="21304.799999999999"/>
    <n v="-2944.7999999999993"/>
    <n v="-883.43999999999971"/>
    <n v="-2061.3599999999997"/>
    <n v="-0.10104705882352939"/>
  </r>
  <r>
    <x v="5"/>
    <x v="1"/>
    <s v="February 2014"/>
    <n v="1"/>
    <x v="0"/>
    <x v="1"/>
    <x v="3"/>
    <s v="Worst"/>
    <n v="1200"/>
    <n v="17"/>
    <n v="0.1"/>
    <n v="0.18"/>
    <n v="18000"/>
    <n v="0.3"/>
    <n v="20400"/>
    <n v="18360"/>
    <n v="3304.7999999999997"/>
    <n v="21304.799999999999"/>
    <n v="-2944.7999999999993"/>
    <n v="-883.43999999999971"/>
    <n v="-2061.3599999999997"/>
    <n v="-0.10104705882352939"/>
  </r>
  <r>
    <x v="5"/>
    <x v="1"/>
    <s v="February 2014"/>
    <n v="1"/>
    <x v="0"/>
    <x v="1"/>
    <x v="4"/>
    <s v="Worst"/>
    <n v="1200"/>
    <n v="17"/>
    <n v="0.1"/>
    <n v="0.18"/>
    <n v="18000"/>
    <n v="0.3"/>
    <n v="20400"/>
    <n v="18360"/>
    <n v="3304.7999999999997"/>
    <n v="21304.799999999999"/>
    <n v="-2944.7999999999993"/>
    <n v="-883.43999999999971"/>
    <n v="-2061.3599999999997"/>
    <n v="-0.10104705882352939"/>
  </r>
  <r>
    <x v="5"/>
    <x v="1"/>
    <s v="February 2014"/>
    <n v="1"/>
    <x v="0"/>
    <x v="2"/>
    <x v="0"/>
    <s v="Worst"/>
    <n v="1200"/>
    <n v="17"/>
    <n v="0.1"/>
    <n v="0.18"/>
    <n v="18000"/>
    <n v="0.3"/>
    <n v="20400"/>
    <n v="18360"/>
    <n v="3304.7999999999997"/>
    <n v="21304.799999999999"/>
    <n v="-2944.7999999999993"/>
    <n v="-883.43999999999971"/>
    <n v="-2061.3599999999997"/>
    <n v="-0.10104705882352939"/>
  </r>
  <r>
    <x v="5"/>
    <x v="1"/>
    <s v="February 2014"/>
    <n v="1"/>
    <x v="0"/>
    <x v="2"/>
    <x v="1"/>
    <s v="Worst"/>
    <n v="1200"/>
    <n v="17"/>
    <n v="0.1"/>
    <n v="0.18"/>
    <n v="18000"/>
    <n v="0.3"/>
    <n v="20400"/>
    <n v="18360"/>
    <n v="3304.7999999999997"/>
    <n v="21304.799999999999"/>
    <n v="-2944.7999999999993"/>
    <n v="-883.43999999999971"/>
    <n v="-2061.3599999999997"/>
    <n v="-0.10104705882352939"/>
  </r>
  <r>
    <x v="5"/>
    <x v="1"/>
    <s v="February 2014"/>
    <n v="1"/>
    <x v="0"/>
    <x v="2"/>
    <x v="2"/>
    <s v="Worst"/>
    <n v="1200"/>
    <n v="17"/>
    <n v="0.1"/>
    <n v="0.18"/>
    <n v="18000"/>
    <n v="0.3"/>
    <n v="20400"/>
    <n v="18360"/>
    <n v="3304.7999999999997"/>
    <n v="21304.799999999999"/>
    <n v="-2944.7999999999993"/>
    <n v="-883.43999999999971"/>
    <n v="-2061.3599999999997"/>
    <n v="-0.10104705882352939"/>
  </r>
  <r>
    <x v="5"/>
    <x v="1"/>
    <s v="February 2014"/>
    <n v="1"/>
    <x v="0"/>
    <x v="2"/>
    <x v="3"/>
    <s v="Worst"/>
    <n v="1200"/>
    <n v="17"/>
    <n v="0.1"/>
    <n v="0.18"/>
    <n v="18000"/>
    <n v="0.3"/>
    <n v="20400"/>
    <n v="18360"/>
    <n v="3304.7999999999997"/>
    <n v="21304.799999999999"/>
    <n v="-2944.7999999999993"/>
    <n v="-883.43999999999971"/>
    <n v="-2061.3599999999997"/>
    <n v="-0.10104705882352939"/>
  </r>
  <r>
    <x v="5"/>
    <x v="1"/>
    <s v="February 2014"/>
    <n v="1"/>
    <x v="0"/>
    <x v="2"/>
    <x v="4"/>
    <s v="Worst"/>
    <n v="1200"/>
    <n v="17"/>
    <n v="0.1"/>
    <n v="0.18"/>
    <n v="18000"/>
    <n v="0.3"/>
    <n v="20400"/>
    <n v="18360"/>
    <n v="3304.7999999999997"/>
    <n v="21304.799999999999"/>
    <n v="-2944.7999999999993"/>
    <n v="-883.43999999999971"/>
    <n v="-2061.3599999999997"/>
    <n v="-0.10104705882352939"/>
  </r>
  <r>
    <x v="5"/>
    <x v="1"/>
    <s v="February 2014"/>
    <n v="1"/>
    <x v="0"/>
    <x v="3"/>
    <x v="0"/>
    <s v="Worst"/>
    <n v="1200"/>
    <n v="17"/>
    <n v="0.1"/>
    <n v="0.18"/>
    <n v="18000"/>
    <n v="0.3"/>
    <n v="20400"/>
    <n v="18360"/>
    <n v="3304.7999999999997"/>
    <n v="21304.799999999999"/>
    <n v="-2944.7999999999993"/>
    <n v="-883.43999999999971"/>
    <n v="-2061.3599999999997"/>
    <n v="-0.10104705882352939"/>
  </r>
  <r>
    <x v="5"/>
    <x v="1"/>
    <s v="February 2014"/>
    <n v="1"/>
    <x v="0"/>
    <x v="3"/>
    <x v="1"/>
    <s v="Worst"/>
    <n v="1200"/>
    <n v="17"/>
    <n v="0.1"/>
    <n v="0.18"/>
    <n v="18000"/>
    <n v="0.3"/>
    <n v="20400"/>
    <n v="18360"/>
    <n v="3304.7999999999997"/>
    <n v="21304.799999999999"/>
    <n v="-2944.7999999999993"/>
    <n v="-883.43999999999971"/>
    <n v="-2061.3599999999997"/>
    <n v="-0.10104705882352939"/>
  </r>
  <r>
    <x v="5"/>
    <x v="1"/>
    <s v="February 2014"/>
    <n v="1"/>
    <x v="0"/>
    <x v="3"/>
    <x v="2"/>
    <s v="Worst"/>
    <n v="1200"/>
    <n v="17"/>
    <n v="0.1"/>
    <n v="0.18"/>
    <n v="18000"/>
    <n v="0.3"/>
    <n v="20400"/>
    <n v="18360"/>
    <n v="3304.7999999999997"/>
    <n v="21304.799999999999"/>
    <n v="-2944.7999999999993"/>
    <n v="-883.43999999999971"/>
    <n v="-2061.3599999999997"/>
    <n v="-0.10104705882352939"/>
  </r>
  <r>
    <x v="5"/>
    <x v="1"/>
    <s v="February 2014"/>
    <n v="1"/>
    <x v="0"/>
    <x v="3"/>
    <x v="3"/>
    <s v="Worst"/>
    <n v="1200"/>
    <n v="17"/>
    <n v="0.1"/>
    <n v="0.18"/>
    <n v="18000"/>
    <n v="0.3"/>
    <n v="20400"/>
    <n v="18360"/>
    <n v="3304.7999999999997"/>
    <n v="21304.799999999999"/>
    <n v="-2944.7999999999993"/>
    <n v="-883.43999999999971"/>
    <n v="-2061.3599999999997"/>
    <n v="-0.10104705882352939"/>
  </r>
  <r>
    <x v="5"/>
    <x v="1"/>
    <s v="February 2014"/>
    <n v="1"/>
    <x v="0"/>
    <x v="3"/>
    <x v="4"/>
    <s v="Worst"/>
    <n v="1200"/>
    <n v="17"/>
    <n v="0.1"/>
    <n v="0.18"/>
    <n v="18000"/>
    <n v="0.3"/>
    <n v="20400"/>
    <n v="18360"/>
    <n v="3304.7999999999997"/>
    <n v="21304.799999999999"/>
    <n v="-2944.7999999999993"/>
    <n v="-883.43999999999971"/>
    <n v="-2061.3599999999997"/>
    <n v="-0.10104705882352939"/>
  </r>
  <r>
    <x v="5"/>
    <x v="1"/>
    <s v="February 2014"/>
    <n v="1"/>
    <x v="0"/>
    <x v="4"/>
    <x v="0"/>
    <s v="Worst"/>
    <n v="1200"/>
    <n v="17"/>
    <n v="0.1"/>
    <n v="0.18"/>
    <n v="18000"/>
    <n v="0.3"/>
    <n v="20400"/>
    <n v="18360"/>
    <n v="3304.7999999999997"/>
    <n v="21304.799999999999"/>
    <n v="-2944.7999999999993"/>
    <n v="-883.43999999999971"/>
    <n v="-2061.3599999999997"/>
    <n v="-0.10104705882352939"/>
  </r>
  <r>
    <x v="5"/>
    <x v="1"/>
    <s v="February 2014"/>
    <n v="1"/>
    <x v="0"/>
    <x v="4"/>
    <x v="1"/>
    <s v="Worst"/>
    <n v="1200"/>
    <n v="17"/>
    <n v="0.1"/>
    <n v="0.18"/>
    <n v="18000"/>
    <n v="0.3"/>
    <n v="20400"/>
    <n v="18360"/>
    <n v="3304.7999999999997"/>
    <n v="21304.799999999999"/>
    <n v="-2944.7999999999993"/>
    <n v="-883.43999999999971"/>
    <n v="-2061.3599999999997"/>
    <n v="-0.10104705882352939"/>
  </r>
  <r>
    <x v="5"/>
    <x v="1"/>
    <s v="February 2014"/>
    <n v="1"/>
    <x v="0"/>
    <x v="4"/>
    <x v="2"/>
    <s v="Worst"/>
    <n v="1200"/>
    <n v="17"/>
    <n v="0.1"/>
    <n v="0.18"/>
    <n v="18000"/>
    <n v="0.3"/>
    <n v="20400"/>
    <n v="18360"/>
    <n v="3304.7999999999997"/>
    <n v="21304.799999999999"/>
    <n v="-2944.7999999999993"/>
    <n v="-883.43999999999971"/>
    <n v="-2061.3599999999997"/>
    <n v="-0.10104705882352939"/>
  </r>
  <r>
    <x v="5"/>
    <x v="1"/>
    <s v="February 2014"/>
    <n v="1"/>
    <x v="0"/>
    <x v="4"/>
    <x v="3"/>
    <s v="Worst"/>
    <n v="1200"/>
    <n v="17"/>
    <n v="0.1"/>
    <n v="0.18"/>
    <n v="18000"/>
    <n v="0.3"/>
    <n v="20400"/>
    <n v="18360"/>
    <n v="3304.7999999999997"/>
    <n v="21304.799999999999"/>
    <n v="-2944.7999999999993"/>
    <n v="-883.43999999999971"/>
    <n v="-2061.3599999999997"/>
    <n v="-0.10104705882352939"/>
  </r>
  <r>
    <x v="5"/>
    <x v="1"/>
    <s v="February 2014"/>
    <n v="1"/>
    <x v="0"/>
    <x v="4"/>
    <x v="4"/>
    <s v="Worst"/>
    <n v="1200"/>
    <n v="17"/>
    <n v="0.1"/>
    <n v="0.18"/>
    <n v="18000"/>
    <n v="0.3"/>
    <n v="20400"/>
    <n v="18360"/>
    <n v="3304.7999999999997"/>
    <n v="21304.799999999999"/>
    <n v="-2944.7999999999993"/>
    <n v="-883.43999999999971"/>
    <n v="-2061.3599999999997"/>
    <n v="-0.10104705882352939"/>
  </r>
  <r>
    <x v="5"/>
    <x v="1"/>
    <s v="February 2014"/>
    <n v="1"/>
    <x v="1"/>
    <x v="0"/>
    <x v="0"/>
    <s v="Worst"/>
    <n v="1200"/>
    <n v="17"/>
    <n v="0.1"/>
    <n v="0.18"/>
    <n v="18000"/>
    <n v="0.3"/>
    <n v="20400"/>
    <n v="18360"/>
    <n v="3304.7999999999997"/>
    <n v="21304.799999999999"/>
    <n v="-2944.7999999999993"/>
    <n v="-883.43999999999971"/>
    <n v="-2061.3599999999997"/>
    <n v="-0.10104705882352939"/>
  </r>
  <r>
    <x v="5"/>
    <x v="1"/>
    <s v="February 2014"/>
    <n v="1"/>
    <x v="1"/>
    <x v="0"/>
    <x v="1"/>
    <s v="Worst"/>
    <n v="1200"/>
    <n v="17"/>
    <n v="0.1"/>
    <n v="0.18"/>
    <n v="18000"/>
    <n v="0.3"/>
    <n v="20400"/>
    <n v="18360"/>
    <n v="3304.7999999999997"/>
    <n v="21304.799999999999"/>
    <n v="-2944.7999999999993"/>
    <n v="-883.43999999999971"/>
    <n v="-2061.3599999999997"/>
    <n v="-0.10104705882352939"/>
  </r>
  <r>
    <x v="5"/>
    <x v="1"/>
    <s v="February 2014"/>
    <n v="1"/>
    <x v="1"/>
    <x v="0"/>
    <x v="2"/>
    <s v="Worst"/>
    <n v="1200"/>
    <n v="17"/>
    <n v="0.1"/>
    <n v="0.18"/>
    <n v="18000"/>
    <n v="0.3"/>
    <n v="20400"/>
    <n v="18360"/>
    <n v="3304.7999999999997"/>
    <n v="21304.799999999999"/>
    <n v="-2944.7999999999993"/>
    <n v="-883.43999999999971"/>
    <n v="-2061.3599999999997"/>
    <n v="-0.10104705882352939"/>
  </r>
  <r>
    <x v="5"/>
    <x v="1"/>
    <s v="February 2014"/>
    <n v="1"/>
    <x v="1"/>
    <x v="0"/>
    <x v="3"/>
    <s v="Worst"/>
    <n v="1200"/>
    <n v="17"/>
    <n v="0.1"/>
    <n v="0.18"/>
    <n v="18000"/>
    <n v="0.3"/>
    <n v="20400"/>
    <n v="18360"/>
    <n v="3304.7999999999997"/>
    <n v="21304.799999999999"/>
    <n v="-2944.7999999999993"/>
    <n v="-883.43999999999971"/>
    <n v="-2061.3599999999997"/>
    <n v="-0.10104705882352939"/>
  </r>
  <r>
    <x v="5"/>
    <x v="1"/>
    <s v="February 2014"/>
    <n v="1"/>
    <x v="1"/>
    <x v="0"/>
    <x v="4"/>
    <s v="Worst"/>
    <n v="1200"/>
    <n v="17"/>
    <n v="0.1"/>
    <n v="0.18"/>
    <n v="18000"/>
    <n v="0.3"/>
    <n v="20400"/>
    <n v="18360"/>
    <n v="3304.7999999999997"/>
    <n v="21304.799999999999"/>
    <n v="-2944.7999999999993"/>
    <n v="-883.43999999999971"/>
    <n v="-2061.3599999999997"/>
    <n v="-0.10104705882352939"/>
  </r>
  <r>
    <x v="5"/>
    <x v="1"/>
    <s v="February 2014"/>
    <n v="1"/>
    <x v="1"/>
    <x v="1"/>
    <x v="0"/>
    <s v="Worst"/>
    <n v="1200"/>
    <n v="17"/>
    <n v="0.1"/>
    <n v="0.18"/>
    <n v="18000"/>
    <n v="0.3"/>
    <n v="20400"/>
    <n v="18360"/>
    <n v="3304.7999999999997"/>
    <n v="21304.799999999999"/>
    <n v="-2944.7999999999993"/>
    <n v="-883.43999999999971"/>
    <n v="-2061.3599999999997"/>
    <n v="-0.10104705882352939"/>
  </r>
  <r>
    <x v="5"/>
    <x v="1"/>
    <s v="February 2014"/>
    <n v="1"/>
    <x v="1"/>
    <x v="1"/>
    <x v="1"/>
    <s v="Worst"/>
    <n v="1200"/>
    <n v="17"/>
    <n v="0.1"/>
    <n v="0.18"/>
    <n v="18000"/>
    <n v="0.3"/>
    <n v="20400"/>
    <n v="18360"/>
    <n v="3304.7999999999997"/>
    <n v="21304.799999999999"/>
    <n v="-2944.7999999999993"/>
    <n v="-883.43999999999971"/>
    <n v="-2061.3599999999997"/>
    <n v="-0.10104705882352939"/>
  </r>
  <r>
    <x v="5"/>
    <x v="1"/>
    <s v="February 2014"/>
    <n v="1"/>
    <x v="1"/>
    <x v="1"/>
    <x v="2"/>
    <s v="Worst"/>
    <n v="1200"/>
    <n v="17"/>
    <n v="0.1"/>
    <n v="0.18"/>
    <n v="18000"/>
    <n v="0.3"/>
    <n v="20400"/>
    <n v="18360"/>
    <n v="3304.7999999999997"/>
    <n v="21304.799999999999"/>
    <n v="-2944.7999999999993"/>
    <n v="-883.43999999999971"/>
    <n v="-2061.3599999999997"/>
    <n v="-0.10104705882352939"/>
  </r>
  <r>
    <x v="5"/>
    <x v="1"/>
    <s v="February 2014"/>
    <n v="1"/>
    <x v="1"/>
    <x v="1"/>
    <x v="3"/>
    <s v="Worst"/>
    <n v="1200"/>
    <n v="17"/>
    <n v="0.1"/>
    <n v="0.18"/>
    <n v="18000"/>
    <n v="0.3"/>
    <n v="20400"/>
    <n v="18360"/>
    <n v="3304.7999999999997"/>
    <n v="21304.799999999999"/>
    <n v="-2944.7999999999993"/>
    <n v="-883.43999999999971"/>
    <n v="-2061.3599999999997"/>
    <n v="-0.10104705882352939"/>
  </r>
  <r>
    <x v="5"/>
    <x v="1"/>
    <s v="February 2014"/>
    <n v="1"/>
    <x v="1"/>
    <x v="1"/>
    <x v="4"/>
    <s v="Worst"/>
    <n v="1200"/>
    <n v="17"/>
    <n v="0.1"/>
    <n v="0.18"/>
    <n v="18000"/>
    <n v="0.3"/>
    <n v="20400"/>
    <n v="18360"/>
    <n v="3304.7999999999997"/>
    <n v="21304.799999999999"/>
    <n v="-2944.7999999999993"/>
    <n v="-883.43999999999971"/>
    <n v="-2061.3599999999997"/>
    <n v="-0.10104705882352939"/>
  </r>
  <r>
    <x v="5"/>
    <x v="1"/>
    <s v="February 2014"/>
    <n v="1"/>
    <x v="1"/>
    <x v="2"/>
    <x v="0"/>
    <s v="Worst"/>
    <n v="1200"/>
    <n v="17"/>
    <n v="0.1"/>
    <n v="0.18"/>
    <n v="18000"/>
    <n v="0.3"/>
    <n v="20400"/>
    <n v="18360"/>
    <n v="3304.7999999999997"/>
    <n v="21304.799999999999"/>
    <n v="-2944.7999999999993"/>
    <n v="-883.43999999999971"/>
    <n v="-2061.3599999999997"/>
    <n v="-0.10104705882352939"/>
  </r>
  <r>
    <x v="5"/>
    <x v="1"/>
    <s v="February 2014"/>
    <n v="1"/>
    <x v="1"/>
    <x v="2"/>
    <x v="1"/>
    <s v="Worst"/>
    <n v="1200"/>
    <n v="17"/>
    <n v="0.1"/>
    <n v="0.18"/>
    <n v="18000"/>
    <n v="0.3"/>
    <n v="20400"/>
    <n v="18360"/>
    <n v="3304.7999999999997"/>
    <n v="21304.799999999999"/>
    <n v="-2944.7999999999993"/>
    <n v="-883.43999999999971"/>
    <n v="-2061.3599999999997"/>
    <n v="-0.10104705882352939"/>
  </r>
  <r>
    <x v="5"/>
    <x v="1"/>
    <s v="February 2014"/>
    <n v="1"/>
    <x v="1"/>
    <x v="2"/>
    <x v="2"/>
    <s v="Worst"/>
    <n v="1200"/>
    <n v="17"/>
    <n v="0.1"/>
    <n v="0.18"/>
    <n v="18000"/>
    <n v="0.3"/>
    <n v="20400"/>
    <n v="18360"/>
    <n v="3304.7999999999997"/>
    <n v="21304.799999999999"/>
    <n v="-2944.7999999999993"/>
    <n v="-883.43999999999971"/>
    <n v="-2061.3599999999997"/>
    <n v="-0.10104705882352939"/>
  </r>
  <r>
    <x v="5"/>
    <x v="1"/>
    <s v="February 2014"/>
    <n v="1"/>
    <x v="1"/>
    <x v="2"/>
    <x v="3"/>
    <s v="Worst"/>
    <n v="1200"/>
    <n v="17"/>
    <n v="0.1"/>
    <n v="0.18"/>
    <n v="18000"/>
    <n v="0.3"/>
    <n v="20400"/>
    <n v="18360"/>
    <n v="3304.7999999999997"/>
    <n v="21304.799999999999"/>
    <n v="-2944.7999999999993"/>
    <n v="-883.43999999999971"/>
    <n v="-2061.3599999999997"/>
    <n v="-0.10104705882352939"/>
  </r>
  <r>
    <x v="5"/>
    <x v="1"/>
    <s v="February 2014"/>
    <n v="1"/>
    <x v="1"/>
    <x v="2"/>
    <x v="4"/>
    <s v="Worst"/>
    <n v="1200"/>
    <n v="17"/>
    <n v="0.1"/>
    <n v="0.18"/>
    <n v="18000"/>
    <n v="0.3"/>
    <n v="20400"/>
    <n v="18360"/>
    <n v="3304.7999999999997"/>
    <n v="21304.799999999999"/>
    <n v="-2944.7999999999993"/>
    <n v="-883.43999999999971"/>
    <n v="-2061.3599999999997"/>
    <n v="-0.10104705882352939"/>
  </r>
  <r>
    <x v="5"/>
    <x v="1"/>
    <s v="February 2014"/>
    <n v="1"/>
    <x v="1"/>
    <x v="3"/>
    <x v="0"/>
    <s v="Worst"/>
    <n v="1200"/>
    <n v="17"/>
    <n v="0.1"/>
    <n v="0.18"/>
    <n v="18000"/>
    <n v="0.3"/>
    <n v="20400"/>
    <n v="18360"/>
    <n v="3304.7999999999997"/>
    <n v="21304.799999999999"/>
    <n v="-2944.7999999999993"/>
    <n v="-883.43999999999971"/>
    <n v="-2061.3599999999997"/>
    <n v="-0.10104705882352939"/>
  </r>
  <r>
    <x v="5"/>
    <x v="1"/>
    <s v="February 2014"/>
    <n v="1"/>
    <x v="1"/>
    <x v="3"/>
    <x v="1"/>
    <s v="Worst"/>
    <n v="1200"/>
    <n v="17"/>
    <n v="0.1"/>
    <n v="0.18"/>
    <n v="18000"/>
    <n v="0.3"/>
    <n v="20400"/>
    <n v="18360"/>
    <n v="3304.7999999999997"/>
    <n v="21304.799999999999"/>
    <n v="-2944.7999999999993"/>
    <n v="-883.43999999999971"/>
    <n v="-2061.3599999999997"/>
    <n v="-0.10104705882352939"/>
  </r>
  <r>
    <x v="5"/>
    <x v="1"/>
    <s v="February 2014"/>
    <n v="1"/>
    <x v="1"/>
    <x v="3"/>
    <x v="2"/>
    <s v="Worst"/>
    <n v="1200"/>
    <n v="17"/>
    <n v="0.1"/>
    <n v="0.18"/>
    <n v="18000"/>
    <n v="0.3"/>
    <n v="20400"/>
    <n v="18360"/>
    <n v="3304.7999999999997"/>
    <n v="21304.799999999999"/>
    <n v="-2944.7999999999993"/>
    <n v="-883.43999999999971"/>
    <n v="-2061.3599999999997"/>
    <n v="-0.10104705882352939"/>
  </r>
  <r>
    <x v="5"/>
    <x v="1"/>
    <s v="February 2014"/>
    <n v="1"/>
    <x v="1"/>
    <x v="3"/>
    <x v="3"/>
    <s v="Worst"/>
    <n v="1200"/>
    <n v="17"/>
    <n v="0.1"/>
    <n v="0.18"/>
    <n v="18000"/>
    <n v="0.3"/>
    <n v="20400"/>
    <n v="18360"/>
    <n v="3304.7999999999997"/>
    <n v="21304.799999999999"/>
    <n v="-2944.7999999999993"/>
    <n v="-883.43999999999971"/>
    <n v="-2061.3599999999997"/>
    <n v="-0.10104705882352939"/>
  </r>
  <r>
    <x v="5"/>
    <x v="1"/>
    <s v="February 2014"/>
    <n v="1"/>
    <x v="1"/>
    <x v="3"/>
    <x v="4"/>
    <s v="Worst"/>
    <n v="1200"/>
    <n v="17"/>
    <n v="0.1"/>
    <n v="0.18"/>
    <n v="18000"/>
    <n v="0.3"/>
    <n v="20400"/>
    <n v="18360"/>
    <n v="3304.7999999999997"/>
    <n v="21304.799999999999"/>
    <n v="-2944.7999999999993"/>
    <n v="-883.43999999999971"/>
    <n v="-2061.3599999999997"/>
    <n v="-0.10104705882352939"/>
  </r>
  <r>
    <x v="5"/>
    <x v="1"/>
    <s v="February 2014"/>
    <n v="1"/>
    <x v="1"/>
    <x v="4"/>
    <x v="0"/>
    <s v="Worst"/>
    <n v="1200"/>
    <n v="17"/>
    <n v="0.1"/>
    <n v="0.18"/>
    <n v="18000"/>
    <n v="0.3"/>
    <n v="20400"/>
    <n v="18360"/>
    <n v="3304.7999999999997"/>
    <n v="21304.799999999999"/>
    <n v="-2944.7999999999993"/>
    <n v="-883.43999999999971"/>
    <n v="-2061.3599999999997"/>
    <n v="-0.10104705882352939"/>
  </r>
  <r>
    <x v="5"/>
    <x v="1"/>
    <s v="February 2014"/>
    <n v="1"/>
    <x v="1"/>
    <x v="4"/>
    <x v="1"/>
    <s v="Worst"/>
    <n v="1200"/>
    <n v="17"/>
    <n v="0.1"/>
    <n v="0.18"/>
    <n v="18000"/>
    <n v="0.3"/>
    <n v="20400"/>
    <n v="18360"/>
    <n v="3304.7999999999997"/>
    <n v="21304.799999999999"/>
    <n v="-2944.7999999999993"/>
    <n v="-883.43999999999971"/>
    <n v="-2061.3599999999997"/>
    <n v="-0.10104705882352939"/>
  </r>
  <r>
    <x v="5"/>
    <x v="1"/>
    <s v="February 2014"/>
    <n v="1"/>
    <x v="1"/>
    <x v="4"/>
    <x v="2"/>
    <s v="Worst"/>
    <n v="1200"/>
    <n v="17"/>
    <n v="0.1"/>
    <n v="0.18"/>
    <n v="18000"/>
    <n v="0.3"/>
    <n v="20400"/>
    <n v="18360"/>
    <n v="3304.7999999999997"/>
    <n v="21304.799999999999"/>
    <n v="-2944.7999999999993"/>
    <n v="-883.43999999999971"/>
    <n v="-2061.3599999999997"/>
    <n v="-0.10104705882352939"/>
  </r>
  <r>
    <x v="5"/>
    <x v="1"/>
    <s v="February 2014"/>
    <n v="1"/>
    <x v="1"/>
    <x v="4"/>
    <x v="3"/>
    <s v="Worst"/>
    <n v="1200"/>
    <n v="17"/>
    <n v="0.1"/>
    <n v="0.18"/>
    <n v="18000"/>
    <n v="0.3"/>
    <n v="20400"/>
    <n v="18360"/>
    <n v="3304.7999999999997"/>
    <n v="21304.799999999999"/>
    <n v="-2944.7999999999993"/>
    <n v="-883.43999999999971"/>
    <n v="-2061.3599999999997"/>
    <n v="-0.10104705882352939"/>
  </r>
  <r>
    <x v="5"/>
    <x v="1"/>
    <s v="February 2014"/>
    <n v="1"/>
    <x v="1"/>
    <x v="4"/>
    <x v="4"/>
    <s v="Worst"/>
    <n v="1200"/>
    <n v="17"/>
    <n v="0.1"/>
    <n v="0.18"/>
    <n v="18000"/>
    <n v="0.3"/>
    <n v="20400"/>
    <n v="18360"/>
    <n v="3304.7999999999997"/>
    <n v="21304.799999999999"/>
    <n v="-2944.7999999999993"/>
    <n v="-883.43999999999971"/>
    <n v="-2061.3599999999997"/>
    <n v="-0.10104705882352939"/>
  </r>
  <r>
    <x v="5"/>
    <x v="1"/>
    <s v="February 2014"/>
    <n v="1"/>
    <x v="2"/>
    <x v="0"/>
    <x v="0"/>
    <s v="Worst"/>
    <n v="1200"/>
    <n v="17"/>
    <n v="0.1"/>
    <n v="0.18"/>
    <n v="18000"/>
    <n v="0.3"/>
    <n v="20400"/>
    <n v="18360"/>
    <n v="3304.7999999999997"/>
    <n v="21304.799999999999"/>
    <n v="-2944.7999999999993"/>
    <n v="-883.43999999999971"/>
    <n v="-2061.3599999999997"/>
    <n v="-0.10104705882352939"/>
  </r>
  <r>
    <x v="5"/>
    <x v="1"/>
    <s v="February 2014"/>
    <n v="1"/>
    <x v="2"/>
    <x v="0"/>
    <x v="1"/>
    <s v="Worst"/>
    <n v="1200"/>
    <n v="17"/>
    <n v="0.1"/>
    <n v="0.18"/>
    <n v="18000"/>
    <n v="0.3"/>
    <n v="20400"/>
    <n v="18360"/>
    <n v="3304.7999999999997"/>
    <n v="21304.799999999999"/>
    <n v="-2944.7999999999993"/>
    <n v="-883.43999999999971"/>
    <n v="-2061.3599999999997"/>
    <n v="-0.10104705882352939"/>
  </r>
  <r>
    <x v="5"/>
    <x v="1"/>
    <s v="February 2014"/>
    <n v="1"/>
    <x v="2"/>
    <x v="0"/>
    <x v="2"/>
    <s v="Worst"/>
    <n v="1200"/>
    <n v="17"/>
    <n v="0.1"/>
    <n v="0.18"/>
    <n v="18000"/>
    <n v="0.3"/>
    <n v="20400"/>
    <n v="18360"/>
    <n v="3304.7999999999997"/>
    <n v="21304.799999999999"/>
    <n v="-2944.7999999999993"/>
    <n v="-883.43999999999971"/>
    <n v="-2061.3599999999997"/>
    <n v="-0.10104705882352939"/>
  </r>
  <r>
    <x v="5"/>
    <x v="1"/>
    <s v="February 2014"/>
    <n v="1"/>
    <x v="2"/>
    <x v="0"/>
    <x v="3"/>
    <s v="Worst"/>
    <n v="1200"/>
    <n v="17"/>
    <n v="0.1"/>
    <n v="0.18"/>
    <n v="18000"/>
    <n v="0.3"/>
    <n v="20400"/>
    <n v="18360"/>
    <n v="3304.7999999999997"/>
    <n v="21304.799999999999"/>
    <n v="-2944.7999999999993"/>
    <n v="-883.43999999999971"/>
    <n v="-2061.3599999999997"/>
    <n v="-0.10104705882352939"/>
  </r>
  <r>
    <x v="5"/>
    <x v="1"/>
    <s v="February 2014"/>
    <n v="1"/>
    <x v="2"/>
    <x v="0"/>
    <x v="4"/>
    <s v="Worst"/>
    <n v="1200"/>
    <n v="17"/>
    <n v="0.1"/>
    <n v="0.18"/>
    <n v="18000"/>
    <n v="0.3"/>
    <n v="20400"/>
    <n v="18360"/>
    <n v="3304.7999999999997"/>
    <n v="21304.799999999999"/>
    <n v="-2944.7999999999993"/>
    <n v="-883.43999999999971"/>
    <n v="-2061.3599999999997"/>
    <n v="-0.10104705882352939"/>
  </r>
  <r>
    <x v="5"/>
    <x v="1"/>
    <s v="February 2014"/>
    <n v="1"/>
    <x v="2"/>
    <x v="1"/>
    <x v="0"/>
    <s v="Worst"/>
    <n v="1200"/>
    <n v="17"/>
    <n v="0.1"/>
    <n v="0.18"/>
    <n v="18000"/>
    <n v="0.3"/>
    <n v="20400"/>
    <n v="18360"/>
    <n v="3304.7999999999997"/>
    <n v="21304.799999999999"/>
    <n v="-2944.7999999999993"/>
    <n v="-883.43999999999971"/>
    <n v="-2061.3599999999997"/>
    <n v="-0.10104705882352939"/>
  </r>
  <r>
    <x v="5"/>
    <x v="1"/>
    <s v="February 2014"/>
    <n v="1"/>
    <x v="2"/>
    <x v="1"/>
    <x v="1"/>
    <s v="Worst"/>
    <n v="1200"/>
    <n v="17"/>
    <n v="0.1"/>
    <n v="0.18"/>
    <n v="18000"/>
    <n v="0.3"/>
    <n v="20400"/>
    <n v="18360"/>
    <n v="3304.7999999999997"/>
    <n v="21304.799999999999"/>
    <n v="-2944.7999999999993"/>
    <n v="-883.43999999999971"/>
    <n v="-2061.3599999999997"/>
    <n v="-0.10104705882352939"/>
  </r>
  <r>
    <x v="5"/>
    <x v="1"/>
    <s v="February 2014"/>
    <n v="1"/>
    <x v="2"/>
    <x v="1"/>
    <x v="2"/>
    <s v="Worst"/>
    <n v="1200"/>
    <n v="17"/>
    <n v="0.1"/>
    <n v="0.18"/>
    <n v="18000"/>
    <n v="0.3"/>
    <n v="20400"/>
    <n v="18360"/>
    <n v="3304.7999999999997"/>
    <n v="21304.799999999999"/>
    <n v="-2944.7999999999993"/>
    <n v="-883.43999999999971"/>
    <n v="-2061.3599999999997"/>
    <n v="-0.10104705882352939"/>
  </r>
  <r>
    <x v="5"/>
    <x v="1"/>
    <s v="February 2014"/>
    <n v="1"/>
    <x v="2"/>
    <x v="1"/>
    <x v="3"/>
    <s v="Worst"/>
    <n v="1200"/>
    <n v="17"/>
    <n v="0.1"/>
    <n v="0.18"/>
    <n v="18000"/>
    <n v="0.3"/>
    <n v="20400"/>
    <n v="18360"/>
    <n v="3304.7999999999997"/>
    <n v="21304.799999999999"/>
    <n v="-2944.7999999999993"/>
    <n v="-883.43999999999971"/>
    <n v="-2061.3599999999997"/>
    <n v="-0.10104705882352939"/>
  </r>
  <r>
    <x v="5"/>
    <x v="1"/>
    <s v="February 2014"/>
    <n v="1"/>
    <x v="2"/>
    <x v="1"/>
    <x v="4"/>
    <s v="Worst"/>
    <n v="1200"/>
    <n v="17"/>
    <n v="0.1"/>
    <n v="0.18"/>
    <n v="18000"/>
    <n v="0.3"/>
    <n v="20400"/>
    <n v="18360"/>
    <n v="3304.7999999999997"/>
    <n v="21304.799999999999"/>
    <n v="-2944.7999999999993"/>
    <n v="-883.43999999999971"/>
    <n v="-2061.3599999999997"/>
    <n v="-0.10104705882352939"/>
  </r>
  <r>
    <x v="5"/>
    <x v="1"/>
    <s v="February 2014"/>
    <n v="1"/>
    <x v="2"/>
    <x v="2"/>
    <x v="0"/>
    <s v="Worst"/>
    <n v="1200"/>
    <n v="17"/>
    <n v="0.1"/>
    <n v="0.18"/>
    <n v="18000"/>
    <n v="0.3"/>
    <n v="20400"/>
    <n v="18360"/>
    <n v="3304.7999999999997"/>
    <n v="21304.799999999999"/>
    <n v="-2944.7999999999993"/>
    <n v="-883.43999999999971"/>
    <n v="-2061.3599999999997"/>
    <n v="-0.10104705882352939"/>
  </r>
  <r>
    <x v="5"/>
    <x v="1"/>
    <s v="February 2014"/>
    <n v="1"/>
    <x v="2"/>
    <x v="2"/>
    <x v="1"/>
    <s v="Worst"/>
    <n v="1200"/>
    <n v="17"/>
    <n v="0.1"/>
    <n v="0.18"/>
    <n v="18000"/>
    <n v="0.3"/>
    <n v="20400"/>
    <n v="18360"/>
    <n v="3304.7999999999997"/>
    <n v="21304.799999999999"/>
    <n v="-2944.7999999999993"/>
    <n v="-883.43999999999971"/>
    <n v="-2061.3599999999997"/>
    <n v="-0.10104705882352939"/>
  </r>
  <r>
    <x v="5"/>
    <x v="1"/>
    <s v="February 2014"/>
    <n v="1"/>
    <x v="2"/>
    <x v="2"/>
    <x v="2"/>
    <s v="Worst"/>
    <n v="1200"/>
    <n v="17"/>
    <n v="0.1"/>
    <n v="0.18"/>
    <n v="18000"/>
    <n v="0.3"/>
    <n v="20400"/>
    <n v="18360"/>
    <n v="3304.7999999999997"/>
    <n v="21304.799999999999"/>
    <n v="-2944.7999999999993"/>
    <n v="-883.43999999999971"/>
    <n v="-2061.3599999999997"/>
    <n v="-0.10104705882352939"/>
  </r>
  <r>
    <x v="5"/>
    <x v="1"/>
    <s v="February 2014"/>
    <n v="1"/>
    <x v="2"/>
    <x v="2"/>
    <x v="3"/>
    <s v="Worst"/>
    <n v="1200"/>
    <n v="17"/>
    <n v="0.1"/>
    <n v="0.18"/>
    <n v="18000"/>
    <n v="0.3"/>
    <n v="20400"/>
    <n v="18360"/>
    <n v="3304.7999999999997"/>
    <n v="21304.799999999999"/>
    <n v="-2944.7999999999993"/>
    <n v="-883.43999999999971"/>
    <n v="-2061.3599999999997"/>
    <n v="-0.10104705882352939"/>
  </r>
  <r>
    <x v="5"/>
    <x v="1"/>
    <s v="February 2014"/>
    <n v="1"/>
    <x v="2"/>
    <x v="2"/>
    <x v="4"/>
    <s v="Worst"/>
    <n v="1200"/>
    <n v="17"/>
    <n v="0.1"/>
    <n v="0.18"/>
    <n v="18000"/>
    <n v="0.3"/>
    <n v="20400"/>
    <n v="18360"/>
    <n v="3304.7999999999997"/>
    <n v="21304.799999999999"/>
    <n v="-2944.7999999999993"/>
    <n v="-883.43999999999971"/>
    <n v="-2061.3599999999997"/>
    <n v="-0.10104705882352939"/>
  </r>
  <r>
    <x v="5"/>
    <x v="1"/>
    <s v="February 2014"/>
    <n v="1"/>
    <x v="2"/>
    <x v="3"/>
    <x v="0"/>
    <s v="Worst"/>
    <n v="1200"/>
    <n v="17"/>
    <n v="0.1"/>
    <n v="0.18"/>
    <n v="18000"/>
    <n v="0.3"/>
    <n v="20400"/>
    <n v="18360"/>
    <n v="3304.7999999999997"/>
    <n v="21304.799999999999"/>
    <n v="-2944.7999999999993"/>
    <n v="-883.43999999999971"/>
    <n v="-2061.3599999999997"/>
    <n v="-0.10104705882352939"/>
  </r>
  <r>
    <x v="5"/>
    <x v="1"/>
    <s v="February 2014"/>
    <n v="1"/>
    <x v="2"/>
    <x v="3"/>
    <x v="1"/>
    <s v="Worst"/>
    <n v="1200"/>
    <n v="17"/>
    <n v="0.1"/>
    <n v="0.18"/>
    <n v="18000"/>
    <n v="0.3"/>
    <n v="20400"/>
    <n v="18360"/>
    <n v="3304.7999999999997"/>
    <n v="21304.799999999999"/>
    <n v="-2944.7999999999993"/>
    <n v="-883.43999999999971"/>
    <n v="-2061.3599999999997"/>
    <n v="-0.10104705882352939"/>
  </r>
  <r>
    <x v="5"/>
    <x v="1"/>
    <s v="February 2014"/>
    <n v="1"/>
    <x v="2"/>
    <x v="3"/>
    <x v="2"/>
    <s v="Worst"/>
    <n v="1200"/>
    <n v="17"/>
    <n v="0.1"/>
    <n v="0.18"/>
    <n v="18000"/>
    <n v="0.3"/>
    <n v="20400"/>
    <n v="18360"/>
    <n v="3304.7999999999997"/>
    <n v="21304.799999999999"/>
    <n v="-2944.7999999999993"/>
    <n v="-883.43999999999971"/>
    <n v="-2061.3599999999997"/>
    <n v="-0.10104705882352939"/>
  </r>
  <r>
    <x v="5"/>
    <x v="1"/>
    <s v="February 2014"/>
    <n v="1"/>
    <x v="2"/>
    <x v="3"/>
    <x v="3"/>
    <s v="Worst"/>
    <n v="1200"/>
    <n v="17"/>
    <n v="0.1"/>
    <n v="0.18"/>
    <n v="18000"/>
    <n v="0.3"/>
    <n v="20400"/>
    <n v="18360"/>
    <n v="3304.7999999999997"/>
    <n v="21304.799999999999"/>
    <n v="-2944.7999999999993"/>
    <n v="-883.43999999999971"/>
    <n v="-2061.3599999999997"/>
    <n v="-0.10104705882352939"/>
  </r>
  <r>
    <x v="5"/>
    <x v="1"/>
    <s v="February 2014"/>
    <n v="1"/>
    <x v="2"/>
    <x v="3"/>
    <x v="4"/>
    <s v="Worst"/>
    <n v="1200"/>
    <n v="17"/>
    <n v="0.1"/>
    <n v="0.18"/>
    <n v="18000"/>
    <n v="0.3"/>
    <n v="20400"/>
    <n v="18360"/>
    <n v="3304.7999999999997"/>
    <n v="21304.799999999999"/>
    <n v="-2944.7999999999993"/>
    <n v="-883.43999999999971"/>
    <n v="-2061.3599999999997"/>
    <n v="-0.10104705882352939"/>
  </r>
  <r>
    <x v="5"/>
    <x v="1"/>
    <s v="February 2014"/>
    <n v="1"/>
    <x v="2"/>
    <x v="4"/>
    <x v="0"/>
    <s v="Worst"/>
    <n v="1200"/>
    <n v="17"/>
    <n v="0.1"/>
    <n v="0.18"/>
    <n v="18000"/>
    <n v="0.3"/>
    <n v="20400"/>
    <n v="18360"/>
    <n v="3304.7999999999997"/>
    <n v="21304.799999999999"/>
    <n v="-2944.7999999999993"/>
    <n v="-883.43999999999971"/>
    <n v="-2061.3599999999997"/>
    <n v="-0.10104705882352939"/>
  </r>
  <r>
    <x v="5"/>
    <x v="1"/>
    <s v="February 2014"/>
    <n v="1"/>
    <x v="2"/>
    <x v="4"/>
    <x v="1"/>
    <s v="Worst"/>
    <n v="1200"/>
    <n v="17"/>
    <n v="0.1"/>
    <n v="0.18"/>
    <n v="18000"/>
    <n v="0.3"/>
    <n v="20400"/>
    <n v="18360"/>
    <n v="3304.7999999999997"/>
    <n v="21304.799999999999"/>
    <n v="-2944.7999999999993"/>
    <n v="-883.43999999999971"/>
    <n v="-2061.3599999999997"/>
    <n v="-0.10104705882352939"/>
  </r>
  <r>
    <x v="5"/>
    <x v="1"/>
    <s v="February 2014"/>
    <n v="1"/>
    <x v="2"/>
    <x v="4"/>
    <x v="2"/>
    <s v="Worst"/>
    <n v="1200"/>
    <n v="17"/>
    <n v="0.1"/>
    <n v="0.18"/>
    <n v="18000"/>
    <n v="0.3"/>
    <n v="20400"/>
    <n v="18360"/>
    <n v="3304.7999999999997"/>
    <n v="21304.799999999999"/>
    <n v="-2944.7999999999993"/>
    <n v="-883.43999999999971"/>
    <n v="-2061.3599999999997"/>
    <n v="-0.10104705882352939"/>
  </r>
  <r>
    <x v="5"/>
    <x v="1"/>
    <s v="February 2014"/>
    <n v="1"/>
    <x v="2"/>
    <x v="4"/>
    <x v="3"/>
    <s v="Worst"/>
    <n v="1200"/>
    <n v="17"/>
    <n v="0.1"/>
    <n v="0.18"/>
    <n v="18000"/>
    <n v="0.3"/>
    <n v="20400"/>
    <n v="18360"/>
    <n v="3304.7999999999997"/>
    <n v="21304.799999999999"/>
    <n v="-2944.7999999999993"/>
    <n v="-883.43999999999971"/>
    <n v="-2061.3599999999997"/>
    <n v="-0.10104705882352939"/>
  </r>
  <r>
    <x v="5"/>
    <x v="1"/>
    <s v="February 2014"/>
    <n v="1"/>
    <x v="2"/>
    <x v="4"/>
    <x v="4"/>
    <s v="Worst"/>
    <n v="1200"/>
    <n v="17"/>
    <n v="0.1"/>
    <n v="0.18"/>
    <n v="18000"/>
    <n v="0.3"/>
    <n v="20400"/>
    <n v="18360"/>
    <n v="3304.7999999999997"/>
    <n v="21304.799999999999"/>
    <n v="-2944.7999999999993"/>
    <n v="-883.43999999999971"/>
    <n v="-2061.3599999999997"/>
    <n v="-0.10104705882352939"/>
  </r>
  <r>
    <x v="5"/>
    <x v="1"/>
    <s v="February 2014"/>
    <n v="1"/>
    <x v="3"/>
    <x v="0"/>
    <x v="0"/>
    <s v="Worst"/>
    <n v="1200"/>
    <n v="17"/>
    <n v="0.1"/>
    <n v="0.18"/>
    <n v="18000"/>
    <n v="0.3"/>
    <n v="20400"/>
    <n v="18360"/>
    <n v="3304.7999999999997"/>
    <n v="21304.799999999999"/>
    <n v="-2944.7999999999993"/>
    <n v="-883.43999999999971"/>
    <n v="-2061.3599999999997"/>
    <n v="-0.10104705882352939"/>
  </r>
  <r>
    <x v="5"/>
    <x v="1"/>
    <s v="February 2014"/>
    <n v="1"/>
    <x v="3"/>
    <x v="0"/>
    <x v="1"/>
    <s v="Worst"/>
    <n v="1200"/>
    <n v="17"/>
    <n v="0.1"/>
    <n v="0.18"/>
    <n v="18000"/>
    <n v="0.3"/>
    <n v="20400"/>
    <n v="18360"/>
    <n v="3304.7999999999997"/>
    <n v="21304.799999999999"/>
    <n v="-2944.7999999999993"/>
    <n v="-883.43999999999971"/>
    <n v="-2061.3599999999997"/>
    <n v="-0.10104705882352939"/>
  </r>
  <r>
    <x v="5"/>
    <x v="1"/>
    <s v="February 2014"/>
    <n v="1"/>
    <x v="3"/>
    <x v="0"/>
    <x v="2"/>
    <s v="Worst"/>
    <n v="1200"/>
    <n v="17"/>
    <n v="0.1"/>
    <n v="0.18"/>
    <n v="18000"/>
    <n v="0.3"/>
    <n v="20400"/>
    <n v="18360"/>
    <n v="3304.7999999999997"/>
    <n v="21304.799999999999"/>
    <n v="-2944.7999999999993"/>
    <n v="-883.43999999999971"/>
    <n v="-2061.3599999999997"/>
    <n v="-0.10104705882352939"/>
  </r>
  <r>
    <x v="5"/>
    <x v="1"/>
    <s v="February 2014"/>
    <n v="1"/>
    <x v="3"/>
    <x v="0"/>
    <x v="3"/>
    <s v="Worst"/>
    <n v="1200"/>
    <n v="17"/>
    <n v="0.1"/>
    <n v="0.18"/>
    <n v="18000"/>
    <n v="0.3"/>
    <n v="20400"/>
    <n v="18360"/>
    <n v="3304.7999999999997"/>
    <n v="21304.799999999999"/>
    <n v="-2944.7999999999993"/>
    <n v="-883.43999999999971"/>
    <n v="-2061.3599999999997"/>
    <n v="-0.10104705882352939"/>
  </r>
  <r>
    <x v="5"/>
    <x v="1"/>
    <s v="February 2014"/>
    <n v="1"/>
    <x v="3"/>
    <x v="0"/>
    <x v="4"/>
    <s v="Worst"/>
    <n v="1200"/>
    <n v="17"/>
    <n v="0.1"/>
    <n v="0.18"/>
    <n v="18000"/>
    <n v="0.3"/>
    <n v="20400"/>
    <n v="18360"/>
    <n v="3304.7999999999997"/>
    <n v="21304.799999999999"/>
    <n v="-2944.7999999999993"/>
    <n v="-883.43999999999971"/>
    <n v="-2061.3599999999997"/>
    <n v="-0.10104705882352939"/>
  </r>
  <r>
    <x v="5"/>
    <x v="1"/>
    <s v="February 2014"/>
    <n v="1"/>
    <x v="3"/>
    <x v="1"/>
    <x v="0"/>
    <s v="Worst"/>
    <n v="1200"/>
    <n v="17"/>
    <n v="0.1"/>
    <n v="0.18"/>
    <n v="18000"/>
    <n v="0.3"/>
    <n v="20400"/>
    <n v="18360"/>
    <n v="3304.7999999999997"/>
    <n v="21304.799999999999"/>
    <n v="-2944.7999999999993"/>
    <n v="-883.43999999999971"/>
    <n v="-2061.3599999999997"/>
    <n v="-0.10104705882352939"/>
  </r>
  <r>
    <x v="5"/>
    <x v="1"/>
    <s v="February 2014"/>
    <n v="1"/>
    <x v="3"/>
    <x v="1"/>
    <x v="1"/>
    <s v="Worst"/>
    <n v="1200"/>
    <n v="17"/>
    <n v="0.1"/>
    <n v="0.18"/>
    <n v="18000"/>
    <n v="0.3"/>
    <n v="20400"/>
    <n v="18360"/>
    <n v="3304.7999999999997"/>
    <n v="21304.799999999999"/>
    <n v="-2944.7999999999993"/>
    <n v="-883.43999999999971"/>
    <n v="-2061.3599999999997"/>
    <n v="-0.10104705882352939"/>
  </r>
  <r>
    <x v="5"/>
    <x v="1"/>
    <s v="February 2014"/>
    <n v="1"/>
    <x v="3"/>
    <x v="1"/>
    <x v="2"/>
    <s v="Worst"/>
    <n v="1200"/>
    <n v="17"/>
    <n v="0.1"/>
    <n v="0.18"/>
    <n v="18000"/>
    <n v="0.3"/>
    <n v="20400"/>
    <n v="18360"/>
    <n v="3304.7999999999997"/>
    <n v="21304.799999999999"/>
    <n v="-2944.7999999999993"/>
    <n v="-883.43999999999971"/>
    <n v="-2061.3599999999997"/>
    <n v="-0.10104705882352939"/>
  </r>
  <r>
    <x v="5"/>
    <x v="1"/>
    <s v="February 2014"/>
    <n v="1"/>
    <x v="3"/>
    <x v="1"/>
    <x v="3"/>
    <s v="Worst"/>
    <n v="1200"/>
    <n v="17"/>
    <n v="0.1"/>
    <n v="0.18"/>
    <n v="18000"/>
    <n v="0.3"/>
    <n v="20400"/>
    <n v="18360"/>
    <n v="3304.7999999999997"/>
    <n v="21304.799999999999"/>
    <n v="-2944.7999999999993"/>
    <n v="-883.43999999999971"/>
    <n v="-2061.3599999999997"/>
    <n v="-0.10104705882352939"/>
  </r>
  <r>
    <x v="5"/>
    <x v="1"/>
    <s v="February 2014"/>
    <n v="1"/>
    <x v="3"/>
    <x v="1"/>
    <x v="4"/>
    <s v="Worst"/>
    <n v="1200"/>
    <n v="17"/>
    <n v="0.1"/>
    <n v="0.18"/>
    <n v="18000"/>
    <n v="0.3"/>
    <n v="20400"/>
    <n v="18360"/>
    <n v="3304.7999999999997"/>
    <n v="21304.799999999999"/>
    <n v="-2944.7999999999993"/>
    <n v="-883.43999999999971"/>
    <n v="-2061.3599999999997"/>
    <n v="-0.10104705882352939"/>
  </r>
  <r>
    <x v="5"/>
    <x v="1"/>
    <s v="February 2014"/>
    <n v="1"/>
    <x v="3"/>
    <x v="2"/>
    <x v="0"/>
    <s v="Worst"/>
    <n v="1200"/>
    <n v="17"/>
    <n v="0.1"/>
    <n v="0.18"/>
    <n v="18000"/>
    <n v="0.3"/>
    <n v="20400"/>
    <n v="18360"/>
    <n v="3304.7999999999997"/>
    <n v="21304.799999999999"/>
    <n v="-2944.7999999999993"/>
    <n v="-883.43999999999971"/>
    <n v="-2061.3599999999997"/>
    <n v="-0.10104705882352939"/>
  </r>
  <r>
    <x v="5"/>
    <x v="1"/>
    <s v="February 2014"/>
    <n v="1"/>
    <x v="3"/>
    <x v="2"/>
    <x v="1"/>
    <s v="Worst"/>
    <n v="1200"/>
    <n v="17"/>
    <n v="0.1"/>
    <n v="0.18"/>
    <n v="18000"/>
    <n v="0.3"/>
    <n v="20400"/>
    <n v="18360"/>
    <n v="3304.7999999999997"/>
    <n v="21304.799999999999"/>
    <n v="-2944.7999999999993"/>
    <n v="-883.43999999999971"/>
    <n v="-2061.3599999999997"/>
    <n v="-0.10104705882352939"/>
  </r>
  <r>
    <x v="5"/>
    <x v="1"/>
    <s v="February 2014"/>
    <n v="1"/>
    <x v="3"/>
    <x v="2"/>
    <x v="2"/>
    <s v="Worst"/>
    <n v="1200"/>
    <n v="17"/>
    <n v="0.1"/>
    <n v="0.18"/>
    <n v="18000"/>
    <n v="0.3"/>
    <n v="20400"/>
    <n v="18360"/>
    <n v="3304.7999999999997"/>
    <n v="21304.799999999999"/>
    <n v="-2944.7999999999993"/>
    <n v="-883.43999999999971"/>
    <n v="-2061.3599999999997"/>
    <n v="-0.10104705882352939"/>
  </r>
  <r>
    <x v="5"/>
    <x v="1"/>
    <s v="February 2014"/>
    <n v="1"/>
    <x v="3"/>
    <x v="2"/>
    <x v="3"/>
    <s v="Worst"/>
    <n v="1200"/>
    <n v="17"/>
    <n v="0.1"/>
    <n v="0.18"/>
    <n v="18000"/>
    <n v="0.3"/>
    <n v="20400"/>
    <n v="18360"/>
    <n v="3304.7999999999997"/>
    <n v="21304.799999999999"/>
    <n v="-2944.7999999999993"/>
    <n v="-883.43999999999971"/>
    <n v="-2061.3599999999997"/>
    <n v="-0.10104705882352939"/>
  </r>
  <r>
    <x v="5"/>
    <x v="1"/>
    <s v="February 2014"/>
    <n v="1"/>
    <x v="3"/>
    <x v="2"/>
    <x v="4"/>
    <s v="Worst"/>
    <n v="1200"/>
    <n v="17"/>
    <n v="0.1"/>
    <n v="0.18"/>
    <n v="18000"/>
    <n v="0.3"/>
    <n v="20400"/>
    <n v="18360"/>
    <n v="3304.7999999999997"/>
    <n v="21304.799999999999"/>
    <n v="-2944.7999999999993"/>
    <n v="-883.43999999999971"/>
    <n v="-2061.3599999999997"/>
    <n v="-0.10104705882352939"/>
  </r>
  <r>
    <x v="5"/>
    <x v="1"/>
    <s v="February 2014"/>
    <n v="1"/>
    <x v="3"/>
    <x v="3"/>
    <x v="0"/>
    <s v="Worst"/>
    <n v="1200"/>
    <n v="17"/>
    <n v="0.1"/>
    <n v="0.18"/>
    <n v="18000"/>
    <n v="0.3"/>
    <n v="20400"/>
    <n v="18360"/>
    <n v="3304.7999999999997"/>
    <n v="21304.799999999999"/>
    <n v="-2944.7999999999993"/>
    <n v="-883.43999999999971"/>
    <n v="-2061.3599999999997"/>
    <n v="-0.10104705882352939"/>
  </r>
  <r>
    <x v="5"/>
    <x v="1"/>
    <s v="February 2014"/>
    <n v="1"/>
    <x v="3"/>
    <x v="3"/>
    <x v="1"/>
    <s v="Worst"/>
    <n v="1200"/>
    <n v="17"/>
    <n v="0.1"/>
    <n v="0.18"/>
    <n v="18000"/>
    <n v="0.3"/>
    <n v="20400"/>
    <n v="18360"/>
    <n v="3304.7999999999997"/>
    <n v="21304.799999999999"/>
    <n v="-2944.7999999999993"/>
    <n v="-883.43999999999971"/>
    <n v="-2061.3599999999997"/>
    <n v="-0.10104705882352939"/>
  </r>
  <r>
    <x v="5"/>
    <x v="1"/>
    <s v="February 2014"/>
    <n v="1"/>
    <x v="3"/>
    <x v="3"/>
    <x v="2"/>
    <s v="Worst"/>
    <n v="1200"/>
    <n v="17"/>
    <n v="0.1"/>
    <n v="0.18"/>
    <n v="18000"/>
    <n v="0.3"/>
    <n v="20400"/>
    <n v="18360"/>
    <n v="3304.7999999999997"/>
    <n v="21304.799999999999"/>
    <n v="-2944.7999999999993"/>
    <n v="-883.43999999999971"/>
    <n v="-2061.3599999999997"/>
    <n v="-0.10104705882352939"/>
  </r>
  <r>
    <x v="5"/>
    <x v="1"/>
    <s v="February 2014"/>
    <n v="1"/>
    <x v="3"/>
    <x v="3"/>
    <x v="3"/>
    <s v="Worst"/>
    <n v="1200"/>
    <n v="17"/>
    <n v="0.1"/>
    <n v="0.18"/>
    <n v="18000"/>
    <n v="0.3"/>
    <n v="20400"/>
    <n v="18360"/>
    <n v="3304.7999999999997"/>
    <n v="21304.799999999999"/>
    <n v="-2944.7999999999993"/>
    <n v="-883.43999999999971"/>
    <n v="-2061.3599999999997"/>
    <n v="-0.10104705882352939"/>
  </r>
  <r>
    <x v="5"/>
    <x v="1"/>
    <s v="February 2014"/>
    <n v="1"/>
    <x v="3"/>
    <x v="3"/>
    <x v="4"/>
    <s v="Worst"/>
    <n v="1200"/>
    <n v="17"/>
    <n v="0.1"/>
    <n v="0.18"/>
    <n v="18000"/>
    <n v="0.3"/>
    <n v="20400"/>
    <n v="18360"/>
    <n v="3304.7999999999997"/>
    <n v="21304.799999999999"/>
    <n v="-2944.7999999999993"/>
    <n v="-883.43999999999971"/>
    <n v="-2061.3599999999997"/>
    <n v="-0.10104705882352939"/>
  </r>
  <r>
    <x v="5"/>
    <x v="1"/>
    <s v="February 2014"/>
    <n v="1"/>
    <x v="3"/>
    <x v="4"/>
    <x v="0"/>
    <s v="Worst"/>
    <n v="1200"/>
    <n v="17"/>
    <n v="0.1"/>
    <n v="0.18"/>
    <n v="18000"/>
    <n v="0.3"/>
    <n v="20400"/>
    <n v="18360"/>
    <n v="3304.7999999999997"/>
    <n v="21304.799999999999"/>
    <n v="-2944.7999999999993"/>
    <n v="-883.43999999999971"/>
    <n v="-2061.3599999999997"/>
    <n v="-0.10104705882352939"/>
  </r>
  <r>
    <x v="5"/>
    <x v="1"/>
    <s v="February 2014"/>
    <n v="1"/>
    <x v="3"/>
    <x v="4"/>
    <x v="1"/>
    <s v="Worst"/>
    <n v="1200"/>
    <n v="17"/>
    <n v="0.1"/>
    <n v="0.18"/>
    <n v="18000"/>
    <n v="0.3"/>
    <n v="20400"/>
    <n v="18360"/>
    <n v="3304.7999999999997"/>
    <n v="21304.799999999999"/>
    <n v="-2944.7999999999993"/>
    <n v="-883.43999999999971"/>
    <n v="-2061.3599999999997"/>
    <n v="-0.10104705882352939"/>
  </r>
  <r>
    <x v="5"/>
    <x v="1"/>
    <s v="February 2014"/>
    <n v="1"/>
    <x v="3"/>
    <x v="4"/>
    <x v="2"/>
    <s v="Worst"/>
    <n v="1200"/>
    <n v="17"/>
    <n v="0.1"/>
    <n v="0.18"/>
    <n v="18000"/>
    <n v="0.3"/>
    <n v="20400"/>
    <n v="18360"/>
    <n v="3304.7999999999997"/>
    <n v="21304.799999999999"/>
    <n v="-2944.7999999999993"/>
    <n v="-883.43999999999971"/>
    <n v="-2061.3599999999997"/>
    <n v="-0.10104705882352939"/>
  </r>
  <r>
    <x v="5"/>
    <x v="1"/>
    <s v="February 2014"/>
    <n v="1"/>
    <x v="3"/>
    <x v="4"/>
    <x v="3"/>
    <s v="Worst"/>
    <n v="1200"/>
    <n v="17"/>
    <n v="0.1"/>
    <n v="0.18"/>
    <n v="18000"/>
    <n v="0.3"/>
    <n v="20400"/>
    <n v="18360"/>
    <n v="3304.7999999999997"/>
    <n v="21304.799999999999"/>
    <n v="-2944.7999999999993"/>
    <n v="-883.43999999999971"/>
    <n v="-2061.3599999999997"/>
    <n v="-0.10104705882352939"/>
  </r>
  <r>
    <x v="5"/>
    <x v="1"/>
    <s v="February 2014"/>
    <n v="1"/>
    <x v="3"/>
    <x v="4"/>
    <x v="4"/>
    <s v="Worst"/>
    <n v="1200"/>
    <n v="17"/>
    <n v="0.1"/>
    <n v="0.18"/>
    <n v="18000"/>
    <n v="0.3"/>
    <n v="20400"/>
    <n v="18360"/>
    <n v="3304.7999999999997"/>
    <n v="21304.799999999999"/>
    <n v="-2944.7999999999993"/>
    <n v="-883.43999999999971"/>
    <n v="-2061.3599999999997"/>
    <n v="-0.10104705882352939"/>
  </r>
  <r>
    <x v="5"/>
    <x v="1"/>
    <s v="February 2014"/>
    <n v="1"/>
    <x v="4"/>
    <x v="0"/>
    <x v="0"/>
    <s v="Worst"/>
    <n v="1200"/>
    <n v="17"/>
    <n v="0.1"/>
    <n v="0.18"/>
    <n v="18000"/>
    <n v="0.3"/>
    <n v="20400"/>
    <n v="18360"/>
    <n v="3304.7999999999997"/>
    <n v="21304.799999999999"/>
    <n v="-2944.7999999999993"/>
    <n v="-883.43999999999971"/>
    <n v="-2061.3599999999997"/>
    <n v="-0.10104705882352939"/>
  </r>
  <r>
    <x v="5"/>
    <x v="1"/>
    <s v="February 2014"/>
    <n v="1"/>
    <x v="4"/>
    <x v="0"/>
    <x v="1"/>
    <s v="Worst"/>
    <n v="1200"/>
    <n v="17"/>
    <n v="0.1"/>
    <n v="0.18"/>
    <n v="18000"/>
    <n v="0.3"/>
    <n v="20400"/>
    <n v="18360"/>
    <n v="3304.7999999999997"/>
    <n v="21304.799999999999"/>
    <n v="-2944.7999999999993"/>
    <n v="-883.43999999999971"/>
    <n v="-2061.3599999999997"/>
    <n v="-0.10104705882352939"/>
  </r>
  <r>
    <x v="5"/>
    <x v="1"/>
    <s v="February 2014"/>
    <n v="1"/>
    <x v="4"/>
    <x v="0"/>
    <x v="2"/>
    <s v="Worst"/>
    <n v="1200"/>
    <n v="17"/>
    <n v="0.1"/>
    <n v="0.18"/>
    <n v="18000"/>
    <n v="0.3"/>
    <n v="20400"/>
    <n v="18360"/>
    <n v="3304.7999999999997"/>
    <n v="21304.799999999999"/>
    <n v="-2944.7999999999993"/>
    <n v="-883.43999999999971"/>
    <n v="-2061.3599999999997"/>
    <n v="-0.10104705882352939"/>
  </r>
  <r>
    <x v="5"/>
    <x v="1"/>
    <s v="February 2014"/>
    <n v="1"/>
    <x v="4"/>
    <x v="0"/>
    <x v="3"/>
    <s v="Worst"/>
    <n v="1200"/>
    <n v="17"/>
    <n v="0.1"/>
    <n v="0.18"/>
    <n v="18000"/>
    <n v="0.3"/>
    <n v="20400"/>
    <n v="18360"/>
    <n v="3304.7999999999997"/>
    <n v="21304.799999999999"/>
    <n v="-2944.7999999999993"/>
    <n v="-883.43999999999971"/>
    <n v="-2061.3599999999997"/>
    <n v="-0.10104705882352939"/>
  </r>
  <r>
    <x v="5"/>
    <x v="1"/>
    <s v="February 2014"/>
    <n v="1"/>
    <x v="4"/>
    <x v="0"/>
    <x v="4"/>
    <s v="Worst"/>
    <n v="1200"/>
    <n v="17"/>
    <n v="0.1"/>
    <n v="0.18"/>
    <n v="18000"/>
    <n v="0.3"/>
    <n v="20400"/>
    <n v="18360"/>
    <n v="3304.7999999999997"/>
    <n v="21304.799999999999"/>
    <n v="-2944.7999999999993"/>
    <n v="-883.43999999999971"/>
    <n v="-2061.3599999999997"/>
    <n v="-0.10104705882352939"/>
  </r>
  <r>
    <x v="5"/>
    <x v="1"/>
    <s v="February 2014"/>
    <n v="1"/>
    <x v="4"/>
    <x v="1"/>
    <x v="0"/>
    <s v="Worst"/>
    <n v="1200"/>
    <n v="17"/>
    <n v="0.1"/>
    <n v="0.18"/>
    <n v="18000"/>
    <n v="0.3"/>
    <n v="20400"/>
    <n v="18360"/>
    <n v="3304.7999999999997"/>
    <n v="21304.799999999999"/>
    <n v="-2944.7999999999993"/>
    <n v="-883.43999999999971"/>
    <n v="-2061.3599999999997"/>
    <n v="-0.10104705882352939"/>
  </r>
  <r>
    <x v="5"/>
    <x v="1"/>
    <s v="February 2014"/>
    <n v="1"/>
    <x v="4"/>
    <x v="1"/>
    <x v="1"/>
    <s v="Worst"/>
    <n v="1200"/>
    <n v="17"/>
    <n v="0.1"/>
    <n v="0.18"/>
    <n v="18000"/>
    <n v="0.3"/>
    <n v="20400"/>
    <n v="18360"/>
    <n v="3304.7999999999997"/>
    <n v="21304.799999999999"/>
    <n v="-2944.7999999999993"/>
    <n v="-883.43999999999971"/>
    <n v="-2061.3599999999997"/>
    <n v="-0.10104705882352939"/>
  </r>
  <r>
    <x v="5"/>
    <x v="1"/>
    <s v="February 2014"/>
    <n v="1"/>
    <x v="4"/>
    <x v="1"/>
    <x v="2"/>
    <s v="Worst"/>
    <n v="1200"/>
    <n v="17"/>
    <n v="0.1"/>
    <n v="0.18"/>
    <n v="18000"/>
    <n v="0.3"/>
    <n v="20400"/>
    <n v="18360"/>
    <n v="3304.7999999999997"/>
    <n v="21304.799999999999"/>
    <n v="-2944.7999999999993"/>
    <n v="-883.43999999999971"/>
    <n v="-2061.3599999999997"/>
    <n v="-0.10104705882352939"/>
  </r>
  <r>
    <x v="5"/>
    <x v="1"/>
    <s v="February 2014"/>
    <n v="1"/>
    <x v="4"/>
    <x v="1"/>
    <x v="3"/>
    <s v="Worst"/>
    <n v="1200"/>
    <n v="17"/>
    <n v="0.1"/>
    <n v="0.18"/>
    <n v="18000"/>
    <n v="0.3"/>
    <n v="20400"/>
    <n v="18360"/>
    <n v="3304.7999999999997"/>
    <n v="21304.799999999999"/>
    <n v="-2944.7999999999993"/>
    <n v="-883.43999999999971"/>
    <n v="-2061.3599999999997"/>
    <n v="-0.10104705882352939"/>
  </r>
  <r>
    <x v="5"/>
    <x v="1"/>
    <s v="February 2014"/>
    <n v="1"/>
    <x v="4"/>
    <x v="1"/>
    <x v="4"/>
    <s v="Worst"/>
    <n v="1200"/>
    <n v="17"/>
    <n v="0.1"/>
    <n v="0.18"/>
    <n v="18000"/>
    <n v="0.3"/>
    <n v="20400"/>
    <n v="18360"/>
    <n v="3304.7999999999997"/>
    <n v="21304.799999999999"/>
    <n v="-2944.7999999999993"/>
    <n v="-883.43999999999971"/>
    <n v="-2061.3599999999997"/>
    <n v="-0.10104705882352939"/>
  </r>
  <r>
    <x v="5"/>
    <x v="1"/>
    <s v="February 2014"/>
    <n v="1"/>
    <x v="4"/>
    <x v="2"/>
    <x v="0"/>
    <s v="Worst"/>
    <n v="1200"/>
    <n v="17"/>
    <n v="0.1"/>
    <n v="0.18"/>
    <n v="18000"/>
    <n v="0.3"/>
    <n v="20400"/>
    <n v="18360"/>
    <n v="3304.7999999999997"/>
    <n v="21304.799999999999"/>
    <n v="-2944.7999999999993"/>
    <n v="-883.43999999999971"/>
    <n v="-2061.3599999999997"/>
    <n v="-0.10104705882352939"/>
  </r>
  <r>
    <x v="5"/>
    <x v="1"/>
    <s v="February 2014"/>
    <n v="1"/>
    <x v="4"/>
    <x v="2"/>
    <x v="1"/>
    <s v="Worst"/>
    <n v="1200"/>
    <n v="17"/>
    <n v="0.1"/>
    <n v="0.18"/>
    <n v="18000"/>
    <n v="0.3"/>
    <n v="20400"/>
    <n v="18360"/>
    <n v="3304.7999999999997"/>
    <n v="21304.799999999999"/>
    <n v="-2944.7999999999993"/>
    <n v="-883.43999999999971"/>
    <n v="-2061.3599999999997"/>
    <n v="-0.10104705882352939"/>
  </r>
  <r>
    <x v="5"/>
    <x v="1"/>
    <s v="February 2014"/>
    <n v="1"/>
    <x v="4"/>
    <x v="2"/>
    <x v="2"/>
    <s v="Worst"/>
    <n v="1200"/>
    <n v="17"/>
    <n v="0.1"/>
    <n v="0.18"/>
    <n v="18000"/>
    <n v="0.3"/>
    <n v="20400"/>
    <n v="18360"/>
    <n v="3304.7999999999997"/>
    <n v="21304.799999999999"/>
    <n v="-2944.7999999999993"/>
    <n v="-883.43999999999971"/>
    <n v="-2061.3599999999997"/>
    <n v="-0.10104705882352939"/>
  </r>
  <r>
    <x v="5"/>
    <x v="1"/>
    <s v="February 2014"/>
    <n v="1"/>
    <x v="4"/>
    <x v="2"/>
    <x v="3"/>
    <s v="Worst"/>
    <n v="1200"/>
    <n v="17"/>
    <n v="0.1"/>
    <n v="0.18"/>
    <n v="18000"/>
    <n v="0.3"/>
    <n v="20400"/>
    <n v="18360"/>
    <n v="3304.7999999999997"/>
    <n v="21304.799999999999"/>
    <n v="-2944.7999999999993"/>
    <n v="-883.43999999999971"/>
    <n v="-2061.3599999999997"/>
    <n v="-0.10104705882352939"/>
  </r>
  <r>
    <x v="5"/>
    <x v="1"/>
    <s v="February 2014"/>
    <n v="1"/>
    <x v="4"/>
    <x v="2"/>
    <x v="4"/>
    <s v="Worst"/>
    <n v="1200"/>
    <n v="17"/>
    <n v="0.1"/>
    <n v="0.18"/>
    <n v="18000"/>
    <n v="0.3"/>
    <n v="20400"/>
    <n v="18360"/>
    <n v="3304.7999999999997"/>
    <n v="21304.799999999999"/>
    <n v="-2944.7999999999993"/>
    <n v="-883.43999999999971"/>
    <n v="-2061.3599999999997"/>
    <n v="-0.10104705882352939"/>
  </r>
  <r>
    <x v="5"/>
    <x v="1"/>
    <s v="February 2014"/>
    <n v="1"/>
    <x v="4"/>
    <x v="3"/>
    <x v="0"/>
    <s v="Worst"/>
    <n v="1200"/>
    <n v="17"/>
    <n v="0.1"/>
    <n v="0.18"/>
    <n v="18000"/>
    <n v="0.3"/>
    <n v="20400"/>
    <n v="18360"/>
    <n v="3304.7999999999997"/>
    <n v="21304.799999999999"/>
    <n v="-2944.7999999999993"/>
    <n v="-883.43999999999971"/>
    <n v="-2061.3599999999997"/>
    <n v="-0.10104705882352939"/>
  </r>
  <r>
    <x v="5"/>
    <x v="1"/>
    <s v="February 2014"/>
    <n v="1"/>
    <x v="4"/>
    <x v="3"/>
    <x v="1"/>
    <s v="Worst"/>
    <n v="1200"/>
    <n v="17"/>
    <n v="0.1"/>
    <n v="0.18"/>
    <n v="18000"/>
    <n v="0.3"/>
    <n v="20400"/>
    <n v="18360"/>
    <n v="3304.7999999999997"/>
    <n v="21304.799999999999"/>
    <n v="-2944.7999999999993"/>
    <n v="-883.43999999999971"/>
    <n v="-2061.3599999999997"/>
    <n v="-0.10104705882352939"/>
  </r>
  <r>
    <x v="5"/>
    <x v="1"/>
    <s v="February 2014"/>
    <n v="1"/>
    <x v="4"/>
    <x v="3"/>
    <x v="2"/>
    <s v="Worst"/>
    <n v="1200"/>
    <n v="17"/>
    <n v="0.1"/>
    <n v="0.18"/>
    <n v="18000"/>
    <n v="0.3"/>
    <n v="20400"/>
    <n v="18360"/>
    <n v="3304.7999999999997"/>
    <n v="21304.799999999999"/>
    <n v="-2944.7999999999993"/>
    <n v="-883.43999999999971"/>
    <n v="-2061.3599999999997"/>
    <n v="-0.10104705882352939"/>
  </r>
  <r>
    <x v="5"/>
    <x v="1"/>
    <s v="February 2014"/>
    <n v="1"/>
    <x v="4"/>
    <x v="3"/>
    <x v="3"/>
    <s v="Worst"/>
    <n v="1200"/>
    <n v="17"/>
    <n v="0.1"/>
    <n v="0.18"/>
    <n v="18000"/>
    <n v="0.3"/>
    <n v="20400"/>
    <n v="18360"/>
    <n v="3304.7999999999997"/>
    <n v="21304.799999999999"/>
    <n v="-2944.7999999999993"/>
    <n v="-883.43999999999971"/>
    <n v="-2061.3599999999997"/>
    <n v="-0.10104705882352939"/>
  </r>
  <r>
    <x v="5"/>
    <x v="1"/>
    <s v="February 2014"/>
    <n v="1"/>
    <x v="4"/>
    <x v="3"/>
    <x v="4"/>
    <s v="Worst"/>
    <n v="1200"/>
    <n v="17"/>
    <n v="0.1"/>
    <n v="0.18"/>
    <n v="18000"/>
    <n v="0.3"/>
    <n v="20400"/>
    <n v="18360"/>
    <n v="3304.7999999999997"/>
    <n v="21304.799999999999"/>
    <n v="-2944.7999999999993"/>
    <n v="-883.43999999999971"/>
    <n v="-2061.3599999999997"/>
    <n v="-0.10104705882352939"/>
  </r>
  <r>
    <x v="5"/>
    <x v="1"/>
    <s v="February 2014"/>
    <n v="1"/>
    <x v="4"/>
    <x v="4"/>
    <x v="0"/>
    <s v="Worst"/>
    <n v="1200"/>
    <n v="17"/>
    <n v="0.1"/>
    <n v="0.18"/>
    <n v="18000"/>
    <n v="0.3"/>
    <n v="20400"/>
    <n v="18360"/>
    <n v="3304.7999999999997"/>
    <n v="21304.799999999999"/>
    <n v="-2944.7999999999993"/>
    <n v="-883.43999999999971"/>
    <n v="-2061.3599999999997"/>
    <n v="-0.10104705882352939"/>
  </r>
  <r>
    <x v="5"/>
    <x v="1"/>
    <s v="February 2014"/>
    <n v="1"/>
    <x v="4"/>
    <x v="4"/>
    <x v="1"/>
    <s v="Worst"/>
    <n v="1200"/>
    <n v="17"/>
    <n v="0.1"/>
    <n v="0.18"/>
    <n v="18000"/>
    <n v="0.3"/>
    <n v="20400"/>
    <n v="18360"/>
    <n v="3304.7999999999997"/>
    <n v="21304.799999999999"/>
    <n v="-2944.7999999999993"/>
    <n v="-883.43999999999971"/>
    <n v="-2061.3599999999997"/>
    <n v="-0.10104705882352939"/>
  </r>
  <r>
    <x v="5"/>
    <x v="1"/>
    <s v="February 2014"/>
    <n v="1"/>
    <x v="4"/>
    <x v="4"/>
    <x v="2"/>
    <s v="Worst"/>
    <n v="1200"/>
    <n v="17"/>
    <n v="0.1"/>
    <n v="0.18"/>
    <n v="18000"/>
    <n v="0.3"/>
    <n v="20400"/>
    <n v="18360"/>
    <n v="3304.7999999999997"/>
    <n v="21304.799999999999"/>
    <n v="-2944.7999999999993"/>
    <n v="-883.43999999999971"/>
    <n v="-2061.3599999999997"/>
    <n v="-0.10104705882352939"/>
  </r>
  <r>
    <x v="5"/>
    <x v="1"/>
    <s v="February 2014"/>
    <n v="1"/>
    <x v="4"/>
    <x v="4"/>
    <x v="3"/>
    <s v="Worst"/>
    <n v="1200"/>
    <n v="17"/>
    <n v="0.1"/>
    <n v="0.18"/>
    <n v="18000"/>
    <n v="0.3"/>
    <n v="20400"/>
    <n v="18360"/>
    <n v="3304.7999999999997"/>
    <n v="21304.799999999999"/>
    <n v="-2944.7999999999993"/>
    <n v="-883.43999999999971"/>
    <n v="-2061.3599999999997"/>
    <n v="-0.10104705882352939"/>
  </r>
  <r>
    <x v="5"/>
    <x v="1"/>
    <s v="February 2014"/>
    <n v="1"/>
    <x v="4"/>
    <x v="4"/>
    <x v="4"/>
    <s v="Worst"/>
    <n v="1200"/>
    <n v="17"/>
    <n v="0.1"/>
    <n v="0.18"/>
    <n v="18000"/>
    <n v="0.3"/>
    <n v="20400"/>
    <n v="18360"/>
    <n v="3304.7999999999997"/>
    <n v="21304.799999999999"/>
    <n v="-2944.7999999999993"/>
    <n v="-883.43999999999971"/>
    <n v="-2061.3599999999997"/>
    <n v="-0.10104705882352939"/>
  </r>
  <r>
    <x v="6"/>
    <x v="1"/>
    <s v="March 2014"/>
    <n v="1"/>
    <x v="0"/>
    <x v="0"/>
    <x v="0"/>
    <s v="Worst"/>
    <n v="1200"/>
    <n v="17"/>
    <n v="0.1"/>
    <n v="0.18"/>
    <n v="18000"/>
    <n v="0.3"/>
    <n v="20400"/>
    <n v="18360"/>
    <n v="3304.7999999999997"/>
    <n v="21304.799999999999"/>
    <n v="-2944.7999999999993"/>
    <n v="-883.43999999999971"/>
    <n v="-2061.3599999999997"/>
    <n v="-0.10104705882352939"/>
  </r>
  <r>
    <x v="6"/>
    <x v="1"/>
    <s v="March 2014"/>
    <n v="1"/>
    <x v="0"/>
    <x v="0"/>
    <x v="1"/>
    <s v="Worst"/>
    <n v="1200"/>
    <n v="17"/>
    <n v="0.1"/>
    <n v="0.18"/>
    <n v="18000"/>
    <n v="0.3"/>
    <n v="20400"/>
    <n v="18360"/>
    <n v="3304.7999999999997"/>
    <n v="21304.799999999999"/>
    <n v="-2944.7999999999993"/>
    <n v="-883.43999999999971"/>
    <n v="-2061.3599999999997"/>
    <n v="-0.10104705882352939"/>
  </r>
  <r>
    <x v="6"/>
    <x v="1"/>
    <s v="March 2014"/>
    <n v="1"/>
    <x v="0"/>
    <x v="0"/>
    <x v="2"/>
    <s v="Worst"/>
    <n v="1200"/>
    <n v="17"/>
    <n v="0.1"/>
    <n v="0.18"/>
    <n v="18000"/>
    <n v="0.3"/>
    <n v="20400"/>
    <n v="18360"/>
    <n v="3304.7999999999997"/>
    <n v="21304.799999999999"/>
    <n v="-2944.7999999999993"/>
    <n v="-883.43999999999971"/>
    <n v="-2061.3599999999997"/>
    <n v="-0.10104705882352939"/>
  </r>
  <r>
    <x v="6"/>
    <x v="1"/>
    <s v="March 2014"/>
    <n v="1"/>
    <x v="0"/>
    <x v="0"/>
    <x v="3"/>
    <s v="Worst"/>
    <n v="1200"/>
    <n v="17"/>
    <n v="0.1"/>
    <n v="0.18"/>
    <n v="18000"/>
    <n v="0.3"/>
    <n v="20400"/>
    <n v="18360"/>
    <n v="3304.7999999999997"/>
    <n v="21304.799999999999"/>
    <n v="-2944.7999999999993"/>
    <n v="-883.43999999999971"/>
    <n v="-2061.3599999999997"/>
    <n v="-0.10104705882352939"/>
  </r>
  <r>
    <x v="6"/>
    <x v="1"/>
    <s v="March 2014"/>
    <n v="1"/>
    <x v="0"/>
    <x v="0"/>
    <x v="4"/>
    <s v="Worst"/>
    <n v="1200"/>
    <n v="17"/>
    <n v="0.1"/>
    <n v="0.18"/>
    <n v="18000"/>
    <n v="0.3"/>
    <n v="20400"/>
    <n v="18360"/>
    <n v="3304.7999999999997"/>
    <n v="21304.799999999999"/>
    <n v="-2944.7999999999993"/>
    <n v="-883.43999999999971"/>
    <n v="-2061.3599999999997"/>
    <n v="-0.10104705882352939"/>
  </r>
  <r>
    <x v="6"/>
    <x v="1"/>
    <s v="March 2014"/>
    <n v="1"/>
    <x v="0"/>
    <x v="1"/>
    <x v="0"/>
    <s v="Worst"/>
    <n v="1200"/>
    <n v="17"/>
    <n v="0.1"/>
    <n v="0.18"/>
    <n v="18000"/>
    <n v="0.3"/>
    <n v="20400"/>
    <n v="18360"/>
    <n v="3304.7999999999997"/>
    <n v="21304.799999999999"/>
    <n v="-2944.7999999999993"/>
    <n v="-883.43999999999971"/>
    <n v="-2061.3599999999997"/>
    <n v="-0.10104705882352939"/>
  </r>
  <r>
    <x v="6"/>
    <x v="1"/>
    <s v="March 2014"/>
    <n v="1"/>
    <x v="0"/>
    <x v="1"/>
    <x v="1"/>
    <s v="Worst"/>
    <n v="1200"/>
    <n v="17"/>
    <n v="0.1"/>
    <n v="0.18"/>
    <n v="18000"/>
    <n v="0.3"/>
    <n v="20400"/>
    <n v="18360"/>
    <n v="3304.7999999999997"/>
    <n v="21304.799999999999"/>
    <n v="-2944.7999999999993"/>
    <n v="-883.43999999999971"/>
    <n v="-2061.3599999999997"/>
    <n v="-0.10104705882352939"/>
  </r>
  <r>
    <x v="6"/>
    <x v="1"/>
    <s v="March 2014"/>
    <n v="1"/>
    <x v="0"/>
    <x v="1"/>
    <x v="2"/>
    <s v="Worst"/>
    <n v="1200"/>
    <n v="17"/>
    <n v="0.1"/>
    <n v="0.18"/>
    <n v="18000"/>
    <n v="0.3"/>
    <n v="20400"/>
    <n v="18360"/>
    <n v="3304.7999999999997"/>
    <n v="21304.799999999999"/>
    <n v="-2944.7999999999993"/>
    <n v="-883.43999999999971"/>
    <n v="-2061.3599999999997"/>
    <n v="-0.10104705882352939"/>
  </r>
  <r>
    <x v="6"/>
    <x v="1"/>
    <s v="March 2014"/>
    <n v="1"/>
    <x v="0"/>
    <x v="1"/>
    <x v="3"/>
    <s v="Worst"/>
    <n v="1200"/>
    <n v="17"/>
    <n v="0.1"/>
    <n v="0.18"/>
    <n v="18000"/>
    <n v="0.3"/>
    <n v="20400"/>
    <n v="18360"/>
    <n v="3304.7999999999997"/>
    <n v="21304.799999999999"/>
    <n v="-2944.7999999999993"/>
    <n v="-883.43999999999971"/>
    <n v="-2061.3599999999997"/>
    <n v="-0.10104705882352939"/>
  </r>
  <r>
    <x v="6"/>
    <x v="1"/>
    <s v="March 2014"/>
    <n v="1"/>
    <x v="0"/>
    <x v="1"/>
    <x v="4"/>
    <s v="Worst"/>
    <n v="1200"/>
    <n v="17"/>
    <n v="0.1"/>
    <n v="0.18"/>
    <n v="18000"/>
    <n v="0.3"/>
    <n v="20400"/>
    <n v="18360"/>
    <n v="3304.7999999999997"/>
    <n v="21304.799999999999"/>
    <n v="-2944.7999999999993"/>
    <n v="-883.43999999999971"/>
    <n v="-2061.3599999999997"/>
    <n v="-0.10104705882352939"/>
  </r>
  <r>
    <x v="6"/>
    <x v="1"/>
    <s v="March 2014"/>
    <n v="1"/>
    <x v="0"/>
    <x v="2"/>
    <x v="0"/>
    <s v="Worst"/>
    <n v="1200"/>
    <n v="17"/>
    <n v="0.1"/>
    <n v="0.18"/>
    <n v="18000"/>
    <n v="0.3"/>
    <n v="20400"/>
    <n v="18360"/>
    <n v="3304.7999999999997"/>
    <n v="21304.799999999999"/>
    <n v="-2944.7999999999993"/>
    <n v="-883.43999999999971"/>
    <n v="-2061.3599999999997"/>
    <n v="-0.10104705882352939"/>
  </r>
  <r>
    <x v="6"/>
    <x v="1"/>
    <s v="March 2014"/>
    <n v="1"/>
    <x v="0"/>
    <x v="2"/>
    <x v="1"/>
    <s v="Worst"/>
    <n v="1200"/>
    <n v="17"/>
    <n v="0.1"/>
    <n v="0.18"/>
    <n v="18000"/>
    <n v="0.3"/>
    <n v="20400"/>
    <n v="18360"/>
    <n v="3304.7999999999997"/>
    <n v="21304.799999999999"/>
    <n v="-2944.7999999999993"/>
    <n v="-883.43999999999971"/>
    <n v="-2061.3599999999997"/>
    <n v="-0.10104705882352939"/>
  </r>
  <r>
    <x v="6"/>
    <x v="1"/>
    <s v="March 2014"/>
    <n v="1"/>
    <x v="0"/>
    <x v="2"/>
    <x v="2"/>
    <s v="Worst"/>
    <n v="1200"/>
    <n v="17"/>
    <n v="0.1"/>
    <n v="0.18"/>
    <n v="18000"/>
    <n v="0.3"/>
    <n v="20400"/>
    <n v="18360"/>
    <n v="3304.7999999999997"/>
    <n v="21304.799999999999"/>
    <n v="-2944.7999999999993"/>
    <n v="-883.43999999999971"/>
    <n v="-2061.3599999999997"/>
    <n v="-0.10104705882352939"/>
  </r>
  <r>
    <x v="6"/>
    <x v="1"/>
    <s v="March 2014"/>
    <n v="1"/>
    <x v="0"/>
    <x v="2"/>
    <x v="3"/>
    <s v="Worst"/>
    <n v="1200"/>
    <n v="17"/>
    <n v="0.1"/>
    <n v="0.18"/>
    <n v="18000"/>
    <n v="0.3"/>
    <n v="20400"/>
    <n v="18360"/>
    <n v="3304.7999999999997"/>
    <n v="21304.799999999999"/>
    <n v="-2944.7999999999993"/>
    <n v="-883.43999999999971"/>
    <n v="-2061.3599999999997"/>
    <n v="-0.10104705882352939"/>
  </r>
  <r>
    <x v="6"/>
    <x v="1"/>
    <s v="March 2014"/>
    <n v="1"/>
    <x v="0"/>
    <x v="2"/>
    <x v="4"/>
    <s v="Worst"/>
    <n v="1200"/>
    <n v="17"/>
    <n v="0.1"/>
    <n v="0.18"/>
    <n v="18000"/>
    <n v="0.3"/>
    <n v="20400"/>
    <n v="18360"/>
    <n v="3304.7999999999997"/>
    <n v="21304.799999999999"/>
    <n v="-2944.7999999999993"/>
    <n v="-883.43999999999971"/>
    <n v="-2061.3599999999997"/>
    <n v="-0.10104705882352939"/>
  </r>
  <r>
    <x v="6"/>
    <x v="1"/>
    <s v="March 2014"/>
    <n v="1"/>
    <x v="0"/>
    <x v="3"/>
    <x v="0"/>
    <s v="Worst"/>
    <n v="1200"/>
    <n v="17"/>
    <n v="0.1"/>
    <n v="0.18"/>
    <n v="18000"/>
    <n v="0.3"/>
    <n v="20400"/>
    <n v="18360"/>
    <n v="3304.7999999999997"/>
    <n v="21304.799999999999"/>
    <n v="-2944.7999999999993"/>
    <n v="-883.43999999999971"/>
    <n v="-2061.3599999999997"/>
    <n v="-0.10104705882352939"/>
  </r>
  <r>
    <x v="6"/>
    <x v="1"/>
    <s v="March 2014"/>
    <n v="1"/>
    <x v="0"/>
    <x v="3"/>
    <x v="1"/>
    <s v="Worst"/>
    <n v="1200"/>
    <n v="17"/>
    <n v="0.1"/>
    <n v="0.18"/>
    <n v="18000"/>
    <n v="0.3"/>
    <n v="20400"/>
    <n v="18360"/>
    <n v="3304.7999999999997"/>
    <n v="21304.799999999999"/>
    <n v="-2944.7999999999993"/>
    <n v="-883.43999999999971"/>
    <n v="-2061.3599999999997"/>
    <n v="-0.10104705882352939"/>
  </r>
  <r>
    <x v="6"/>
    <x v="1"/>
    <s v="March 2014"/>
    <n v="1"/>
    <x v="0"/>
    <x v="3"/>
    <x v="2"/>
    <s v="Worst"/>
    <n v="1200"/>
    <n v="17"/>
    <n v="0.1"/>
    <n v="0.18"/>
    <n v="18000"/>
    <n v="0.3"/>
    <n v="20400"/>
    <n v="18360"/>
    <n v="3304.7999999999997"/>
    <n v="21304.799999999999"/>
    <n v="-2944.7999999999993"/>
    <n v="-883.43999999999971"/>
    <n v="-2061.3599999999997"/>
    <n v="-0.10104705882352939"/>
  </r>
  <r>
    <x v="6"/>
    <x v="1"/>
    <s v="March 2014"/>
    <n v="1"/>
    <x v="0"/>
    <x v="3"/>
    <x v="3"/>
    <s v="Worst"/>
    <n v="1200"/>
    <n v="17"/>
    <n v="0.1"/>
    <n v="0.18"/>
    <n v="18000"/>
    <n v="0.3"/>
    <n v="20400"/>
    <n v="18360"/>
    <n v="3304.7999999999997"/>
    <n v="21304.799999999999"/>
    <n v="-2944.7999999999993"/>
    <n v="-883.43999999999971"/>
    <n v="-2061.3599999999997"/>
    <n v="-0.10104705882352939"/>
  </r>
  <r>
    <x v="6"/>
    <x v="1"/>
    <s v="March 2014"/>
    <n v="1"/>
    <x v="0"/>
    <x v="3"/>
    <x v="4"/>
    <s v="Worst"/>
    <n v="1200"/>
    <n v="17"/>
    <n v="0.1"/>
    <n v="0.18"/>
    <n v="18000"/>
    <n v="0.3"/>
    <n v="20400"/>
    <n v="18360"/>
    <n v="3304.7999999999997"/>
    <n v="21304.799999999999"/>
    <n v="-2944.7999999999993"/>
    <n v="-883.43999999999971"/>
    <n v="-2061.3599999999997"/>
    <n v="-0.10104705882352939"/>
  </r>
  <r>
    <x v="6"/>
    <x v="1"/>
    <s v="March 2014"/>
    <n v="1"/>
    <x v="0"/>
    <x v="4"/>
    <x v="0"/>
    <s v="Worst"/>
    <n v="1200"/>
    <n v="17"/>
    <n v="0.1"/>
    <n v="0.18"/>
    <n v="18000"/>
    <n v="0.3"/>
    <n v="20400"/>
    <n v="18360"/>
    <n v="3304.7999999999997"/>
    <n v="21304.799999999999"/>
    <n v="-2944.7999999999993"/>
    <n v="-883.43999999999971"/>
    <n v="-2061.3599999999997"/>
    <n v="-0.10104705882352939"/>
  </r>
  <r>
    <x v="6"/>
    <x v="1"/>
    <s v="March 2014"/>
    <n v="1"/>
    <x v="0"/>
    <x v="4"/>
    <x v="1"/>
    <s v="Worst"/>
    <n v="1200"/>
    <n v="17"/>
    <n v="0.1"/>
    <n v="0.18"/>
    <n v="18000"/>
    <n v="0.3"/>
    <n v="20400"/>
    <n v="18360"/>
    <n v="3304.7999999999997"/>
    <n v="21304.799999999999"/>
    <n v="-2944.7999999999993"/>
    <n v="-883.43999999999971"/>
    <n v="-2061.3599999999997"/>
    <n v="-0.10104705882352939"/>
  </r>
  <r>
    <x v="6"/>
    <x v="1"/>
    <s v="March 2014"/>
    <n v="1"/>
    <x v="0"/>
    <x v="4"/>
    <x v="2"/>
    <s v="Worst"/>
    <n v="1200"/>
    <n v="17"/>
    <n v="0.1"/>
    <n v="0.18"/>
    <n v="18000"/>
    <n v="0.3"/>
    <n v="20400"/>
    <n v="18360"/>
    <n v="3304.7999999999997"/>
    <n v="21304.799999999999"/>
    <n v="-2944.7999999999993"/>
    <n v="-883.43999999999971"/>
    <n v="-2061.3599999999997"/>
    <n v="-0.10104705882352939"/>
  </r>
  <r>
    <x v="6"/>
    <x v="1"/>
    <s v="March 2014"/>
    <n v="1"/>
    <x v="0"/>
    <x v="4"/>
    <x v="3"/>
    <s v="Worst"/>
    <n v="1200"/>
    <n v="17"/>
    <n v="0.1"/>
    <n v="0.18"/>
    <n v="18000"/>
    <n v="0.3"/>
    <n v="20400"/>
    <n v="18360"/>
    <n v="3304.7999999999997"/>
    <n v="21304.799999999999"/>
    <n v="-2944.7999999999993"/>
    <n v="-883.43999999999971"/>
    <n v="-2061.3599999999997"/>
    <n v="-0.10104705882352939"/>
  </r>
  <r>
    <x v="6"/>
    <x v="1"/>
    <s v="March 2014"/>
    <n v="1"/>
    <x v="0"/>
    <x v="4"/>
    <x v="4"/>
    <s v="Worst"/>
    <n v="1200"/>
    <n v="17"/>
    <n v="0.1"/>
    <n v="0.18"/>
    <n v="18000"/>
    <n v="0.3"/>
    <n v="20400"/>
    <n v="18360"/>
    <n v="3304.7999999999997"/>
    <n v="21304.799999999999"/>
    <n v="-2944.7999999999993"/>
    <n v="-883.43999999999971"/>
    <n v="-2061.3599999999997"/>
    <n v="-0.10104705882352939"/>
  </r>
  <r>
    <x v="6"/>
    <x v="1"/>
    <s v="March 2014"/>
    <n v="1"/>
    <x v="1"/>
    <x v="0"/>
    <x v="0"/>
    <s v="Worst"/>
    <n v="1200"/>
    <n v="17"/>
    <n v="0.1"/>
    <n v="0.18"/>
    <n v="18000"/>
    <n v="0.3"/>
    <n v="20400"/>
    <n v="18360"/>
    <n v="3304.7999999999997"/>
    <n v="21304.799999999999"/>
    <n v="-2944.7999999999993"/>
    <n v="-883.43999999999971"/>
    <n v="-2061.3599999999997"/>
    <n v="-0.10104705882352939"/>
  </r>
  <r>
    <x v="6"/>
    <x v="1"/>
    <s v="March 2014"/>
    <n v="1"/>
    <x v="1"/>
    <x v="0"/>
    <x v="1"/>
    <s v="Worst"/>
    <n v="1200"/>
    <n v="17"/>
    <n v="0.1"/>
    <n v="0.18"/>
    <n v="18000"/>
    <n v="0.3"/>
    <n v="20400"/>
    <n v="18360"/>
    <n v="3304.7999999999997"/>
    <n v="21304.799999999999"/>
    <n v="-2944.7999999999993"/>
    <n v="-883.43999999999971"/>
    <n v="-2061.3599999999997"/>
    <n v="-0.10104705882352939"/>
  </r>
  <r>
    <x v="6"/>
    <x v="1"/>
    <s v="March 2014"/>
    <n v="1"/>
    <x v="1"/>
    <x v="0"/>
    <x v="2"/>
    <s v="Worst"/>
    <n v="1200"/>
    <n v="17"/>
    <n v="0.1"/>
    <n v="0.18"/>
    <n v="18000"/>
    <n v="0.3"/>
    <n v="20400"/>
    <n v="18360"/>
    <n v="3304.7999999999997"/>
    <n v="21304.799999999999"/>
    <n v="-2944.7999999999993"/>
    <n v="-883.43999999999971"/>
    <n v="-2061.3599999999997"/>
    <n v="-0.10104705882352939"/>
  </r>
  <r>
    <x v="6"/>
    <x v="1"/>
    <s v="March 2014"/>
    <n v="1"/>
    <x v="1"/>
    <x v="0"/>
    <x v="3"/>
    <s v="Worst"/>
    <n v="1200"/>
    <n v="17"/>
    <n v="0.1"/>
    <n v="0.18"/>
    <n v="18000"/>
    <n v="0.3"/>
    <n v="20400"/>
    <n v="18360"/>
    <n v="3304.7999999999997"/>
    <n v="21304.799999999999"/>
    <n v="-2944.7999999999993"/>
    <n v="-883.43999999999971"/>
    <n v="-2061.3599999999997"/>
    <n v="-0.10104705882352939"/>
  </r>
  <r>
    <x v="6"/>
    <x v="1"/>
    <s v="March 2014"/>
    <n v="1"/>
    <x v="1"/>
    <x v="0"/>
    <x v="4"/>
    <s v="Worst"/>
    <n v="1200"/>
    <n v="17"/>
    <n v="0.1"/>
    <n v="0.18"/>
    <n v="18000"/>
    <n v="0.3"/>
    <n v="20400"/>
    <n v="18360"/>
    <n v="3304.7999999999997"/>
    <n v="21304.799999999999"/>
    <n v="-2944.7999999999993"/>
    <n v="-883.43999999999971"/>
    <n v="-2061.3599999999997"/>
    <n v="-0.10104705882352939"/>
  </r>
  <r>
    <x v="6"/>
    <x v="1"/>
    <s v="March 2014"/>
    <n v="1"/>
    <x v="1"/>
    <x v="1"/>
    <x v="0"/>
    <s v="Worst"/>
    <n v="1200"/>
    <n v="17"/>
    <n v="0.1"/>
    <n v="0.18"/>
    <n v="18000"/>
    <n v="0.3"/>
    <n v="20400"/>
    <n v="18360"/>
    <n v="3304.7999999999997"/>
    <n v="21304.799999999999"/>
    <n v="-2944.7999999999993"/>
    <n v="-883.43999999999971"/>
    <n v="-2061.3599999999997"/>
    <n v="-0.10104705882352939"/>
  </r>
  <r>
    <x v="6"/>
    <x v="1"/>
    <s v="March 2014"/>
    <n v="1"/>
    <x v="1"/>
    <x v="1"/>
    <x v="1"/>
    <s v="Worst"/>
    <n v="1200"/>
    <n v="17"/>
    <n v="0.1"/>
    <n v="0.18"/>
    <n v="18000"/>
    <n v="0.3"/>
    <n v="20400"/>
    <n v="18360"/>
    <n v="3304.7999999999997"/>
    <n v="21304.799999999999"/>
    <n v="-2944.7999999999993"/>
    <n v="-883.43999999999971"/>
    <n v="-2061.3599999999997"/>
    <n v="-0.10104705882352939"/>
  </r>
  <r>
    <x v="6"/>
    <x v="1"/>
    <s v="March 2014"/>
    <n v="1"/>
    <x v="1"/>
    <x v="1"/>
    <x v="2"/>
    <s v="Worst"/>
    <n v="1200"/>
    <n v="17"/>
    <n v="0.1"/>
    <n v="0.18"/>
    <n v="18000"/>
    <n v="0.3"/>
    <n v="20400"/>
    <n v="18360"/>
    <n v="3304.7999999999997"/>
    <n v="21304.799999999999"/>
    <n v="-2944.7999999999993"/>
    <n v="-883.43999999999971"/>
    <n v="-2061.3599999999997"/>
    <n v="-0.10104705882352939"/>
  </r>
  <r>
    <x v="6"/>
    <x v="1"/>
    <s v="March 2014"/>
    <n v="1"/>
    <x v="1"/>
    <x v="1"/>
    <x v="3"/>
    <s v="Worst"/>
    <n v="1200"/>
    <n v="17"/>
    <n v="0.1"/>
    <n v="0.18"/>
    <n v="18000"/>
    <n v="0.3"/>
    <n v="20400"/>
    <n v="18360"/>
    <n v="3304.7999999999997"/>
    <n v="21304.799999999999"/>
    <n v="-2944.7999999999993"/>
    <n v="-883.43999999999971"/>
    <n v="-2061.3599999999997"/>
    <n v="-0.10104705882352939"/>
  </r>
  <r>
    <x v="6"/>
    <x v="1"/>
    <s v="March 2014"/>
    <n v="1"/>
    <x v="1"/>
    <x v="1"/>
    <x v="4"/>
    <s v="Worst"/>
    <n v="1200"/>
    <n v="17"/>
    <n v="0.1"/>
    <n v="0.18"/>
    <n v="18000"/>
    <n v="0.3"/>
    <n v="20400"/>
    <n v="18360"/>
    <n v="3304.7999999999997"/>
    <n v="21304.799999999999"/>
    <n v="-2944.7999999999993"/>
    <n v="-883.43999999999971"/>
    <n v="-2061.3599999999997"/>
    <n v="-0.10104705882352939"/>
  </r>
  <r>
    <x v="6"/>
    <x v="1"/>
    <s v="March 2014"/>
    <n v="1"/>
    <x v="1"/>
    <x v="2"/>
    <x v="0"/>
    <s v="Worst"/>
    <n v="1200"/>
    <n v="17"/>
    <n v="0.1"/>
    <n v="0.18"/>
    <n v="18000"/>
    <n v="0.3"/>
    <n v="20400"/>
    <n v="18360"/>
    <n v="3304.7999999999997"/>
    <n v="21304.799999999999"/>
    <n v="-2944.7999999999993"/>
    <n v="-883.43999999999971"/>
    <n v="-2061.3599999999997"/>
    <n v="-0.10104705882352939"/>
  </r>
  <r>
    <x v="6"/>
    <x v="1"/>
    <s v="March 2014"/>
    <n v="1"/>
    <x v="1"/>
    <x v="2"/>
    <x v="1"/>
    <s v="Worst"/>
    <n v="1200"/>
    <n v="17"/>
    <n v="0.1"/>
    <n v="0.18"/>
    <n v="18000"/>
    <n v="0.3"/>
    <n v="20400"/>
    <n v="18360"/>
    <n v="3304.7999999999997"/>
    <n v="21304.799999999999"/>
    <n v="-2944.7999999999993"/>
    <n v="-883.43999999999971"/>
    <n v="-2061.3599999999997"/>
    <n v="-0.10104705882352939"/>
  </r>
  <r>
    <x v="6"/>
    <x v="1"/>
    <s v="March 2014"/>
    <n v="1"/>
    <x v="1"/>
    <x v="2"/>
    <x v="2"/>
    <s v="Worst"/>
    <n v="1200"/>
    <n v="17"/>
    <n v="0.1"/>
    <n v="0.18"/>
    <n v="18000"/>
    <n v="0.3"/>
    <n v="20400"/>
    <n v="18360"/>
    <n v="3304.7999999999997"/>
    <n v="21304.799999999999"/>
    <n v="-2944.7999999999993"/>
    <n v="-883.43999999999971"/>
    <n v="-2061.3599999999997"/>
    <n v="-0.10104705882352939"/>
  </r>
  <r>
    <x v="6"/>
    <x v="1"/>
    <s v="March 2014"/>
    <n v="1"/>
    <x v="1"/>
    <x v="2"/>
    <x v="3"/>
    <s v="Worst"/>
    <n v="1200"/>
    <n v="17"/>
    <n v="0.1"/>
    <n v="0.18"/>
    <n v="18000"/>
    <n v="0.3"/>
    <n v="20400"/>
    <n v="18360"/>
    <n v="3304.7999999999997"/>
    <n v="21304.799999999999"/>
    <n v="-2944.7999999999993"/>
    <n v="-883.43999999999971"/>
    <n v="-2061.3599999999997"/>
    <n v="-0.10104705882352939"/>
  </r>
  <r>
    <x v="6"/>
    <x v="1"/>
    <s v="March 2014"/>
    <n v="1"/>
    <x v="1"/>
    <x v="2"/>
    <x v="4"/>
    <s v="Worst"/>
    <n v="1200"/>
    <n v="17"/>
    <n v="0.1"/>
    <n v="0.18"/>
    <n v="18000"/>
    <n v="0.3"/>
    <n v="20400"/>
    <n v="18360"/>
    <n v="3304.7999999999997"/>
    <n v="21304.799999999999"/>
    <n v="-2944.7999999999993"/>
    <n v="-883.43999999999971"/>
    <n v="-2061.3599999999997"/>
    <n v="-0.10104705882352939"/>
  </r>
  <r>
    <x v="6"/>
    <x v="1"/>
    <s v="March 2014"/>
    <n v="1"/>
    <x v="1"/>
    <x v="3"/>
    <x v="0"/>
    <s v="Worst"/>
    <n v="1200"/>
    <n v="17"/>
    <n v="0.1"/>
    <n v="0.18"/>
    <n v="18000"/>
    <n v="0.3"/>
    <n v="20400"/>
    <n v="18360"/>
    <n v="3304.7999999999997"/>
    <n v="21304.799999999999"/>
    <n v="-2944.7999999999993"/>
    <n v="-883.43999999999971"/>
    <n v="-2061.3599999999997"/>
    <n v="-0.10104705882352939"/>
  </r>
  <r>
    <x v="6"/>
    <x v="1"/>
    <s v="March 2014"/>
    <n v="1"/>
    <x v="1"/>
    <x v="3"/>
    <x v="1"/>
    <s v="Worst"/>
    <n v="1200"/>
    <n v="17"/>
    <n v="0.1"/>
    <n v="0.18"/>
    <n v="18000"/>
    <n v="0.3"/>
    <n v="20400"/>
    <n v="18360"/>
    <n v="3304.7999999999997"/>
    <n v="21304.799999999999"/>
    <n v="-2944.7999999999993"/>
    <n v="-883.43999999999971"/>
    <n v="-2061.3599999999997"/>
    <n v="-0.10104705882352939"/>
  </r>
  <r>
    <x v="6"/>
    <x v="1"/>
    <s v="March 2014"/>
    <n v="1"/>
    <x v="1"/>
    <x v="3"/>
    <x v="2"/>
    <s v="Worst"/>
    <n v="1200"/>
    <n v="17"/>
    <n v="0.1"/>
    <n v="0.18"/>
    <n v="18000"/>
    <n v="0.3"/>
    <n v="20400"/>
    <n v="18360"/>
    <n v="3304.7999999999997"/>
    <n v="21304.799999999999"/>
    <n v="-2944.7999999999993"/>
    <n v="-883.43999999999971"/>
    <n v="-2061.3599999999997"/>
    <n v="-0.10104705882352939"/>
  </r>
  <r>
    <x v="6"/>
    <x v="1"/>
    <s v="March 2014"/>
    <n v="1"/>
    <x v="1"/>
    <x v="3"/>
    <x v="3"/>
    <s v="Worst"/>
    <n v="1200"/>
    <n v="17"/>
    <n v="0.1"/>
    <n v="0.18"/>
    <n v="18000"/>
    <n v="0.3"/>
    <n v="20400"/>
    <n v="18360"/>
    <n v="3304.7999999999997"/>
    <n v="21304.799999999999"/>
    <n v="-2944.7999999999993"/>
    <n v="-883.43999999999971"/>
    <n v="-2061.3599999999997"/>
    <n v="-0.10104705882352939"/>
  </r>
  <r>
    <x v="6"/>
    <x v="1"/>
    <s v="March 2014"/>
    <n v="1"/>
    <x v="1"/>
    <x v="3"/>
    <x v="4"/>
    <s v="Worst"/>
    <n v="1200"/>
    <n v="17"/>
    <n v="0.1"/>
    <n v="0.18"/>
    <n v="18000"/>
    <n v="0.3"/>
    <n v="20400"/>
    <n v="18360"/>
    <n v="3304.7999999999997"/>
    <n v="21304.799999999999"/>
    <n v="-2944.7999999999993"/>
    <n v="-883.43999999999971"/>
    <n v="-2061.3599999999997"/>
    <n v="-0.10104705882352939"/>
  </r>
  <r>
    <x v="6"/>
    <x v="1"/>
    <s v="March 2014"/>
    <n v="1"/>
    <x v="1"/>
    <x v="4"/>
    <x v="0"/>
    <s v="Worst"/>
    <n v="1200"/>
    <n v="17"/>
    <n v="0.1"/>
    <n v="0.18"/>
    <n v="18000"/>
    <n v="0.3"/>
    <n v="20400"/>
    <n v="18360"/>
    <n v="3304.7999999999997"/>
    <n v="21304.799999999999"/>
    <n v="-2944.7999999999993"/>
    <n v="-883.43999999999971"/>
    <n v="-2061.3599999999997"/>
    <n v="-0.10104705882352939"/>
  </r>
  <r>
    <x v="6"/>
    <x v="1"/>
    <s v="March 2014"/>
    <n v="1"/>
    <x v="1"/>
    <x v="4"/>
    <x v="1"/>
    <s v="Worst"/>
    <n v="1200"/>
    <n v="17"/>
    <n v="0.1"/>
    <n v="0.18"/>
    <n v="18000"/>
    <n v="0.3"/>
    <n v="20400"/>
    <n v="18360"/>
    <n v="3304.7999999999997"/>
    <n v="21304.799999999999"/>
    <n v="-2944.7999999999993"/>
    <n v="-883.43999999999971"/>
    <n v="-2061.3599999999997"/>
    <n v="-0.10104705882352939"/>
  </r>
  <r>
    <x v="6"/>
    <x v="1"/>
    <s v="March 2014"/>
    <n v="1"/>
    <x v="1"/>
    <x v="4"/>
    <x v="2"/>
    <s v="Worst"/>
    <n v="1200"/>
    <n v="17"/>
    <n v="0.1"/>
    <n v="0.18"/>
    <n v="18000"/>
    <n v="0.3"/>
    <n v="20400"/>
    <n v="18360"/>
    <n v="3304.7999999999997"/>
    <n v="21304.799999999999"/>
    <n v="-2944.7999999999993"/>
    <n v="-883.43999999999971"/>
    <n v="-2061.3599999999997"/>
    <n v="-0.10104705882352939"/>
  </r>
  <r>
    <x v="6"/>
    <x v="1"/>
    <s v="March 2014"/>
    <n v="1"/>
    <x v="1"/>
    <x v="4"/>
    <x v="3"/>
    <s v="Worst"/>
    <n v="1200"/>
    <n v="17"/>
    <n v="0.1"/>
    <n v="0.18"/>
    <n v="18000"/>
    <n v="0.3"/>
    <n v="20400"/>
    <n v="18360"/>
    <n v="3304.7999999999997"/>
    <n v="21304.799999999999"/>
    <n v="-2944.7999999999993"/>
    <n v="-883.43999999999971"/>
    <n v="-2061.3599999999997"/>
    <n v="-0.10104705882352939"/>
  </r>
  <r>
    <x v="6"/>
    <x v="1"/>
    <s v="March 2014"/>
    <n v="1"/>
    <x v="1"/>
    <x v="4"/>
    <x v="4"/>
    <s v="Worst"/>
    <n v="1200"/>
    <n v="17"/>
    <n v="0.1"/>
    <n v="0.18"/>
    <n v="18000"/>
    <n v="0.3"/>
    <n v="20400"/>
    <n v="18360"/>
    <n v="3304.7999999999997"/>
    <n v="21304.799999999999"/>
    <n v="-2944.7999999999993"/>
    <n v="-883.43999999999971"/>
    <n v="-2061.3599999999997"/>
    <n v="-0.10104705882352939"/>
  </r>
  <r>
    <x v="6"/>
    <x v="1"/>
    <s v="March 2014"/>
    <n v="1"/>
    <x v="2"/>
    <x v="0"/>
    <x v="0"/>
    <s v="Worst"/>
    <n v="1200"/>
    <n v="17"/>
    <n v="0.1"/>
    <n v="0.18"/>
    <n v="18000"/>
    <n v="0.3"/>
    <n v="20400"/>
    <n v="18360"/>
    <n v="3304.7999999999997"/>
    <n v="21304.799999999999"/>
    <n v="-2944.7999999999993"/>
    <n v="-883.43999999999971"/>
    <n v="-2061.3599999999997"/>
    <n v="-0.10104705882352939"/>
  </r>
  <r>
    <x v="6"/>
    <x v="1"/>
    <s v="March 2014"/>
    <n v="1"/>
    <x v="2"/>
    <x v="0"/>
    <x v="1"/>
    <s v="Worst"/>
    <n v="1200"/>
    <n v="17"/>
    <n v="0.1"/>
    <n v="0.18"/>
    <n v="18000"/>
    <n v="0.3"/>
    <n v="20400"/>
    <n v="18360"/>
    <n v="3304.7999999999997"/>
    <n v="21304.799999999999"/>
    <n v="-2944.7999999999993"/>
    <n v="-883.43999999999971"/>
    <n v="-2061.3599999999997"/>
    <n v="-0.10104705882352939"/>
  </r>
  <r>
    <x v="6"/>
    <x v="1"/>
    <s v="March 2014"/>
    <n v="1"/>
    <x v="2"/>
    <x v="0"/>
    <x v="2"/>
    <s v="Worst"/>
    <n v="1200"/>
    <n v="17"/>
    <n v="0.1"/>
    <n v="0.18"/>
    <n v="18000"/>
    <n v="0.3"/>
    <n v="20400"/>
    <n v="18360"/>
    <n v="3304.7999999999997"/>
    <n v="21304.799999999999"/>
    <n v="-2944.7999999999993"/>
    <n v="-883.43999999999971"/>
    <n v="-2061.3599999999997"/>
    <n v="-0.10104705882352939"/>
  </r>
  <r>
    <x v="6"/>
    <x v="1"/>
    <s v="March 2014"/>
    <n v="1"/>
    <x v="2"/>
    <x v="0"/>
    <x v="3"/>
    <s v="Worst"/>
    <n v="1200"/>
    <n v="17"/>
    <n v="0.1"/>
    <n v="0.18"/>
    <n v="18000"/>
    <n v="0.3"/>
    <n v="20400"/>
    <n v="18360"/>
    <n v="3304.7999999999997"/>
    <n v="21304.799999999999"/>
    <n v="-2944.7999999999993"/>
    <n v="-883.43999999999971"/>
    <n v="-2061.3599999999997"/>
    <n v="-0.10104705882352939"/>
  </r>
  <r>
    <x v="6"/>
    <x v="1"/>
    <s v="March 2014"/>
    <n v="1"/>
    <x v="2"/>
    <x v="0"/>
    <x v="4"/>
    <s v="Worst"/>
    <n v="1200"/>
    <n v="17"/>
    <n v="0.1"/>
    <n v="0.18"/>
    <n v="18000"/>
    <n v="0.3"/>
    <n v="20400"/>
    <n v="18360"/>
    <n v="3304.7999999999997"/>
    <n v="21304.799999999999"/>
    <n v="-2944.7999999999993"/>
    <n v="-883.43999999999971"/>
    <n v="-2061.3599999999997"/>
    <n v="-0.10104705882352939"/>
  </r>
  <r>
    <x v="6"/>
    <x v="1"/>
    <s v="March 2014"/>
    <n v="1"/>
    <x v="2"/>
    <x v="1"/>
    <x v="0"/>
    <s v="Worst"/>
    <n v="1200"/>
    <n v="17"/>
    <n v="0.1"/>
    <n v="0.18"/>
    <n v="18000"/>
    <n v="0.3"/>
    <n v="20400"/>
    <n v="18360"/>
    <n v="3304.7999999999997"/>
    <n v="21304.799999999999"/>
    <n v="-2944.7999999999993"/>
    <n v="-883.43999999999971"/>
    <n v="-2061.3599999999997"/>
    <n v="-0.10104705882352939"/>
  </r>
  <r>
    <x v="6"/>
    <x v="1"/>
    <s v="March 2014"/>
    <n v="1"/>
    <x v="2"/>
    <x v="1"/>
    <x v="1"/>
    <s v="Worst"/>
    <n v="1200"/>
    <n v="17"/>
    <n v="0.1"/>
    <n v="0.18"/>
    <n v="18000"/>
    <n v="0.3"/>
    <n v="20400"/>
    <n v="18360"/>
    <n v="3304.7999999999997"/>
    <n v="21304.799999999999"/>
    <n v="-2944.7999999999993"/>
    <n v="-883.43999999999971"/>
    <n v="-2061.3599999999997"/>
    <n v="-0.10104705882352939"/>
  </r>
  <r>
    <x v="6"/>
    <x v="1"/>
    <s v="March 2014"/>
    <n v="1"/>
    <x v="2"/>
    <x v="1"/>
    <x v="2"/>
    <s v="Worst"/>
    <n v="1200"/>
    <n v="17"/>
    <n v="0.1"/>
    <n v="0.18"/>
    <n v="18000"/>
    <n v="0.3"/>
    <n v="20400"/>
    <n v="18360"/>
    <n v="3304.7999999999997"/>
    <n v="21304.799999999999"/>
    <n v="-2944.7999999999993"/>
    <n v="-883.43999999999971"/>
    <n v="-2061.3599999999997"/>
    <n v="-0.10104705882352939"/>
  </r>
  <r>
    <x v="6"/>
    <x v="1"/>
    <s v="March 2014"/>
    <n v="1"/>
    <x v="2"/>
    <x v="1"/>
    <x v="3"/>
    <s v="Worst"/>
    <n v="1200"/>
    <n v="17"/>
    <n v="0.1"/>
    <n v="0.18"/>
    <n v="18000"/>
    <n v="0.3"/>
    <n v="20400"/>
    <n v="18360"/>
    <n v="3304.7999999999997"/>
    <n v="21304.799999999999"/>
    <n v="-2944.7999999999993"/>
    <n v="-883.43999999999971"/>
    <n v="-2061.3599999999997"/>
    <n v="-0.10104705882352939"/>
  </r>
  <r>
    <x v="6"/>
    <x v="1"/>
    <s v="March 2014"/>
    <n v="1"/>
    <x v="2"/>
    <x v="1"/>
    <x v="4"/>
    <s v="Worst"/>
    <n v="1200"/>
    <n v="17"/>
    <n v="0.1"/>
    <n v="0.18"/>
    <n v="18000"/>
    <n v="0.3"/>
    <n v="20400"/>
    <n v="18360"/>
    <n v="3304.7999999999997"/>
    <n v="21304.799999999999"/>
    <n v="-2944.7999999999993"/>
    <n v="-883.43999999999971"/>
    <n v="-2061.3599999999997"/>
    <n v="-0.10104705882352939"/>
  </r>
  <r>
    <x v="6"/>
    <x v="1"/>
    <s v="March 2014"/>
    <n v="1"/>
    <x v="2"/>
    <x v="2"/>
    <x v="0"/>
    <s v="Worst"/>
    <n v="1200"/>
    <n v="17"/>
    <n v="0.1"/>
    <n v="0.18"/>
    <n v="18000"/>
    <n v="0.3"/>
    <n v="20400"/>
    <n v="18360"/>
    <n v="3304.7999999999997"/>
    <n v="21304.799999999999"/>
    <n v="-2944.7999999999993"/>
    <n v="-883.43999999999971"/>
    <n v="-2061.3599999999997"/>
    <n v="-0.10104705882352939"/>
  </r>
  <r>
    <x v="6"/>
    <x v="1"/>
    <s v="March 2014"/>
    <n v="1"/>
    <x v="2"/>
    <x v="2"/>
    <x v="1"/>
    <s v="Worst"/>
    <n v="1200"/>
    <n v="17"/>
    <n v="0.1"/>
    <n v="0.18"/>
    <n v="18000"/>
    <n v="0.3"/>
    <n v="20400"/>
    <n v="18360"/>
    <n v="3304.7999999999997"/>
    <n v="21304.799999999999"/>
    <n v="-2944.7999999999993"/>
    <n v="-883.43999999999971"/>
    <n v="-2061.3599999999997"/>
    <n v="-0.10104705882352939"/>
  </r>
  <r>
    <x v="6"/>
    <x v="1"/>
    <s v="March 2014"/>
    <n v="1"/>
    <x v="2"/>
    <x v="2"/>
    <x v="2"/>
    <s v="Worst"/>
    <n v="1200"/>
    <n v="17"/>
    <n v="0.1"/>
    <n v="0.18"/>
    <n v="18000"/>
    <n v="0.3"/>
    <n v="20400"/>
    <n v="18360"/>
    <n v="3304.7999999999997"/>
    <n v="21304.799999999999"/>
    <n v="-2944.7999999999993"/>
    <n v="-883.43999999999971"/>
    <n v="-2061.3599999999997"/>
    <n v="-0.10104705882352939"/>
  </r>
  <r>
    <x v="6"/>
    <x v="1"/>
    <s v="March 2014"/>
    <n v="1"/>
    <x v="2"/>
    <x v="2"/>
    <x v="3"/>
    <s v="Worst"/>
    <n v="1200"/>
    <n v="17"/>
    <n v="0.1"/>
    <n v="0.18"/>
    <n v="18000"/>
    <n v="0.3"/>
    <n v="20400"/>
    <n v="18360"/>
    <n v="3304.7999999999997"/>
    <n v="21304.799999999999"/>
    <n v="-2944.7999999999993"/>
    <n v="-883.43999999999971"/>
    <n v="-2061.3599999999997"/>
    <n v="-0.10104705882352939"/>
  </r>
  <r>
    <x v="6"/>
    <x v="1"/>
    <s v="March 2014"/>
    <n v="1"/>
    <x v="2"/>
    <x v="2"/>
    <x v="4"/>
    <s v="Worst"/>
    <n v="1200"/>
    <n v="17"/>
    <n v="0.1"/>
    <n v="0.18"/>
    <n v="18000"/>
    <n v="0.3"/>
    <n v="20400"/>
    <n v="18360"/>
    <n v="3304.7999999999997"/>
    <n v="21304.799999999999"/>
    <n v="-2944.7999999999993"/>
    <n v="-883.43999999999971"/>
    <n v="-2061.3599999999997"/>
    <n v="-0.10104705882352939"/>
  </r>
  <r>
    <x v="6"/>
    <x v="1"/>
    <s v="March 2014"/>
    <n v="1"/>
    <x v="2"/>
    <x v="3"/>
    <x v="0"/>
    <s v="Worst"/>
    <n v="1200"/>
    <n v="17"/>
    <n v="0.1"/>
    <n v="0.18"/>
    <n v="18000"/>
    <n v="0.3"/>
    <n v="20400"/>
    <n v="18360"/>
    <n v="3304.7999999999997"/>
    <n v="21304.799999999999"/>
    <n v="-2944.7999999999993"/>
    <n v="-883.43999999999971"/>
    <n v="-2061.3599999999997"/>
    <n v="-0.10104705882352939"/>
  </r>
  <r>
    <x v="6"/>
    <x v="1"/>
    <s v="March 2014"/>
    <n v="1"/>
    <x v="2"/>
    <x v="3"/>
    <x v="1"/>
    <s v="Worst"/>
    <n v="1200"/>
    <n v="17"/>
    <n v="0.1"/>
    <n v="0.18"/>
    <n v="18000"/>
    <n v="0.3"/>
    <n v="20400"/>
    <n v="18360"/>
    <n v="3304.7999999999997"/>
    <n v="21304.799999999999"/>
    <n v="-2944.7999999999993"/>
    <n v="-883.43999999999971"/>
    <n v="-2061.3599999999997"/>
    <n v="-0.10104705882352939"/>
  </r>
  <r>
    <x v="6"/>
    <x v="1"/>
    <s v="March 2014"/>
    <n v="1"/>
    <x v="2"/>
    <x v="3"/>
    <x v="2"/>
    <s v="Worst"/>
    <n v="1200"/>
    <n v="17"/>
    <n v="0.1"/>
    <n v="0.18"/>
    <n v="18000"/>
    <n v="0.3"/>
    <n v="20400"/>
    <n v="18360"/>
    <n v="3304.7999999999997"/>
    <n v="21304.799999999999"/>
    <n v="-2944.7999999999993"/>
    <n v="-883.43999999999971"/>
    <n v="-2061.3599999999997"/>
    <n v="-0.10104705882352939"/>
  </r>
  <r>
    <x v="6"/>
    <x v="1"/>
    <s v="March 2014"/>
    <n v="1"/>
    <x v="2"/>
    <x v="3"/>
    <x v="3"/>
    <s v="Worst"/>
    <n v="1200"/>
    <n v="17"/>
    <n v="0.1"/>
    <n v="0.18"/>
    <n v="18000"/>
    <n v="0.3"/>
    <n v="20400"/>
    <n v="18360"/>
    <n v="3304.7999999999997"/>
    <n v="21304.799999999999"/>
    <n v="-2944.7999999999993"/>
    <n v="-883.43999999999971"/>
    <n v="-2061.3599999999997"/>
    <n v="-0.10104705882352939"/>
  </r>
  <r>
    <x v="6"/>
    <x v="1"/>
    <s v="March 2014"/>
    <n v="1"/>
    <x v="2"/>
    <x v="3"/>
    <x v="4"/>
    <s v="Worst"/>
    <n v="1200"/>
    <n v="17"/>
    <n v="0.1"/>
    <n v="0.18"/>
    <n v="18000"/>
    <n v="0.3"/>
    <n v="20400"/>
    <n v="18360"/>
    <n v="3304.7999999999997"/>
    <n v="21304.799999999999"/>
    <n v="-2944.7999999999993"/>
    <n v="-883.43999999999971"/>
    <n v="-2061.3599999999997"/>
    <n v="-0.10104705882352939"/>
  </r>
  <r>
    <x v="6"/>
    <x v="1"/>
    <s v="March 2014"/>
    <n v="1"/>
    <x v="2"/>
    <x v="4"/>
    <x v="0"/>
    <s v="Worst"/>
    <n v="1200"/>
    <n v="17"/>
    <n v="0.1"/>
    <n v="0.18"/>
    <n v="18000"/>
    <n v="0.3"/>
    <n v="20400"/>
    <n v="18360"/>
    <n v="3304.7999999999997"/>
    <n v="21304.799999999999"/>
    <n v="-2944.7999999999993"/>
    <n v="-883.43999999999971"/>
    <n v="-2061.3599999999997"/>
    <n v="-0.10104705882352939"/>
  </r>
  <r>
    <x v="6"/>
    <x v="1"/>
    <s v="March 2014"/>
    <n v="1"/>
    <x v="2"/>
    <x v="4"/>
    <x v="1"/>
    <s v="Worst"/>
    <n v="1200"/>
    <n v="17"/>
    <n v="0.1"/>
    <n v="0.18"/>
    <n v="18000"/>
    <n v="0.3"/>
    <n v="20400"/>
    <n v="18360"/>
    <n v="3304.7999999999997"/>
    <n v="21304.799999999999"/>
    <n v="-2944.7999999999993"/>
    <n v="-883.43999999999971"/>
    <n v="-2061.3599999999997"/>
    <n v="-0.10104705882352939"/>
  </r>
  <r>
    <x v="6"/>
    <x v="1"/>
    <s v="March 2014"/>
    <n v="1"/>
    <x v="2"/>
    <x v="4"/>
    <x v="2"/>
    <s v="Worst"/>
    <n v="1200"/>
    <n v="17"/>
    <n v="0.1"/>
    <n v="0.18"/>
    <n v="18000"/>
    <n v="0.3"/>
    <n v="20400"/>
    <n v="18360"/>
    <n v="3304.7999999999997"/>
    <n v="21304.799999999999"/>
    <n v="-2944.7999999999993"/>
    <n v="-883.43999999999971"/>
    <n v="-2061.3599999999997"/>
    <n v="-0.10104705882352939"/>
  </r>
  <r>
    <x v="6"/>
    <x v="1"/>
    <s v="March 2014"/>
    <n v="1"/>
    <x v="2"/>
    <x v="4"/>
    <x v="3"/>
    <s v="Worst"/>
    <n v="1200"/>
    <n v="17"/>
    <n v="0.1"/>
    <n v="0.18"/>
    <n v="18000"/>
    <n v="0.3"/>
    <n v="20400"/>
    <n v="18360"/>
    <n v="3304.7999999999997"/>
    <n v="21304.799999999999"/>
    <n v="-2944.7999999999993"/>
    <n v="-883.43999999999971"/>
    <n v="-2061.3599999999997"/>
    <n v="-0.10104705882352939"/>
  </r>
  <r>
    <x v="6"/>
    <x v="1"/>
    <s v="March 2014"/>
    <n v="1"/>
    <x v="2"/>
    <x v="4"/>
    <x v="4"/>
    <s v="Worst"/>
    <n v="1200"/>
    <n v="17"/>
    <n v="0.1"/>
    <n v="0.18"/>
    <n v="18000"/>
    <n v="0.3"/>
    <n v="20400"/>
    <n v="18360"/>
    <n v="3304.7999999999997"/>
    <n v="21304.799999999999"/>
    <n v="-2944.7999999999993"/>
    <n v="-883.43999999999971"/>
    <n v="-2061.3599999999997"/>
    <n v="-0.10104705882352939"/>
  </r>
  <r>
    <x v="6"/>
    <x v="1"/>
    <s v="March 2014"/>
    <n v="1"/>
    <x v="3"/>
    <x v="0"/>
    <x v="0"/>
    <s v="Worst"/>
    <n v="1200"/>
    <n v="17"/>
    <n v="0.1"/>
    <n v="0.18"/>
    <n v="18000"/>
    <n v="0.3"/>
    <n v="20400"/>
    <n v="18360"/>
    <n v="3304.7999999999997"/>
    <n v="21304.799999999999"/>
    <n v="-2944.7999999999993"/>
    <n v="-883.43999999999971"/>
    <n v="-2061.3599999999997"/>
    <n v="-0.10104705882352939"/>
  </r>
  <r>
    <x v="6"/>
    <x v="1"/>
    <s v="March 2014"/>
    <n v="1"/>
    <x v="3"/>
    <x v="0"/>
    <x v="1"/>
    <s v="Worst"/>
    <n v="1200"/>
    <n v="17"/>
    <n v="0.1"/>
    <n v="0.18"/>
    <n v="18000"/>
    <n v="0.3"/>
    <n v="20400"/>
    <n v="18360"/>
    <n v="3304.7999999999997"/>
    <n v="21304.799999999999"/>
    <n v="-2944.7999999999993"/>
    <n v="-883.43999999999971"/>
    <n v="-2061.3599999999997"/>
    <n v="-0.10104705882352939"/>
  </r>
  <r>
    <x v="6"/>
    <x v="1"/>
    <s v="March 2014"/>
    <n v="1"/>
    <x v="3"/>
    <x v="0"/>
    <x v="2"/>
    <s v="Worst"/>
    <n v="1200"/>
    <n v="17"/>
    <n v="0.1"/>
    <n v="0.18"/>
    <n v="18000"/>
    <n v="0.3"/>
    <n v="20400"/>
    <n v="18360"/>
    <n v="3304.7999999999997"/>
    <n v="21304.799999999999"/>
    <n v="-2944.7999999999993"/>
    <n v="-883.43999999999971"/>
    <n v="-2061.3599999999997"/>
    <n v="-0.10104705882352939"/>
  </r>
  <r>
    <x v="6"/>
    <x v="1"/>
    <s v="March 2014"/>
    <n v="1"/>
    <x v="3"/>
    <x v="0"/>
    <x v="3"/>
    <s v="Worst"/>
    <n v="1200"/>
    <n v="17"/>
    <n v="0.1"/>
    <n v="0.18"/>
    <n v="18000"/>
    <n v="0.3"/>
    <n v="20400"/>
    <n v="18360"/>
    <n v="3304.7999999999997"/>
    <n v="21304.799999999999"/>
    <n v="-2944.7999999999993"/>
    <n v="-883.43999999999971"/>
    <n v="-2061.3599999999997"/>
    <n v="-0.10104705882352939"/>
  </r>
  <r>
    <x v="6"/>
    <x v="1"/>
    <s v="March 2014"/>
    <n v="1"/>
    <x v="3"/>
    <x v="0"/>
    <x v="4"/>
    <s v="Worst"/>
    <n v="1200"/>
    <n v="17"/>
    <n v="0.1"/>
    <n v="0.18"/>
    <n v="18000"/>
    <n v="0.3"/>
    <n v="20400"/>
    <n v="18360"/>
    <n v="3304.7999999999997"/>
    <n v="21304.799999999999"/>
    <n v="-2944.7999999999993"/>
    <n v="-883.43999999999971"/>
    <n v="-2061.3599999999997"/>
    <n v="-0.10104705882352939"/>
  </r>
  <r>
    <x v="6"/>
    <x v="1"/>
    <s v="March 2014"/>
    <n v="1"/>
    <x v="3"/>
    <x v="1"/>
    <x v="0"/>
    <s v="Worst"/>
    <n v="1200"/>
    <n v="17"/>
    <n v="0.1"/>
    <n v="0.18"/>
    <n v="18000"/>
    <n v="0.3"/>
    <n v="20400"/>
    <n v="18360"/>
    <n v="3304.7999999999997"/>
    <n v="21304.799999999999"/>
    <n v="-2944.7999999999993"/>
    <n v="-883.43999999999971"/>
    <n v="-2061.3599999999997"/>
    <n v="-0.10104705882352939"/>
  </r>
  <r>
    <x v="6"/>
    <x v="1"/>
    <s v="March 2014"/>
    <n v="1"/>
    <x v="3"/>
    <x v="1"/>
    <x v="1"/>
    <s v="Worst"/>
    <n v="1200"/>
    <n v="17"/>
    <n v="0.1"/>
    <n v="0.18"/>
    <n v="18000"/>
    <n v="0.3"/>
    <n v="20400"/>
    <n v="18360"/>
    <n v="3304.7999999999997"/>
    <n v="21304.799999999999"/>
    <n v="-2944.7999999999993"/>
    <n v="-883.43999999999971"/>
    <n v="-2061.3599999999997"/>
    <n v="-0.10104705882352939"/>
  </r>
  <r>
    <x v="6"/>
    <x v="1"/>
    <s v="March 2014"/>
    <n v="1"/>
    <x v="3"/>
    <x v="1"/>
    <x v="2"/>
    <s v="Worst"/>
    <n v="1200"/>
    <n v="17"/>
    <n v="0.1"/>
    <n v="0.18"/>
    <n v="18000"/>
    <n v="0.3"/>
    <n v="20400"/>
    <n v="18360"/>
    <n v="3304.7999999999997"/>
    <n v="21304.799999999999"/>
    <n v="-2944.7999999999993"/>
    <n v="-883.43999999999971"/>
    <n v="-2061.3599999999997"/>
    <n v="-0.10104705882352939"/>
  </r>
  <r>
    <x v="6"/>
    <x v="1"/>
    <s v="March 2014"/>
    <n v="1"/>
    <x v="3"/>
    <x v="1"/>
    <x v="3"/>
    <s v="Worst"/>
    <n v="1200"/>
    <n v="17"/>
    <n v="0.1"/>
    <n v="0.18"/>
    <n v="18000"/>
    <n v="0.3"/>
    <n v="20400"/>
    <n v="18360"/>
    <n v="3304.7999999999997"/>
    <n v="21304.799999999999"/>
    <n v="-2944.7999999999993"/>
    <n v="-883.43999999999971"/>
    <n v="-2061.3599999999997"/>
    <n v="-0.10104705882352939"/>
  </r>
  <r>
    <x v="6"/>
    <x v="1"/>
    <s v="March 2014"/>
    <n v="1"/>
    <x v="3"/>
    <x v="1"/>
    <x v="4"/>
    <s v="Worst"/>
    <n v="1200"/>
    <n v="17"/>
    <n v="0.1"/>
    <n v="0.18"/>
    <n v="18000"/>
    <n v="0.3"/>
    <n v="20400"/>
    <n v="18360"/>
    <n v="3304.7999999999997"/>
    <n v="21304.799999999999"/>
    <n v="-2944.7999999999993"/>
    <n v="-883.43999999999971"/>
    <n v="-2061.3599999999997"/>
    <n v="-0.10104705882352939"/>
  </r>
  <r>
    <x v="6"/>
    <x v="1"/>
    <s v="March 2014"/>
    <n v="1"/>
    <x v="3"/>
    <x v="2"/>
    <x v="0"/>
    <s v="Worst"/>
    <n v="1200"/>
    <n v="17"/>
    <n v="0.1"/>
    <n v="0.18"/>
    <n v="18000"/>
    <n v="0.3"/>
    <n v="20400"/>
    <n v="18360"/>
    <n v="3304.7999999999997"/>
    <n v="21304.799999999999"/>
    <n v="-2944.7999999999993"/>
    <n v="-883.43999999999971"/>
    <n v="-2061.3599999999997"/>
    <n v="-0.10104705882352939"/>
  </r>
  <r>
    <x v="6"/>
    <x v="1"/>
    <s v="March 2014"/>
    <n v="1"/>
    <x v="3"/>
    <x v="2"/>
    <x v="1"/>
    <s v="Worst"/>
    <n v="1200"/>
    <n v="17"/>
    <n v="0.1"/>
    <n v="0.18"/>
    <n v="18000"/>
    <n v="0.3"/>
    <n v="20400"/>
    <n v="18360"/>
    <n v="3304.7999999999997"/>
    <n v="21304.799999999999"/>
    <n v="-2944.7999999999993"/>
    <n v="-883.43999999999971"/>
    <n v="-2061.3599999999997"/>
    <n v="-0.10104705882352939"/>
  </r>
  <r>
    <x v="6"/>
    <x v="1"/>
    <s v="March 2014"/>
    <n v="1"/>
    <x v="3"/>
    <x v="2"/>
    <x v="2"/>
    <s v="Worst"/>
    <n v="1200"/>
    <n v="17"/>
    <n v="0.1"/>
    <n v="0.18"/>
    <n v="18000"/>
    <n v="0.3"/>
    <n v="20400"/>
    <n v="18360"/>
    <n v="3304.7999999999997"/>
    <n v="21304.799999999999"/>
    <n v="-2944.7999999999993"/>
    <n v="-883.43999999999971"/>
    <n v="-2061.3599999999997"/>
    <n v="-0.10104705882352939"/>
  </r>
  <r>
    <x v="6"/>
    <x v="1"/>
    <s v="March 2014"/>
    <n v="1"/>
    <x v="3"/>
    <x v="2"/>
    <x v="3"/>
    <s v="Worst"/>
    <n v="1200"/>
    <n v="17"/>
    <n v="0.1"/>
    <n v="0.18"/>
    <n v="18000"/>
    <n v="0.3"/>
    <n v="20400"/>
    <n v="18360"/>
    <n v="3304.7999999999997"/>
    <n v="21304.799999999999"/>
    <n v="-2944.7999999999993"/>
    <n v="-883.43999999999971"/>
    <n v="-2061.3599999999997"/>
    <n v="-0.10104705882352939"/>
  </r>
  <r>
    <x v="6"/>
    <x v="1"/>
    <s v="March 2014"/>
    <n v="1"/>
    <x v="3"/>
    <x v="2"/>
    <x v="4"/>
    <s v="Worst"/>
    <n v="1200"/>
    <n v="17"/>
    <n v="0.1"/>
    <n v="0.18"/>
    <n v="18000"/>
    <n v="0.3"/>
    <n v="20400"/>
    <n v="18360"/>
    <n v="3304.7999999999997"/>
    <n v="21304.799999999999"/>
    <n v="-2944.7999999999993"/>
    <n v="-883.43999999999971"/>
    <n v="-2061.3599999999997"/>
    <n v="-0.10104705882352939"/>
  </r>
  <r>
    <x v="6"/>
    <x v="1"/>
    <s v="March 2014"/>
    <n v="1"/>
    <x v="3"/>
    <x v="3"/>
    <x v="0"/>
    <s v="Worst"/>
    <n v="1200"/>
    <n v="17"/>
    <n v="0.1"/>
    <n v="0.18"/>
    <n v="18000"/>
    <n v="0.3"/>
    <n v="20400"/>
    <n v="18360"/>
    <n v="3304.7999999999997"/>
    <n v="21304.799999999999"/>
    <n v="-2944.7999999999993"/>
    <n v="-883.43999999999971"/>
    <n v="-2061.3599999999997"/>
    <n v="-0.10104705882352939"/>
  </r>
  <r>
    <x v="6"/>
    <x v="1"/>
    <s v="March 2014"/>
    <n v="1"/>
    <x v="3"/>
    <x v="3"/>
    <x v="1"/>
    <s v="Worst"/>
    <n v="1200"/>
    <n v="17"/>
    <n v="0.1"/>
    <n v="0.18"/>
    <n v="18000"/>
    <n v="0.3"/>
    <n v="20400"/>
    <n v="18360"/>
    <n v="3304.7999999999997"/>
    <n v="21304.799999999999"/>
    <n v="-2944.7999999999993"/>
    <n v="-883.43999999999971"/>
    <n v="-2061.3599999999997"/>
    <n v="-0.10104705882352939"/>
  </r>
  <r>
    <x v="6"/>
    <x v="1"/>
    <s v="March 2014"/>
    <n v="1"/>
    <x v="3"/>
    <x v="3"/>
    <x v="2"/>
    <s v="Worst"/>
    <n v="1200"/>
    <n v="17"/>
    <n v="0.1"/>
    <n v="0.18"/>
    <n v="18000"/>
    <n v="0.3"/>
    <n v="20400"/>
    <n v="18360"/>
    <n v="3304.7999999999997"/>
    <n v="21304.799999999999"/>
    <n v="-2944.7999999999993"/>
    <n v="-883.43999999999971"/>
    <n v="-2061.3599999999997"/>
    <n v="-0.10104705882352939"/>
  </r>
  <r>
    <x v="6"/>
    <x v="1"/>
    <s v="March 2014"/>
    <n v="1"/>
    <x v="3"/>
    <x v="3"/>
    <x v="3"/>
    <s v="Worst"/>
    <n v="1200"/>
    <n v="17"/>
    <n v="0.1"/>
    <n v="0.18"/>
    <n v="18000"/>
    <n v="0.3"/>
    <n v="20400"/>
    <n v="18360"/>
    <n v="3304.7999999999997"/>
    <n v="21304.799999999999"/>
    <n v="-2944.7999999999993"/>
    <n v="-883.43999999999971"/>
    <n v="-2061.3599999999997"/>
    <n v="-0.10104705882352939"/>
  </r>
  <r>
    <x v="6"/>
    <x v="1"/>
    <s v="March 2014"/>
    <n v="1"/>
    <x v="3"/>
    <x v="3"/>
    <x v="4"/>
    <s v="Worst"/>
    <n v="1200"/>
    <n v="17"/>
    <n v="0.1"/>
    <n v="0.18"/>
    <n v="18000"/>
    <n v="0.3"/>
    <n v="20400"/>
    <n v="18360"/>
    <n v="3304.7999999999997"/>
    <n v="21304.799999999999"/>
    <n v="-2944.7999999999993"/>
    <n v="-883.43999999999971"/>
    <n v="-2061.3599999999997"/>
    <n v="-0.10104705882352939"/>
  </r>
  <r>
    <x v="6"/>
    <x v="1"/>
    <s v="March 2014"/>
    <n v="1"/>
    <x v="3"/>
    <x v="4"/>
    <x v="0"/>
    <s v="Worst"/>
    <n v="1200"/>
    <n v="17"/>
    <n v="0.1"/>
    <n v="0.18"/>
    <n v="18000"/>
    <n v="0.3"/>
    <n v="20400"/>
    <n v="18360"/>
    <n v="3304.7999999999997"/>
    <n v="21304.799999999999"/>
    <n v="-2944.7999999999993"/>
    <n v="-883.43999999999971"/>
    <n v="-2061.3599999999997"/>
    <n v="-0.10104705882352939"/>
  </r>
  <r>
    <x v="6"/>
    <x v="1"/>
    <s v="March 2014"/>
    <n v="1"/>
    <x v="3"/>
    <x v="4"/>
    <x v="1"/>
    <s v="Worst"/>
    <n v="1200"/>
    <n v="17"/>
    <n v="0.1"/>
    <n v="0.18"/>
    <n v="18000"/>
    <n v="0.3"/>
    <n v="20400"/>
    <n v="18360"/>
    <n v="3304.7999999999997"/>
    <n v="21304.799999999999"/>
    <n v="-2944.7999999999993"/>
    <n v="-883.43999999999971"/>
    <n v="-2061.3599999999997"/>
    <n v="-0.10104705882352939"/>
  </r>
  <r>
    <x v="6"/>
    <x v="1"/>
    <s v="March 2014"/>
    <n v="1"/>
    <x v="3"/>
    <x v="4"/>
    <x v="2"/>
    <s v="Worst"/>
    <n v="1200"/>
    <n v="17"/>
    <n v="0.1"/>
    <n v="0.18"/>
    <n v="18000"/>
    <n v="0.3"/>
    <n v="20400"/>
    <n v="18360"/>
    <n v="3304.7999999999997"/>
    <n v="21304.799999999999"/>
    <n v="-2944.7999999999993"/>
    <n v="-883.43999999999971"/>
    <n v="-2061.3599999999997"/>
    <n v="-0.10104705882352939"/>
  </r>
  <r>
    <x v="6"/>
    <x v="1"/>
    <s v="March 2014"/>
    <n v="1"/>
    <x v="3"/>
    <x v="4"/>
    <x v="3"/>
    <s v="Worst"/>
    <n v="1200"/>
    <n v="17"/>
    <n v="0.1"/>
    <n v="0.18"/>
    <n v="18000"/>
    <n v="0.3"/>
    <n v="20400"/>
    <n v="18360"/>
    <n v="3304.7999999999997"/>
    <n v="21304.799999999999"/>
    <n v="-2944.7999999999993"/>
    <n v="-883.43999999999971"/>
    <n v="-2061.3599999999997"/>
    <n v="-0.10104705882352939"/>
  </r>
  <r>
    <x v="6"/>
    <x v="1"/>
    <s v="March 2014"/>
    <n v="1"/>
    <x v="3"/>
    <x v="4"/>
    <x v="4"/>
    <s v="Worst"/>
    <n v="1200"/>
    <n v="17"/>
    <n v="0.1"/>
    <n v="0.18"/>
    <n v="18000"/>
    <n v="0.3"/>
    <n v="20400"/>
    <n v="18360"/>
    <n v="3304.7999999999997"/>
    <n v="21304.799999999999"/>
    <n v="-2944.7999999999993"/>
    <n v="-883.43999999999971"/>
    <n v="-2061.3599999999997"/>
    <n v="-0.10104705882352939"/>
  </r>
  <r>
    <x v="6"/>
    <x v="1"/>
    <s v="March 2014"/>
    <n v="1"/>
    <x v="4"/>
    <x v="0"/>
    <x v="0"/>
    <s v="Worst"/>
    <n v="1200"/>
    <n v="17"/>
    <n v="0.1"/>
    <n v="0.18"/>
    <n v="18000"/>
    <n v="0.3"/>
    <n v="20400"/>
    <n v="18360"/>
    <n v="3304.7999999999997"/>
    <n v="21304.799999999999"/>
    <n v="-2944.7999999999993"/>
    <n v="-883.43999999999971"/>
    <n v="-2061.3599999999997"/>
    <n v="-0.10104705882352939"/>
  </r>
  <r>
    <x v="6"/>
    <x v="1"/>
    <s v="March 2014"/>
    <n v="1"/>
    <x v="4"/>
    <x v="0"/>
    <x v="1"/>
    <s v="Worst"/>
    <n v="1200"/>
    <n v="17"/>
    <n v="0.1"/>
    <n v="0.18"/>
    <n v="18000"/>
    <n v="0.3"/>
    <n v="20400"/>
    <n v="18360"/>
    <n v="3304.7999999999997"/>
    <n v="21304.799999999999"/>
    <n v="-2944.7999999999993"/>
    <n v="-883.43999999999971"/>
    <n v="-2061.3599999999997"/>
    <n v="-0.10104705882352939"/>
  </r>
  <r>
    <x v="6"/>
    <x v="1"/>
    <s v="March 2014"/>
    <n v="1"/>
    <x v="4"/>
    <x v="0"/>
    <x v="2"/>
    <s v="Worst"/>
    <n v="1200"/>
    <n v="17"/>
    <n v="0.1"/>
    <n v="0.18"/>
    <n v="18000"/>
    <n v="0.3"/>
    <n v="20400"/>
    <n v="18360"/>
    <n v="3304.7999999999997"/>
    <n v="21304.799999999999"/>
    <n v="-2944.7999999999993"/>
    <n v="-883.43999999999971"/>
    <n v="-2061.3599999999997"/>
    <n v="-0.10104705882352939"/>
  </r>
  <r>
    <x v="6"/>
    <x v="1"/>
    <s v="March 2014"/>
    <n v="1"/>
    <x v="4"/>
    <x v="0"/>
    <x v="3"/>
    <s v="Worst"/>
    <n v="1200"/>
    <n v="17"/>
    <n v="0.1"/>
    <n v="0.18"/>
    <n v="18000"/>
    <n v="0.3"/>
    <n v="20400"/>
    <n v="18360"/>
    <n v="3304.7999999999997"/>
    <n v="21304.799999999999"/>
    <n v="-2944.7999999999993"/>
    <n v="-883.43999999999971"/>
    <n v="-2061.3599999999997"/>
    <n v="-0.10104705882352939"/>
  </r>
  <r>
    <x v="6"/>
    <x v="1"/>
    <s v="March 2014"/>
    <n v="1"/>
    <x v="4"/>
    <x v="0"/>
    <x v="4"/>
    <s v="Worst"/>
    <n v="1200"/>
    <n v="17"/>
    <n v="0.1"/>
    <n v="0.18"/>
    <n v="18000"/>
    <n v="0.3"/>
    <n v="20400"/>
    <n v="18360"/>
    <n v="3304.7999999999997"/>
    <n v="21304.799999999999"/>
    <n v="-2944.7999999999993"/>
    <n v="-883.43999999999971"/>
    <n v="-2061.3599999999997"/>
    <n v="-0.10104705882352939"/>
  </r>
  <r>
    <x v="6"/>
    <x v="1"/>
    <s v="March 2014"/>
    <n v="1"/>
    <x v="4"/>
    <x v="1"/>
    <x v="0"/>
    <s v="Worst"/>
    <n v="1200"/>
    <n v="17"/>
    <n v="0.1"/>
    <n v="0.18"/>
    <n v="18000"/>
    <n v="0.3"/>
    <n v="20400"/>
    <n v="18360"/>
    <n v="3304.7999999999997"/>
    <n v="21304.799999999999"/>
    <n v="-2944.7999999999993"/>
    <n v="-883.43999999999971"/>
    <n v="-2061.3599999999997"/>
    <n v="-0.10104705882352939"/>
  </r>
  <r>
    <x v="6"/>
    <x v="1"/>
    <s v="March 2014"/>
    <n v="1"/>
    <x v="4"/>
    <x v="1"/>
    <x v="1"/>
    <s v="Worst"/>
    <n v="1200"/>
    <n v="17"/>
    <n v="0.1"/>
    <n v="0.18"/>
    <n v="18000"/>
    <n v="0.3"/>
    <n v="20400"/>
    <n v="18360"/>
    <n v="3304.7999999999997"/>
    <n v="21304.799999999999"/>
    <n v="-2944.7999999999993"/>
    <n v="-883.43999999999971"/>
    <n v="-2061.3599999999997"/>
    <n v="-0.10104705882352939"/>
  </r>
  <r>
    <x v="6"/>
    <x v="1"/>
    <s v="March 2014"/>
    <n v="1"/>
    <x v="4"/>
    <x v="1"/>
    <x v="2"/>
    <s v="Worst"/>
    <n v="1200"/>
    <n v="17"/>
    <n v="0.1"/>
    <n v="0.18"/>
    <n v="18000"/>
    <n v="0.3"/>
    <n v="20400"/>
    <n v="18360"/>
    <n v="3304.7999999999997"/>
    <n v="21304.799999999999"/>
    <n v="-2944.7999999999993"/>
    <n v="-883.43999999999971"/>
    <n v="-2061.3599999999997"/>
    <n v="-0.10104705882352939"/>
  </r>
  <r>
    <x v="6"/>
    <x v="1"/>
    <s v="March 2014"/>
    <n v="1"/>
    <x v="4"/>
    <x v="1"/>
    <x v="3"/>
    <s v="Worst"/>
    <n v="1200"/>
    <n v="17"/>
    <n v="0.1"/>
    <n v="0.18"/>
    <n v="18000"/>
    <n v="0.3"/>
    <n v="20400"/>
    <n v="18360"/>
    <n v="3304.7999999999997"/>
    <n v="21304.799999999999"/>
    <n v="-2944.7999999999993"/>
    <n v="-883.43999999999971"/>
    <n v="-2061.3599999999997"/>
    <n v="-0.10104705882352939"/>
  </r>
  <r>
    <x v="6"/>
    <x v="1"/>
    <s v="March 2014"/>
    <n v="1"/>
    <x v="4"/>
    <x v="1"/>
    <x v="4"/>
    <s v="Worst"/>
    <n v="1200"/>
    <n v="17"/>
    <n v="0.1"/>
    <n v="0.18"/>
    <n v="18000"/>
    <n v="0.3"/>
    <n v="20400"/>
    <n v="18360"/>
    <n v="3304.7999999999997"/>
    <n v="21304.799999999999"/>
    <n v="-2944.7999999999993"/>
    <n v="-883.43999999999971"/>
    <n v="-2061.3599999999997"/>
    <n v="-0.10104705882352939"/>
  </r>
  <r>
    <x v="6"/>
    <x v="1"/>
    <s v="March 2014"/>
    <n v="1"/>
    <x v="4"/>
    <x v="2"/>
    <x v="0"/>
    <s v="Worst"/>
    <n v="1200"/>
    <n v="17"/>
    <n v="0.1"/>
    <n v="0.18"/>
    <n v="18000"/>
    <n v="0.3"/>
    <n v="20400"/>
    <n v="18360"/>
    <n v="3304.7999999999997"/>
    <n v="21304.799999999999"/>
    <n v="-2944.7999999999993"/>
    <n v="-883.43999999999971"/>
    <n v="-2061.3599999999997"/>
    <n v="-0.10104705882352939"/>
  </r>
  <r>
    <x v="6"/>
    <x v="1"/>
    <s v="March 2014"/>
    <n v="1"/>
    <x v="4"/>
    <x v="2"/>
    <x v="1"/>
    <s v="Worst"/>
    <n v="1200"/>
    <n v="17"/>
    <n v="0.1"/>
    <n v="0.18"/>
    <n v="18000"/>
    <n v="0.3"/>
    <n v="20400"/>
    <n v="18360"/>
    <n v="3304.7999999999997"/>
    <n v="21304.799999999999"/>
    <n v="-2944.7999999999993"/>
    <n v="-883.43999999999971"/>
    <n v="-2061.3599999999997"/>
    <n v="-0.10104705882352939"/>
  </r>
  <r>
    <x v="6"/>
    <x v="1"/>
    <s v="March 2014"/>
    <n v="1"/>
    <x v="4"/>
    <x v="2"/>
    <x v="2"/>
    <s v="Worst"/>
    <n v="1200"/>
    <n v="17"/>
    <n v="0.1"/>
    <n v="0.18"/>
    <n v="18000"/>
    <n v="0.3"/>
    <n v="20400"/>
    <n v="18360"/>
    <n v="3304.7999999999997"/>
    <n v="21304.799999999999"/>
    <n v="-2944.7999999999993"/>
    <n v="-883.43999999999971"/>
    <n v="-2061.3599999999997"/>
    <n v="-0.10104705882352939"/>
  </r>
  <r>
    <x v="6"/>
    <x v="1"/>
    <s v="March 2014"/>
    <n v="1"/>
    <x v="4"/>
    <x v="2"/>
    <x v="3"/>
    <s v="Worst"/>
    <n v="1200"/>
    <n v="17"/>
    <n v="0.1"/>
    <n v="0.18"/>
    <n v="18000"/>
    <n v="0.3"/>
    <n v="20400"/>
    <n v="18360"/>
    <n v="3304.7999999999997"/>
    <n v="21304.799999999999"/>
    <n v="-2944.7999999999993"/>
    <n v="-883.43999999999971"/>
    <n v="-2061.3599999999997"/>
    <n v="-0.10104705882352939"/>
  </r>
  <r>
    <x v="6"/>
    <x v="1"/>
    <s v="March 2014"/>
    <n v="1"/>
    <x v="4"/>
    <x v="2"/>
    <x v="4"/>
    <s v="Worst"/>
    <n v="1200"/>
    <n v="17"/>
    <n v="0.1"/>
    <n v="0.18"/>
    <n v="18000"/>
    <n v="0.3"/>
    <n v="20400"/>
    <n v="18360"/>
    <n v="3304.7999999999997"/>
    <n v="21304.799999999999"/>
    <n v="-2944.7999999999993"/>
    <n v="-883.43999999999971"/>
    <n v="-2061.3599999999997"/>
    <n v="-0.10104705882352939"/>
  </r>
  <r>
    <x v="6"/>
    <x v="1"/>
    <s v="March 2014"/>
    <n v="1"/>
    <x v="4"/>
    <x v="3"/>
    <x v="0"/>
    <s v="Worst"/>
    <n v="1200"/>
    <n v="17"/>
    <n v="0.1"/>
    <n v="0.18"/>
    <n v="18000"/>
    <n v="0.3"/>
    <n v="20400"/>
    <n v="18360"/>
    <n v="3304.7999999999997"/>
    <n v="21304.799999999999"/>
    <n v="-2944.7999999999993"/>
    <n v="-883.43999999999971"/>
    <n v="-2061.3599999999997"/>
    <n v="-0.10104705882352939"/>
  </r>
  <r>
    <x v="6"/>
    <x v="1"/>
    <s v="March 2014"/>
    <n v="1"/>
    <x v="4"/>
    <x v="3"/>
    <x v="1"/>
    <s v="Worst"/>
    <n v="1200"/>
    <n v="17"/>
    <n v="0.1"/>
    <n v="0.18"/>
    <n v="18000"/>
    <n v="0.3"/>
    <n v="20400"/>
    <n v="18360"/>
    <n v="3304.7999999999997"/>
    <n v="21304.799999999999"/>
    <n v="-2944.7999999999993"/>
    <n v="-883.43999999999971"/>
    <n v="-2061.3599999999997"/>
    <n v="-0.10104705882352939"/>
  </r>
  <r>
    <x v="6"/>
    <x v="1"/>
    <s v="March 2014"/>
    <n v="1"/>
    <x v="4"/>
    <x v="3"/>
    <x v="2"/>
    <s v="Worst"/>
    <n v="1200"/>
    <n v="17"/>
    <n v="0.1"/>
    <n v="0.18"/>
    <n v="18000"/>
    <n v="0.3"/>
    <n v="20400"/>
    <n v="18360"/>
    <n v="3304.7999999999997"/>
    <n v="21304.799999999999"/>
    <n v="-2944.7999999999993"/>
    <n v="-883.43999999999971"/>
    <n v="-2061.3599999999997"/>
    <n v="-0.10104705882352939"/>
  </r>
  <r>
    <x v="6"/>
    <x v="1"/>
    <s v="March 2014"/>
    <n v="1"/>
    <x v="4"/>
    <x v="3"/>
    <x v="3"/>
    <s v="Worst"/>
    <n v="1200"/>
    <n v="17"/>
    <n v="0.1"/>
    <n v="0.18"/>
    <n v="18000"/>
    <n v="0.3"/>
    <n v="20400"/>
    <n v="18360"/>
    <n v="3304.7999999999997"/>
    <n v="21304.799999999999"/>
    <n v="-2944.7999999999993"/>
    <n v="-883.43999999999971"/>
    <n v="-2061.3599999999997"/>
    <n v="-0.10104705882352939"/>
  </r>
  <r>
    <x v="6"/>
    <x v="1"/>
    <s v="March 2014"/>
    <n v="1"/>
    <x v="4"/>
    <x v="3"/>
    <x v="4"/>
    <s v="Worst"/>
    <n v="1200"/>
    <n v="17"/>
    <n v="0.1"/>
    <n v="0.18"/>
    <n v="18000"/>
    <n v="0.3"/>
    <n v="20400"/>
    <n v="18360"/>
    <n v="3304.7999999999997"/>
    <n v="21304.799999999999"/>
    <n v="-2944.7999999999993"/>
    <n v="-883.43999999999971"/>
    <n v="-2061.3599999999997"/>
    <n v="-0.10104705882352939"/>
  </r>
  <r>
    <x v="6"/>
    <x v="1"/>
    <s v="March 2014"/>
    <n v="1"/>
    <x v="4"/>
    <x v="4"/>
    <x v="0"/>
    <s v="Worst"/>
    <n v="1200"/>
    <n v="17"/>
    <n v="0.1"/>
    <n v="0.18"/>
    <n v="18000"/>
    <n v="0.3"/>
    <n v="20400"/>
    <n v="18360"/>
    <n v="3304.7999999999997"/>
    <n v="21304.799999999999"/>
    <n v="-2944.7999999999993"/>
    <n v="-883.43999999999971"/>
    <n v="-2061.3599999999997"/>
    <n v="-0.10104705882352939"/>
  </r>
  <r>
    <x v="6"/>
    <x v="1"/>
    <s v="March 2014"/>
    <n v="1"/>
    <x v="4"/>
    <x v="4"/>
    <x v="1"/>
    <s v="Worst"/>
    <n v="1200"/>
    <n v="17"/>
    <n v="0.1"/>
    <n v="0.18"/>
    <n v="18000"/>
    <n v="0.3"/>
    <n v="20400"/>
    <n v="18360"/>
    <n v="3304.7999999999997"/>
    <n v="21304.799999999999"/>
    <n v="-2944.7999999999993"/>
    <n v="-883.43999999999971"/>
    <n v="-2061.3599999999997"/>
    <n v="-0.10104705882352939"/>
  </r>
  <r>
    <x v="6"/>
    <x v="1"/>
    <s v="March 2014"/>
    <n v="1"/>
    <x v="4"/>
    <x v="4"/>
    <x v="2"/>
    <s v="Worst"/>
    <n v="1200"/>
    <n v="17"/>
    <n v="0.1"/>
    <n v="0.18"/>
    <n v="18000"/>
    <n v="0.3"/>
    <n v="20400"/>
    <n v="18360"/>
    <n v="3304.7999999999997"/>
    <n v="21304.799999999999"/>
    <n v="-2944.7999999999993"/>
    <n v="-883.43999999999971"/>
    <n v="-2061.3599999999997"/>
    <n v="-0.10104705882352939"/>
  </r>
  <r>
    <x v="6"/>
    <x v="1"/>
    <s v="March 2014"/>
    <n v="1"/>
    <x v="4"/>
    <x v="4"/>
    <x v="3"/>
    <s v="Worst"/>
    <n v="1200"/>
    <n v="17"/>
    <n v="0.1"/>
    <n v="0.18"/>
    <n v="18000"/>
    <n v="0.3"/>
    <n v="20400"/>
    <n v="18360"/>
    <n v="3304.7999999999997"/>
    <n v="21304.799999999999"/>
    <n v="-2944.7999999999993"/>
    <n v="-883.43999999999971"/>
    <n v="-2061.3599999999997"/>
    <n v="-0.10104705882352939"/>
  </r>
  <r>
    <x v="6"/>
    <x v="1"/>
    <s v="March 2014"/>
    <n v="1"/>
    <x v="4"/>
    <x v="4"/>
    <x v="4"/>
    <s v="Worst"/>
    <n v="1200"/>
    <n v="17"/>
    <n v="0.1"/>
    <n v="0.18"/>
    <n v="18000"/>
    <n v="0.3"/>
    <n v="20400"/>
    <n v="18360"/>
    <n v="3304.7999999999997"/>
    <n v="21304.799999999999"/>
    <n v="-2944.7999999999993"/>
    <n v="-883.43999999999971"/>
    <n v="-2061.3599999999997"/>
    <n v="-0.10104705882352939"/>
  </r>
  <r>
    <x v="7"/>
    <x v="1"/>
    <s v="April 2014"/>
    <n v="1"/>
    <x v="0"/>
    <x v="0"/>
    <x v="0"/>
    <s v="Worst"/>
    <n v="1200"/>
    <n v="17"/>
    <n v="0.1"/>
    <n v="0.18"/>
    <n v="18000"/>
    <n v="0.3"/>
    <n v="20400"/>
    <n v="18360"/>
    <n v="3304.7999999999997"/>
    <n v="21304.799999999999"/>
    <n v="-2944.7999999999993"/>
    <n v="-883.43999999999971"/>
    <n v="-2061.3599999999997"/>
    <n v="-0.10104705882352939"/>
  </r>
  <r>
    <x v="7"/>
    <x v="1"/>
    <s v="April 2014"/>
    <n v="1"/>
    <x v="0"/>
    <x v="0"/>
    <x v="1"/>
    <s v="Worst"/>
    <n v="1200"/>
    <n v="17"/>
    <n v="0.1"/>
    <n v="0.18"/>
    <n v="18000"/>
    <n v="0.3"/>
    <n v="20400"/>
    <n v="18360"/>
    <n v="3304.7999999999997"/>
    <n v="21304.799999999999"/>
    <n v="-2944.7999999999993"/>
    <n v="-883.43999999999971"/>
    <n v="-2061.3599999999997"/>
    <n v="-0.10104705882352939"/>
  </r>
  <r>
    <x v="7"/>
    <x v="1"/>
    <s v="April 2014"/>
    <n v="1"/>
    <x v="0"/>
    <x v="0"/>
    <x v="2"/>
    <s v="Worst"/>
    <n v="1200"/>
    <n v="17"/>
    <n v="0.1"/>
    <n v="0.18"/>
    <n v="18000"/>
    <n v="0.3"/>
    <n v="20400"/>
    <n v="18360"/>
    <n v="3304.7999999999997"/>
    <n v="21304.799999999999"/>
    <n v="-2944.7999999999993"/>
    <n v="-883.43999999999971"/>
    <n v="-2061.3599999999997"/>
    <n v="-0.10104705882352939"/>
  </r>
  <r>
    <x v="7"/>
    <x v="1"/>
    <s v="April 2014"/>
    <n v="1"/>
    <x v="0"/>
    <x v="0"/>
    <x v="3"/>
    <s v="Worst"/>
    <n v="1200"/>
    <n v="17"/>
    <n v="0.1"/>
    <n v="0.18"/>
    <n v="18000"/>
    <n v="0.3"/>
    <n v="20400"/>
    <n v="18360"/>
    <n v="3304.7999999999997"/>
    <n v="21304.799999999999"/>
    <n v="-2944.7999999999993"/>
    <n v="-883.43999999999971"/>
    <n v="-2061.3599999999997"/>
    <n v="-0.10104705882352939"/>
  </r>
  <r>
    <x v="7"/>
    <x v="1"/>
    <s v="April 2014"/>
    <n v="1"/>
    <x v="0"/>
    <x v="0"/>
    <x v="4"/>
    <s v="Worst"/>
    <n v="1200"/>
    <n v="17"/>
    <n v="0.1"/>
    <n v="0.18"/>
    <n v="18000"/>
    <n v="0.3"/>
    <n v="20400"/>
    <n v="18360"/>
    <n v="3304.7999999999997"/>
    <n v="21304.799999999999"/>
    <n v="-2944.7999999999993"/>
    <n v="-883.43999999999971"/>
    <n v="-2061.3599999999997"/>
    <n v="-0.10104705882352939"/>
  </r>
  <r>
    <x v="7"/>
    <x v="1"/>
    <s v="April 2014"/>
    <n v="1"/>
    <x v="0"/>
    <x v="1"/>
    <x v="0"/>
    <s v="Worst"/>
    <n v="1200"/>
    <n v="17"/>
    <n v="0.1"/>
    <n v="0.18"/>
    <n v="18000"/>
    <n v="0.3"/>
    <n v="20400"/>
    <n v="18360"/>
    <n v="3304.7999999999997"/>
    <n v="21304.799999999999"/>
    <n v="-2944.7999999999993"/>
    <n v="-883.43999999999971"/>
    <n v="-2061.3599999999997"/>
    <n v="-0.10104705882352939"/>
  </r>
  <r>
    <x v="7"/>
    <x v="1"/>
    <s v="April 2014"/>
    <n v="1"/>
    <x v="0"/>
    <x v="1"/>
    <x v="1"/>
    <s v="Worst"/>
    <n v="1200"/>
    <n v="17"/>
    <n v="0.1"/>
    <n v="0.18"/>
    <n v="18000"/>
    <n v="0.3"/>
    <n v="20400"/>
    <n v="18360"/>
    <n v="3304.7999999999997"/>
    <n v="21304.799999999999"/>
    <n v="-2944.7999999999993"/>
    <n v="-883.43999999999971"/>
    <n v="-2061.3599999999997"/>
    <n v="-0.10104705882352939"/>
  </r>
  <r>
    <x v="7"/>
    <x v="1"/>
    <s v="April 2014"/>
    <n v="1"/>
    <x v="0"/>
    <x v="1"/>
    <x v="2"/>
    <s v="Worst"/>
    <n v="1200"/>
    <n v="17"/>
    <n v="0.1"/>
    <n v="0.18"/>
    <n v="18000"/>
    <n v="0.3"/>
    <n v="20400"/>
    <n v="18360"/>
    <n v="3304.7999999999997"/>
    <n v="21304.799999999999"/>
    <n v="-2944.7999999999993"/>
    <n v="-883.43999999999971"/>
    <n v="-2061.3599999999997"/>
    <n v="-0.10104705882352939"/>
  </r>
  <r>
    <x v="7"/>
    <x v="1"/>
    <s v="April 2014"/>
    <n v="1"/>
    <x v="0"/>
    <x v="1"/>
    <x v="3"/>
    <s v="Worst"/>
    <n v="1200"/>
    <n v="17"/>
    <n v="0.1"/>
    <n v="0.18"/>
    <n v="18000"/>
    <n v="0.3"/>
    <n v="20400"/>
    <n v="18360"/>
    <n v="3304.7999999999997"/>
    <n v="21304.799999999999"/>
    <n v="-2944.7999999999993"/>
    <n v="-883.43999999999971"/>
    <n v="-2061.3599999999997"/>
    <n v="-0.10104705882352939"/>
  </r>
  <r>
    <x v="7"/>
    <x v="1"/>
    <s v="April 2014"/>
    <n v="1"/>
    <x v="0"/>
    <x v="1"/>
    <x v="4"/>
    <s v="Worst"/>
    <n v="1200"/>
    <n v="17"/>
    <n v="0.1"/>
    <n v="0.18"/>
    <n v="18000"/>
    <n v="0.3"/>
    <n v="20400"/>
    <n v="18360"/>
    <n v="3304.7999999999997"/>
    <n v="21304.799999999999"/>
    <n v="-2944.7999999999993"/>
    <n v="-883.43999999999971"/>
    <n v="-2061.3599999999997"/>
    <n v="-0.10104705882352939"/>
  </r>
  <r>
    <x v="7"/>
    <x v="1"/>
    <s v="April 2014"/>
    <n v="1"/>
    <x v="0"/>
    <x v="2"/>
    <x v="0"/>
    <s v="Worst"/>
    <n v="1200"/>
    <n v="17"/>
    <n v="0.1"/>
    <n v="0.18"/>
    <n v="18000"/>
    <n v="0.3"/>
    <n v="20400"/>
    <n v="18360"/>
    <n v="3304.7999999999997"/>
    <n v="21304.799999999999"/>
    <n v="-2944.7999999999993"/>
    <n v="-883.43999999999971"/>
    <n v="-2061.3599999999997"/>
    <n v="-0.10104705882352939"/>
  </r>
  <r>
    <x v="7"/>
    <x v="1"/>
    <s v="April 2014"/>
    <n v="1"/>
    <x v="0"/>
    <x v="2"/>
    <x v="1"/>
    <s v="Worst"/>
    <n v="1200"/>
    <n v="17"/>
    <n v="0.1"/>
    <n v="0.18"/>
    <n v="18000"/>
    <n v="0.3"/>
    <n v="20400"/>
    <n v="18360"/>
    <n v="3304.7999999999997"/>
    <n v="21304.799999999999"/>
    <n v="-2944.7999999999993"/>
    <n v="-883.43999999999971"/>
    <n v="-2061.3599999999997"/>
    <n v="-0.10104705882352939"/>
  </r>
  <r>
    <x v="7"/>
    <x v="1"/>
    <s v="April 2014"/>
    <n v="1"/>
    <x v="0"/>
    <x v="2"/>
    <x v="2"/>
    <s v="Worst"/>
    <n v="1200"/>
    <n v="17"/>
    <n v="0.1"/>
    <n v="0.18"/>
    <n v="18000"/>
    <n v="0.3"/>
    <n v="20400"/>
    <n v="18360"/>
    <n v="3304.7999999999997"/>
    <n v="21304.799999999999"/>
    <n v="-2944.7999999999993"/>
    <n v="-883.43999999999971"/>
    <n v="-2061.3599999999997"/>
    <n v="-0.10104705882352939"/>
  </r>
  <r>
    <x v="7"/>
    <x v="1"/>
    <s v="April 2014"/>
    <n v="1"/>
    <x v="0"/>
    <x v="2"/>
    <x v="3"/>
    <s v="Worst"/>
    <n v="1200"/>
    <n v="17"/>
    <n v="0.1"/>
    <n v="0.18"/>
    <n v="18000"/>
    <n v="0.3"/>
    <n v="20400"/>
    <n v="18360"/>
    <n v="3304.7999999999997"/>
    <n v="21304.799999999999"/>
    <n v="-2944.7999999999993"/>
    <n v="-883.43999999999971"/>
    <n v="-2061.3599999999997"/>
    <n v="-0.10104705882352939"/>
  </r>
  <r>
    <x v="7"/>
    <x v="1"/>
    <s v="April 2014"/>
    <n v="1"/>
    <x v="0"/>
    <x v="2"/>
    <x v="4"/>
    <s v="Worst"/>
    <n v="1200"/>
    <n v="17"/>
    <n v="0.1"/>
    <n v="0.18"/>
    <n v="18000"/>
    <n v="0.3"/>
    <n v="20400"/>
    <n v="18360"/>
    <n v="3304.7999999999997"/>
    <n v="21304.799999999999"/>
    <n v="-2944.7999999999993"/>
    <n v="-883.43999999999971"/>
    <n v="-2061.3599999999997"/>
    <n v="-0.10104705882352939"/>
  </r>
  <r>
    <x v="7"/>
    <x v="1"/>
    <s v="April 2014"/>
    <n v="1"/>
    <x v="0"/>
    <x v="3"/>
    <x v="0"/>
    <s v="Worst"/>
    <n v="1200"/>
    <n v="17"/>
    <n v="0.1"/>
    <n v="0.18"/>
    <n v="18000"/>
    <n v="0.3"/>
    <n v="20400"/>
    <n v="18360"/>
    <n v="3304.7999999999997"/>
    <n v="21304.799999999999"/>
    <n v="-2944.7999999999993"/>
    <n v="-883.43999999999971"/>
    <n v="-2061.3599999999997"/>
    <n v="-0.10104705882352939"/>
  </r>
  <r>
    <x v="7"/>
    <x v="1"/>
    <s v="April 2014"/>
    <n v="1"/>
    <x v="0"/>
    <x v="3"/>
    <x v="1"/>
    <s v="Worst"/>
    <n v="1200"/>
    <n v="17"/>
    <n v="0.1"/>
    <n v="0.18"/>
    <n v="18000"/>
    <n v="0.3"/>
    <n v="20400"/>
    <n v="18360"/>
    <n v="3304.7999999999997"/>
    <n v="21304.799999999999"/>
    <n v="-2944.7999999999993"/>
    <n v="-883.43999999999971"/>
    <n v="-2061.3599999999997"/>
    <n v="-0.10104705882352939"/>
  </r>
  <r>
    <x v="7"/>
    <x v="1"/>
    <s v="April 2014"/>
    <n v="1"/>
    <x v="0"/>
    <x v="3"/>
    <x v="2"/>
    <s v="Worst"/>
    <n v="1200"/>
    <n v="17"/>
    <n v="0.1"/>
    <n v="0.18"/>
    <n v="18000"/>
    <n v="0.3"/>
    <n v="20400"/>
    <n v="18360"/>
    <n v="3304.7999999999997"/>
    <n v="21304.799999999999"/>
    <n v="-2944.7999999999993"/>
    <n v="-883.43999999999971"/>
    <n v="-2061.3599999999997"/>
    <n v="-0.10104705882352939"/>
  </r>
  <r>
    <x v="7"/>
    <x v="1"/>
    <s v="April 2014"/>
    <n v="1"/>
    <x v="0"/>
    <x v="3"/>
    <x v="3"/>
    <s v="Worst"/>
    <n v="1200"/>
    <n v="17"/>
    <n v="0.1"/>
    <n v="0.18"/>
    <n v="18000"/>
    <n v="0.3"/>
    <n v="20400"/>
    <n v="18360"/>
    <n v="3304.7999999999997"/>
    <n v="21304.799999999999"/>
    <n v="-2944.7999999999993"/>
    <n v="-883.43999999999971"/>
    <n v="-2061.3599999999997"/>
    <n v="-0.10104705882352939"/>
  </r>
  <r>
    <x v="7"/>
    <x v="1"/>
    <s v="April 2014"/>
    <n v="1"/>
    <x v="0"/>
    <x v="3"/>
    <x v="4"/>
    <s v="Worst"/>
    <n v="1200"/>
    <n v="17"/>
    <n v="0.1"/>
    <n v="0.18"/>
    <n v="18000"/>
    <n v="0.3"/>
    <n v="20400"/>
    <n v="18360"/>
    <n v="3304.7999999999997"/>
    <n v="21304.799999999999"/>
    <n v="-2944.7999999999993"/>
    <n v="-883.43999999999971"/>
    <n v="-2061.3599999999997"/>
    <n v="-0.10104705882352939"/>
  </r>
  <r>
    <x v="7"/>
    <x v="1"/>
    <s v="April 2014"/>
    <n v="1"/>
    <x v="0"/>
    <x v="4"/>
    <x v="0"/>
    <s v="Worst"/>
    <n v="1200"/>
    <n v="17"/>
    <n v="0.1"/>
    <n v="0.18"/>
    <n v="18000"/>
    <n v="0.3"/>
    <n v="20400"/>
    <n v="18360"/>
    <n v="3304.7999999999997"/>
    <n v="21304.799999999999"/>
    <n v="-2944.7999999999993"/>
    <n v="-883.43999999999971"/>
    <n v="-2061.3599999999997"/>
    <n v="-0.10104705882352939"/>
  </r>
  <r>
    <x v="7"/>
    <x v="1"/>
    <s v="April 2014"/>
    <n v="1"/>
    <x v="0"/>
    <x v="4"/>
    <x v="1"/>
    <s v="Worst"/>
    <n v="1200"/>
    <n v="17"/>
    <n v="0.1"/>
    <n v="0.18"/>
    <n v="18000"/>
    <n v="0.3"/>
    <n v="20400"/>
    <n v="18360"/>
    <n v="3304.7999999999997"/>
    <n v="21304.799999999999"/>
    <n v="-2944.7999999999993"/>
    <n v="-883.43999999999971"/>
    <n v="-2061.3599999999997"/>
    <n v="-0.10104705882352939"/>
  </r>
  <r>
    <x v="7"/>
    <x v="1"/>
    <s v="April 2014"/>
    <n v="1"/>
    <x v="0"/>
    <x v="4"/>
    <x v="2"/>
    <s v="Worst"/>
    <n v="1200"/>
    <n v="17"/>
    <n v="0.1"/>
    <n v="0.18"/>
    <n v="18000"/>
    <n v="0.3"/>
    <n v="20400"/>
    <n v="18360"/>
    <n v="3304.7999999999997"/>
    <n v="21304.799999999999"/>
    <n v="-2944.7999999999993"/>
    <n v="-883.43999999999971"/>
    <n v="-2061.3599999999997"/>
    <n v="-0.10104705882352939"/>
  </r>
  <r>
    <x v="7"/>
    <x v="1"/>
    <s v="April 2014"/>
    <n v="1"/>
    <x v="0"/>
    <x v="4"/>
    <x v="3"/>
    <s v="Worst"/>
    <n v="1200"/>
    <n v="17"/>
    <n v="0.1"/>
    <n v="0.18"/>
    <n v="18000"/>
    <n v="0.3"/>
    <n v="20400"/>
    <n v="18360"/>
    <n v="3304.7999999999997"/>
    <n v="21304.799999999999"/>
    <n v="-2944.7999999999993"/>
    <n v="-883.43999999999971"/>
    <n v="-2061.3599999999997"/>
    <n v="-0.10104705882352939"/>
  </r>
  <r>
    <x v="7"/>
    <x v="1"/>
    <s v="April 2014"/>
    <n v="1"/>
    <x v="0"/>
    <x v="4"/>
    <x v="4"/>
    <s v="Worst"/>
    <n v="1200"/>
    <n v="17"/>
    <n v="0.1"/>
    <n v="0.18"/>
    <n v="18000"/>
    <n v="0.3"/>
    <n v="20400"/>
    <n v="18360"/>
    <n v="3304.7999999999997"/>
    <n v="21304.799999999999"/>
    <n v="-2944.7999999999993"/>
    <n v="-883.43999999999971"/>
    <n v="-2061.3599999999997"/>
    <n v="-0.10104705882352939"/>
  </r>
  <r>
    <x v="7"/>
    <x v="1"/>
    <s v="April 2014"/>
    <n v="1"/>
    <x v="1"/>
    <x v="0"/>
    <x v="0"/>
    <s v="Worst"/>
    <n v="1200"/>
    <n v="17"/>
    <n v="0.1"/>
    <n v="0.18"/>
    <n v="18000"/>
    <n v="0.3"/>
    <n v="20400"/>
    <n v="18360"/>
    <n v="3304.7999999999997"/>
    <n v="21304.799999999999"/>
    <n v="-2944.7999999999993"/>
    <n v="-883.43999999999971"/>
    <n v="-2061.3599999999997"/>
    <n v="-0.10104705882352939"/>
  </r>
  <r>
    <x v="7"/>
    <x v="1"/>
    <s v="April 2014"/>
    <n v="1"/>
    <x v="1"/>
    <x v="0"/>
    <x v="1"/>
    <s v="Worst"/>
    <n v="1200"/>
    <n v="17"/>
    <n v="0.1"/>
    <n v="0.18"/>
    <n v="18000"/>
    <n v="0.3"/>
    <n v="20400"/>
    <n v="18360"/>
    <n v="3304.7999999999997"/>
    <n v="21304.799999999999"/>
    <n v="-2944.7999999999993"/>
    <n v="-883.43999999999971"/>
    <n v="-2061.3599999999997"/>
    <n v="-0.10104705882352939"/>
  </r>
  <r>
    <x v="7"/>
    <x v="1"/>
    <s v="April 2014"/>
    <n v="1"/>
    <x v="1"/>
    <x v="0"/>
    <x v="2"/>
    <s v="Worst"/>
    <n v="1200"/>
    <n v="17"/>
    <n v="0.1"/>
    <n v="0.18"/>
    <n v="18000"/>
    <n v="0.3"/>
    <n v="20400"/>
    <n v="18360"/>
    <n v="3304.7999999999997"/>
    <n v="21304.799999999999"/>
    <n v="-2944.7999999999993"/>
    <n v="-883.43999999999971"/>
    <n v="-2061.3599999999997"/>
    <n v="-0.10104705882352939"/>
  </r>
  <r>
    <x v="7"/>
    <x v="1"/>
    <s v="April 2014"/>
    <n v="1"/>
    <x v="1"/>
    <x v="0"/>
    <x v="3"/>
    <s v="Worst"/>
    <n v="1200"/>
    <n v="17"/>
    <n v="0.1"/>
    <n v="0.18"/>
    <n v="18000"/>
    <n v="0.3"/>
    <n v="20400"/>
    <n v="18360"/>
    <n v="3304.7999999999997"/>
    <n v="21304.799999999999"/>
    <n v="-2944.7999999999993"/>
    <n v="-883.43999999999971"/>
    <n v="-2061.3599999999997"/>
    <n v="-0.10104705882352939"/>
  </r>
  <r>
    <x v="7"/>
    <x v="1"/>
    <s v="April 2014"/>
    <n v="1"/>
    <x v="1"/>
    <x v="0"/>
    <x v="4"/>
    <s v="Worst"/>
    <n v="1200"/>
    <n v="17"/>
    <n v="0.1"/>
    <n v="0.18"/>
    <n v="18000"/>
    <n v="0.3"/>
    <n v="20400"/>
    <n v="18360"/>
    <n v="3304.7999999999997"/>
    <n v="21304.799999999999"/>
    <n v="-2944.7999999999993"/>
    <n v="-883.43999999999971"/>
    <n v="-2061.3599999999997"/>
    <n v="-0.10104705882352939"/>
  </r>
  <r>
    <x v="7"/>
    <x v="1"/>
    <s v="April 2014"/>
    <n v="1"/>
    <x v="1"/>
    <x v="1"/>
    <x v="0"/>
    <s v="Worst"/>
    <n v="1200"/>
    <n v="17"/>
    <n v="0.1"/>
    <n v="0.18"/>
    <n v="18000"/>
    <n v="0.3"/>
    <n v="20400"/>
    <n v="18360"/>
    <n v="3304.7999999999997"/>
    <n v="21304.799999999999"/>
    <n v="-2944.7999999999993"/>
    <n v="-883.43999999999971"/>
    <n v="-2061.3599999999997"/>
    <n v="-0.10104705882352939"/>
  </r>
  <r>
    <x v="7"/>
    <x v="1"/>
    <s v="April 2014"/>
    <n v="1"/>
    <x v="1"/>
    <x v="1"/>
    <x v="1"/>
    <s v="Worst"/>
    <n v="1200"/>
    <n v="17"/>
    <n v="0.1"/>
    <n v="0.18"/>
    <n v="18000"/>
    <n v="0.3"/>
    <n v="20400"/>
    <n v="18360"/>
    <n v="3304.7999999999997"/>
    <n v="21304.799999999999"/>
    <n v="-2944.7999999999993"/>
    <n v="-883.43999999999971"/>
    <n v="-2061.3599999999997"/>
    <n v="-0.10104705882352939"/>
  </r>
  <r>
    <x v="7"/>
    <x v="1"/>
    <s v="April 2014"/>
    <n v="1"/>
    <x v="1"/>
    <x v="1"/>
    <x v="2"/>
    <s v="Worst"/>
    <n v="1200"/>
    <n v="17"/>
    <n v="0.1"/>
    <n v="0.18"/>
    <n v="18000"/>
    <n v="0.3"/>
    <n v="20400"/>
    <n v="18360"/>
    <n v="3304.7999999999997"/>
    <n v="21304.799999999999"/>
    <n v="-2944.7999999999993"/>
    <n v="-883.43999999999971"/>
    <n v="-2061.3599999999997"/>
    <n v="-0.10104705882352939"/>
  </r>
  <r>
    <x v="7"/>
    <x v="1"/>
    <s v="April 2014"/>
    <n v="1"/>
    <x v="1"/>
    <x v="1"/>
    <x v="3"/>
    <s v="Worst"/>
    <n v="1200"/>
    <n v="17"/>
    <n v="0.1"/>
    <n v="0.18"/>
    <n v="18000"/>
    <n v="0.3"/>
    <n v="20400"/>
    <n v="18360"/>
    <n v="3304.7999999999997"/>
    <n v="21304.799999999999"/>
    <n v="-2944.7999999999993"/>
    <n v="-883.43999999999971"/>
    <n v="-2061.3599999999997"/>
    <n v="-0.10104705882352939"/>
  </r>
  <r>
    <x v="7"/>
    <x v="1"/>
    <s v="April 2014"/>
    <n v="1"/>
    <x v="1"/>
    <x v="1"/>
    <x v="4"/>
    <s v="Worst"/>
    <n v="1200"/>
    <n v="17"/>
    <n v="0.1"/>
    <n v="0.18"/>
    <n v="18000"/>
    <n v="0.3"/>
    <n v="20400"/>
    <n v="18360"/>
    <n v="3304.7999999999997"/>
    <n v="21304.799999999999"/>
    <n v="-2944.7999999999993"/>
    <n v="-883.43999999999971"/>
    <n v="-2061.3599999999997"/>
    <n v="-0.10104705882352939"/>
  </r>
  <r>
    <x v="7"/>
    <x v="1"/>
    <s v="April 2014"/>
    <n v="1"/>
    <x v="1"/>
    <x v="2"/>
    <x v="0"/>
    <s v="Worst"/>
    <n v="1200"/>
    <n v="17"/>
    <n v="0.1"/>
    <n v="0.18"/>
    <n v="18000"/>
    <n v="0.3"/>
    <n v="20400"/>
    <n v="18360"/>
    <n v="3304.7999999999997"/>
    <n v="21304.799999999999"/>
    <n v="-2944.7999999999993"/>
    <n v="-883.43999999999971"/>
    <n v="-2061.3599999999997"/>
    <n v="-0.10104705882352939"/>
  </r>
  <r>
    <x v="7"/>
    <x v="1"/>
    <s v="April 2014"/>
    <n v="1"/>
    <x v="1"/>
    <x v="2"/>
    <x v="1"/>
    <s v="Worst"/>
    <n v="1200"/>
    <n v="17"/>
    <n v="0.1"/>
    <n v="0.18"/>
    <n v="18000"/>
    <n v="0.3"/>
    <n v="20400"/>
    <n v="18360"/>
    <n v="3304.7999999999997"/>
    <n v="21304.799999999999"/>
    <n v="-2944.7999999999993"/>
    <n v="-883.43999999999971"/>
    <n v="-2061.3599999999997"/>
    <n v="-0.10104705882352939"/>
  </r>
  <r>
    <x v="7"/>
    <x v="1"/>
    <s v="April 2014"/>
    <n v="1"/>
    <x v="1"/>
    <x v="2"/>
    <x v="2"/>
    <s v="Worst"/>
    <n v="1200"/>
    <n v="17"/>
    <n v="0.1"/>
    <n v="0.18"/>
    <n v="18000"/>
    <n v="0.3"/>
    <n v="20400"/>
    <n v="18360"/>
    <n v="3304.7999999999997"/>
    <n v="21304.799999999999"/>
    <n v="-2944.7999999999993"/>
    <n v="-883.43999999999971"/>
    <n v="-2061.3599999999997"/>
    <n v="-0.10104705882352939"/>
  </r>
  <r>
    <x v="7"/>
    <x v="1"/>
    <s v="April 2014"/>
    <n v="1"/>
    <x v="1"/>
    <x v="2"/>
    <x v="3"/>
    <s v="Worst"/>
    <n v="1200"/>
    <n v="17"/>
    <n v="0.1"/>
    <n v="0.18"/>
    <n v="18000"/>
    <n v="0.3"/>
    <n v="20400"/>
    <n v="18360"/>
    <n v="3304.7999999999997"/>
    <n v="21304.799999999999"/>
    <n v="-2944.7999999999993"/>
    <n v="-883.43999999999971"/>
    <n v="-2061.3599999999997"/>
    <n v="-0.10104705882352939"/>
  </r>
  <r>
    <x v="7"/>
    <x v="1"/>
    <s v="April 2014"/>
    <n v="1"/>
    <x v="1"/>
    <x v="2"/>
    <x v="4"/>
    <s v="Worst"/>
    <n v="1200"/>
    <n v="17"/>
    <n v="0.1"/>
    <n v="0.18"/>
    <n v="18000"/>
    <n v="0.3"/>
    <n v="20400"/>
    <n v="18360"/>
    <n v="3304.7999999999997"/>
    <n v="21304.799999999999"/>
    <n v="-2944.7999999999993"/>
    <n v="-883.43999999999971"/>
    <n v="-2061.3599999999997"/>
    <n v="-0.10104705882352939"/>
  </r>
  <r>
    <x v="7"/>
    <x v="1"/>
    <s v="April 2014"/>
    <n v="1"/>
    <x v="1"/>
    <x v="3"/>
    <x v="0"/>
    <s v="Worst"/>
    <n v="1200"/>
    <n v="17"/>
    <n v="0.1"/>
    <n v="0.18"/>
    <n v="18000"/>
    <n v="0.3"/>
    <n v="20400"/>
    <n v="18360"/>
    <n v="3304.7999999999997"/>
    <n v="21304.799999999999"/>
    <n v="-2944.7999999999993"/>
    <n v="-883.43999999999971"/>
    <n v="-2061.3599999999997"/>
    <n v="-0.10104705882352939"/>
  </r>
  <r>
    <x v="7"/>
    <x v="1"/>
    <s v="April 2014"/>
    <n v="1"/>
    <x v="1"/>
    <x v="3"/>
    <x v="1"/>
    <s v="Worst"/>
    <n v="1200"/>
    <n v="17"/>
    <n v="0.1"/>
    <n v="0.18"/>
    <n v="18000"/>
    <n v="0.3"/>
    <n v="20400"/>
    <n v="18360"/>
    <n v="3304.7999999999997"/>
    <n v="21304.799999999999"/>
    <n v="-2944.7999999999993"/>
    <n v="-883.43999999999971"/>
    <n v="-2061.3599999999997"/>
    <n v="-0.10104705882352939"/>
  </r>
  <r>
    <x v="7"/>
    <x v="1"/>
    <s v="April 2014"/>
    <n v="1"/>
    <x v="1"/>
    <x v="3"/>
    <x v="2"/>
    <s v="Worst"/>
    <n v="1200"/>
    <n v="17"/>
    <n v="0.1"/>
    <n v="0.18"/>
    <n v="18000"/>
    <n v="0.3"/>
    <n v="20400"/>
    <n v="18360"/>
    <n v="3304.7999999999997"/>
    <n v="21304.799999999999"/>
    <n v="-2944.7999999999993"/>
    <n v="-883.43999999999971"/>
    <n v="-2061.3599999999997"/>
    <n v="-0.10104705882352939"/>
  </r>
  <r>
    <x v="7"/>
    <x v="1"/>
    <s v="April 2014"/>
    <n v="1"/>
    <x v="1"/>
    <x v="3"/>
    <x v="3"/>
    <s v="Worst"/>
    <n v="1200"/>
    <n v="17"/>
    <n v="0.1"/>
    <n v="0.18"/>
    <n v="18000"/>
    <n v="0.3"/>
    <n v="20400"/>
    <n v="18360"/>
    <n v="3304.7999999999997"/>
    <n v="21304.799999999999"/>
    <n v="-2944.7999999999993"/>
    <n v="-883.43999999999971"/>
    <n v="-2061.3599999999997"/>
    <n v="-0.10104705882352939"/>
  </r>
  <r>
    <x v="7"/>
    <x v="1"/>
    <s v="April 2014"/>
    <n v="1"/>
    <x v="1"/>
    <x v="3"/>
    <x v="4"/>
    <s v="Worst"/>
    <n v="1200"/>
    <n v="17"/>
    <n v="0.1"/>
    <n v="0.18"/>
    <n v="18000"/>
    <n v="0.3"/>
    <n v="20400"/>
    <n v="18360"/>
    <n v="3304.7999999999997"/>
    <n v="21304.799999999999"/>
    <n v="-2944.7999999999993"/>
    <n v="-883.43999999999971"/>
    <n v="-2061.3599999999997"/>
    <n v="-0.10104705882352939"/>
  </r>
  <r>
    <x v="7"/>
    <x v="1"/>
    <s v="April 2014"/>
    <n v="1"/>
    <x v="1"/>
    <x v="4"/>
    <x v="0"/>
    <s v="Worst"/>
    <n v="1200"/>
    <n v="17"/>
    <n v="0.1"/>
    <n v="0.18"/>
    <n v="18000"/>
    <n v="0.3"/>
    <n v="20400"/>
    <n v="18360"/>
    <n v="3304.7999999999997"/>
    <n v="21304.799999999999"/>
    <n v="-2944.7999999999993"/>
    <n v="-883.43999999999971"/>
    <n v="-2061.3599999999997"/>
    <n v="-0.10104705882352939"/>
  </r>
  <r>
    <x v="7"/>
    <x v="1"/>
    <s v="April 2014"/>
    <n v="1"/>
    <x v="1"/>
    <x v="4"/>
    <x v="1"/>
    <s v="Worst"/>
    <n v="1200"/>
    <n v="17"/>
    <n v="0.1"/>
    <n v="0.18"/>
    <n v="18000"/>
    <n v="0.3"/>
    <n v="20400"/>
    <n v="18360"/>
    <n v="3304.7999999999997"/>
    <n v="21304.799999999999"/>
    <n v="-2944.7999999999993"/>
    <n v="-883.43999999999971"/>
    <n v="-2061.3599999999997"/>
    <n v="-0.10104705882352939"/>
  </r>
  <r>
    <x v="7"/>
    <x v="1"/>
    <s v="April 2014"/>
    <n v="1"/>
    <x v="1"/>
    <x v="4"/>
    <x v="2"/>
    <s v="Worst"/>
    <n v="1200"/>
    <n v="17"/>
    <n v="0.1"/>
    <n v="0.18"/>
    <n v="18000"/>
    <n v="0.3"/>
    <n v="20400"/>
    <n v="18360"/>
    <n v="3304.7999999999997"/>
    <n v="21304.799999999999"/>
    <n v="-2944.7999999999993"/>
    <n v="-883.43999999999971"/>
    <n v="-2061.3599999999997"/>
    <n v="-0.10104705882352939"/>
  </r>
  <r>
    <x v="7"/>
    <x v="1"/>
    <s v="April 2014"/>
    <n v="1"/>
    <x v="1"/>
    <x v="4"/>
    <x v="3"/>
    <s v="Worst"/>
    <n v="1200"/>
    <n v="17"/>
    <n v="0.1"/>
    <n v="0.18"/>
    <n v="18000"/>
    <n v="0.3"/>
    <n v="20400"/>
    <n v="18360"/>
    <n v="3304.7999999999997"/>
    <n v="21304.799999999999"/>
    <n v="-2944.7999999999993"/>
    <n v="-883.43999999999971"/>
    <n v="-2061.3599999999997"/>
    <n v="-0.10104705882352939"/>
  </r>
  <r>
    <x v="7"/>
    <x v="1"/>
    <s v="April 2014"/>
    <n v="1"/>
    <x v="1"/>
    <x v="4"/>
    <x v="4"/>
    <s v="Worst"/>
    <n v="1200"/>
    <n v="17"/>
    <n v="0.1"/>
    <n v="0.18"/>
    <n v="18000"/>
    <n v="0.3"/>
    <n v="20400"/>
    <n v="18360"/>
    <n v="3304.7999999999997"/>
    <n v="21304.799999999999"/>
    <n v="-2944.7999999999993"/>
    <n v="-883.43999999999971"/>
    <n v="-2061.3599999999997"/>
    <n v="-0.10104705882352939"/>
  </r>
  <r>
    <x v="7"/>
    <x v="1"/>
    <s v="April 2014"/>
    <n v="1"/>
    <x v="2"/>
    <x v="0"/>
    <x v="0"/>
    <s v="Worst"/>
    <n v="1200"/>
    <n v="17"/>
    <n v="0.1"/>
    <n v="0.18"/>
    <n v="18000"/>
    <n v="0.3"/>
    <n v="20400"/>
    <n v="18360"/>
    <n v="3304.7999999999997"/>
    <n v="21304.799999999999"/>
    <n v="-2944.7999999999993"/>
    <n v="-883.43999999999971"/>
    <n v="-2061.3599999999997"/>
    <n v="-0.10104705882352939"/>
  </r>
  <r>
    <x v="7"/>
    <x v="1"/>
    <s v="April 2014"/>
    <n v="1"/>
    <x v="2"/>
    <x v="0"/>
    <x v="1"/>
    <s v="Worst"/>
    <n v="1200"/>
    <n v="17"/>
    <n v="0.1"/>
    <n v="0.18"/>
    <n v="18000"/>
    <n v="0.3"/>
    <n v="20400"/>
    <n v="18360"/>
    <n v="3304.7999999999997"/>
    <n v="21304.799999999999"/>
    <n v="-2944.7999999999993"/>
    <n v="-883.43999999999971"/>
    <n v="-2061.3599999999997"/>
    <n v="-0.10104705882352939"/>
  </r>
  <r>
    <x v="7"/>
    <x v="1"/>
    <s v="April 2014"/>
    <n v="1"/>
    <x v="2"/>
    <x v="0"/>
    <x v="2"/>
    <s v="Worst"/>
    <n v="1200"/>
    <n v="17"/>
    <n v="0.1"/>
    <n v="0.18"/>
    <n v="18000"/>
    <n v="0.3"/>
    <n v="20400"/>
    <n v="18360"/>
    <n v="3304.7999999999997"/>
    <n v="21304.799999999999"/>
    <n v="-2944.7999999999993"/>
    <n v="-883.43999999999971"/>
    <n v="-2061.3599999999997"/>
    <n v="-0.10104705882352939"/>
  </r>
  <r>
    <x v="7"/>
    <x v="1"/>
    <s v="April 2014"/>
    <n v="1"/>
    <x v="2"/>
    <x v="0"/>
    <x v="3"/>
    <s v="Worst"/>
    <n v="1200"/>
    <n v="17"/>
    <n v="0.1"/>
    <n v="0.18"/>
    <n v="18000"/>
    <n v="0.3"/>
    <n v="20400"/>
    <n v="18360"/>
    <n v="3304.7999999999997"/>
    <n v="21304.799999999999"/>
    <n v="-2944.7999999999993"/>
    <n v="-883.43999999999971"/>
    <n v="-2061.3599999999997"/>
    <n v="-0.10104705882352939"/>
  </r>
  <r>
    <x v="7"/>
    <x v="1"/>
    <s v="April 2014"/>
    <n v="1"/>
    <x v="2"/>
    <x v="0"/>
    <x v="4"/>
    <s v="Worst"/>
    <n v="1200"/>
    <n v="17"/>
    <n v="0.1"/>
    <n v="0.18"/>
    <n v="18000"/>
    <n v="0.3"/>
    <n v="20400"/>
    <n v="18360"/>
    <n v="3304.7999999999997"/>
    <n v="21304.799999999999"/>
    <n v="-2944.7999999999993"/>
    <n v="-883.43999999999971"/>
    <n v="-2061.3599999999997"/>
    <n v="-0.10104705882352939"/>
  </r>
  <r>
    <x v="7"/>
    <x v="1"/>
    <s v="April 2014"/>
    <n v="1"/>
    <x v="2"/>
    <x v="1"/>
    <x v="0"/>
    <s v="Worst"/>
    <n v="1200"/>
    <n v="17"/>
    <n v="0.1"/>
    <n v="0.18"/>
    <n v="18000"/>
    <n v="0.3"/>
    <n v="20400"/>
    <n v="18360"/>
    <n v="3304.7999999999997"/>
    <n v="21304.799999999999"/>
    <n v="-2944.7999999999993"/>
    <n v="-883.43999999999971"/>
    <n v="-2061.3599999999997"/>
    <n v="-0.10104705882352939"/>
  </r>
  <r>
    <x v="7"/>
    <x v="1"/>
    <s v="April 2014"/>
    <n v="1"/>
    <x v="2"/>
    <x v="1"/>
    <x v="1"/>
    <s v="Worst"/>
    <n v="1200"/>
    <n v="17"/>
    <n v="0.1"/>
    <n v="0.18"/>
    <n v="18000"/>
    <n v="0.3"/>
    <n v="20400"/>
    <n v="18360"/>
    <n v="3304.7999999999997"/>
    <n v="21304.799999999999"/>
    <n v="-2944.7999999999993"/>
    <n v="-883.43999999999971"/>
    <n v="-2061.3599999999997"/>
    <n v="-0.10104705882352939"/>
  </r>
  <r>
    <x v="7"/>
    <x v="1"/>
    <s v="April 2014"/>
    <n v="1"/>
    <x v="2"/>
    <x v="1"/>
    <x v="2"/>
    <s v="Worst"/>
    <n v="1200"/>
    <n v="17"/>
    <n v="0.1"/>
    <n v="0.18"/>
    <n v="18000"/>
    <n v="0.3"/>
    <n v="20400"/>
    <n v="18360"/>
    <n v="3304.7999999999997"/>
    <n v="21304.799999999999"/>
    <n v="-2944.7999999999993"/>
    <n v="-883.43999999999971"/>
    <n v="-2061.3599999999997"/>
    <n v="-0.10104705882352939"/>
  </r>
  <r>
    <x v="7"/>
    <x v="1"/>
    <s v="April 2014"/>
    <n v="1"/>
    <x v="2"/>
    <x v="1"/>
    <x v="3"/>
    <s v="Worst"/>
    <n v="1200"/>
    <n v="17"/>
    <n v="0.1"/>
    <n v="0.18"/>
    <n v="18000"/>
    <n v="0.3"/>
    <n v="20400"/>
    <n v="18360"/>
    <n v="3304.7999999999997"/>
    <n v="21304.799999999999"/>
    <n v="-2944.7999999999993"/>
    <n v="-883.43999999999971"/>
    <n v="-2061.3599999999997"/>
    <n v="-0.10104705882352939"/>
  </r>
  <r>
    <x v="7"/>
    <x v="1"/>
    <s v="April 2014"/>
    <n v="1"/>
    <x v="2"/>
    <x v="1"/>
    <x v="4"/>
    <s v="Worst"/>
    <n v="1200"/>
    <n v="17"/>
    <n v="0.1"/>
    <n v="0.18"/>
    <n v="18000"/>
    <n v="0.3"/>
    <n v="20400"/>
    <n v="18360"/>
    <n v="3304.7999999999997"/>
    <n v="21304.799999999999"/>
    <n v="-2944.7999999999993"/>
    <n v="-883.43999999999971"/>
    <n v="-2061.3599999999997"/>
    <n v="-0.10104705882352939"/>
  </r>
  <r>
    <x v="7"/>
    <x v="1"/>
    <s v="April 2014"/>
    <n v="1"/>
    <x v="2"/>
    <x v="2"/>
    <x v="0"/>
    <s v="Worst"/>
    <n v="1200"/>
    <n v="17"/>
    <n v="0.1"/>
    <n v="0.18"/>
    <n v="18000"/>
    <n v="0.3"/>
    <n v="20400"/>
    <n v="18360"/>
    <n v="3304.7999999999997"/>
    <n v="21304.799999999999"/>
    <n v="-2944.7999999999993"/>
    <n v="-883.43999999999971"/>
    <n v="-2061.3599999999997"/>
    <n v="-0.10104705882352939"/>
  </r>
  <r>
    <x v="7"/>
    <x v="1"/>
    <s v="April 2014"/>
    <n v="1"/>
    <x v="2"/>
    <x v="2"/>
    <x v="1"/>
    <s v="Worst"/>
    <n v="1200"/>
    <n v="17"/>
    <n v="0.1"/>
    <n v="0.18"/>
    <n v="18000"/>
    <n v="0.3"/>
    <n v="20400"/>
    <n v="18360"/>
    <n v="3304.7999999999997"/>
    <n v="21304.799999999999"/>
    <n v="-2944.7999999999993"/>
    <n v="-883.43999999999971"/>
    <n v="-2061.3599999999997"/>
    <n v="-0.10104705882352939"/>
  </r>
  <r>
    <x v="7"/>
    <x v="1"/>
    <s v="April 2014"/>
    <n v="1"/>
    <x v="2"/>
    <x v="2"/>
    <x v="2"/>
    <s v="Worst"/>
    <n v="1200"/>
    <n v="17"/>
    <n v="0.1"/>
    <n v="0.18"/>
    <n v="18000"/>
    <n v="0.3"/>
    <n v="20400"/>
    <n v="18360"/>
    <n v="3304.7999999999997"/>
    <n v="21304.799999999999"/>
    <n v="-2944.7999999999993"/>
    <n v="-883.43999999999971"/>
    <n v="-2061.3599999999997"/>
    <n v="-0.10104705882352939"/>
  </r>
  <r>
    <x v="7"/>
    <x v="1"/>
    <s v="April 2014"/>
    <n v="1"/>
    <x v="2"/>
    <x v="2"/>
    <x v="3"/>
    <s v="Worst"/>
    <n v="1200"/>
    <n v="17"/>
    <n v="0.1"/>
    <n v="0.18"/>
    <n v="18000"/>
    <n v="0.3"/>
    <n v="20400"/>
    <n v="18360"/>
    <n v="3304.7999999999997"/>
    <n v="21304.799999999999"/>
    <n v="-2944.7999999999993"/>
    <n v="-883.43999999999971"/>
    <n v="-2061.3599999999997"/>
    <n v="-0.10104705882352939"/>
  </r>
  <r>
    <x v="7"/>
    <x v="1"/>
    <s v="April 2014"/>
    <n v="1"/>
    <x v="2"/>
    <x v="2"/>
    <x v="4"/>
    <s v="Worst"/>
    <n v="1200"/>
    <n v="17"/>
    <n v="0.1"/>
    <n v="0.18"/>
    <n v="18000"/>
    <n v="0.3"/>
    <n v="20400"/>
    <n v="18360"/>
    <n v="3304.7999999999997"/>
    <n v="21304.799999999999"/>
    <n v="-2944.7999999999993"/>
    <n v="-883.43999999999971"/>
    <n v="-2061.3599999999997"/>
    <n v="-0.10104705882352939"/>
  </r>
  <r>
    <x v="7"/>
    <x v="1"/>
    <s v="April 2014"/>
    <n v="1"/>
    <x v="2"/>
    <x v="3"/>
    <x v="0"/>
    <s v="Worst"/>
    <n v="1200"/>
    <n v="17"/>
    <n v="0.1"/>
    <n v="0.18"/>
    <n v="18000"/>
    <n v="0.3"/>
    <n v="20400"/>
    <n v="18360"/>
    <n v="3304.7999999999997"/>
    <n v="21304.799999999999"/>
    <n v="-2944.7999999999993"/>
    <n v="-883.43999999999971"/>
    <n v="-2061.3599999999997"/>
    <n v="-0.10104705882352939"/>
  </r>
  <r>
    <x v="7"/>
    <x v="1"/>
    <s v="April 2014"/>
    <n v="1"/>
    <x v="2"/>
    <x v="3"/>
    <x v="1"/>
    <s v="Worst"/>
    <n v="1200"/>
    <n v="17"/>
    <n v="0.1"/>
    <n v="0.18"/>
    <n v="18000"/>
    <n v="0.3"/>
    <n v="20400"/>
    <n v="18360"/>
    <n v="3304.7999999999997"/>
    <n v="21304.799999999999"/>
    <n v="-2944.7999999999993"/>
    <n v="-883.43999999999971"/>
    <n v="-2061.3599999999997"/>
    <n v="-0.10104705882352939"/>
  </r>
  <r>
    <x v="7"/>
    <x v="1"/>
    <s v="April 2014"/>
    <n v="1"/>
    <x v="2"/>
    <x v="3"/>
    <x v="2"/>
    <s v="Worst"/>
    <n v="1200"/>
    <n v="17"/>
    <n v="0.1"/>
    <n v="0.18"/>
    <n v="18000"/>
    <n v="0.3"/>
    <n v="20400"/>
    <n v="18360"/>
    <n v="3304.7999999999997"/>
    <n v="21304.799999999999"/>
    <n v="-2944.7999999999993"/>
    <n v="-883.43999999999971"/>
    <n v="-2061.3599999999997"/>
    <n v="-0.10104705882352939"/>
  </r>
  <r>
    <x v="7"/>
    <x v="1"/>
    <s v="April 2014"/>
    <n v="1"/>
    <x v="2"/>
    <x v="3"/>
    <x v="3"/>
    <s v="Worst"/>
    <n v="1200"/>
    <n v="17"/>
    <n v="0.1"/>
    <n v="0.18"/>
    <n v="18000"/>
    <n v="0.3"/>
    <n v="20400"/>
    <n v="18360"/>
    <n v="3304.7999999999997"/>
    <n v="21304.799999999999"/>
    <n v="-2944.7999999999993"/>
    <n v="-883.43999999999971"/>
    <n v="-2061.3599999999997"/>
    <n v="-0.10104705882352939"/>
  </r>
  <r>
    <x v="7"/>
    <x v="1"/>
    <s v="April 2014"/>
    <n v="1"/>
    <x v="2"/>
    <x v="3"/>
    <x v="4"/>
    <s v="Worst"/>
    <n v="1200"/>
    <n v="17"/>
    <n v="0.1"/>
    <n v="0.18"/>
    <n v="18000"/>
    <n v="0.3"/>
    <n v="20400"/>
    <n v="18360"/>
    <n v="3304.7999999999997"/>
    <n v="21304.799999999999"/>
    <n v="-2944.7999999999993"/>
    <n v="-883.43999999999971"/>
    <n v="-2061.3599999999997"/>
    <n v="-0.10104705882352939"/>
  </r>
  <r>
    <x v="7"/>
    <x v="1"/>
    <s v="April 2014"/>
    <n v="1"/>
    <x v="2"/>
    <x v="4"/>
    <x v="0"/>
    <s v="Worst"/>
    <n v="1200"/>
    <n v="17"/>
    <n v="0.1"/>
    <n v="0.18"/>
    <n v="18000"/>
    <n v="0.3"/>
    <n v="20400"/>
    <n v="18360"/>
    <n v="3304.7999999999997"/>
    <n v="21304.799999999999"/>
    <n v="-2944.7999999999993"/>
    <n v="-883.43999999999971"/>
    <n v="-2061.3599999999997"/>
    <n v="-0.10104705882352939"/>
  </r>
  <r>
    <x v="7"/>
    <x v="1"/>
    <s v="April 2014"/>
    <n v="1"/>
    <x v="2"/>
    <x v="4"/>
    <x v="1"/>
    <s v="Worst"/>
    <n v="1200"/>
    <n v="17"/>
    <n v="0.1"/>
    <n v="0.18"/>
    <n v="18000"/>
    <n v="0.3"/>
    <n v="20400"/>
    <n v="18360"/>
    <n v="3304.7999999999997"/>
    <n v="21304.799999999999"/>
    <n v="-2944.7999999999993"/>
    <n v="-883.43999999999971"/>
    <n v="-2061.3599999999997"/>
    <n v="-0.10104705882352939"/>
  </r>
  <r>
    <x v="7"/>
    <x v="1"/>
    <s v="April 2014"/>
    <n v="1"/>
    <x v="2"/>
    <x v="4"/>
    <x v="2"/>
    <s v="Worst"/>
    <n v="1200"/>
    <n v="17"/>
    <n v="0.1"/>
    <n v="0.18"/>
    <n v="18000"/>
    <n v="0.3"/>
    <n v="20400"/>
    <n v="18360"/>
    <n v="3304.7999999999997"/>
    <n v="21304.799999999999"/>
    <n v="-2944.7999999999993"/>
    <n v="-883.43999999999971"/>
    <n v="-2061.3599999999997"/>
    <n v="-0.10104705882352939"/>
  </r>
  <r>
    <x v="7"/>
    <x v="1"/>
    <s v="April 2014"/>
    <n v="1"/>
    <x v="2"/>
    <x v="4"/>
    <x v="3"/>
    <s v="Worst"/>
    <n v="1200"/>
    <n v="17"/>
    <n v="0.1"/>
    <n v="0.18"/>
    <n v="18000"/>
    <n v="0.3"/>
    <n v="20400"/>
    <n v="18360"/>
    <n v="3304.7999999999997"/>
    <n v="21304.799999999999"/>
    <n v="-2944.7999999999993"/>
    <n v="-883.43999999999971"/>
    <n v="-2061.3599999999997"/>
    <n v="-0.10104705882352939"/>
  </r>
  <r>
    <x v="7"/>
    <x v="1"/>
    <s v="April 2014"/>
    <n v="1"/>
    <x v="2"/>
    <x v="4"/>
    <x v="4"/>
    <s v="Worst"/>
    <n v="1200"/>
    <n v="17"/>
    <n v="0.1"/>
    <n v="0.18"/>
    <n v="18000"/>
    <n v="0.3"/>
    <n v="20400"/>
    <n v="18360"/>
    <n v="3304.7999999999997"/>
    <n v="21304.799999999999"/>
    <n v="-2944.7999999999993"/>
    <n v="-883.43999999999971"/>
    <n v="-2061.3599999999997"/>
    <n v="-0.10104705882352939"/>
  </r>
  <r>
    <x v="7"/>
    <x v="1"/>
    <s v="April 2014"/>
    <n v="1"/>
    <x v="3"/>
    <x v="0"/>
    <x v="0"/>
    <s v="Worst"/>
    <n v="1200"/>
    <n v="17"/>
    <n v="0.1"/>
    <n v="0.18"/>
    <n v="18000"/>
    <n v="0.3"/>
    <n v="20400"/>
    <n v="18360"/>
    <n v="3304.7999999999997"/>
    <n v="21304.799999999999"/>
    <n v="-2944.7999999999993"/>
    <n v="-883.43999999999971"/>
    <n v="-2061.3599999999997"/>
    <n v="-0.10104705882352939"/>
  </r>
  <r>
    <x v="7"/>
    <x v="1"/>
    <s v="April 2014"/>
    <n v="1"/>
    <x v="3"/>
    <x v="0"/>
    <x v="1"/>
    <s v="Worst"/>
    <n v="1200"/>
    <n v="17"/>
    <n v="0.1"/>
    <n v="0.18"/>
    <n v="18000"/>
    <n v="0.3"/>
    <n v="20400"/>
    <n v="18360"/>
    <n v="3304.7999999999997"/>
    <n v="21304.799999999999"/>
    <n v="-2944.7999999999993"/>
    <n v="-883.43999999999971"/>
    <n v="-2061.3599999999997"/>
    <n v="-0.10104705882352939"/>
  </r>
  <r>
    <x v="7"/>
    <x v="1"/>
    <s v="April 2014"/>
    <n v="1"/>
    <x v="3"/>
    <x v="0"/>
    <x v="2"/>
    <s v="Worst"/>
    <n v="1200"/>
    <n v="17"/>
    <n v="0.1"/>
    <n v="0.18"/>
    <n v="18000"/>
    <n v="0.3"/>
    <n v="20400"/>
    <n v="18360"/>
    <n v="3304.7999999999997"/>
    <n v="21304.799999999999"/>
    <n v="-2944.7999999999993"/>
    <n v="-883.43999999999971"/>
    <n v="-2061.3599999999997"/>
    <n v="-0.10104705882352939"/>
  </r>
  <r>
    <x v="7"/>
    <x v="1"/>
    <s v="April 2014"/>
    <n v="1"/>
    <x v="3"/>
    <x v="0"/>
    <x v="3"/>
    <s v="Worst"/>
    <n v="1200"/>
    <n v="17"/>
    <n v="0.1"/>
    <n v="0.18"/>
    <n v="18000"/>
    <n v="0.3"/>
    <n v="20400"/>
    <n v="18360"/>
    <n v="3304.7999999999997"/>
    <n v="21304.799999999999"/>
    <n v="-2944.7999999999993"/>
    <n v="-883.43999999999971"/>
    <n v="-2061.3599999999997"/>
    <n v="-0.10104705882352939"/>
  </r>
  <r>
    <x v="7"/>
    <x v="1"/>
    <s v="April 2014"/>
    <n v="1"/>
    <x v="3"/>
    <x v="0"/>
    <x v="4"/>
    <s v="Worst"/>
    <n v="1200"/>
    <n v="17"/>
    <n v="0.1"/>
    <n v="0.18"/>
    <n v="18000"/>
    <n v="0.3"/>
    <n v="20400"/>
    <n v="18360"/>
    <n v="3304.7999999999997"/>
    <n v="21304.799999999999"/>
    <n v="-2944.7999999999993"/>
    <n v="-883.43999999999971"/>
    <n v="-2061.3599999999997"/>
    <n v="-0.10104705882352939"/>
  </r>
  <r>
    <x v="7"/>
    <x v="1"/>
    <s v="April 2014"/>
    <n v="1"/>
    <x v="3"/>
    <x v="1"/>
    <x v="0"/>
    <s v="Worst"/>
    <n v="1200"/>
    <n v="17"/>
    <n v="0.1"/>
    <n v="0.18"/>
    <n v="18000"/>
    <n v="0.3"/>
    <n v="20400"/>
    <n v="18360"/>
    <n v="3304.7999999999997"/>
    <n v="21304.799999999999"/>
    <n v="-2944.7999999999993"/>
    <n v="-883.43999999999971"/>
    <n v="-2061.3599999999997"/>
    <n v="-0.10104705882352939"/>
  </r>
  <r>
    <x v="7"/>
    <x v="1"/>
    <s v="April 2014"/>
    <n v="1"/>
    <x v="3"/>
    <x v="1"/>
    <x v="1"/>
    <s v="Worst"/>
    <n v="1200"/>
    <n v="17"/>
    <n v="0.1"/>
    <n v="0.18"/>
    <n v="18000"/>
    <n v="0.3"/>
    <n v="20400"/>
    <n v="18360"/>
    <n v="3304.7999999999997"/>
    <n v="21304.799999999999"/>
    <n v="-2944.7999999999993"/>
    <n v="-883.43999999999971"/>
    <n v="-2061.3599999999997"/>
    <n v="-0.10104705882352939"/>
  </r>
  <r>
    <x v="7"/>
    <x v="1"/>
    <s v="April 2014"/>
    <n v="1"/>
    <x v="3"/>
    <x v="1"/>
    <x v="2"/>
    <s v="Worst"/>
    <n v="1200"/>
    <n v="17"/>
    <n v="0.1"/>
    <n v="0.18"/>
    <n v="18000"/>
    <n v="0.3"/>
    <n v="20400"/>
    <n v="18360"/>
    <n v="3304.7999999999997"/>
    <n v="21304.799999999999"/>
    <n v="-2944.7999999999993"/>
    <n v="-883.43999999999971"/>
    <n v="-2061.3599999999997"/>
    <n v="-0.10104705882352939"/>
  </r>
  <r>
    <x v="7"/>
    <x v="1"/>
    <s v="April 2014"/>
    <n v="1"/>
    <x v="3"/>
    <x v="1"/>
    <x v="3"/>
    <s v="Worst"/>
    <n v="1200"/>
    <n v="17"/>
    <n v="0.1"/>
    <n v="0.18"/>
    <n v="18000"/>
    <n v="0.3"/>
    <n v="20400"/>
    <n v="18360"/>
    <n v="3304.7999999999997"/>
    <n v="21304.799999999999"/>
    <n v="-2944.7999999999993"/>
    <n v="-883.43999999999971"/>
    <n v="-2061.3599999999997"/>
    <n v="-0.10104705882352939"/>
  </r>
  <r>
    <x v="7"/>
    <x v="1"/>
    <s v="April 2014"/>
    <n v="1"/>
    <x v="3"/>
    <x v="1"/>
    <x v="4"/>
    <s v="Worst"/>
    <n v="1200"/>
    <n v="17"/>
    <n v="0.1"/>
    <n v="0.18"/>
    <n v="18000"/>
    <n v="0.3"/>
    <n v="20400"/>
    <n v="18360"/>
    <n v="3304.7999999999997"/>
    <n v="21304.799999999999"/>
    <n v="-2944.7999999999993"/>
    <n v="-883.43999999999971"/>
    <n v="-2061.3599999999997"/>
    <n v="-0.10104705882352939"/>
  </r>
  <r>
    <x v="7"/>
    <x v="1"/>
    <s v="April 2014"/>
    <n v="1"/>
    <x v="3"/>
    <x v="2"/>
    <x v="0"/>
    <s v="Worst"/>
    <n v="1200"/>
    <n v="17"/>
    <n v="0.1"/>
    <n v="0.18"/>
    <n v="18000"/>
    <n v="0.3"/>
    <n v="20400"/>
    <n v="18360"/>
    <n v="3304.7999999999997"/>
    <n v="21304.799999999999"/>
    <n v="-2944.7999999999993"/>
    <n v="-883.43999999999971"/>
    <n v="-2061.3599999999997"/>
    <n v="-0.10104705882352939"/>
  </r>
  <r>
    <x v="7"/>
    <x v="1"/>
    <s v="April 2014"/>
    <n v="1"/>
    <x v="3"/>
    <x v="2"/>
    <x v="1"/>
    <s v="Worst"/>
    <n v="1200"/>
    <n v="17"/>
    <n v="0.1"/>
    <n v="0.18"/>
    <n v="18000"/>
    <n v="0.3"/>
    <n v="20400"/>
    <n v="18360"/>
    <n v="3304.7999999999997"/>
    <n v="21304.799999999999"/>
    <n v="-2944.7999999999993"/>
    <n v="-883.43999999999971"/>
    <n v="-2061.3599999999997"/>
    <n v="-0.10104705882352939"/>
  </r>
  <r>
    <x v="7"/>
    <x v="1"/>
    <s v="April 2014"/>
    <n v="1"/>
    <x v="3"/>
    <x v="2"/>
    <x v="2"/>
    <s v="Worst"/>
    <n v="1200"/>
    <n v="17"/>
    <n v="0.1"/>
    <n v="0.18"/>
    <n v="18000"/>
    <n v="0.3"/>
    <n v="20400"/>
    <n v="18360"/>
    <n v="3304.7999999999997"/>
    <n v="21304.799999999999"/>
    <n v="-2944.7999999999993"/>
    <n v="-883.43999999999971"/>
    <n v="-2061.3599999999997"/>
    <n v="-0.10104705882352939"/>
  </r>
  <r>
    <x v="7"/>
    <x v="1"/>
    <s v="April 2014"/>
    <n v="1"/>
    <x v="3"/>
    <x v="2"/>
    <x v="3"/>
    <s v="Worst"/>
    <n v="1200"/>
    <n v="17"/>
    <n v="0.1"/>
    <n v="0.18"/>
    <n v="18000"/>
    <n v="0.3"/>
    <n v="20400"/>
    <n v="18360"/>
    <n v="3304.7999999999997"/>
    <n v="21304.799999999999"/>
    <n v="-2944.7999999999993"/>
    <n v="-883.43999999999971"/>
    <n v="-2061.3599999999997"/>
    <n v="-0.10104705882352939"/>
  </r>
  <r>
    <x v="7"/>
    <x v="1"/>
    <s v="April 2014"/>
    <n v="1"/>
    <x v="3"/>
    <x v="2"/>
    <x v="4"/>
    <s v="Worst"/>
    <n v="1200"/>
    <n v="17"/>
    <n v="0.1"/>
    <n v="0.18"/>
    <n v="18000"/>
    <n v="0.3"/>
    <n v="20400"/>
    <n v="18360"/>
    <n v="3304.7999999999997"/>
    <n v="21304.799999999999"/>
    <n v="-2944.7999999999993"/>
    <n v="-883.43999999999971"/>
    <n v="-2061.3599999999997"/>
    <n v="-0.10104705882352939"/>
  </r>
  <r>
    <x v="7"/>
    <x v="1"/>
    <s v="April 2014"/>
    <n v="1"/>
    <x v="3"/>
    <x v="3"/>
    <x v="0"/>
    <s v="Worst"/>
    <n v="1200"/>
    <n v="17"/>
    <n v="0.1"/>
    <n v="0.18"/>
    <n v="18000"/>
    <n v="0.3"/>
    <n v="20400"/>
    <n v="18360"/>
    <n v="3304.7999999999997"/>
    <n v="21304.799999999999"/>
    <n v="-2944.7999999999993"/>
    <n v="-883.43999999999971"/>
    <n v="-2061.3599999999997"/>
    <n v="-0.10104705882352939"/>
  </r>
  <r>
    <x v="7"/>
    <x v="1"/>
    <s v="April 2014"/>
    <n v="1"/>
    <x v="3"/>
    <x v="3"/>
    <x v="1"/>
    <s v="Worst"/>
    <n v="1200"/>
    <n v="17"/>
    <n v="0.1"/>
    <n v="0.18"/>
    <n v="18000"/>
    <n v="0.3"/>
    <n v="20400"/>
    <n v="18360"/>
    <n v="3304.7999999999997"/>
    <n v="21304.799999999999"/>
    <n v="-2944.7999999999993"/>
    <n v="-883.43999999999971"/>
    <n v="-2061.3599999999997"/>
    <n v="-0.10104705882352939"/>
  </r>
  <r>
    <x v="7"/>
    <x v="1"/>
    <s v="April 2014"/>
    <n v="1"/>
    <x v="3"/>
    <x v="3"/>
    <x v="2"/>
    <s v="Worst"/>
    <n v="1200"/>
    <n v="17"/>
    <n v="0.1"/>
    <n v="0.18"/>
    <n v="18000"/>
    <n v="0.3"/>
    <n v="20400"/>
    <n v="18360"/>
    <n v="3304.7999999999997"/>
    <n v="21304.799999999999"/>
    <n v="-2944.7999999999993"/>
    <n v="-883.43999999999971"/>
    <n v="-2061.3599999999997"/>
    <n v="-0.10104705882352939"/>
  </r>
  <r>
    <x v="7"/>
    <x v="1"/>
    <s v="April 2014"/>
    <n v="1"/>
    <x v="3"/>
    <x v="3"/>
    <x v="3"/>
    <s v="Worst"/>
    <n v="1200"/>
    <n v="17"/>
    <n v="0.1"/>
    <n v="0.18"/>
    <n v="18000"/>
    <n v="0.3"/>
    <n v="20400"/>
    <n v="18360"/>
    <n v="3304.7999999999997"/>
    <n v="21304.799999999999"/>
    <n v="-2944.7999999999993"/>
    <n v="-883.43999999999971"/>
    <n v="-2061.3599999999997"/>
    <n v="-0.10104705882352939"/>
  </r>
  <r>
    <x v="7"/>
    <x v="1"/>
    <s v="April 2014"/>
    <n v="1"/>
    <x v="3"/>
    <x v="3"/>
    <x v="4"/>
    <s v="Worst"/>
    <n v="1200"/>
    <n v="17"/>
    <n v="0.1"/>
    <n v="0.18"/>
    <n v="18000"/>
    <n v="0.3"/>
    <n v="20400"/>
    <n v="18360"/>
    <n v="3304.7999999999997"/>
    <n v="21304.799999999999"/>
    <n v="-2944.7999999999993"/>
    <n v="-883.43999999999971"/>
    <n v="-2061.3599999999997"/>
    <n v="-0.10104705882352939"/>
  </r>
  <r>
    <x v="7"/>
    <x v="1"/>
    <s v="April 2014"/>
    <n v="1"/>
    <x v="3"/>
    <x v="4"/>
    <x v="0"/>
    <s v="Worst"/>
    <n v="1200"/>
    <n v="17"/>
    <n v="0.1"/>
    <n v="0.18"/>
    <n v="18000"/>
    <n v="0.3"/>
    <n v="20400"/>
    <n v="18360"/>
    <n v="3304.7999999999997"/>
    <n v="21304.799999999999"/>
    <n v="-2944.7999999999993"/>
    <n v="-883.43999999999971"/>
    <n v="-2061.3599999999997"/>
    <n v="-0.10104705882352939"/>
  </r>
  <r>
    <x v="7"/>
    <x v="1"/>
    <s v="April 2014"/>
    <n v="1"/>
    <x v="3"/>
    <x v="4"/>
    <x v="1"/>
    <s v="Worst"/>
    <n v="1200"/>
    <n v="17"/>
    <n v="0.1"/>
    <n v="0.18"/>
    <n v="18000"/>
    <n v="0.3"/>
    <n v="20400"/>
    <n v="18360"/>
    <n v="3304.7999999999997"/>
    <n v="21304.799999999999"/>
    <n v="-2944.7999999999993"/>
    <n v="-883.43999999999971"/>
    <n v="-2061.3599999999997"/>
    <n v="-0.10104705882352939"/>
  </r>
  <r>
    <x v="7"/>
    <x v="1"/>
    <s v="April 2014"/>
    <n v="1"/>
    <x v="3"/>
    <x v="4"/>
    <x v="2"/>
    <s v="Worst"/>
    <n v="1200"/>
    <n v="17"/>
    <n v="0.1"/>
    <n v="0.18"/>
    <n v="18000"/>
    <n v="0.3"/>
    <n v="20400"/>
    <n v="18360"/>
    <n v="3304.7999999999997"/>
    <n v="21304.799999999999"/>
    <n v="-2944.7999999999993"/>
    <n v="-883.43999999999971"/>
    <n v="-2061.3599999999997"/>
    <n v="-0.10104705882352939"/>
  </r>
  <r>
    <x v="7"/>
    <x v="1"/>
    <s v="April 2014"/>
    <n v="1"/>
    <x v="3"/>
    <x v="4"/>
    <x v="3"/>
    <s v="Worst"/>
    <n v="1200"/>
    <n v="17"/>
    <n v="0.1"/>
    <n v="0.18"/>
    <n v="18000"/>
    <n v="0.3"/>
    <n v="20400"/>
    <n v="18360"/>
    <n v="3304.7999999999997"/>
    <n v="21304.799999999999"/>
    <n v="-2944.7999999999993"/>
    <n v="-883.43999999999971"/>
    <n v="-2061.3599999999997"/>
    <n v="-0.10104705882352939"/>
  </r>
  <r>
    <x v="7"/>
    <x v="1"/>
    <s v="April 2014"/>
    <n v="1"/>
    <x v="3"/>
    <x v="4"/>
    <x v="4"/>
    <s v="Worst"/>
    <n v="1200"/>
    <n v="17"/>
    <n v="0.1"/>
    <n v="0.18"/>
    <n v="18000"/>
    <n v="0.3"/>
    <n v="20400"/>
    <n v="18360"/>
    <n v="3304.7999999999997"/>
    <n v="21304.799999999999"/>
    <n v="-2944.7999999999993"/>
    <n v="-883.43999999999971"/>
    <n v="-2061.3599999999997"/>
    <n v="-0.10104705882352939"/>
  </r>
  <r>
    <x v="7"/>
    <x v="1"/>
    <s v="April 2014"/>
    <n v="1"/>
    <x v="4"/>
    <x v="0"/>
    <x v="0"/>
    <s v="Worst"/>
    <n v="1200"/>
    <n v="17"/>
    <n v="0.1"/>
    <n v="0.18"/>
    <n v="18000"/>
    <n v="0.3"/>
    <n v="20400"/>
    <n v="18360"/>
    <n v="3304.7999999999997"/>
    <n v="21304.799999999999"/>
    <n v="-2944.7999999999993"/>
    <n v="-883.43999999999971"/>
    <n v="-2061.3599999999997"/>
    <n v="-0.10104705882352939"/>
  </r>
  <r>
    <x v="7"/>
    <x v="1"/>
    <s v="April 2014"/>
    <n v="1"/>
    <x v="4"/>
    <x v="0"/>
    <x v="1"/>
    <s v="Worst"/>
    <n v="1200"/>
    <n v="17"/>
    <n v="0.1"/>
    <n v="0.18"/>
    <n v="18000"/>
    <n v="0.3"/>
    <n v="20400"/>
    <n v="18360"/>
    <n v="3304.7999999999997"/>
    <n v="21304.799999999999"/>
    <n v="-2944.7999999999993"/>
    <n v="-883.43999999999971"/>
    <n v="-2061.3599999999997"/>
    <n v="-0.10104705882352939"/>
  </r>
  <r>
    <x v="7"/>
    <x v="1"/>
    <s v="April 2014"/>
    <n v="1"/>
    <x v="4"/>
    <x v="0"/>
    <x v="2"/>
    <s v="Worst"/>
    <n v="1200"/>
    <n v="17"/>
    <n v="0.1"/>
    <n v="0.18"/>
    <n v="18000"/>
    <n v="0.3"/>
    <n v="20400"/>
    <n v="18360"/>
    <n v="3304.7999999999997"/>
    <n v="21304.799999999999"/>
    <n v="-2944.7999999999993"/>
    <n v="-883.43999999999971"/>
    <n v="-2061.3599999999997"/>
    <n v="-0.10104705882352939"/>
  </r>
  <r>
    <x v="7"/>
    <x v="1"/>
    <s v="April 2014"/>
    <n v="1"/>
    <x v="4"/>
    <x v="0"/>
    <x v="3"/>
    <s v="Worst"/>
    <n v="1200"/>
    <n v="17"/>
    <n v="0.1"/>
    <n v="0.18"/>
    <n v="18000"/>
    <n v="0.3"/>
    <n v="20400"/>
    <n v="18360"/>
    <n v="3304.7999999999997"/>
    <n v="21304.799999999999"/>
    <n v="-2944.7999999999993"/>
    <n v="-883.43999999999971"/>
    <n v="-2061.3599999999997"/>
    <n v="-0.10104705882352939"/>
  </r>
  <r>
    <x v="7"/>
    <x v="1"/>
    <s v="April 2014"/>
    <n v="1"/>
    <x v="4"/>
    <x v="0"/>
    <x v="4"/>
    <s v="Worst"/>
    <n v="1200"/>
    <n v="17"/>
    <n v="0.1"/>
    <n v="0.18"/>
    <n v="18000"/>
    <n v="0.3"/>
    <n v="20400"/>
    <n v="18360"/>
    <n v="3304.7999999999997"/>
    <n v="21304.799999999999"/>
    <n v="-2944.7999999999993"/>
    <n v="-883.43999999999971"/>
    <n v="-2061.3599999999997"/>
    <n v="-0.10104705882352939"/>
  </r>
  <r>
    <x v="7"/>
    <x v="1"/>
    <s v="April 2014"/>
    <n v="1"/>
    <x v="4"/>
    <x v="1"/>
    <x v="0"/>
    <s v="Worst"/>
    <n v="1200"/>
    <n v="17"/>
    <n v="0.1"/>
    <n v="0.18"/>
    <n v="18000"/>
    <n v="0.3"/>
    <n v="20400"/>
    <n v="18360"/>
    <n v="3304.7999999999997"/>
    <n v="21304.799999999999"/>
    <n v="-2944.7999999999993"/>
    <n v="-883.43999999999971"/>
    <n v="-2061.3599999999997"/>
    <n v="-0.10104705882352939"/>
  </r>
  <r>
    <x v="7"/>
    <x v="1"/>
    <s v="April 2014"/>
    <n v="1"/>
    <x v="4"/>
    <x v="1"/>
    <x v="1"/>
    <s v="Worst"/>
    <n v="1200"/>
    <n v="17"/>
    <n v="0.1"/>
    <n v="0.18"/>
    <n v="18000"/>
    <n v="0.3"/>
    <n v="20400"/>
    <n v="18360"/>
    <n v="3304.7999999999997"/>
    <n v="21304.799999999999"/>
    <n v="-2944.7999999999993"/>
    <n v="-883.43999999999971"/>
    <n v="-2061.3599999999997"/>
    <n v="-0.10104705882352939"/>
  </r>
  <r>
    <x v="7"/>
    <x v="1"/>
    <s v="April 2014"/>
    <n v="1"/>
    <x v="4"/>
    <x v="1"/>
    <x v="2"/>
    <s v="Worst"/>
    <n v="1200"/>
    <n v="17"/>
    <n v="0.1"/>
    <n v="0.18"/>
    <n v="18000"/>
    <n v="0.3"/>
    <n v="20400"/>
    <n v="18360"/>
    <n v="3304.7999999999997"/>
    <n v="21304.799999999999"/>
    <n v="-2944.7999999999993"/>
    <n v="-883.43999999999971"/>
    <n v="-2061.3599999999997"/>
    <n v="-0.10104705882352939"/>
  </r>
  <r>
    <x v="7"/>
    <x v="1"/>
    <s v="April 2014"/>
    <n v="1"/>
    <x v="4"/>
    <x v="1"/>
    <x v="3"/>
    <s v="Worst"/>
    <n v="1200"/>
    <n v="17"/>
    <n v="0.1"/>
    <n v="0.18"/>
    <n v="18000"/>
    <n v="0.3"/>
    <n v="20400"/>
    <n v="18360"/>
    <n v="3304.7999999999997"/>
    <n v="21304.799999999999"/>
    <n v="-2944.7999999999993"/>
    <n v="-883.43999999999971"/>
    <n v="-2061.3599999999997"/>
    <n v="-0.10104705882352939"/>
  </r>
  <r>
    <x v="7"/>
    <x v="1"/>
    <s v="April 2014"/>
    <n v="1"/>
    <x v="4"/>
    <x v="1"/>
    <x v="4"/>
    <s v="Worst"/>
    <n v="1200"/>
    <n v="17"/>
    <n v="0.1"/>
    <n v="0.18"/>
    <n v="18000"/>
    <n v="0.3"/>
    <n v="20400"/>
    <n v="18360"/>
    <n v="3304.7999999999997"/>
    <n v="21304.799999999999"/>
    <n v="-2944.7999999999993"/>
    <n v="-883.43999999999971"/>
    <n v="-2061.3599999999997"/>
    <n v="-0.10104705882352939"/>
  </r>
  <r>
    <x v="7"/>
    <x v="1"/>
    <s v="April 2014"/>
    <n v="1"/>
    <x v="4"/>
    <x v="2"/>
    <x v="0"/>
    <s v="Worst"/>
    <n v="1200"/>
    <n v="17"/>
    <n v="0.1"/>
    <n v="0.18"/>
    <n v="18000"/>
    <n v="0.3"/>
    <n v="20400"/>
    <n v="18360"/>
    <n v="3304.7999999999997"/>
    <n v="21304.799999999999"/>
    <n v="-2944.7999999999993"/>
    <n v="-883.43999999999971"/>
    <n v="-2061.3599999999997"/>
    <n v="-0.10104705882352939"/>
  </r>
  <r>
    <x v="7"/>
    <x v="1"/>
    <s v="April 2014"/>
    <n v="1"/>
    <x v="4"/>
    <x v="2"/>
    <x v="1"/>
    <s v="Worst"/>
    <n v="1200"/>
    <n v="17"/>
    <n v="0.1"/>
    <n v="0.18"/>
    <n v="18000"/>
    <n v="0.3"/>
    <n v="20400"/>
    <n v="18360"/>
    <n v="3304.7999999999997"/>
    <n v="21304.799999999999"/>
    <n v="-2944.7999999999993"/>
    <n v="-883.43999999999971"/>
    <n v="-2061.3599999999997"/>
    <n v="-0.10104705882352939"/>
  </r>
  <r>
    <x v="7"/>
    <x v="1"/>
    <s v="April 2014"/>
    <n v="1"/>
    <x v="4"/>
    <x v="2"/>
    <x v="2"/>
    <s v="Worst"/>
    <n v="1200"/>
    <n v="17"/>
    <n v="0.1"/>
    <n v="0.18"/>
    <n v="18000"/>
    <n v="0.3"/>
    <n v="20400"/>
    <n v="18360"/>
    <n v="3304.7999999999997"/>
    <n v="21304.799999999999"/>
    <n v="-2944.7999999999993"/>
    <n v="-883.43999999999971"/>
    <n v="-2061.3599999999997"/>
    <n v="-0.10104705882352939"/>
  </r>
  <r>
    <x v="7"/>
    <x v="1"/>
    <s v="April 2014"/>
    <n v="1"/>
    <x v="4"/>
    <x v="2"/>
    <x v="3"/>
    <s v="Worst"/>
    <n v="1200"/>
    <n v="17"/>
    <n v="0.1"/>
    <n v="0.18"/>
    <n v="18000"/>
    <n v="0.3"/>
    <n v="20400"/>
    <n v="18360"/>
    <n v="3304.7999999999997"/>
    <n v="21304.799999999999"/>
    <n v="-2944.7999999999993"/>
    <n v="-883.43999999999971"/>
    <n v="-2061.3599999999997"/>
    <n v="-0.10104705882352939"/>
  </r>
  <r>
    <x v="7"/>
    <x v="1"/>
    <s v="April 2014"/>
    <n v="1"/>
    <x v="4"/>
    <x v="2"/>
    <x v="4"/>
    <s v="Worst"/>
    <n v="1200"/>
    <n v="17"/>
    <n v="0.1"/>
    <n v="0.18"/>
    <n v="18000"/>
    <n v="0.3"/>
    <n v="20400"/>
    <n v="18360"/>
    <n v="3304.7999999999997"/>
    <n v="21304.799999999999"/>
    <n v="-2944.7999999999993"/>
    <n v="-883.43999999999971"/>
    <n v="-2061.3599999999997"/>
    <n v="-0.10104705882352939"/>
  </r>
  <r>
    <x v="7"/>
    <x v="1"/>
    <s v="April 2014"/>
    <n v="1"/>
    <x v="4"/>
    <x v="3"/>
    <x v="0"/>
    <s v="Worst"/>
    <n v="1200"/>
    <n v="17"/>
    <n v="0.1"/>
    <n v="0.18"/>
    <n v="18000"/>
    <n v="0.3"/>
    <n v="20400"/>
    <n v="18360"/>
    <n v="3304.7999999999997"/>
    <n v="21304.799999999999"/>
    <n v="-2944.7999999999993"/>
    <n v="-883.43999999999971"/>
    <n v="-2061.3599999999997"/>
    <n v="-0.10104705882352939"/>
  </r>
  <r>
    <x v="7"/>
    <x v="1"/>
    <s v="April 2014"/>
    <n v="1"/>
    <x v="4"/>
    <x v="3"/>
    <x v="1"/>
    <s v="Worst"/>
    <n v="1200"/>
    <n v="17"/>
    <n v="0.1"/>
    <n v="0.18"/>
    <n v="18000"/>
    <n v="0.3"/>
    <n v="20400"/>
    <n v="18360"/>
    <n v="3304.7999999999997"/>
    <n v="21304.799999999999"/>
    <n v="-2944.7999999999993"/>
    <n v="-883.43999999999971"/>
    <n v="-2061.3599999999997"/>
    <n v="-0.10104705882352939"/>
  </r>
  <r>
    <x v="7"/>
    <x v="1"/>
    <s v="April 2014"/>
    <n v="1"/>
    <x v="4"/>
    <x v="3"/>
    <x v="2"/>
    <s v="Worst"/>
    <n v="1200"/>
    <n v="17"/>
    <n v="0.1"/>
    <n v="0.18"/>
    <n v="18000"/>
    <n v="0.3"/>
    <n v="20400"/>
    <n v="18360"/>
    <n v="3304.7999999999997"/>
    <n v="21304.799999999999"/>
    <n v="-2944.7999999999993"/>
    <n v="-883.43999999999971"/>
    <n v="-2061.3599999999997"/>
    <n v="-0.10104705882352939"/>
  </r>
  <r>
    <x v="7"/>
    <x v="1"/>
    <s v="April 2014"/>
    <n v="1"/>
    <x v="4"/>
    <x v="3"/>
    <x v="3"/>
    <s v="Worst"/>
    <n v="1200"/>
    <n v="17"/>
    <n v="0.1"/>
    <n v="0.18"/>
    <n v="18000"/>
    <n v="0.3"/>
    <n v="20400"/>
    <n v="18360"/>
    <n v="3304.7999999999997"/>
    <n v="21304.799999999999"/>
    <n v="-2944.7999999999993"/>
    <n v="-883.43999999999971"/>
    <n v="-2061.3599999999997"/>
    <n v="-0.10104705882352939"/>
  </r>
  <r>
    <x v="7"/>
    <x v="1"/>
    <s v="April 2014"/>
    <n v="1"/>
    <x v="4"/>
    <x v="3"/>
    <x v="4"/>
    <s v="Worst"/>
    <n v="1200"/>
    <n v="17"/>
    <n v="0.1"/>
    <n v="0.18"/>
    <n v="18000"/>
    <n v="0.3"/>
    <n v="20400"/>
    <n v="18360"/>
    <n v="3304.7999999999997"/>
    <n v="21304.799999999999"/>
    <n v="-2944.7999999999993"/>
    <n v="-883.43999999999971"/>
    <n v="-2061.3599999999997"/>
    <n v="-0.10104705882352939"/>
  </r>
  <r>
    <x v="7"/>
    <x v="1"/>
    <s v="April 2014"/>
    <n v="1"/>
    <x v="4"/>
    <x v="4"/>
    <x v="0"/>
    <s v="Worst"/>
    <n v="1200"/>
    <n v="17"/>
    <n v="0.1"/>
    <n v="0.18"/>
    <n v="18000"/>
    <n v="0.3"/>
    <n v="20400"/>
    <n v="18360"/>
    <n v="3304.7999999999997"/>
    <n v="21304.799999999999"/>
    <n v="-2944.7999999999993"/>
    <n v="-883.43999999999971"/>
    <n v="-2061.3599999999997"/>
    <n v="-0.10104705882352939"/>
  </r>
  <r>
    <x v="7"/>
    <x v="1"/>
    <s v="April 2014"/>
    <n v="1"/>
    <x v="4"/>
    <x v="4"/>
    <x v="1"/>
    <s v="Worst"/>
    <n v="1200"/>
    <n v="17"/>
    <n v="0.1"/>
    <n v="0.18"/>
    <n v="18000"/>
    <n v="0.3"/>
    <n v="20400"/>
    <n v="18360"/>
    <n v="3304.7999999999997"/>
    <n v="21304.799999999999"/>
    <n v="-2944.7999999999993"/>
    <n v="-883.43999999999971"/>
    <n v="-2061.3599999999997"/>
    <n v="-0.10104705882352939"/>
  </r>
  <r>
    <x v="7"/>
    <x v="1"/>
    <s v="April 2014"/>
    <n v="1"/>
    <x v="4"/>
    <x v="4"/>
    <x v="2"/>
    <s v="Worst"/>
    <n v="1200"/>
    <n v="17"/>
    <n v="0.1"/>
    <n v="0.18"/>
    <n v="18000"/>
    <n v="0.3"/>
    <n v="20400"/>
    <n v="18360"/>
    <n v="3304.7999999999997"/>
    <n v="21304.799999999999"/>
    <n v="-2944.7999999999993"/>
    <n v="-883.43999999999971"/>
    <n v="-2061.3599999999997"/>
    <n v="-0.10104705882352939"/>
  </r>
  <r>
    <x v="7"/>
    <x v="1"/>
    <s v="April 2014"/>
    <n v="1"/>
    <x v="4"/>
    <x v="4"/>
    <x v="3"/>
    <s v="Worst"/>
    <n v="1200"/>
    <n v="17"/>
    <n v="0.1"/>
    <n v="0.18"/>
    <n v="18000"/>
    <n v="0.3"/>
    <n v="20400"/>
    <n v="18360"/>
    <n v="3304.7999999999997"/>
    <n v="21304.799999999999"/>
    <n v="-2944.7999999999993"/>
    <n v="-883.43999999999971"/>
    <n v="-2061.3599999999997"/>
    <n v="-0.10104705882352939"/>
  </r>
  <r>
    <x v="7"/>
    <x v="1"/>
    <s v="April 2014"/>
    <n v="1"/>
    <x v="4"/>
    <x v="4"/>
    <x v="4"/>
    <s v="Worst"/>
    <n v="1200"/>
    <n v="17"/>
    <n v="0.1"/>
    <n v="0.18"/>
    <n v="18000"/>
    <n v="0.3"/>
    <n v="20400"/>
    <n v="18360"/>
    <n v="3304.7999999999997"/>
    <n v="21304.799999999999"/>
    <n v="-2944.7999999999993"/>
    <n v="-883.43999999999971"/>
    <n v="-2061.3599999999997"/>
    <n v="-0.10104705882352939"/>
  </r>
  <r>
    <x v="8"/>
    <x v="1"/>
    <s v="May 2014"/>
    <n v="1"/>
    <x v="0"/>
    <x v="0"/>
    <x v="0"/>
    <s v="Worst"/>
    <n v="1200"/>
    <n v="17"/>
    <n v="0.1"/>
    <n v="0.18"/>
    <n v="18000"/>
    <n v="0.3"/>
    <n v="20400"/>
    <n v="18360"/>
    <n v="3304.7999999999997"/>
    <n v="21304.799999999999"/>
    <n v="-2944.7999999999993"/>
    <n v="-883.43999999999971"/>
    <n v="-2061.3599999999997"/>
    <n v="-0.10104705882352939"/>
  </r>
  <r>
    <x v="8"/>
    <x v="1"/>
    <s v="May 2014"/>
    <n v="1"/>
    <x v="0"/>
    <x v="0"/>
    <x v="1"/>
    <s v="Worst"/>
    <n v="1200"/>
    <n v="17"/>
    <n v="0.1"/>
    <n v="0.18"/>
    <n v="18000"/>
    <n v="0.3"/>
    <n v="20400"/>
    <n v="18360"/>
    <n v="3304.7999999999997"/>
    <n v="21304.799999999999"/>
    <n v="-2944.7999999999993"/>
    <n v="-883.43999999999971"/>
    <n v="-2061.3599999999997"/>
    <n v="-0.10104705882352939"/>
  </r>
  <r>
    <x v="8"/>
    <x v="1"/>
    <s v="May 2014"/>
    <n v="1"/>
    <x v="0"/>
    <x v="0"/>
    <x v="2"/>
    <s v="Worst"/>
    <n v="1200"/>
    <n v="17"/>
    <n v="0.1"/>
    <n v="0.18"/>
    <n v="18000"/>
    <n v="0.3"/>
    <n v="20400"/>
    <n v="18360"/>
    <n v="3304.7999999999997"/>
    <n v="21304.799999999999"/>
    <n v="-2944.7999999999993"/>
    <n v="-883.43999999999971"/>
    <n v="-2061.3599999999997"/>
    <n v="-0.10104705882352939"/>
  </r>
  <r>
    <x v="8"/>
    <x v="1"/>
    <s v="May 2014"/>
    <n v="1"/>
    <x v="0"/>
    <x v="0"/>
    <x v="3"/>
    <s v="Worst"/>
    <n v="1200"/>
    <n v="17"/>
    <n v="0.1"/>
    <n v="0.18"/>
    <n v="18000"/>
    <n v="0.3"/>
    <n v="20400"/>
    <n v="18360"/>
    <n v="3304.7999999999997"/>
    <n v="21304.799999999999"/>
    <n v="-2944.7999999999993"/>
    <n v="-883.43999999999971"/>
    <n v="-2061.3599999999997"/>
    <n v="-0.10104705882352939"/>
  </r>
  <r>
    <x v="8"/>
    <x v="1"/>
    <s v="May 2014"/>
    <n v="1"/>
    <x v="0"/>
    <x v="0"/>
    <x v="4"/>
    <s v="Worst"/>
    <n v="1200"/>
    <n v="17"/>
    <n v="0.1"/>
    <n v="0.18"/>
    <n v="18000"/>
    <n v="0.3"/>
    <n v="20400"/>
    <n v="18360"/>
    <n v="3304.7999999999997"/>
    <n v="21304.799999999999"/>
    <n v="-2944.7999999999993"/>
    <n v="-883.43999999999971"/>
    <n v="-2061.3599999999997"/>
    <n v="-0.10104705882352939"/>
  </r>
  <r>
    <x v="8"/>
    <x v="1"/>
    <s v="May 2014"/>
    <n v="1"/>
    <x v="0"/>
    <x v="1"/>
    <x v="0"/>
    <s v="Worst"/>
    <n v="1200"/>
    <n v="17"/>
    <n v="0.1"/>
    <n v="0.18"/>
    <n v="18000"/>
    <n v="0.3"/>
    <n v="20400"/>
    <n v="18360"/>
    <n v="3304.7999999999997"/>
    <n v="21304.799999999999"/>
    <n v="-2944.7999999999993"/>
    <n v="-883.43999999999971"/>
    <n v="-2061.3599999999997"/>
    <n v="-0.10104705882352939"/>
  </r>
  <r>
    <x v="8"/>
    <x v="1"/>
    <s v="May 2014"/>
    <n v="1"/>
    <x v="0"/>
    <x v="1"/>
    <x v="1"/>
    <s v="Worst"/>
    <n v="1200"/>
    <n v="17"/>
    <n v="0.1"/>
    <n v="0.18"/>
    <n v="18000"/>
    <n v="0.3"/>
    <n v="20400"/>
    <n v="18360"/>
    <n v="3304.7999999999997"/>
    <n v="21304.799999999999"/>
    <n v="-2944.7999999999993"/>
    <n v="-883.43999999999971"/>
    <n v="-2061.3599999999997"/>
    <n v="-0.10104705882352939"/>
  </r>
  <r>
    <x v="8"/>
    <x v="1"/>
    <s v="May 2014"/>
    <n v="1"/>
    <x v="0"/>
    <x v="1"/>
    <x v="2"/>
    <s v="Worst"/>
    <n v="1200"/>
    <n v="17"/>
    <n v="0.1"/>
    <n v="0.18"/>
    <n v="18000"/>
    <n v="0.3"/>
    <n v="20400"/>
    <n v="18360"/>
    <n v="3304.7999999999997"/>
    <n v="21304.799999999999"/>
    <n v="-2944.7999999999993"/>
    <n v="-883.43999999999971"/>
    <n v="-2061.3599999999997"/>
    <n v="-0.10104705882352939"/>
  </r>
  <r>
    <x v="8"/>
    <x v="1"/>
    <s v="May 2014"/>
    <n v="1"/>
    <x v="0"/>
    <x v="1"/>
    <x v="3"/>
    <s v="Worst"/>
    <n v="1200"/>
    <n v="17"/>
    <n v="0.1"/>
    <n v="0.18"/>
    <n v="18000"/>
    <n v="0.3"/>
    <n v="20400"/>
    <n v="18360"/>
    <n v="3304.7999999999997"/>
    <n v="21304.799999999999"/>
    <n v="-2944.7999999999993"/>
    <n v="-883.43999999999971"/>
    <n v="-2061.3599999999997"/>
    <n v="-0.10104705882352939"/>
  </r>
  <r>
    <x v="8"/>
    <x v="1"/>
    <s v="May 2014"/>
    <n v="1"/>
    <x v="0"/>
    <x v="1"/>
    <x v="4"/>
    <s v="Worst"/>
    <n v="1200"/>
    <n v="17"/>
    <n v="0.1"/>
    <n v="0.18"/>
    <n v="18000"/>
    <n v="0.3"/>
    <n v="20400"/>
    <n v="18360"/>
    <n v="3304.7999999999997"/>
    <n v="21304.799999999999"/>
    <n v="-2944.7999999999993"/>
    <n v="-883.43999999999971"/>
    <n v="-2061.3599999999997"/>
    <n v="-0.10104705882352939"/>
  </r>
  <r>
    <x v="8"/>
    <x v="1"/>
    <s v="May 2014"/>
    <n v="1"/>
    <x v="0"/>
    <x v="2"/>
    <x v="0"/>
    <s v="Worst"/>
    <n v="1200"/>
    <n v="17"/>
    <n v="0.1"/>
    <n v="0.18"/>
    <n v="18000"/>
    <n v="0.3"/>
    <n v="20400"/>
    <n v="18360"/>
    <n v="3304.7999999999997"/>
    <n v="21304.799999999999"/>
    <n v="-2944.7999999999993"/>
    <n v="-883.43999999999971"/>
    <n v="-2061.3599999999997"/>
    <n v="-0.10104705882352939"/>
  </r>
  <r>
    <x v="8"/>
    <x v="1"/>
    <s v="May 2014"/>
    <n v="1"/>
    <x v="0"/>
    <x v="2"/>
    <x v="1"/>
    <s v="Worst"/>
    <n v="1200"/>
    <n v="17"/>
    <n v="0.1"/>
    <n v="0.18"/>
    <n v="18000"/>
    <n v="0.3"/>
    <n v="20400"/>
    <n v="18360"/>
    <n v="3304.7999999999997"/>
    <n v="21304.799999999999"/>
    <n v="-2944.7999999999993"/>
    <n v="-883.43999999999971"/>
    <n v="-2061.3599999999997"/>
    <n v="-0.10104705882352939"/>
  </r>
  <r>
    <x v="8"/>
    <x v="1"/>
    <s v="May 2014"/>
    <n v="1"/>
    <x v="0"/>
    <x v="2"/>
    <x v="2"/>
    <s v="Worst"/>
    <n v="1200"/>
    <n v="17"/>
    <n v="0.1"/>
    <n v="0.18"/>
    <n v="18000"/>
    <n v="0.3"/>
    <n v="20400"/>
    <n v="18360"/>
    <n v="3304.7999999999997"/>
    <n v="21304.799999999999"/>
    <n v="-2944.7999999999993"/>
    <n v="-883.43999999999971"/>
    <n v="-2061.3599999999997"/>
    <n v="-0.10104705882352939"/>
  </r>
  <r>
    <x v="8"/>
    <x v="1"/>
    <s v="May 2014"/>
    <n v="1"/>
    <x v="0"/>
    <x v="2"/>
    <x v="3"/>
    <s v="Worst"/>
    <n v="1200"/>
    <n v="17"/>
    <n v="0.1"/>
    <n v="0.18"/>
    <n v="18000"/>
    <n v="0.3"/>
    <n v="20400"/>
    <n v="18360"/>
    <n v="3304.7999999999997"/>
    <n v="21304.799999999999"/>
    <n v="-2944.7999999999993"/>
    <n v="-883.43999999999971"/>
    <n v="-2061.3599999999997"/>
    <n v="-0.10104705882352939"/>
  </r>
  <r>
    <x v="8"/>
    <x v="1"/>
    <s v="May 2014"/>
    <n v="1"/>
    <x v="0"/>
    <x v="2"/>
    <x v="4"/>
    <s v="Worst"/>
    <n v="1200"/>
    <n v="17"/>
    <n v="0.1"/>
    <n v="0.18"/>
    <n v="18000"/>
    <n v="0.3"/>
    <n v="20400"/>
    <n v="18360"/>
    <n v="3304.7999999999997"/>
    <n v="21304.799999999999"/>
    <n v="-2944.7999999999993"/>
    <n v="-883.43999999999971"/>
    <n v="-2061.3599999999997"/>
    <n v="-0.10104705882352939"/>
  </r>
  <r>
    <x v="8"/>
    <x v="1"/>
    <s v="May 2014"/>
    <n v="1"/>
    <x v="0"/>
    <x v="3"/>
    <x v="0"/>
    <s v="Worst"/>
    <n v="1200"/>
    <n v="17"/>
    <n v="0.1"/>
    <n v="0.18"/>
    <n v="18000"/>
    <n v="0.3"/>
    <n v="20400"/>
    <n v="18360"/>
    <n v="3304.7999999999997"/>
    <n v="21304.799999999999"/>
    <n v="-2944.7999999999993"/>
    <n v="-883.43999999999971"/>
    <n v="-2061.3599999999997"/>
    <n v="-0.10104705882352939"/>
  </r>
  <r>
    <x v="8"/>
    <x v="1"/>
    <s v="May 2014"/>
    <n v="1"/>
    <x v="0"/>
    <x v="3"/>
    <x v="1"/>
    <s v="Worst"/>
    <n v="1200"/>
    <n v="17"/>
    <n v="0.1"/>
    <n v="0.18"/>
    <n v="18000"/>
    <n v="0.3"/>
    <n v="20400"/>
    <n v="18360"/>
    <n v="3304.7999999999997"/>
    <n v="21304.799999999999"/>
    <n v="-2944.7999999999993"/>
    <n v="-883.43999999999971"/>
    <n v="-2061.3599999999997"/>
    <n v="-0.10104705882352939"/>
  </r>
  <r>
    <x v="8"/>
    <x v="1"/>
    <s v="May 2014"/>
    <n v="1"/>
    <x v="0"/>
    <x v="3"/>
    <x v="2"/>
    <s v="Worst"/>
    <n v="1200"/>
    <n v="17"/>
    <n v="0.1"/>
    <n v="0.18"/>
    <n v="18000"/>
    <n v="0.3"/>
    <n v="20400"/>
    <n v="18360"/>
    <n v="3304.7999999999997"/>
    <n v="21304.799999999999"/>
    <n v="-2944.7999999999993"/>
    <n v="-883.43999999999971"/>
    <n v="-2061.3599999999997"/>
    <n v="-0.10104705882352939"/>
  </r>
  <r>
    <x v="8"/>
    <x v="1"/>
    <s v="May 2014"/>
    <n v="1"/>
    <x v="0"/>
    <x v="3"/>
    <x v="3"/>
    <s v="Worst"/>
    <n v="1200"/>
    <n v="17"/>
    <n v="0.1"/>
    <n v="0.18"/>
    <n v="18000"/>
    <n v="0.3"/>
    <n v="20400"/>
    <n v="18360"/>
    <n v="3304.7999999999997"/>
    <n v="21304.799999999999"/>
    <n v="-2944.7999999999993"/>
    <n v="-883.43999999999971"/>
    <n v="-2061.3599999999997"/>
    <n v="-0.10104705882352939"/>
  </r>
  <r>
    <x v="8"/>
    <x v="1"/>
    <s v="May 2014"/>
    <n v="1"/>
    <x v="0"/>
    <x v="3"/>
    <x v="4"/>
    <s v="Worst"/>
    <n v="1200"/>
    <n v="17"/>
    <n v="0.1"/>
    <n v="0.18"/>
    <n v="18000"/>
    <n v="0.3"/>
    <n v="20400"/>
    <n v="18360"/>
    <n v="3304.7999999999997"/>
    <n v="21304.799999999999"/>
    <n v="-2944.7999999999993"/>
    <n v="-883.43999999999971"/>
    <n v="-2061.3599999999997"/>
    <n v="-0.10104705882352939"/>
  </r>
  <r>
    <x v="8"/>
    <x v="1"/>
    <s v="May 2014"/>
    <n v="1"/>
    <x v="0"/>
    <x v="4"/>
    <x v="0"/>
    <s v="Worst"/>
    <n v="1200"/>
    <n v="17"/>
    <n v="0.1"/>
    <n v="0.18"/>
    <n v="18000"/>
    <n v="0.3"/>
    <n v="20400"/>
    <n v="18360"/>
    <n v="3304.7999999999997"/>
    <n v="21304.799999999999"/>
    <n v="-2944.7999999999993"/>
    <n v="-883.43999999999971"/>
    <n v="-2061.3599999999997"/>
    <n v="-0.10104705882352939"/>
  </r>
  <r>
    <x v="8"/>
    <x v="1"/>
    <s v="May 2014"/>
    <n v="1"/>
    <x v="0"/>
    <x v="4"/>
    <x v="1"/>
    <s v="Worst"/>
    <n v="1200"/>
    <n v="17"/>
    <n v="0.1"/>
    <n v="0.18"/>
    <n v="18000"/>
    <n v="0.3"/>
    <n v="20400"/>
    <n v="18360"/>
    <n v="3304.7999999999997"/>
    <n v="21304.799999999999"/>
    <n v="-2944.7999999999993"/>
    <n v="-883.43999999999971"/>
    <n v="-2061.3599999999997"/>
    <n v="-0.10104705882352939"/>
  </r>
  <r>
    <x v="8"/>
    <x v="1"/>
    <s v="May 2014"/>
    <n v="1"/>
    <x v="0"/>
    <x v="4"/>
    <x v="2"/>
    <s v="Worst"/>
    <n v="1200"/>
    <n v="17"/>
    <n v="0.1"/>
    <n v="0.18"/>
    <n v="18000"/>
    <n v="0.3"/>
    <n v="20400"/>
    <n v="18360"/>
    <n v="3304.7999999999997"/>
    <n v="21304.799999999999"/>
    <n v="-2944.7999999999993"/>
    <n v="-883.43999999999971"/>
    <n v="-2061.3599999999997"/>
    <n v="-0.10104705882352939"/>
  </r>
  <r>
    <x v="8"/>
    <x v="1"/>
    <s v="May 2014"/>
    <n v="1"/>
    <x v="0"/>
    <x v="4"/>
    <x v="3"/>
    <s v="Worst"/>
    <n v="1200"/>
    <n v="17"/>
    <n v="0.1"/>
    <n v="0.18"/>
    <n v="18000"/>
    <n v="0.3"/>
    <n v="20400"/>
    <n v="18360"/>
    <n v="3304.7999999999997"/>
    <n v="21304.799999999999"/>
    <n v="-2944.7999999999993"/>
    <n v="-883.43999999999971"/>
    <n v="-2061.3599999999997"/>
    <n v="-0.10104705882352939"/>
  </r>
  <r>
    <x v="8"/>
    <x v="1"/>
    <s v="May 2014"/>
    <n v="1"/>
    <x v="0"/>
    <x v="4"/>
    <x v="4"/>
    <s v="Worst"/>
    <n v="1200"/>
    <n v="17"/>
    <n v="0.1"/>
    <n v="0.18"/>
    <n v="18000"/>
    <n v="0.3"/>
    <n v="20400"/>
    <n v="18360"/>
    <n v="3304.7999999999997"/>
    <n v="21304.799999999999"/>
    <n v="-2944.7999999999993"/>
    <n v="-883.43999999999971"/>
    <n v="-2061.3599999999997"/>
    <n v="-0.10104705882352939"/>
  </r>
  <r>
    <x v="8"/>
    <x v="1"/>
    <s v="May 2014"/>
    <n v="1"/>
    <x v="1"/>
    <x v="0"/>
    <x v="0"/>
    <s v="Worst"/>
    <n v="1200"/>
    <n v="17"/>
    <n v="0.1"/>
    <n v="0.18"/>
    <n v="18000"/>
    <n v="0.3"/>
    <n v="20400"/>
    <n v="18360"/>
    <n v="3304.7999999999997"/>
    <n v="21304.799999999999"/>
    <n v="-2944.7999999999993"/>
    <n v="-883.43999999999971"/>
    <n v="-2061.3599999999997"/>
    <n v="-0.10104705882352939"/>
  </r>
  <r>
    <x v="8"/>
    <x v="1"/>
    <s v="May 2014"/>
    <n v="1"/>
    <x v="1"/>
    <x v="0"/>
    <x v="1"/>
    <s v="Worst"/>
    <n v="1200"/>
    <n v="17"/>
    <n v="0.1"/>
    <n v="0.18"/>
    <n v="18000"/>
    <n v="0.3"/>
    <n v="20400"/>
    <n v="18360"/>
    <n v="3304.7999999999997"/>
    <n v="21304.799999999999"/>
    <n v="-2944.7999999999993"/>
    <n v="-883.43999999999971"/>
    <n v="-2061.3599999999997"/>
    <n v="-0.10104705882352939"/>
  </r>
  <r>
    <x v="8"/>
    <x v="1"/>
    <s v="May 2014"/>
    <n v="1"/>
    <x v="1"/>
    <x v="0"/>
    <x v="2"/>
    <s v="Worst"/>
    <n v="1200"/>
    <n v="17"/>
    <n v="0.1"/>
    <n v="0.18"/>
    <n v="18000"/>
    <n v="0.3"/>
    <n v="20400"/>
    <n v="18360"/>
    <n v="3304.7999999999997"/>
    <n v="21304.799999999999"/>
    <n v="-2944.7999999999993"/>
    <n v="-883.43999999999971"/>
    <n v="-2061.3599999999997"/>
    <n v="-0.10104705882352939"/>
  </r>
  <r>
    <x v="8"/>
    <x v="1"/>
    <s v="May 2014"/>
    <n v="1"/>
    <x v="1"/>
    <x v="0"/>
    <x v="3"/>
    <s v="Worst"/>
    <n v="1200"/>
    <n v="17"/>
    <n v="0.1"/>
    <n v="0.18"/>
    <n v="18000"/>
    <n v="0.3"/>
    <n v="20400"/>
    <n v="18360"/>
    <n v="3304.7999999999997"/>
    <n v="21304.799999999999"/>
    <n v="-2944.7999999999993"/>
    <n v="-883.43999999999971"/>
    <n v="-2061.3599999999997"/>
    <n v="-0.10104705882352939"/>
  </r>
  <r>
    <x v="8"/>
    <x v="1"/>
    <s v="May 2014"/>
    <n v="1"/>
    <x v="1"/>
    <x v="0"/>
    <x v="4"/>
    <s v="Worst"/>
    <n v="1200"/>
    <n v="17"/>
    <n v="0.1"/>
    <n v="0.18"/>
    <n v="18000"/>
    <n v="0.3"/>
    <n v="20400"/>
    <n v="18360"/>
    <n v="3304.7999999999997"/>
    <n v="21304.799999999999"/>
    <n v="-2944.7999999999993"/>
    <n v="-883.43999999999971"/>
    <n v="-2061.3599999999997"/>
    <n v="-0.10104705882352939"/>
  </r>
  <r>
    <x v="8"/>
    <x v="1"/>
    <s v="May 2014"/>
    <n v="1"/>
    <x v="1"/>
    <x v="1"/>
    <x v="0"/>
    <s v="Worst"/>
    <n v="1200"/>
    <n v="17"/>
    <n v="0.1"/>
    <n v="0.18"/>
    <n v="18000"/>
    <n v="0.3"/>
    <n v="20400"/>
    <n v="18360"/>
    <n v="3304.7999999999997"/>
    <n v="21304.799999999999"/>
    <n v="-2944.7999999999993"/>
    <n v="-883.43999999999971"/>
    <n v="-2061.3599999999997"/>
    <n v="-0.10104705882352939"/>
  </r>
  <r>
    <x v="8"/>
    <x v="1"/>
    <s v="May 2014"/>
    <n v="1"/>
    <x v="1"/>
    <x v="1"/>
    <x v="1"/>
    <s v="Worst"/>
    <n v="1200"/>
    <n v="17"/>
    <n v="0.1"/>
    <n v="0.18"/>
    <n v="18000"/>
    <n v="0.3"/>
    <n v="20400"/>
    <n v="18360"/>
    <n v="3304.7999999999997"/>
    <n v="21304.799999999999"/>
    <n v="-2944.7999999999993"/>
    <n v="-883.43999999999971"/>
    <n v="-2061.3599999999997"/>
    <n v="-0.10104705882352939"/>
  </r>
  <r>
    <x v="8"/>
    <x v="1"/>
    <s v="May 2014"/>
    <n v="1"/>
    <x v="1"/>
    <x v="1"/>
    <x v="2"/>
    <s v="Worst"/>
    <n v="1200"/>
    <n v="17"/>
    <n v="0.1"/>
    <n v="0.18"/>
    <n v="18000"/>
    <n v="0.3"/>
    <n v="20400"/>
    <n v="18360"/>
    <n v="3304.7999999999997"/>
    <n v="21304.799999999999"/>
    <n v="-2944.7999999999993"/>
    <n v="-883.43999999999971"/>
    <n v="-2061.3599999999997"/>
    <n v="-0.10104705882352939"/>
  </r>
  <r>
    <x v="8"/>
    <x v="1"/>
    <s v="May 2014"/>
    <n v="1"/>
    <x v="1"/>
    <x v="1"/>
    <x v="3"/>
    <s v="Worst"/>
    <n v="1200"/>
    <n v="17"/>
    <n v="0.1"/>
    <n v="0.18"/>
    <n v="18000"/>
    <n v="0.3"/>
    <n v="20400"/>
    <n v="18360"/>
    <n v="3304.7999999999997"/>
    <n v="21304.799999999999"/>
    <n v="-2944.7999999999993"/>
    <n v="-883.43999999999971"/>
    <n v="-2061.3599999999997"/>
    <n v="-0.10104705882352939"/>
  </r>
  <r>
    <x v="8"/>
    <x v="1"/>
    <s v="May 2014"/>
    <n v="1"/>
    <x v="1"/>
    <x v="1"/>
    <x v="4"/>
    <s v="Worst"/>
    <n v="1200"/>
    <n v="17"/>
    <n v="0.1"/>
    <n v="0.18"/>
    <n v="18000"/>
    <n v="0.3"/>
    <n v="20400"/>
    <n v="18360"/>
    <n v="3304.7999999999997"/>
    <n v="21304.799999999999"/>
    <n v="-2944.7999999999993"/>
    <n v="-883.43999999999971"/>
    <n v="-2061.3599999999997"/>
    <n v="-0.10104705882352939"/>
  </r>
  <r>
    <x v="8"/>
    <x v="1"/>
    <s v="May 2014"/>
    <n v="1"/>
    <x v="1"/>
    <x v="2"/>
    <x v="0"/>
    <s v="Worst"/>
    <n v="1200"/>
    <n v="17"/>
    <n v="0.1"/>
    <n v="0.18"/>
    <n v="18000"/>
    <n v="0.3"/>
    <n v="20400"/>
    <n v="18360"/>
    <n v="3304.7999999999997"/>
    <n v="21304.799999999999"/>
    <n v="-2944.7999999999993"/>
    <n v="-883.43999999999971"/>
    <n v="-2061.3599999999997"/>
    <n v="-0.10104705882352939"/>
  </r>
  <r>
    <x v="8"/>
    <x v="1"/>
    <s v="May 2014"/>
    <n v="1"/>
    <x v="1"/>
    <x v="2"/>
    <x v="1"/>
    <s v="Worst"/>
    <n v="1200"/>
    <n v="17"/>
    <n v="0.1"/>
    <n v="0.18"/>
    <n v="18000"/>
    <n v="0.3"/>
    <n v="20400"/>
    <n v="18360"/>
    <n v="3304.7999999999997"/>
    <n v="21304.799999999999"/>
    <n v="-2944.7999999999993"/>
    <n v="-883.43999999999971"/>
    <n v="-2061.3599999999997"/>
    <n v="-0.10104705882352939"/>
  </r>
  <r>
    <x v="8"/>
    <x v="1"/>
    <s v="May 2014"/>
    <n v="1"/>
    <x v="1"/>
    <x v="2"/>
    <x v="2"/>
    <s v="Worst"/>
    <n v="1200"/>
    <n v="17"/>
    <n v="0.1"/>
    <n v="0.18"/>
    <n v="18000"/>
    <n v="0.3"/>
    <n v="20400"/>
    <n v="18360"/>
    <n v="3304.7999999999997"/>
    <n v="21304.799999999999"/>
    <n v="-2944.7999999999993"/>
    <n v="-883.43999999999971"/>
    <n v="-2061.3599999999997"/>
    <n v="-0.10104705882352939"/>
  </r>
  <r>
    <x v="8"/>
    <x v="1"/>
    <s v="May 2014"/>
    <n v="1"/>
    <x v="1"/>
    <x v="2"/>
    <x v="3"/>
    <s v="Worst"/>
    <n v="1200"/>
    <n v="17"/>
    <n v="0.1"/>
    <n v="0.18"/>
    <n v="18000"/>
    <n v="0.3"/>
    <n v="20400"/>
    <n v="18360"/>
    <n v="3304.7999999999997"/>
    <n v="21304.799999999999"/>
    <n v="-2944.7999999999993"/>
    <n v="-883.43999999999971"/>
    <n v="-2061.3599999999997"/>
    <n v="-0.10104705882352939"/>
  </r>
  <r>
    <x v="8"/>
    <x v="1"/>
    <s v="May 2014"/>
    <n v="1"/>
    <x v="1"/>
    <x v="2"/>
    <x v="4"/>
    <s v="Worst"/>
    <n v="1200"/>
    <n v="17"/>
    <n v="0.1"/>
    <n v="0.18"/>
    <n v="18000"/>
    <n v="0.3"/>
    <n v="20400"/>
    <n v="18360"/>
    <n v="3304.7999999999997"/>
    <n v="21304.799999999999"/>
    <n v="-2944.7999999999993"/>
    <n v="-883.43999999999971"/>
    <n v="-2061.3599999999997"/>
    <n v="-0.10104705882352939"/>
  </r>
  <r>
    <x v="8"/>
    <x v="1"/>
    <s v="May 2014"/>
    <n v="1"/>
    <x v="1"/>
    <x v="3"/>
    <x v="0"/>
    <s v="Worst"/>
    <n v="1200"/>
    <n v="17"/>
    <n v="0.1"/>
    <n v="0.18"/>
    <n v="18000"/>
    <n v="0.3"/>
    <n v="20400"/>
    <n v="18360"/>
    <n v="3304.7999999999997"/>
    <n v="21304.799999999999"/>
    <n v="-2944.7999999999993"/>
    <n v="-883.43999999999971"/>
    <n v="-2061.3599999999997"/>
    <n v="-0.10104705882352939"/>
  </r>
  <r>
    <x v="8"/>
    <x v="1"/>
    <s v="May 2014"/>
    <n v="1"/>
    <x v="1"/>
    <x v="3"/>
    <x v="1"/>
    <s v="Worst"/>
    <n v="1200"/>
    <n v="17"/>
    <n v="0.1"/>
    <n v="0.18"/>
    <n v="18000"/>
    <n v="0.3"/>
    <n v="20400"/>
    <n v="18360"/>
    <n v="3304.7999999999997"/>
    <n v="21304.799999999999"/>
    <n v="-2944.7999999999993"/>
    <n v="-883.43999999999971"/>
    <n v="-2061.3599999999997"/>
    <n v="-0.10104705882352939"/>
  </r>
  <r>
    <x v="8"/>
    <x v="1"/>
    <s v="May 2014"/>
    <n v="1"/>
    <x v="1"/>
    <x v="3"/>
    <x v="2"/>
    <s v="Worst"/>
    <n v="1200"/>
    <n v="17"/>
    <n v="0.1"/>
    <n v="0.18"/>
    <n v="18000"/>
    <n v="0.3"/>
    <n v="20400"/>
    <n v="18360"/>
    <n v="3304.7999999999997"/>
    <n v="21304.799999999999"/>
    <n v="-2944.7999999999993"/>
    <n v="-883.43999999999971"/>
    <n v="-2061.3599999999997"/>
    <n v="-0.10104705882352939"/>
  </r>
  <r>
    <x v="8"/>
    <x v="1"/>
    <s v="May 2014"/>
    <n v="1"/>
    <x v="1"/>
    <x v="3"/>
    <x v="3"/>
    <s v="Worst"/>
    <n v="1200"/>
    <n v="17"/>
    <n v="0.1"/>
    <n v="0.18"/>
    <n v="18000"/>
    <n v="0.3"/>
    <n v="20400"/>
    <n v="18360"/>
    <n v="3304.7999999999997"/>
    <n v="21304.799999999999"/>
    <n v="-2944.7999999999993"/>
    <n v="-883.43999999999971"/>
    <n v="-2061.3599999999997"/>
    <n v="-0.10104705882352939"/>
  </r>
  <r>
    <x v="8"/>
    <x v="1"/>
    <s v="May 2014"/>
    <n v="1"/>
    <x v="1"/>
    <x v="3"/>
    <x v="4"/>
    <s v="Worst"/>
    <n v="1200"/>
    <n v="17"/>
    <n v="0.1"/>
    <n v="0.18"/>
    <n v="18000"/>
    <n v="0.3"/>
    <n v="20400"/>
    <n v="18360"/>
    <n v="3304.7999999999997"/>
    <n v="21304.799999999999"/>
    <n v="-2944.7999999999993"/>
    <n v="-883.43999999999971"/>
    <n v="-2061.3599999999997"/>
    <n v="-0.10104705882352939"/>
  </r>
  <r>
    <x v="8"/>
    <x v="1"/>
    <s v="May 2014"/>
    <n v="1"/>
    <x v="1"/>
    <x v="4"/>
    <x v="0"/>
    <s v="Worst"/>
    <n v="1200"/>
    <n v="17"/>
    <n v="0.1"/>
    <n v="0.18"/>
    <n v="18000"/>
    <n v="0.3"/>
    <n v="20400"/>
    <n v="18360"/>
    <n v="3304.7999999999997"/>
    <n v="21304.799999999999"/>
    <n v="-2944.7999999999993"/>
    <n v="-883.43999999999971"/>
    <n v="-2061.3599999999997"/>
    <n v="-0.10104705882352939"/>
  </r>
  <r>
    <x v="8"/>
    <x v="1"/>
    <s v="May 2014"/>
    <n v="1"/>
    <x v="1"/>
    <x v="4"/>
    <x v="1"/>
    <s v="Worst"/>
    <n v="1200"/>
    <n v="17"/>
    <n v="0.1"/>
    <n v="0.18"/>
    <n v="18000"/>
    <n v="0.3"/>
    <n v="20400"/>
    <n v="18360"/>
    <n v="3304.7999999999997"/>
    <n v="21304.799999999999"/>
    <n v="-2944.7999999999993"/>
    <n v="-883.43999999999971"/>
    <n v="-2061.3599999999997"/>
    <n v="-0.10104705882352939"/>
  </r>
  <r>
    <x v="8"/>
    <x v="1"/>
    <s v="May 2014"/>
    <n v="1"/>
    <x v="1"/>
    <x v="4"/>
    <x v="2"/>
    <s v="Worst"/>
    <n v="1200"/>
    <n v="17"/>
    <n v="0.1"/>
    <n v="0.18"/>
    <n v="18000"/>
    <n v="0.3"/>
    <n v="20400"/>
    <n v="18360"/>
    <n v="3304.7999999999997"/>
    <n v="21304.799999999999"/>
    <n v="-2944.7999999999993"/>
    <n v="-883.43999999999971"/>
    <n v="-2061.3599999999997"/>
    <n v="-0.10104705882352939"/>
  </r>
  <r>
    <x v="8"/>
    <x v="1"/>
    <s v="May 2014"/>
    <n v="1"/>
    <x v="1"/>
    <x v="4"/>
    <x v="3"/>
    <s v="Worst"/>
    <n v="1200"/>
    <n v="17"/>
    <n v="0.1"/>
    <n v="0.18"/>
    <n v="18000"/>
    <n v="0.3"/>
    <n v="20400"/>
    <n v="18360"/>
    <n v="3304.7999999999997"/>
    <n v="21304.799999999999"/>
    <n v="-2944.7999999999993"/>
    <n v="-883.43999999999971"/>
    <n v="-2061.3599999999997"/>
    <n v="-0.10104705882352939"/>
  </r>
  <r>
    <x v="8"/>
    <x v="1"/>
    <s v="May 2014"/>
    <n v="1"/>
    <x v="1"/>
    <x v="4"/>
    <x v="4"/>
    <s v="Worst"/>
    <n v="1200"/>
    <n v="17"/>
    <n v="0.1"/>
    <n v="0.18"/>
    <n v="18000"/>
    <n v="0.3"/>
    <n v="20400"/>
    <n v="18360"/>
    <n v="3304.7999999999997"/>
    <n v="21304.799999999999"/>
    <n v="-2944.7999999999993"/>
    <n v="-883.43999999999971"/>
    <n v="-2061.3599999999997"/>
    <n v="-0.10104705882352939"/>
  </r>
  <r>
    <x v="8"/>
    <x v="1"/>
    <s v="May 2014"/>
    <n v="1"/>
    <x v="2"/>
    <x v="0"/>
    <x v="0"/>
    <s v="Worst"/>
    <n v="1200"/>
    <n v="17"/>
    <n v="0.1"/>
    <n v="0.18"/>
    <n v="18000"/>
    <n v="0.3"/>
    <n v="20400"/>
    <n v="18360"/>
    <n v="3304.7999999999997"/>
    <n v="21304.799999999999"/>
    <n v="-2944.7999999999993"/>
    <n v="-883.43999999999971"/>
    <n v="-2061.3599999999997"/>
    <n v="-0.10104705882352939"/>
  </r>
  <r>
    <x v="8"/>
    <x v="1"/>
    <s v="May 2014"/>
    <n v="1"/>
    <x v="2"/>
    <x v="0"/>
    <x v="1"/>
    <s v="Worst"/>
    <n v="1200"/>
    <n v="17"/>
    <n v="0.1"/>
    <n v="0.18"/>
    <n v="18000"/>
    <n v="0.3"/>
    <n v="20400"/>
    <n v="18360"/>
    <n v="3304.7999999999997"/>
    <n v="21304.799999999999"/>
    <n v="-2944.7999999999993"/>
    <n v="-883.43999999999971"/>
    <n v="-2061.3599999999997"/>
    <n v="-0.10104705882352939"/>
  </r>
  <r>
    <x v="8"/>
    <x v="1"/>
    <s v="May 2014"/>
    <n v="1"/>
    <x v="2"/>
    <x v="0"/>
    <x v="2"/>
    <s v="Worst"/>
    <n v="1200"/>
    <n v="17"/>
    <n v="0.1"/>
    <n v="0.18"/>
    <n v="18000"/>
    <n v="0.3"/>
    <n v="20400"/>
    <n v="18360"/>
    <n v="3304.7999999999997"/>
    <n v="21304.799999999999"/>
    <n v="-2944.7999999999993"/>
    <n v="-883.43999999999971"/>
    <n v="-2061.3599999999997"/>
    <n v="-0.10104705882352939"/>
  </r>
  <r>
    <x v="8"/>
    <x v="1"/>
    <s v="May 2014"/>
    <n v="1"/>
    <x v="2"/>
    <x v="0"/>
    <x v="3"/>
    <s v="Worst"/>
    <n v="1200"/>
    <n v="17"/>
    <n v="0.1"/>
    <n v="0.18"/>
    <n v="18000"/>
    <n v="0.3"/>
    <n v="20400"/>
    <n v="18360"/>
    <n v="3304.7999999999997"/>
    <n v="21304.799999999999"/>
    <n v="-2944.7999999999993"/>
    <n v="-883.43999999999971"/>
    <n v="-2061.3599999999997"/>
    <n v="-0.10104705882352939"/>
  </r>
  <r>
    <x v="8"/>
    <x v="1"/>
    <s v="May 2014"/>
    <n v="1"/>
    <x v="2"/>
    <x v="0"/>
    <x v="4"/>
    <s v="Worst"/>
    <n v="1200"/>
    <n v="17"/>
    <n v="0.1"/>
    <n v="0.18"/>
    <n v="18000"/>
    <n v="0.3"/>
    <n v="20400"/>
    <n v="18360"/>
    <n v="3304.7999999999997"/>
    <n v="21304.799999999999"/>
    <n v="-2944.7999999999993"/>
    <n v="-883.43999999999971"/>
    <n v="-2061.3599999999997"/>
    <n v="-0.10104705882352939"/>
  </r>
  <r>
    <x v="8"/>
    <x v="1"/>
    <s v="May 2014"/>
    <n v="1"/>
    <x v="2"/>
    <x v="1"/>
    <x v="0"/>
    <s v="Worst"/>
    <n v="1200"/>
    <n v="17"/>
    <n v="0.1"/>
    <n v="0.18"/>
    <n v="18000"/>
    <n v="0.3"/>
    <n v="20400"/>
    <n v="18360"/>
    <n v="3304.7999999999997"/>
    <n v="21304.799999999999"/>
    <n v="-2944.7999999999993"/>
    <n v="-883.43999999999971"/>
    <n v="-2061.3599999999997"/>
    <n v="-0.10104705882352939"/>
  </r>
  <r>
    <x v="8"/>
    <x v="1"/>
    <s v="May 2014"/>
    <n v="1"/>
    <x v="2"/>
    <x v="1"/>
    <x v="1"/>
    <s v="Worst"/>
    <n v="1200"/>
    <n v="17"/>
    <n v="0.1"/>
    <n v="0.18"/>
    <n v="18000"/>
    <n v="0.3"/>
    <n v="20400"/>
    <n v="18360"/>
    <n v="3304.7999999999997"/>
    <n v="21304.799999999999"/>
    <n v="-2944.7999999999993"/>
    <n v="-883.43999999999971"/>
    <n v="-2061.3599999999997"/>
    <n v="-0.10104705882352939"/>
  </r>
  <r>
    <x v="8"/>
    <x v="1"/>
    <s v="May 2014"/>
    <n v="1"/>
    <x v="2"/>
    <x v="1"/>
    <x v="2"/>
    <s v="Worst"/>
    <n v="1200"/>
    <n v="17"/>
    <n v="0.1"/>
    <n v="0.18"/>
    <n v="18000"/>
    <n v="0.3"/>
    <n v="20400"/>
    <n v="18360"/>
    <n v="3304.7999999999997"/>
    <n v="21304.799999999999"/>
    <n v="-2944.7999999999993"/>
    <n v="-883.43999999999971"/>
    <n v="-2061.3599999999997"/>
    <n v="-0.10104705882352939"/>
  </r>
  <r>
    <x v="8"/>
    <x v="1"/>
    <s v="May 2014"/>
    <n v="1"/>
    <x v="2"/>
    <x v="1"/>
    <x v="3"/>
    <s v="Worst"/>
    <n v="1200"/>
    <n v="17"/>
    <n v="0.1"/>
    <n v="0.18"/>
    <n v="18000"/>
    <n v="0.3"/>
    <n v="20400"/>
    <n v="18360"/>
    <n v="3304.7999999999997"/>
    <n v="21304.799999999999"/>
    <n v="-2944.7999999999993"/>
    <n v="-883.43999999999971"/>
    <n v="-2061.3599999999997"/>
    <n v="-0.10104705882352939"/>
  </r>
  <r>
    <x v="8"/>
    <x v="1"/>
    <s v="May 2014"/>
    <n v="1"/>
    <x v="2"/>
    <x v="1"/>
    <x v="4"/>
    <s v="Worst"/>
    <n v="1200"/>
    <n v="17"/>
    <n v="0.1"/>
    <n v="0.18"/>
    <n v="18000"/>
    <n v="0.3"/>
    <n v="20400"/>
    <n v="18360"/>
    <n v="3304.7999999999997"/>
    <n v="21304.799999999999"/>
    <n v="-2944.7999999999993"/>
    <n v="-883.43999999999971"/>
    <n v="-2061.3599999999997"/>
    <n v="-0.10104705882352939"/>
  </r>
  <r>
    <x v="8"/>
    <x v="1"/>
    <s v="May 2014"/>
    <n v="1"/>
    <x v="2"/>
    <x v="2"/>
    <x v="0"/>
    <s v="Worst"/>
    <n v="1200"/>
    <n v="17"/>
    <n v="0.1"/>
    <n v="0.18"/>
    <n v="18000"/>
    <n v="0.3"/>
    <n v="20400"/>
    <n v="18360"/>
    <n v="3304.7999999999997"/>
    <n v="21304.799999999999"/>
    <n v="-2944.7999999999993"/>
    <n v="-883.43999999999971"/>
    <n v="-2061.3599999999997"/>
    <n v="-0.10104705882352939"/>
  </r>
  <r>
    <x v="8"/>
    <x v="1"/>
    <s v="May 2014"/>
    <n v="1"/>
    <x v="2"/>
    <x v="2"/>
    <x v="1"/>
    <s v="Worst"/>
    <n v="1200"/>
    <n v="17"/>
    <n v="0.1"/>
    <n v="0.18"/>
    <n v="18000"/>
    <n v="0.3"/>
    <n v="20400"/>
    <n v="18360"/>
    <n v="3304.7999999999997"/>
    <n v="21304.799999999999"/>
    <n v="-2944.7999999999993"/>
    <n v="-883.43999999999971"/>
    <n v="-2061.3599999999997"/>
    <n v="-0.10104705882352939"/>
  </r>
  <r>
    <x v="8"/>
    <x v="1"/>
    <s v="May 2014"/>
    <n v="1"/>
    <x v="2"/>
    <x v="2"/>
    <x v="2"/>
    <s v="Worst"/>
    <n v="1200"/>
    <n v="17"/>
    <n v="0.1"/>
    <n v="0.18"/>
    <n v="18000"/>
    <n v="0.3"/>
    <n v="20400"/>
    <n v="18360"/>
    <n v="3304.7999999999997"/>
    <n v="21304.799999999999"/>
    <n v="-2944.7999999999993"/>
    <n v="-883.43999999999971"/>
    <n v="-2061.3599999999997"/>
    <n v="-0.10104705882352939"/>
  </r>
  <r>
    <x v="8"/>
    <x v="1"/>
    <s v="May 2014"/>
    <n v="1"/>
    <x v="2"/>
    <x v="2"/>
    <x v="3"/>
    <s v="Worst"/>
    <n v="1200"/>
    <n v="17"/>
    <n v="0.1"/>
    <n v="0.18"/>
    <n v="18000"/>
    <n v="0.3"/>
    <n v="20400"/>
    <n v="18360"/>
    <n v="3304.7999999999997"/>
    <n v="21304.799999999999"/>
    <n v="-2944.7999999999993"/>
    <n v="-883.43999999999971"/>
    <n v="-2061.3599999999997"/>
    <n v="-0.10104705882352939"/>
  </r>
  <r>
    <x v="8"/>
    <x v="1"/>
    <s v="May 2014"/>
    <n v="1"/>
    <x v="2"/>
    <x v="2"/>
    <x v="4"/>
    <s v="Worst"/>
    <n v="1200"/>
    <n v="17"/>
    <n v="0.1"/>
    <n v="0.18"/>
    <n v="18000"/>
    <n v="0.3"/>
    <n v="20400"/>
    <n v="18360"/>
    <n v="3304.7999999999997"/>
    <n v="21304.799999999999"/>
    <n v="-2944.7999999999993"/>
    <n v="-883.43999999999971"/>
    <n v="-2061.3599999999997"/>
    <n v="-0.10104705882352939"/>
  </r>
  <r>
    <x v="8"/>
    <x v="1"/>
    <s v="May 2014"/>
    <n v="1"/>
    <x v="2"/>
    <x v="3"/>
    <x v="0"/>
    <s v="Worst"/>
    <n v="1200"/>
    <n v="17"/>
    <n v="0.1"/>
    <n v="0.18"/>
    <n v="18000"/>
    <n v="0.3"/>
    <n v="20400"/>
    <n v="18360"/>
    <n v="3304.7999999999997"/>
    <n v="21304.799999999999"/>
    <n v="-2944.7999999999993"/>
    <n v="-883.43999999999971"/>
    <n v="-2061.3599999999997"/>
    <n v="-0.10104705882352939"/>
  </r>
  <r>
    <x v="8"/>
    <x v="1"/>
    <s v="May 2014"/>
    <n v="1"/>
    <x v="2"/>
    <x v="3"/>
    <x v="1"/>
    <s v="Worst"/>
    <n v="1200"/>
    <n v="17"/>
    <n v="0.1"/>
    <n v="0.18"/>
    <n v="18000"/>
    <n v="0.3"/>
    <n v="20400"/>
    <n v="18360"/>
    <n v="3304.7999999999997"/>
    <n v="21304.799999999999"/>
    <n v="-2944.7999999999993"/>
    <n v="-883.43999999999971"/>
    <n v="-2061.3599999999997"/>
    <n v="-0.10104705882352939"/>
  </r>
  <r>
    <x v="8"/>
    <x v="1"/>
    <s v="May 2014"/>
    <n v="1"/>
    <x v="2"/>
    <x v="3"/>
    <x v="2"/>
    <s v="Worst"/>
    <n v="1200"/>
    <n v="17"/>
    <n v="0.1"/>
    <n v="0.18"/>
    <n v="18000"/>
    <n v="0.3"/>
    <n v="20400"/>
    <n v="18360"/>
    <n v="3304.7999999999997"/>
    <n v="21304.799999999999"/>
    <n v="-2944.7999999999993"/>
    <n v="-883.43999999999971"/>
    <n v="-2061.3599999999997"/>
    <n v="-0.10104705882352939"/>
  </r>
  <r>
    <x v="8"/>
    <x v="1"/>
    <s v="May 2014"/>
    <n v="1"/>
    <x v="2"/>
    <x v="3"/>
    <x v="3"/>
    <s v="Worst"/>
    <n v="1200"/>
    <n v="17"/>
    <n v="0.1"/>
    <n v="0.18"/>
    <n v="18000"/>
    <n v="0.3"/>
    <n v="20400"/>
    <n v="18360"/>
    <n v="3304.7999999999997"/>
    <n v="21304.799999999999"/>
    <n v="-2944.7999999999993"/>
    <n v="-883.43999999999971"/>
    <n v="-2061.3599999999997"/>
    <n v="-0.10104705882352939"/>
  </r>
  <r>
    <x v="8"/>
    <x v="1"/>
    <s v="May 2014"/>
    <n v="1"/>
    <x v="2"/>
    <x v="3"/>
    <x v="4"/>
    <s v="Worst"/>
    <n v="1200"/>
    <n v="17"/>
    <n v="0.1"/>
    <n v="0.18"/>
    <n v="18000"/>
    <n v="0.3"/>
    <n v="20400"/>
    <n v="18360"/>
    <n v="3304.7999999999997"/>
    <n v="21304.799999999999"/>
    <n v="-2944.7999999999993"/>
    <n v="-883.43999999999971"/>
    <n v="-2061.3599999999997"/>
    <n v="-0.10104705882352939"/>
  </r>
  <r>
    <x v="8"/>
    <x v="1"/>
    <s v="May 2014"/>
    <n v="1"/>
    <x v="2"/>
    <x v="4"/>
    <x v="0"/>
    <s v="Worst"/>
    <n v="1200"/>
    <n v="17"/>
    <n v="0.1"/>
    <n v="0.18"/>
    <n v="18000"/>
    <n v="0.3"/>
    <n v="20400"/>
    <n v="18360"/>
    <n v="3304.7999999999997"/>
    <n v="21304.799999999999"/>
    <n v="-2944.7999999999993"/>
    <n v="-883.43999999999971"/>
    <n v="-2061.3599999999997"/>
    <n v="-0.10104705882352939"/>
  </r>
  <r>
    <x v="8"/>
    <x v="1"/>
    <s v="May 2014"/>
    <n v="1"/>
    <x v="2"/>
    <x v="4"/>
    <x v="1"/>
    <s v="Worst"/>
    <n v="1200"/>
    <n v="17"/>
    <n v="0.1"/>
    <n v="0.18"/>
    <n v="18000"/>
    <n v="0.3"/>
    <n v="20400"/>
    <n v="18360"/>
    <n v="3304.7999999999997"/>
    <n v="21304.799999999999"/>
    <n v="-2944.7999999999993"/>
    <n v="-883.43999999999971"/>
    <n v="-2061.3599999999997"/>
    <n v="-0.10104705882352939"/>
  </r>
  <r>
    <x v="8"/>
    <x v="1"/>
    <s v="May 2014"/>
    <n v="1"/>
    <x v="2"/>
    <x v="4"/>
    <x v="2"/>
    <s v="Worst"/>
    <n v="1200"/>
    <n v="17"/>
    <n v="0.1"/>
    <n v="0.18"/>
    <n v="18000"/>
    <n v="0.3"/>
    <n v="20400"/>
    <n v="18360"/>
    <n v="3304.7999999999997"/>
    <n v="21304.799999999999"/>
    <n v="-2944.7999999999993"/>
    <n v="-883.43999999999971"/>
    <n v="-2061.3599999999997"/>
    <n v="-0.10104705882352939"/>
  </r>
  <r>
    <x v="8"/>
    <x v="1"/>
    <s v="May 2014"/>
    <n v="1"/>
    <x v="2"/>
    <x v="4"/>
    <x v="3"/>
    <s v="Worst"/>
    <n v="1200"/>
    <n v="17"/>
    <n v="0.1"/>
    <n v="0.18"/>
    <n v="18000"/>
    <n v="0.3"/>
    <n v="20400"/>
    <n v="18360"/>
    <n v="3304.7999999999997"/>
    <n v="21304.799999999999"/>
    <n v="-2944.7999999999993"/>
    <n v="-883.43999999999971"/>
    <n v="-2061.3599999999997"/>
    <n v="-0.10104705882352939"/>
  </r>
  <r>
    <x v="8"/>
    <x v="1"/>
    <s v="May 2014"/>
    <n v="1"/>
    <x v="2"/>
    <x v="4"/>
    <x v="4"/>
    <s v="Worst"/>
    <n v="1200"/>
    <n v="17"/>
    <n v="0.1"/>
    <n v="0.18"/>
    <n v="18000"/>
    <n v="0.3"/>
    <n v="20400"/>
    <n v="18360"/>
    <n v="3304.7999999999997"/>
    <n v="21304.799999999999"/>
    <n v="-2944.7999999999993"/>
    <n v="-883.43999999999971"/>
    <n v="-2061.3599999999997"/>
    <n v="-0.10104705882352939"/>
  </r>
  <r>
    <x v="8"/>
    <x v="1"/>
    <s v="May 2014"/>
    <n v="1"/>
    <x v="3"/>
    <x v="0"/>
    <x v="0"/>
    <s v="Worst"/>
    <n v="1200"/>
    <n v="17"/>
    <n v="0.1"/>
    <n v="0.18"/>
    <n v="18000"/>
    <n v="0.3"/>
    <n v="20400"/>
    <n v="18360"/>
    <n v="3304.7999999999997"/>
    <n v="21304.799999999999"/>
    <n v="-2944.7999999999993"/>
    <n v="-883.43999999999971"/>
    <n v="-2061.3599999999997"/>
    <n v="-0.10104705882352939"/>
  </r>
  <r>
    <x v="8"/>
    <x v="1"/>
    <s v="May 2014"/>
    <n v="1"/>
    <x v="3"/>
    <x v="0"/>
    <x v="1"/>
    <s v="Worst"/>
    <n v="1200"/>
    <n v="17"/>
    <n v="0.1"/>
    <n v="0.18"/>
    <n v="18000"/>
    <n v="0.3"/>
    <n v="20400"/>
    <n v="18360"/>
    <n v="3304.7999999999997"/>
    <n v="21304.799999999999"/>
    <n v="-2944.7999999999993"/>
    <n v="-883.43999999999971"/>
    <n v="-2061.3599999999997"/>
    <n v="-0.10104705882352939"/>
  </r>
  <r>
    <x v="8"/>
    <x v="1"/>
    <s v="May 2014"/>
    <n v="1"/>
    <x v="3"/>
    <x v="0"/>
    <x v="2"/>
    <s v="Worst"/>
    <n v="1200"/>
    <n v="17"/>
    <n v="0.1"/>
    <n v="0.18"/>
    <n v="18000"/>
    <n v="0.3"/>
    <n v="20400"/>
    <n v="18360"/>
    <n v="3304.7999999999997"/>
    <n v="21304.799999999999"/>
    <n v="-2944.7999999999993"/>
    <n v="-883.43999999999971"/>
    <n v="-2061.3599999999997"/>
    <n v="-0.10104705882352939"/>
  </r>
  <r>
    <x v="8"/>
    <x v="1"/>
    <s v="May 2014"/>
    <n v="1"/>
    <x v="3"/>
    <x v="0"/>
    <x v="3"/>
    <s v="Worst"/>
    <n v="1200"/>
    <n v="17"/>
    <n v="0.1"/>
    <n v="0.18"/>
    <n v="18000"/>
    <n v="0.3"/>
    <n v="20400"/>
    <n v="18360"/>
    <n v="3304.7999999999997"/>
    <n v="21304.799999999999"/>
    <n v="-2944.7999999999993"/>
    <n v="-883.43999999999971"/>
    <n v="-2061.3599999999997"/>
    <n v="-0.10104705882352939"/>
  </r>
  <r>
    <x v="8"/>
    <x v="1"/>
    <s v="May 2014"/>
    <n v="1"/>
    <x v="3"/>
    <x v="0"/>
    <x v="4"/>
    <s v="Worst"/>
    <n v="1200"/>
    <n v="17"/>
    <n v="0.1"/>
    <n v="0.18"/>
    <n v="18000"/>
    <n v="0.3"/>
    <n v="20400"/>
    <n v="18360"/>
    <n v="3304.7999999999997"/>
    <n v="21304.799999999999"/>
    <n v="-2944.7999999999993"/>
    <n v="-883.43999999999971"/>
    <n v="-2061.3599999999997"/>
    <n v="-0.10104705882352939"/>
  </r>
  <r>
    <x v="8"/>
    <x v="1"/>
    <s v="May 2014"/>
    <n v="1"/>
    <x v="3"/>
    <x v="1"/>
    <x v="0"/>
    <s v="Worst"/>
    <n v="1200"/>
    <n v="17"/>
    <n v="0.1"/>
    <n v="0.18"/>
    <n v="18000"/>
    <n v="0.3"/>
    <n v="20400"/>
    <n v="18360"/>
    <n v="3304.7999999999997"/>
    <n v="21304.799999999999"/>
    <n v="-2944.7999999999993"/>
    <n v="-883.43999999999971"/>
    <n v="-2061.3599999999997"/>
    <n v="-0.10104705882352939"/>
  </r>
  <r>
    <x v="8"/>
    <x v="1"/>
    <s v="May 2014"/>
    <n v="1"/>
    <x v="3"/>
    <x v="1"/>
    <x v="1"/>
    <s v="Worst"/>
    <n v="1200"/>
    <n v="17"/>
    <n v="0.1"/>
    <n v="0.18"/>
    <n v="18000"/>
    <n v="0.3"/>
    <n v="20400"/>
    <n v="18360"/>
    <n v="3304.7999999999997"/>
    <n v="21304.799999999999"/>
    <n v="-2944.7999999999993"/>
    <n v="-883.43999999999971"/>
    <n v="-2061.3599999999997"/>
    <n v="-0.10104705882352939"/>
  </r>
  <r>
    <x v="8"/>
    <x v="1"/>
    <s v="May 2014"/>
    <n v="1"/>
    <x v="3"/>
    <x v="1"/>
    <x v="2"/>
    <s v="Worst"/>
    <n v="1200"/>
    <n v="17"/>
    <n v="0.1"/>
    <n v="0.18"/>
    <n v="18000"/>
    <n v="0.3"/>
    <n v="20400"/>
    <n v="18360"/>
    <n v="3304.7999999999997"/>
    <n v="21304.799999999999"/>
    <n v="-2944.7999999999993"/>
    <n v="-883.43999999999971"/>
    <n v="-2061.3599999999997"/>
    <n v="-0.10104705882352939"/>
  </r>
  <r>
    <x v="8"/>
    <x v="1"/>
    <s v="May 2014"/>
    <n v="1"/>
    <x v="3"/>
    <x v="1"/>
    <x v="3"/>
    <s v="Worst"/>
    <n v="1200"/>
    <n v="17"/>
    <n v="0.1"/>
    <n v="0.18"/>
    <n v="18000"/>
    <n v="0.3"/>
    <n v="20400"/>
    <n v="18360"/>
    <n v="3304.7999999999997"/>
    <n v="21304.799999999999"/>
    <n v="-2944.7999999999993"/>
    <n v="-883.43999999999971"/>
    <n v="-2061.3599999999997"/>
    <n v="-0.10104705882352939"/>
  </r>
  <r>
    <x v="8"/>
    <x v="1"/>
    <s v="May 2014"/>
    <n v="1"/>
    <x v="3"/>
    <x v="1"/>
    <x v="4"/>
    <s v="Worst"/>
    <n v="1200"/>
    <n v="17"/>
    <n v="0.1"/>
    <n v="0.18"/>
    <n v="18000"/>
    <n v="0.3"/>
    <n v="20400"/>
    <n v="18360"/>
    <n v="3304.7999999999997"/>
    <n v="21304.799999999999"/>
    <n v="-2944.7999999999993"/>
    <n v="-883.43999999999971"/>
    <n v="-2061.3599999999997"/>
    <n v="-0.10104705882352939"/>
  </r>
  <r>
    <x v="8"/>
    <x v="1"/>
    <s v="May 2014"/>
    <n v="1"/>
    <x v="3"/>
    <x v="2"/>
    <x v="0"/>
    <s v="Worst"/>
    <n v="1200"/>
    <n v="17"/>
    <n v="0.1"/>
    <n v="0.18"/>
    <n v="18000"/>
    <n v="0.3"/>
    <n v="20400"/>
    <n v="18360"/>
    <n v="3304.7999999999997"/>
    <n v="21304.799999999999"/>
    <n v="-2944.7999999999993"/>
    <n v="-883.43999999999971"/>
    <n v="-2061.3599999999997"/>
    <n v="-0.10104705882352939"/>
  </r>
  <r>
    <x v="8"/>
    <x v="1"/>
    <s v="May 2014"/>
    <n v="1"/>
    <x v="3"/>
    <x v="2"/>
    <x v="1"/>
    <s v="Worst"/>
    <n v="1200"/>
    <n v="17"/>
    <n v="0.1"/>
    <n v="0.18"/>
    <n v="18000"/>
    <n v="0.3"/>
    <n v="20400"/>
    <n v="18360"/>
    <n v="3304.7999999999997"/>
    <n v="21304.799999999999"/>
    <n v="-2944.7999999999993"/>
    <n v="-883.43999999999971"/>
    <n v="-2061.3599999999997"/>
    <n v="-0.10104705882352939"/>
  </r>
  <r>
    <x v="8"/>
    <x v="1"/>
    <s v="May 2014"/>
    <n v="1"/>
    <x v="3"/>
    <x v="2"/>
    <x v="2"/>
    <s v="Worst"/>
    <n v="1200"/>
    <n v="17"/>
    <n v="0.1"/>
    <n v="0.18"/>
    <n v="18000"/>
    <n v="0.3"/>
    <n v="20400"/>
    <n v="18360"/>
    <n v="3304.7999999999997"/>
    <n v="21304.799999999999"/>
    <n v="-2944.7999999999993"/>
    <n v="-883.43999999999971"/>
    <n v="-2061.3599999999997"/>
    <n v="-0.10104705882352939"/>
  </r>
  <r>
    <x v="8"/>
    <x v="1"/>
    <s v="May 2014"/>
    <n v="1"/>
    <x v="3"/>
    <x v="2"/>
    <x v="3"/>
    <s v="Worst"/>
    <n v="1200"/>
    <n v="17"/>
    <n v="0.1"/>
    <n v="0.18"/>
    <n v="18000"/>
    <n v="0.3"/>
    <n v="20400"/>
    <n v="18360"/>
    <n v="3304.7999999999997"/>
    <n v="21304.799999999999"/>
    <n v="-2944.7999999999993"/>
    <n v="-883.43999999999971"/>
    <n v="-2061.3599999999997"/>
    <n v="-0.10104705882352939"/>
  </r>
  <r>
    <x v="8"/>
    <x v="1"/>
    <s v="May 2014"/>
    <n v="1"/>
    <x v="3"/>
    <x v="2"/>
    <x v="4"/>
    <s v="Worst"/>
    <n v="1200"/>
    <n v="17"/>
    <n v="0.1"/>
    <n v="0.18"/>
    <n v="18000"/>
    <n v="0.3"/>
    <n v="20400"/>
    <n v="18360"/>
    <n v="3304.7999999999997"/>
    <n v="21304.799999999999"/>
    <n v="-2944.7999999999993"/>
    <n v="-883.43999999999971"/>
    <n v="-2061.3599999999997"/>
    <n v="-0.10104705882352939"/>
  </r>
  <r>
    <x v="8"/>
    <x v="1"/>
    <s v="May 2014"/>
    <n v="1"/>
    <x v="3"/>
    <x v="3"/>
    <x v="0"/>
    <s v="Worst"/>
    <n v="1200"/>
    <n v="17"/>
    <n v="0.1"/>
    <n v="0.18"/>
    <n v="18000"/>
    <n v="0.3"/>
    <n v="20400"/>
    <n v="18360"/>
    <n v="3304.7999999999997"/>
    <n v="21304.799999999999"/>
    <n v="-2944.7999999999993"/>
    <n v="-883.43999999999971"/>
    <n v="-2061.3599999999997"/>
    <n v="-0.10104705882352939"/>
  </r>
  <r>
    <x v="8"/>
    <x v="1"/>
    <s v="May 2014"/>
    <n v="1"/>
    <x v="3"/>
    <x v="3"/>
    <x v="1"/>
    <s v="Worst"/>
    <n v="1200"/>
    <n v="17"/>
    <n v="0.1"/>
    <n v="0.18"/>
    <n v="18000"/>
    <n v="0.3"/>
    <n v="20400"/>
    <n v="18360"/>
    <n v="3304.7999999999997"/>
    <n v="21304.799999999999"/>
    <n v="-2944.7999999999993"/>
    <n v="-883.43999999999971"/>
    <n v="-2061.3599999999997"/>
    <n v="-0.10104705882352939"/>
  </r>
  <r>
    <x v="8"/>
    <x v="1"/>
    <s v="May 2014"/>
    <n v="1"/>
    <x v="3"/>
    <x v="3"/>
    <x v="2"/>
    <s v="Worst"/>
    <n v="1200"/>
    <n v="17"/>
    <n v="0.1"/>
    <n v="0.18"/>
    <n v="18000"/>
    <n v="0.3"/>
    <n v="20400"/>
    <n v="18360"/>
    <n v="3304.7999999999997"/>
    <n v="21304.799999999999"/>
    <n v="-2944.7999999999993"/>
    <n v="-883.43999999999971"/>
    <n v="-2061.3599999999997"/>
    <n v="-0.10104705882352939"/>
  </r>
  <r>
    <x v="8"/>
    <x v="1"/>
    <s v="May 2014"/>
    <n v="1"/>
    <x v="3"/>
    <x v="3"/>
    <x v="3"/>
    <s v="Worst"/>
    <n v="1200"/>
    <n v="17"/>
    <n v="0.1"/>
    <n v="0.18"/>
    <n v="18000"/>
    <n v="0.3"/>
    <n v="20400"/>
    <n v="18360"/>
    <n v="3304.7999999999997"/>
    <n v="21304.799999999999"/>
    <n v="-2944.7999999999993"/>
    <n v="-883.43999999999971"/>
    <n v="-2061.3599999999997"/>
    <n v="-0.10104705882352939"/>
  </r>
  <r>
    <x v="8"/>
    <x v="1"/>
    <s v="May 2014"/>
    <n v="1"/>
    <x v="3"/>
    <x v="3"/>
    <x v="4"/>
    <s v="Worst"/>
    <n v="1200"/>
    <n v="17"/>
    <n v="0.1"/>
    <n v="0.18"/>
    <n v="18000"/>
    <n v="0.3"/>
    <n v="20400"/>
    <n v="18360"/>
    <n v="3304.7999999999997"/>
    <n v="21304.799999999999"/>
    <n v="-2944.7999999999993"/>
    <n v="-883.43999999999971"/>
    <n v="-2061.3599999999997"/>
    <n v="-0.10104705882352939"/>
  </r>
  <r>
    <x v="8"/>
    <x v="1"/>
    <s v="May 2014"/>
    <n v="1"/>
    <x v="3"/>
    <x v="4"/>
    <x v="0"/>
    <s v="Worst"/>
    <n v="1200"/>
    <n v="17"/>
    <n v="0.1"/>
    <n v="0.18"/>
    <n v="18000"/>
    <n v="0.3"/>
    <n v="20400"/>
    <n v="18360"/>
    <n v="3304.7999999999997"/>
    <n v="21304.799999999999"/>
    <n v="-2944.7999999999993"/>
    <n v="-883.43999999999971"/>
    <n v="-2061.3599999999997"/>
    <n v="-0.10104705882352939"/>
  </r>
  <r>
    <x v="8"/>
    <x v="1"/>
    <s v="May 2014"/>
    <n v="1"/>
    <x v="3"/>
    <x v="4"/>
    <x v="1"/>
    <s v="Worst"/>
    <n v="1200"/>
    <n v="17"/>
    <n v="0.1"/>
    <n v="0.18"/>
    <n v="18000"/>
    <n v="0.3"/>
    <n v="20400"/>
    <n v="18360"/>
    <n v="3304.7999999999997"/>
    <n v="21304.799999999999"/>
    <n v="-2944.7999999999993"/>
    <n v="-883.43999999999971"/>
    <n v="-2061.3599999999997"/>
    <n v="-0.10104705882352939"/>
  </r>
  <r>
    <x v="8"/>
    <x v="1"/>
    <s v="May 2014"/>
    <n v="1"/>
    <x v="3"/>
    <x v="4"/>
    <x v="2"/>
    <s v="Worst"/>
    <n v="1200"/>
    <n v="17"/>
    <n v="0.1"/>
    <n v="0.18"/>
    <n v="18000"/>
    <n v="0.3"/>
    <n v="20400"/>
    <n v="18360"/>
    <n v="3304.7999999999997"/>
    <n v="21304.799999999999"/>
    <n v="-2944.7999999999993"/>
    <n v="-883.43999999999971"/>
    <n v="-2061.3599999999997"/>
    <n v="-0.10104705882352939"/>
  </r>
  <r>
    <x v="8"/>
    <x v="1"/>
    <s v="May 2014"/>
    <n v="1"/>
    <x v="3"/>
    <x v="4"/>
    <x v="3"/>
    <s v="Worst"/>
    <n v="1200"/>
    <n v="17"/>
    <n v="0.1"/>
    <n v="0.18"/>
    <n v="18000"/>
    <n v="0.3"/>
    <n v="20400"/>
    <n v="18360"/>
    <n v="3304.7999999999997"/>
    <n v="21304.799999999999"/>
    <n v="-2944.7999999999993"/>
    <n v="-883.43999999999971"/>
    <n v="-2061.3599999999997"/>
    <n v="-0.10104705882352939"/>
  </r>
  <r>
    <x v="8"/>
    <x v="1"/>
    <s v="May 2014"/>
    <n v="1"/>
    <x v="3"/>
    <x v="4"/>
    <x v="4"/>
    <s v="Worst"/>
    <n v="1200"/>
    <n v="17"/>
    <n v="0.1"/>
    <n v="0.18"/>
    <n v="18000"/>
    <n v="0.3"/>
    <n v="20400"/>
    <n v="18360"/>
    <n v="3304.7999999999997"/>
    <n v="21304.799999999999"/>
    <n v="-2944.7999999999993"/>
    <n v="-883.43999999999971"/>
    <n v="-2061.3599999999997"/>
    <n v="-0.10104705882352939"/>
  </r>
  <r>
    <x v="8"/>
    <x v="1"/>
    <s v="May 2014"/>
    <n v="1"/>
    <x v="4"/>
    <x v="0"/>
    <x v="0"/>
    <s v="Worst"/>
    <n v="1200"/>
    <n v="17"/>
    <n v="0.1"/>
    <n v="0.18"/>
    <n v="18000"/>
    <n v="0.3"/>
    <n v="20400"/>
    <n v="18360"/>
    <n v="3304.7999999999997"/>
    <n v="21304.799999999999"/>
    <n v="-2944.7999999999993"/>
    <n v="-883.43999999999971"/>
    <n v="-2061.3599999999997"/>
    <n v="-0.10104705882352939"/>
  </r>
  <r>
    <x v="8"/>
    <x v="1"/>
    <s v="May 2014"/>
    <n v="1"/>
    <x v="4"/>
    <x v="0"/>
    <x v="1"/>
    <s v="Worst"/>
    <n v="1200"/>
    <n v="17"/>
    <n v="0.1"/>
    <n v="0.18"/>
    <n v="18000"/>
    <n v="0.3"/>
    <n v="20400"/>
    <n v="18360"/>
    <n v="3304.7999999999997"/>
    <n v="21304.799999999999"/>
    <n v="-2944.7999999999993"/>
    <n v="-883.43999999999971"/>
    <n v="-2061.3599999999997"/>
    <n v="-0.10104705882352939"/>
  </r>
  <r>
    <x v="8"/>
    <x v="1"/>
    <s v="May 2014"/>
    <n v="1"/>
    <x v="4"/>
    <x v="0"/>
    <x v="2"/>
    <s v="Worst"/>
    <n v="1200"/>
    <n v="17"/>
    <n v="0.1"/>
    <n v="0.18"/>
    <n v="18000"/>
    <n v="0.3"/>
    <n v="20400"/>
    <n v="18360"/>
    <n v="3304.7999999999997"/>
    <n v="21304.799999999999"/>
    <n v="-2944.7999999999993"/>
    <n v="-883.43999999999971"/>
    <n v="-2061.3599999999997"/>
    <n v="-0.10104705882352939"/>
  </r>
  <r>
    <x v="8"/>
    <x v="1"/>
    <s v="May 2014"/>
    <n v="1"/>
    <x v="4"/>
    <x v="0"/>
    <x v="3"/>
    <s v="Worst"/>
    <n v="1200"/>
    <n v="17"/>
    <n v="0.1"/>
    <n v="0.18"/>
    <n v="18000"/>
    <n v="0.3"/>
    <n v="20400"/>
    <n v="18360"/>
    <n v="3304.7999999999997"/>
    <n v="21304.799999999999"/>
    <n v="-2944.7999999999993"/>
    <n v="-883.43999999999971"/>
    <n v="-2061.3599999999997"/>
    <n v="-0.10104705882352939"/>
  </r>
  <r>
    <x v="8"/>
    <x v="1"/>
    <s v="May 2014"/>
    <n v="1"/>
    <x v="4"/>
    <x v="0"/>
    <x v="4"/>
    <s v="Worst"/>
    <n v="1200"/>
    <n v="17"/>
    <n v="0.1"/>
    <n v="0.18"/>
    <n v="18000"/>
    <n v="0.3"/>
    <n v="20400"/>
    <n v="18360"/>
    <n v="3304.7999999999997"/>
    <n v="21304.799999999999"/>
    <n v="-2944.7999999999993"/>
    <n v="-883.43999999999971"/>
    <n v="-2061.3599999999997"/>
    <n v="-0.10104705882352939"/>
  </r>
  <r>
    <x v="8"/>
    <x v="1"/>
    <s v="May 2014"/>
    <n v="1"/>
    <x v="4"/>
    <x v="1"/>
    <x v="0"/>
    <s v="Worst"/>
    <n v="1200"/>
    <n v="17"/>
    <n v="0.1"/>
    <n v="0.18"/>
    <n v="18000"/>
    <n v="0.3"/>
    <n v="20400"/>
    <n v="18360"/>
    <n v="3304.7999999999997"/>
    <n v="21304.799999999999"/>
    <n v="-2944.7999999999993"/>
    <n v="-883.43999999999971"/>
    <n v="-2061.3599999999997"/>
    <n v="-0.10104705882352939"/>
  </r>
  <r>
    <x v="8"/>
    <x v="1"/>
    <s v="May 2014"/>
    <n v="1"/>
    <x v="4"/>
    <x v="1"/>
    <x v="1"/>
    <s v="Worst"/>
    <n v="1200"/>
    <n v="17"/>
    <n v="0.1"/>
    <n v="0.18"/>
    <n v="18000"/>
    <n v="0.3"/>
    <n v="20400"/>
    <n v="18360"/>
    <n v="3304.7999999999997"/>
    <n v="21304.799999999999"/>
    <n v="-2944.7999999999993"/>
    <n v="-883.43999999999971"/>
    <n v="-2061.3599999999997"/>
    <n v="-0.10104705882352939"/>
  </r>
  <r>
    <x v="8"/>
    <x v="1"/>
    <s v="May 2014"/>
    <n v="1"/>
    <x v="4"/>
    <x v="1"/>
    <x v="2"/>
    <s v="Worst"/>
    <n v="1200"/>
    <n v="17"/>
    <n v="0.1"/>
    <n v="0.18"/>
    <n v="18000"/>
    <n v="0.3"/>
    <n v="20400"/>
    <n v="18360"/>
    <n v="3304.7999999999997"/>
    <n v="21304.799999999999"/>
    <n v="-2944.7999999999993"/>
    <n v="-883.43999999999971"/>
    <n v="-2061.3599999999997"/>
    <n v="-0.10104705882352939"/>
  </r>
  <r>
    <x v="8"/>
    <x v="1"/>
    <s v="May 2014"/>
    <n v="1"/>
    <x v="4"/>
    <x v="1"/>
    <x v="3"/>
    <s v="Worst"/>
    <n v="1200"/>
    <n v="17"/>
    <n v="0.1"/>
    <n v="0.18"/>
    <n v="18000"/>
    <n v="0.3"/>
    <n v="20400"/>
    <n v="18360"/>
    <n v="3304.7999999999997"/>
    <n v="21304.799999999999"/>
    <n v="-2944.7999999999993"/>
    <n v="-883.43999999999971"/>
    <n v="-2061.3599999999997"/>
    <n v="-0.10104705882352939"/>
  </r>
  <r>
    <x v="8"/>
    <x v="1"/>
    <s v="May 2014"/>
    <n v="1"/>
    <x v="4"/>
    <x v="1"/>
    <x v="4"/>
    <s v="Worst"/>
    <n v="1200"/>
    <n v="17"/>
    <n v="0.1"/>
    <n v="0.18"/>
    <n v="18000"/>
    <n v="0.3"/>
    <n v="20400"/>
    <n v="18360"/>
    <n v="3304.7999999999997"/>
    <n v="21304.799999999999"/>
    <n v="-2944.7999999999993"/>
    <n v="-883.43999999999971"/>
    <n v="-2061.3599999999997"/>
    <n v="-0.10104705882352939"/>
  </r>
  <r>
    <x v="8"/>
    <x v="1"/>
    <s v="May 2014"/>
    <n v="1"/>
    <x v="4"/>
    <x v="2"/>
    <x v="0"/>
    <s v="Worst"/>
    <n v="1200"/>
    <n v="17"/>
    <n v="0.1"/>
    <n v="0.18"/>
    <n v="18000"/>
    <n v="0.3"/>
    <n v="20400"/>
    <n v="18360"/>
    <n v="3304.7999999999997"/>
    <n v="21304.799999999999"/>
    <n v="-2944.7999999999993"/>
    <n v="-883.43999999999971"/>
    <n v="-2061.3599999999997"/>
    <n v="-0.10104705882352939"/>
  </r>
  <r>
    <x v="8"/>
    <x v="1"/>
    <s v="May 2014"/>
    <n v="1"/>
    <x v="4"/>
    <x v="2"/>
    <x v="1"/>
    <s v="Worst"/>
    <n v="1200"/>
    <n v="17"/>
    <n v="0.1"/>
    <n v="0.18"/>
    <n v="18000"/>
    <n v="0.3"/>
    <n v="20400"/>
    <n v="18360"/>
    <n v="3304.7999999999997"/>
    <n v="21304.799999999999"/>
    <n v="-2944.7999999999993"/>
    <n v="-883.43999999999971"/>
    <n v="-2061.3599999999997"/>
    <n v="-0.10104705882352939"/>
  </r>
  <r>
    <x v="8"/>
    <x v="1"/>
    <s v="May 2014"/>
    <n v="1"/>
    <x v="4"/>
    <x v="2"/>
    <x v="2"/>
    <s v="Worst"/>
    <n v="1200"/>
    <n v="17"/>
    <n v="0.1"/>
    <n v="0.18"/>
    <n v="18000"/>
    <n v="0.3"/>
    <n v="20400"/>
    <n v="18360"/>
    <n v="3304.7999999999997"/>
    <n v="21304.799999999999"/>
    <n v="-2944.7999999999993"/>
    <n v="-883.43999999999971"/>
    <n v="-2061.3599999999997"/>
    <n v="-0.10104705882352939"/>
  </r>
  <r>
    <x v="8"/>
    <x v="1"/>
    <s v="May 2014"/>
    <n v="1"/>
    <x v="4"/>
    <x v="2"/>
    <x v="3"/>
    <s v="Worst"/>
    <n v="1200"/>
    <n v="17"/>
    <n v="0.1"/>
    <n v="0.18"/>
    <n v="18000"/>
    <n v="0.3"/>
    <n v="20400"/>
    <n v="18360"/>
    <n v="3304.7999999999997"/>
    <n v="21304.799999999999"/>
    <n v="-2944.7999999999993"/>
    <n v="-883.43999999999971"/>
    <n v="-2061.3599999999997"/>
    <n v="-0.10104705882352939"/>
  </r>
  <r>
    <x v="8"/>
    <x v="1"/>
    <s v="May 2014"/>
    <n v="1"/>
    <x v="4"/>
    <x v="2"/>
    <x v="4"/>
    <s v="Worst"/>
    <n v="1200"/>
    <n v="17"/>
    <n v="0.1"/>
    <n v="0.18"/>
    <n v="18000"/>
    <n v="0.3"/>
    <n v="20400"/>
    <n v="18360"/>
    <n v="3304.7999999999997"/>
    <n v="21304.799999999999"/>
    <n v="-2944.7999999999993"/>
    <n v="-883.43999999999971"/>
    <n v="-2061.3599999999997"/>
    <n v="-0.10104705882352939"/>
  </r>
  <r>
    <x v="8"/>
    <x v="1"/>
    <s v="May 2014"/>
    <n v="1"/>
    <x v="4"/>
    <x v="3"/>
    <x v="0"/>
    <s v="Worst"/>
    <n v="1200"/>
    <n v="17"/>
    <n v="0.1"/>
    <n v="0.18"/>
    <n v="18000"/>
    <n v="0.3"/>
    <n v="20400"/>
    <n v="18360"/>
    <n v="3304.7999999999997"/>
    <n v="21304.799999999999"/>
    <n v="-2944.7999999999993"/>
    <n v="-883.43999999999971"/>
    <n v="-2061.3599999999997"/>
    <n v="-0.10104705882352939"/>
  </r>
  <r>
    <x v="8"/>
    <x v="1"/>
    <s v="May 2014"/>
    <n v="1"/>
    <x v="4"/>
    <x v="3"/>
    <x v="1"/>
    <s v="Worst"/>
    <n v="1200"/>
    <n v="17"/>
    <n v="0.1"/>
    <n v="0.18"/>
    <n v="18000"/>
    <n v="0.3"/>
    <n v="20400"/>
    <n v="18360"/>
    <n v="3304.7999999999997"/>
    <n v="21304.799999999999"/>
    <n v="-2944.7999999999993"/>
    <n v="-883.43999999999971"/>
    <n v="-2061.3599999999997"/>
    <n v="-0.10104705882352939"/>
  </r>
  <r>
    <x v="8"/>
    <x v="1"/>
    <s v="May 2014"/>
    <n v="1"/>
    <x v="4"/>
    <x v="3"/>
    <x v="2"/>
    <s v="Worst"/>
    <n v="1200"/>
    <n v="17"/>
    <n v="0.1"/>
    <n v="0.18"/>
    <n v="18000"/>
    <n v="0.3"/>
    <n v="20400"/>
    <n v="18360"/>
    <n v="3304.7999999999997"/>
    <n v="21304.799999999999"/>
    <n v="-2944.7999999999993"/>
    <n v="-883.43999999999971"/>
    <n v="-2061.3599999999997"/>
    <n v="-0.10104705882352939"/>
  </r>
  <r>
    <x v="8"/>
    <x v="1"/>
    <s v="May 2014"/>
    <n v="1"/>
    <x v="4"/>
    <x v="3"/>
    <x v="3"/>
    <s v="Worst"/>
    <n v="1200"/>
    <n v="17"/>
    <n v="0.1"/>
    <n v="0.18"/>
    <n v="18000"/>
    <n v="0.3"/>
    <n v="20400"/>
    <n v="18360"/>
    <n v="3304.7999999999997"/>
    <n v="21304.799999999999"/>
    <n v="-2944.7999999999993"/>
    <n v="-883.43999999999971"/>
    <n v="-2061.3599999999997"/>
    <n v="-0.10104705882352939"/>
  </r>
  <r>
    <x v="8"/>
    <x v="1"/>
    <s v="May 2014"/>
    <n v="1"/>
    <x v="4"/>
    <x v="3"/>
    <x v="4"/>
    <s v="Worst"/>
    <n v="1200"/>
    <n v="17"/>
    <n v="0.1"/>
    <n v="0.18"/>
    <n v="18000"/>
    <n v="0.3"/>
    <n v="20400"/>
    <n v="18360"/>
    <n v="3304.7999999999997"/>
    <n v="21304.799999999999"/>
    <n v="-2944.7999999999993"/>
    <n v="-883.43999999999971"/>
    <n v="-2061.3599999999997"/>
    <n v="-0.10104705882352939"/>
  </r>
  <r>
    <x v="8"/>
    <x v="1"/>
    <s v="May 2014"/>
    <n v="1"/>
    <x v="4"/>
    <x v="4"/>
    <x v="0"/>
    <s v="Worst"/>
    <n v="1200"/>
    <n v="17"/>
    <n v="0.1"/>
    <n v="0.18"/>
    <n v="18000"/>
    <n v="0.3"/>
    <n v="20400"/>
    <n v="18360"/>
    <n v="3304.7999999999997"/>
    <n v="21304.799999999999"/>
    <n v="-2944.7999999999993"/>
    <n v="-883.43999999999971"/>
    <n v="-2061.3599999999997"/>
    <n v="-0.10104705882352939"/>
  </r>
  <r>
    <x v="8"/>
    <x v="1"/>
    <s v="May 2014"/>
    <n v="1"/>
    <x v="4"/>
    <x v="4"/>
    <x v="1"/>
    <s v="Worst"/>
    <n v="1200"/>
    <n v="17"/>
    <n v="0.1"/>
    <n v="0.18"/>
    <n v="18000"/>
    <n v="0.3"/>
    <n v="20400"/>
    <n v="18360"/>
    <n v="3304.7999999999997"/>
    <n v="21304.799999999999"/>
    <n v="-2944.7999999999993"/>
    <n v="-883.43999999999971"/>
    <n v="-2061.3599999999997"/>
    <n v="-0.10104705882352939"/>
  </r>
  <r>
    <x v="8"/>
    <x v="1"/>
    <s v="May 2014"/>
    <n v="1"/>
    <x v="4"/>
    <x v="4"/>
    <x v="2"/>
    <s v="Worst"/>
    <n v="1200"/>
    <n v="17"/>
    <n v="0.1"/>
    <n v="0.18"/>
    <n v="18000"/>
    <n v="0.3"/>
    <n v="20400"/>
    <n v="18360"/>
    <n v="3304.7999999999997"/>
    <n v="21304.799999999999"/>
    <n v="-2944.7999999999993"/>
    <n v="-883.43999999999971"/>
    <n v="-2061.3599999999997"/>
    <n v="-0.10104705882352939"/>
  </r>
  <r>
    <x v="8"/>
    <x v="1"/>
    <s v="May 2014"/>
    <n v="1"/>
    <x v="4"/>
    <x v="4"/>
    <x v="3"/>
    <s v="Worst"/>
    <n v="1200"/>
    <n v="17"/>
    <n v="0.1"/>
    <n v="0.18"/>
    <n v="18000"/>
    <n v="0.3"/>
    <n v="20400"/>
    <n v="18360"/>
    <n v="3304.7999999999997"/>
    <n v="21304.799999999999"/>
    <n v="-2944.7999999999993"/>
    <n v="-883.43999999999971"/>
    <n v="-2061.3599999999997"/>
    <n v="-0.10104705882352939"/>
  </r>
  <r>
    <x v="8"/>
    <x v="1"/>
    <s v="May 2014"/>
    <n v="1"/>
    <x v="4"/>
    <x v="4"/>
    <x v="4"/>
    <s v="Worst"/>
    <n v="1200"/>
    <n v="17"/>
    <n v="0.1"/>
    <n v="0.18"/>
    <n v="18000"/>
    <n v="0.3"/>
    <n v="20400"/>
    <n v="18360"/>
    <n v="3304.7999999999997"/>
    <n v="21304.799999999999"/>
    <n v="-2944.7999999999993"/>
    <n v="-883.43999999999971"/>
    <n v="-2061.3599999999997"/>
    <n v="-0.10104705882352939"/>
  </r>
  <r>
    <x v="9"/>
    <x v="1"/>
    <s v="June 2014"/>
    <n v="1"/>
    <x v="0"/>
    <x v="0"/>
    <x v="0"/>
    <s v="Worst"/>
    <n v="1200"/>
    <n v="17"/>
    <n v="0.1"/>
    <n v="0.18"/>
    <n v="18000"/>
    <n v="0.3"/>
    <n v="20400"/>
    <n v="18360"/>
    <n v="3304.7999999999997"/>
    <n v="21304.799999999999"/>
    <n v="-2944.7999999999993"/>
    <n v="-883.43999999999971"/>
    <n v="-2061.3599999999997"/>
    <n v="-0.10104705882352939"/>
  </r>
  <r>
    <x v="9"/>
    <x v="1"/>
    <s v="June 2014"/>
    <n v="1"/>
    <x v="0"/>
    <x v="0"/>
    <x v="1"/>
    <s v="Worst"/>
    <n v="1200"/>
    <n v="17"/>
    <n v="0.1"/>
    <n v="0.18"/>
    <n v="18000"/>
    <n v="0.3"/>
    <n v="20400"/>
    <n v="18360"/>
    <n v="3304.7999999999997"/>
    <n v="21304.799999999999"/>
    <n v="-2944.7999999999993"/>
    <n v="-883.43999999999971"/>
    <n v="-2061.3599999999997"/>
    <n v="-0.10104705882352939"/>
  </r>
  <r>
    <x v="9"/>
    <x v="1"/>
    <s v="June 2014"/>
    <n v="1"/>
    <x v="0"/>
    <x v="0"/>
    <x v="2"/>
    <s v="Worst"/>
    <n v="1200"/>
    <n v="17"/>
    <n v="0.1"/>
    <n v="0.18"/>
    <n v="18000"/>
    <n v="0.3"/>
    <n v="20400"/>
    <n v="18360"/>
    <n v="3304.7999999999997"/>
    <n v="21304.799999999999"/>
    <n v="-2944.7999999999993"/>
    <n v="-883.43999999999971"/>
    <n v="-2061.3599999999997"/>
    <n v="-0.10104705882352939"/>
  </r>
  <r>
    <x v="9"/>
    <x v="1"/>
    <s v="June 2014"/>
    <n v="1"/>
    <x v="0"/>
    <x v="0"/>
    <x v="3"/>
    <s v="Worst"/>
    <n v="1200"/>
    <n v="17"/>
    <n v="0.1"/>
    <n v="0.18"/>
    <n v="18000"/>
    <n v="0.3"/>
    <n v="20400"/>
    <n v="18360"/>
    <n v="3304.7999999999997"/>
    <n v="21304.799999999999"/>
    <n v="-2944.7999999999993"/>
    <n v="-883.43999999999971"/>
    <n v="-2061.3599999999997"/>
    <n v="-0.10104705882352939"/>
  </r>
  <r>
    <x v="9"/>
    <x v="1"/>
    <s v="June 2014"/>
    <n v="1"/>
    <x v="0"/>
    <x v="0"/>
    <x v="4"/>
    <s v="Worst"/>
    <n v="1200"/>
    <n v="17"/>
    <n v="0.1"/>
    <n v="0.18"/>
    <n v="18000"/>
    <n v="0.3"/>
    <n v="20400"/>
    <n v="18360"/>
    <n v="3304.7999999999997"/>
    <n v="21304.799999999999"/>
    <n v="-2944.7999999999993"/>
    <n v="-883.43999999999971"/>
    <n v="-2061.3599999999997"/>
    <n v="-0.10104705882352939"/>
  </r>
  <r>
    <x v="9"/>
    <x v="1"/>
    <s v="June 2014"/>
    <n v="1"/>
    <x v="0"/>
    <x v="1"/>
    <x v="0"/>
    <s v="Worst"/>
    <n v="1200"/>
    <n v="17"/>
    <n v="0.1"/>
    <n v="0.18"/>
    <n v="18000"/>
    <n v="0.3"/>
    <n v="20400"/>
    <n v="18360"/>
    <n v="3304.7999999999997"/>
    <n v="21304.799999999999"/>
    <n v="-2944.7999999999993"/>
    <n v="-883.43999999999971"/>
    <n v="-2061.3599999999997"/>
    <n v="-0.10104705882352939"/>
  </r>
  <r>
    <x v="9"/>
    <x v="1"/>
    <s v="June 2014"/>
    <n v="1"/>
    <x v="0"/>
    <x v="1"/>
    <x v="1"/>
    <s v="Worst"/>
    <n v="1200"/>
    <n v="17"/>
    <n v="0.1"/>
    <n v="0.18"/>
    <n v="18000"/>
    <n v="0.3"/>
    <n v="20400"/>
    <n v="18360"/>
    <n v="3304.7999999999997"/>
    <n v="21304.799999999999"/>
    <n v="-2944.7999999999993"/>
    <n v="-883.43999999999971"/>
    <n v="-2061.3599999999997"/>
    <n v="-0.10104705882352939"/>
  </r>
  <r>
    <x v="9"/>
    <x v="1"/>
    <s v="June 2014"/>
    <n v="1"/>
    <x v="0"/>
    <x v="1"/>
    <x v="2"/>
    <s v="Worst"/>
    <n v="1200"/>
    <n v="17"/>
    <n v="0.1"/>
    <n v="0.18"/>
    <n v="18000"/>
    <n v="0.3"/>
    <n v="20400"/>
    <n v="18360"/>
    <n v="3304.7999999999997"/>
    <n v="21304.799999999999"/>
    <n v="-2944.7999999999993"/>
    <n v="-883.43999999999971"/>
    <n v="-2061.3599999999997"/>
    <n v="-0.10104705882352939"/>
  </r>
  <r>
    <x v="9"/>
    <x v="1"/>
    <s v="June 2014"/>
    <n v="1"/>
    <x v="0"/>
    <x v="1"/>
    <x v="3"/>
    <s v="Worst"/>
    <n v="1200"/>
    <n v="17"/>
    <n v="0.1"/>
    <n v="0.18"/>
    <n v="18000"/>
    <n v="0.3"/>
    <n v="20400"/>
    <n v="18360"/>
    <n v="3304.7999999999997"/>
    <n v="21304.799999999999"/>
    <n v="-2944.7999999999993"/>
    <n v="-883.43999999999971"/>
    <n v="-2061.3599999999997"/>
    <n v="-0.10104705882352939"/>
  </r>
  <r>
    <x v="9"/>
    <x v="1"/>
    <s v="June 2014"/>
    <n v="1"/>
    <x v="0"/>
    <x v="1"/>
    <x v="4"/>
    <s v="Worst"/>
    <n v="1200"/>
    <n v="17"/>
    <n v="0.1"/>
    <n v="0.18"/>
    <n v="18000"/>
    <n v="0.3"/>
    <n v="20400"/>
    <n v="18360"/>
    <n v="3304.7999999999997"/>
    <n v="21304.799999999999"/>
    <n v="-2944.7999999999993"/>
    <n v="-883.43999999999971"/>
    <n v="-2061.3599999999997"/>
    <n v="-0.10104705882352939"/>
  </r>
  <r>
    <x v="9"/>
    <x v="1"/>
    <s v="June 2014"/>
    <n v="1"/>
    <x v="0"/>
    <x v="2"/>
    <x v="0"/>
    <s v="Worst"/>
    <n v="1200"/>
    <n v="17"/>
    <n v="0.1"/>
    <n v="0.18"/>
    <n v="18000"/>
    <n v="0.3"/>
    <n v="20400"/>
    <n v="18360"/>
    <n v="3304.7999999999997"/>
    <n v="21304.799999999999"/>
    <n v="-2944.7999999999993"/>
    <n v="-883.43999999999971"/>
    <n v="-2061.3599999999997"/>
    <n v="-0.10104705882352939"/>
  </r>
  <r>
    <x v="9"/>
    <x v="1"/>
    <s v="June 2014"/>
    <n v="1"/>
    <x v="0"/>
    <x v="2"/>
    <x v="1"/>
    <s v="Worst"/>
    <n v="1200"/>
    <n v="17"/>
    <n v="0.1"/>
    <n v="0.18"/>
    <n v="18000"/>
    <n v="0.3"/>
    <n v="20400"/>
    <n v="18360"/>
    <n v="3304.7999999999997"/>
    <n v="21304.799999999999"/>
    <n v="-2944.7999999999993"/>
    <n v="-883.43999999999971"/>
    <n v="-2061.3599999999997"/>
    <n v="-0.10104705882352939"/>
  </r>
  <r>
    <x v="9"/>
    <x v="1"/>
    <s v="June 2014"/>
    <n v="1"/>
    <x v="0"/>
    <x v="2"/>
    <x v="2"/>
    <s v="Worst"/>
    <n v="1200"/>
    <n v="17"/>
    <n v="0.1"/>
    <n v="0.18"/>
    <n v="18000"/>
    <n v="0.3"/>
    <n v="20400"/>
    <n v="18360"/>
    <n v="3304.7999999999997"/>
    <n v="21304.799999999999"/>
    <n v="-2944.7999999999993"/>
    <n v="-883.43999999999971"/>
    <n v="-2061.3599999999997"/>
    <n v="-0.10104705882352939"/>
  </r>
  <r>
    <x v="9"/>
    <x v="1"/>
    <s v="June 2014"/>
    <n v="1"/>
    <x v="0"/>
    <x v="2"/>
    <x v="3"/>
    <s v="Worst"/>
    <n v="1200"/>
    <n v="17"/>
    <n v="0.1"/>
    <n v="0.18"/>
    <n v="18000"/>
    <n v="0.3"/>
    <n v="20400"/>
    <n v="18360"/>
    <n v="3304.7999999999997"/>
    <n v="21304.799999999999"/>
    <n v="-2944.7999999999993"/>
    <n v="-883.43999999999971"/>
    <n v="-2061.3599999999997"/>
    <n v="-0.10104705882352939"/>
  </r>
  <r>
    <x v="9"/>
    <x v="1"/>
    <s v="June 2014"/>
    <n v="1"/>
    <x v="0"/>
    <x v="2"/>
    <x v="4"/>
    <s v="Worst"/>
    <n v="1200"/>
    <n v="17"/>
    <n v="0.1"/>
    <n v="0.18"/>
    <n v="18000"/>
    <n v="0.3"/>
    <n v="20400"/>
    <n v="18360"/>
    <n v="3304.7999999999997"/>
    <n v="21304.799999999999"/>
    <n v="-2944.7999999999993"/>
    <n v="-883.43999999999971"/>
    <n v="-2061.3599999999997"/>
    <n v="-0.10104705882352939"/>
  </r>
  <r>
    <x v="9"/>
    <x v="1"/>
    <s v="June 2014"/>
    <n v="1"/>
    <x v="0"/>
    <x v="3"/>
    <x v="0"/>
    <s v="Worst"/>
    <n v="1200"/>
    <n v="17"/>
    <n v="0.1"/>
    <n v="0.18"/>
    <n v="18000"/>
    <n v="0.3"/>
    <n v="20400"/>
    <n v="18360"/>
    <n v="3304.7999999999997"/>
    <n v="21304.799999999999"/>
    <n v="-2944.7999999999993"/>
    <n v="-883.43999999999971"/>
    <n v="-2061.3599999999997"/>
    <n v="-0.10104705882352939"/>
  </r>
  <r>
    <x v="9"/>
    <x v="1"/>
    <s v="June 2014"/>
    <n v="1"/>
    <x v="0"/>
    <x v="3"/>
    <x v="1"/>
    <s v="Worst"/>
    <n v="1200"/>
    <n v="17"/>
    <n v="0.1"/>
    <n v="0.18"/>
    <n v="18000"/>
    <n v="0.3"/>
    <n v="20400"/>
    <n v="18360"/>
    <n v="3304.7999999999997"/>
    <n v="21304.799999999999"/>
    <n v="-2944.7999999999993"/>
    <n v="-883.43999999999971"/>
    <n v="-2061.3599999999997"/>
    <n v="-0.10104705882352939"/>
  </r>
  <r>
    <x v="9"/>
    <x v="1"/>
    <s v="June 2014"/>
    <n v="1"/>
    <x v="0"/>
    <x v="3"/>
    <x v="2"/>
    <s v="Worst"/>
    <n v="1200"/>
    <n v="17"/>
    <n v="0.1"/>
    <n v="0.18"/>
    <n v="18000"/>
    <n v="0.3"/>
    <n v="20400"/>
    <n v="18360"/>
    <n v="3304.7999999999997"/>
    <n v="21304.799999999999"/>
    <n v="-2944.7999999999993"/>
    <n v="-883.43999999999971"/>
    <n v="-2061.3599999999997"/>
    <n v="-0.10104705882352939"/>
  </r>
  <r>
    <x v="9"/>
    <x v="1"/>
    <s v="June 2014"/>
    <n v="1"/>
    <x v="0"/>
    <x v="3"/>
    <x v="3"/>
    <s v="Worst"/>
    <n v="1200"/>
    <n v="17"/>
    <n v="0.1"/>
    <n v="0.18"/>
    <n v="18000"/>
    <n v="0.3"/>
    <n v="20400"/>
    <n v="18360"/>
    <n v="3304.7999999999997"/>
    <n v="21304.799999999999"/>
    <n v="-2944.7999999999993"/>
    <n v="-883.43999999999971"/>
    <n v="-2061.3599999999997"/>
    <n v="-0.10104705882352939"/>
  </r>
  <r>
    <x v="9"/>
    <x v="1"/>
    <s v="June 2014"/>
    <n v="1"/>
    <x v="0"/>
    <x v="3"/>
    <x v="4"/>
    <s v="Worst"/>
    <n v="1200"/>
    <n v="17"/>
    <n v="0.1"/>
    <n v="0.18"/>
    <n v="18000"/>
    <n v="0.3"/>
    <n v="20400"/>
    <n v="18360"/>
    <n v="3304.7999999999997"/>
    <n v="21304.799999999999"/>
    <n v="-2944.7999999999993"/>
    <n v="-883.43999999999971"/>
    <n v="-2061.3599999999997"/>
    <n v="-0.10104705882352939"/>
  </r>
  <r>
    <x v="9"/>
    <x v="1"/>
    <s v="June 2014"/>
    <n v="1"/>
    <x v="0"/>
    <x v="4"/>
    <x v="0"/>
    <s v="Worst"/>
    <n v="1200"/>
    <n v="17"/>
    <n v="0.1"/>
    <n v="0.18"/>
    <n v="18000"/>
    <n v="0.3"/>
    <n v="20400"/>
    <n v="18360"/>
    <n v="3304.7999999999997"/>
    <n v="21304.799999999999"/>
    <n v="-2944.7999999999993"/>
    <n v="-883.43999999999971"/>
    <n v="-2061.3599999999997"/>
    <n v="-0.10104705882352939"/>
  </r>
  <r>
    <x v="9"/>
    <x v="1"/>
    <s v="June 2014"/>
    <n v="1"/>
    <x v="0"/>
    <x v="4"/>
    <x v="1"/>
    <s v="Worst"/>
    <n v="1200"/>
    <n v="17"/>
    <n v="0.1"/>
    <n v="0.18"/>
    <n v="18000"/>
    <n v="0.3"/>
    <n v="20400"/>
    <n v="18360"/>
    <n v="3304.7999999999997"/>
    <n v="21304.799999999999"/>
    <n v="-2944.7999999999993"/>
    <n v="-883.43999999999971"/>
    <n v="-2061.3599999999997"/>
    <n v="-0.10104705882352939"/>
  </r>
  <r>
    <x v="9"/>
    <x v="1"/>
    <s v="June 2014"/>
    <n v="1"/>
    <x v="0"/>
    <x v="4"/>
    <x v="2"/>
    <s v="Worst"/>
    <n v="1200"/>
    <n v="17"/>
    <n v="0.1"/>
    <n v="0.18"/>
    <n v="18000"/>
    <n v="0.3"/>
    <n v="20400"/>
    <n v="18360"/>
    <n v="3304.7999999999997"/>
    <n v="21304.799999999999"/>
    <n v="-2944.7999999999993"/>
    <n v="-883.43999999999971"/>
    <n v="-2061.3599999999997"/>
    <n v="-0.10104705882352939"/>
  </r>
  <r>
    <x v="9"/>
    <x v="1"/>
    <s v="June 2014"/>
    <n v="1"/>
    <x v="0"/>
    <x v="4"/>
    <x v="3"/>
    <s v="Worst"/>
    <n v="1200"/>
    <n v="17"/>
    <n v="0.1"/>
    <n v="0.18"/>
    <n v="18000"/>
    <n v="0.3"/>
    <n v="20400"/>
    <n v="18360"/>
    <n v="3304.7999999999997"/>
    <n v="21304.799999999999"/>
    <n v="-2944.7999999999993"/>
    <n v="-883.43999999999971"/>
    <n v="-2061.3599999999997"/>
    <n v="-0.10104705882352939"/>
  </r>
  <r>
    <x v="9"/>
    <x v="1"/>
    <s v="June 2014"/>
    <n v="1"/>
    <x v="0"/>
    <x v="4"/>
    <x v="4"/>
    <s v="Worst"/>
    <n v="1200"/>
    <n v="17"/>
    <n v="0.1"/>
    <n v="0.18"/>
    <n v="18000"/>
    <n v="0.3"/>
    <n v="20400"/>
    <n v="18360"/>
    <n v="3304.7999999999997"/>
    <n v="21304.799999999999"/>
    <n v="-2944.7999999999993"/>
    <n v="-883.43999999999971"/>
    <n v="-2061.3599999999997"/>
    <n v="-0.10104705882352939"/>
  </r>
  <r>
    <x v="9"/>
    <x v="1"/>
    <s v="June 2014"/>
    <n v="1"/>
    <x v="1"/>
    <x v="0"/>
    <x v="0"/>
    <s v="Worst"/>
    <n v="1200"/>
    <n v="17"/>
    <n v="0.1"/>
    <n v="0.18"/>
    <n v="18000"/>
    <n v="0.3"/>
    <n v="20400"/>
    <n v="18360"/>
    <n v="3304.7999999999997"/>
    <n v="21304.799999999999"/>
    <n v="-2944.7999999999993"/>
    <n v="-883.43999999999971"/>
    <n v="-2061.3599999999997"/>
    <n v="-0.10104705882352939"/>
  </r>
  <r>
    <x v="9"/>
    <x v="1"/>
    <s v="June 2014"/>
    <n v="1"/>
    <x v="1"/>
    <x v="0"/>
    <x v="1"/>
    <s v="Worst"/>
    <n v="1200"/>
    <n v="17"/>
    <n v="0.1"/>
    <n v="0.18"/>
    <n v="18000"/>
    <n v="0.3"/>
    <n v="20400"/>
    <n v="18360"/>
    <n v="3304.7999999999997"/>
    <n v="21304.799999999999"/>
    <n v="-2944.7999999999993"/>
    <n v="-883.43999999999971"/>
    <n v="-2061.3599999999997"/>
    <n v="-0.10104705882352939"/>
  </r>
  <r>
    <x v="9"/>
    <x v="1"/>
    <s v="June 2014"/>
    <n v="1"/>
    <x v="1"/>
    <x v="0"/>
    <x v="2"/>
    <s v="Worst"/>
    <n v="1200"/>
    <n v="17"/>
    <n v="0.1"/>
    <n v="0.18"/>
    <n v="18000"/>
    <n v="0.3"/>
    <n v="20400"/>
    <n v="18360"/>
    <n v="3304.7999999999997"/>
    <n v="21304.799999999999"/>
    <n v="-2944.7999999999993"/>
    <n v="-883.43999999999971"/>
    <n v="-2061.3599999999997"/>
    <n v="-0.10104705882352939"/>
  </r>
  <r>
    <x v="9"/>
    <x v="1"/>
    <s v="June 2014"/>
    <n v="1"/>
    <x v="1"/>
    <x v="0"/>
    <x v="3"/>
    <s v="Worst"/>
    <n v="1200"/>
    <n v="17"/>
    <n v="0.1"/>
    <n v="0.18"/>
    <n v="18000"/>
    <n v="0.3"/>
    <n v="20400"/>
    <n v="18360"/>
    <n v="3304.7999999999997"/>
    <n v="21304.799999999999"/>
    <n v="-2944.7999999999993"/>
    <n v="-883.43999999999971"/>
    <n v="-2061.3599999999997"/>
    <n v="-0.10104705882352939"/>
  </r>
  <r>
    <x v="9"/>
    <x v="1"/>
    <s v="June 2014"/>
    <n v="1"/>
    <x v="1"/>
    <x v="0"/>
    <x v="4"/>
    <s v="Worst"/>
    <n v="1200"/>
    <n v="17"/>
    <n v="0.1"/>
    <n v="0.18"/>
    <n v="18000"/>
    <n v="0.3"/>
    <n v="20400"/>
    <n v="18360"/>
    <n v="3304.7999999999997"/>
    <n v="21304.799999999999"/>
    <n v="-2944.7999999999993"/>
    <n v="-883.43999999999971"/>
    <n v="-2061.3599999999997"/>
    <n v="-0.10104705882352939"/>
  </r>
  <r>
    <x v="9"/>
    <x v="1"/>
    <s v="June 2014"/>
    <n v="1"/>
    <x v="1"/>
    <x v="1"/>
    <x v="0"/>
    <s v="Worst"/>
    <n v="1200"/>
    <n v="17"/>
    <n v="0.1"/>
    <n v="0.18"/>
    <n v="18000"/>
    <n v="0.3"/>
    <n v="20400"/>
    <n v="18360"/>
    <n v="3304.7999999999997"/>
    <n v="21304.799999999999"/>
    <n v="-2944.7999999999993"/>
    <n v="-883.43999999999971"/>
    <n v="-2061.3599999999997"/>
    <n v="-0.10104705882352939"/>
  </r>
  <r>
    <x v="9"/>
    <x v="1"/>
    <s v="June 2014"/>
    <n v="1"/>
    <x v="1"/>
    <x v="1"/>
    <x v="1"/>
    <s v="Worst"/>
    <n v="1200"/>
    <n v="17"/>
    <n v="0.1"/>
    <n v="0.18"/>
    <n v="18000"/>
    <n v="0.3"/>
    <n v="20400"/>
    <n v="18360"/>
    <n v="3304.7999999999997"/>
    <n v="21304.799999999999"/>
    <n v="-2944.7999999999993"/>
    <n v="-883.43999999999971"/>
    <n v="-2061.3599999999997"/>
    <n v="-0.10104705882352939"/>
  </r>
  <r>
    <x v="9"/>
    <x v="1"/>
    <s v="June 2014"/>
    <n v="1"/>
    <x v="1"/>
    <x v="1"/>
    <x v="2"/>
    <s v="Worst"/>
    <n v="1200"/>
    <n v="17"/>
    <n v="0.1"/>
    <n v="0.18"/>
    <n v="18000"/>
    <n v="0.3"/>
    <n v="20400"/>
    <n v="18360"/>
    <n v="3304.7999999999997"/>
    <n v="21304.799999999999"/>
    <n v="-2944.7999999999993"/>
    <n v="-883.43999999999971"/>
    <n v="-2061.3599999999997"/>
    <n v="-0.10104705882352939"/>
  </r>
  <r>
    <x v="9"/>
    <x v="1"/>
    <s v="June 2014"/>
    <n v="1"/>
    <x v="1"/>
    <x v="1"/>
    <x v="3"/>
    <s v="Worst"/>
    <n v="1200"/>
    <n v="17"/>
    <n v="0.1"/>
    <n v="0.18"/>
    <n v="18000"/>
    <n v="0.3"/>
    <n v="20400"/>
    <n v="18360"/>
    <n v="3304.7999999999997"/>
    <n v="21304.799999999999"/>
    <n v="-2944.7999999999993"/>
    <n v="-883.43999999999971"/>
    <n v="-2061.3599999999997"/>
    <n v="-0.10104705882352939"/>
  </r>
  <r>
    <x v="9"/>
    <x v="1"/>
    <s v="June 2014"/>
    <n v="1"/>
    <x v="1"/>
    <x v="1"/>
    <x v="4"/>
    <s v="Worst"/>
    <n v="1200"/>
    <n v="17"/>
    <n v="0.1"/>
    <n v="0.18"/>
    <n v="18000"/>
    <n v="0.3"/>
    <n v="20400"/>
    <n v="18360"/>
    <n v="3304.7999999999997"/>
    <n v="21304.799999999999"/>
    <n v="-2944.7999999999993"/>
    <n v="-883.43999999999971"/>
    <n v="-2061.3599999999997"/>
    <n v="-0.10104705882352939"/>
  </r>
  <r>
    <x v="9"/>
    <x v="1"/>
    <s v="June 2014"/>
    <n v="1"/>
    <x v="1"/>
    <x v="2"/>
    <x v="0"/>
    <s v="Worst"/>
    <n v="1200"/>
    <n v="17"/>
    <n v="0.1"/>
    <n v="0.18"/>
    <n v="18000"/>
    <n v="0.3"/>
    <n v="20400"/>
    <n v="18360"/>
    <n v="3304.7999999999997"/>
    <n v="21304.799999999999"/>
    <n v="-2944.7999999999993"/>
    <n v="-883.43999999999971"/>
    <n v="-2061.3599999999997"/>
    <n v="-0.10104705882352939"/>
  </r>
  <r>
    <x v="9"/>
    <x v="1"/>
    <s v="June 2014"/>
    <n v="1"/>
    <x v="1"/>
    <x v="2"/>
    <x v="1"/>
    <s v="Worst"/>
    <n v="1200"/>
    <n v="17"/>
    <n v="0.1"/>
    <n v="0.18"/>
    <n v="18000"/>
    <n v="0.3"/>
    <n v="20400"/>
    <n v="18360"/>
    <n v="3304.7999999999997"/>
    <n v="21304.799999999999"/>
    <n v="-2944.7999999999993"/>
    <n v="-883.43999999999971"/>
    <n v="-2061.3599999999997"/>
    <n v="-0.10104705882352939"/>
  </r>
  <r>
    <x v="9"/>
    <x v="1"/>
    <s v="June 2014"/>
    <n v="1"/>
    <x v="1"/>
    <x v="2"/>
    <x v="2"/>
    <s v="Worst"/>
    <n v="1200"/>
    <n v="17"/>
    <n v="0.1"/>
    <n v="0.18"/>
    <n v="18000"/>
    <n v="0.3"/>
    <n v="20400"/>
    <n v="18360"/>
    <n v="3304.7999999999997"/>
    <n v="21304.799999999999"/>
    <n v="-2944.7999999999993"/>
    <n v="-883.43999999999971"/>
    <n v="-2061.3599999999997"/>
    <n v="-0.10104705882352939"/>
  </r>
  <r>
    <x v="9"/>
    <x v="1"/>
    <s v="June 2014"/>
    <n v="1"/>
    <x v="1"/>
    <x v="2"/>
    <x v="3"/>
    <s v="Worst"/>
    <n v="1200"/>
    <n v="17"/>
    <n v="0.1"/>
    <n v="0.18"/>
    <n v="18000"/>
    <n v="0.3"/>
    <n v="20400"/>
    <n v="18360"/>
    <n v="3304.7999999999997"/>
    <n v="21304.799999999999"/>
    <n v="-2944.7999999999993"/>
    <n v="-883.43999999999971"/>
    <n v="-2061.3599999999997"/>
    <n v="-0.10104705882352939"/>
  </r>
  <r>
    <x v="9"/>
    <x v="1"/>
    <s v="June 2014"/>
    <n v="1"/>
    <x v="1"/>
    <x v="2"/>
    <x v="4"/>
    <s v="Worst"/>
    <n v="1200"/>
    <n v="17"/>
    <n v="0.1"/>
    <n v="0.18"/>
    <n v="18000"/>
    <n v="0.3"/>
    <n v="20400"/>
    <n v="18360"/>
    <n v="3304.7999999999997"/>
    <n v="21304.799999999999"/>
    <n v="-2944.7999999999993"/>
    <n v="-883.43999999999971"/>
    <n v="-2061.3599999999997"/>
    <n v="-0.10104705882352939"/>
  </r>
  <r>
    <x v="9"/>
    <x v="1"/>
    <s v="June 2014"/>
    <n v="1"/>
    <x v="1"/>
    <x v="3"/>
    <x v="0"/>
    <s v="Worst"/>
    <n v="1200"/>
    <n v="17"/>
    <n v="0.1"/>
    <n v="0.18"/>
    <n v="18000"/>
    <n v="0.3"/>
    <n v="20400"/>
    <n v="18360"/>
    <n v="3304.7999999999997"/>
    <n v="21304.799999999999"/>
    <n v="-2944.7999999999993"/>
    <n v="-883.43999999999971"/>
    <n v="-2061.3599999999997"/>
    <n v="-0.10104705882352939"/>
  </r>
  <r>
    <x v="9"/>
    <x v="1"/>
    <s v="June 2014"/>
    <n v="1"/>
    <x v="1"/>
    <x v="3"/>
    <x v="1"/>
    <s v="Worst"/>
    <n v="1200"/>
    <n v="17"/>
    <n v="0.1"/>
    <n v="0.18"/>
    <n v="18000"/>
    <n v="0.3"/>
    <n v="20400"/>
    <n v="18360"/>
    <n v="3304.7999999999997"/>
    <n v="21304.799999999999"/>
    <n v="-2944.7999999999993"/>
    <n v="-883.43999999999971"/>
    <n v="-2061.3599999999997"/>
    <n v="-0.10104705882352939"/>
  </r>
  <r>
    <x v="9"/>
    <x v="1"/>
    <s v="June 2014"/>
    <n v="1"/>
    <x v="1"/>
    <x v="3"/>
    <x v="2"/>
    <s v="Worst"/>
    <n v="1200"/>
    <n v="17"/>
    <n v="0.1"/>
    <n v="0.18"/>
    <n v="18000"/>
    <n v="0.3"/>
    <n v="20400"/>
    <n v="18360"/>
    <n v="3304.7999999999997"/>
    <n v="21304.799999999999"/>
    <n v="-2944.7999999999993"/>
    <n v="-883.43999999999971"/>
    <n v="-2061.3599999999997"/>
    <n v="-0.10104705882352939"/>
  </r>
  <r>
    <x v="9"/>
    <x v="1"/>
    <s v="June 2014"/>
    <n v="1"/>
    <x v="1"/>
    <x v="3"/>
    <x v="3"/>
    <s v="Worst"/>
    <n v="1200"/>
    <n v="17"/>
    <n v="0.1"/>
    <n v="0.18"/>
    <n v="18000"/>
    <n v="0.3"/>
    <n v="20400"/>
    <n v="18360"/>
    <n v="3304.7999999999997"/>
    <n v="21304.799999999999"/>
    <n v="-2944.7999999999993"/>
    <n v="-883.43999999999971"/>
    <n v="-2061.3599999999997"/>
    <n v="-0.10104705882352939"/>
  </r>
  <r>
    <x v="9"/>
    <x v="1"/>
    <s v="June 2014"/>
    <n v="1"/>
    <x v="1"/>
    <x v="3"/>
    <x v="4"/>
    <s v="Worst"/>
    <n v="1200"/>
    <n v="17"/>
    <n v="0.1"/>
    <n v="0.18"/>
    <n v="18000"/>
    <n v="0.3"/>
    <n v="20400"/>
    <n v="18360"/>
    <n v="3304.7999999999997"/>
    <n v="21304.799999999999"/>
    <n v="-2944.7999999999993"/>
    <n v="-883.43999999999971"/>
    <n v="-2061.3599999999997"/>
    <n v="-0.10104705882352939"/>
  </r>
  <r>
    <x v="9"/>
    <x v="1"/>
    <s v="June 2014"/>
    <n v="1"/>
    <x v="1"/>
    <x v="4"/>
    <x v="0"/>
    <s v="Worst"/>
    <n v="1200"/>
    <n v="17"/>
    <n v="0.1"/>
    <n v="0.18"/>
    <n v="18000"/>
    <n v="0.3"/>
    <n v="20400"/>
    <n v="18360"/>
    <n v="3304.7999999999997"/>
    <n v="21304.799999999999"/>
    <n v="-2944.7999999999993"/>
    <n v="-883.43999999999971"/>
    <n v="-2061.3599999999997"/>
    <n v="-0.10104705882352939"/>
  </r>
  <r>
    <x v="9"/>
    <x v="1"/>
    <s v="June 2014"/>
    <n v="1"/>
    <x v="1"/>
    <x v="4"/>
    <x v="1"/>
    <s v="Worst"/>
    <n v="1200"/>
    <n v="17"/>
    <n v="0.1"/>
    <n v="0.18"/>
    <n v="18000"/>
    <n v="0.3"/>
    <n v="20400"/>
    <n v="18360"/>
    <n v="3304.7999999999997"/>
    <n v="21304.799999999999"/>
    <n v="-2944.7999999999993"/>
    <n v="-883.43999999999971"/>
    <n v="-2061.3599999999997"/>
    <n v="-0.10104705882352939"/>
  </r>
  <r>
    <x v="9"/>
    <x v="1"/>
    <s v="June 2014"/>
    <n v="1"/>
    <x v="1"/>
    <x v="4"/>
    <x v="2"/>
    <s v="Worst"/>
    <n v="1200"/>
    <n v="17"/>
    <n v="0.1"/>
    <n v="0.18"/>
    <n v="18000"/>
    <n v="0.3"/>
    <n v="20400"/>
    <n v="18360"/>
    <n v="3304.7999999999997"/>
    <n v="21304.799999999999"/>
    <n v="-2944.7999999999993"/>
    <n v="-883.43999999999971"/>
    <n v="-2061.3599999999997"/>
    <n v="-0.10104705882352939"/>
  </r>
  <r>
    <x v="9"/>
    <x v="1"/>
    <s v="June 2014"/>
    <n v="1"/>
    <x v="1"/>
    <x v="4"/>
    <x v="3"/>
    <s v="Worst"/>
    <n v="1200"/>
    <n v="17"/>
    <n v="0.1"/>
    <n v="0.18"/>
    <n v="18000"/>
    <n v="0.3"/>
    <n v="20400"/>
    <n v="18360"/>
    <n v="3304.7999999999997"/>
    <n v="21304.799999999999"/>
    <n v="-2944.7999999999993"/>
    <n v="-883.43999999999971"/>
    <n v="-2061.3599999999997"/>
    <n v="-0.10104705882352939"/>
  </r>
  <r>
    <x v="9"/>
    <x v="1"/>
    <s v="June 2014"/>
    <n v="1"/>
    <x v="1"/>
    <x v="4"/>
    <x v="4"/>
    <s v="Worst"/>
    <n v="1200"/>
    <n v="17"/>
    <n v="0.1"/>
    <n v="0.18"/>
    <n v="18000"/>
    <n v="0.3"/>
    <n v="20400"/>
    <n v="18360"/>
    <n v="3304.7999999999997"/>
    <n v="21304.799999999999"/>
    <n v="-2944.7999999999993"/>
    <n v="-883.43999999999971"/>
    <n v="-2061.3599999999997"/>
    <n v="-0.10104705882352939"/>
  </r>
  <r>
    <x v="9"/>
    <x v="1"/>
    <s v="June 2014"/>
    <n v="1"/>
    <x v="2"/>
    <x v="0"/>
    <x v="0"/>
    <s v="Worst"/>
    <n v="1200"/>
    <n v="17"/>
    <n v="0.1"/>
    <n v="0.18"/>
    <n v="18000"/>
    <n v="0.3"/>
    <n v="20400"/>
    <n v="18360"/>
    <n v="3304.7999999999997"/>
    <n v="21304.799999999999"/>
    <n v="-2944.7999999999993"/>
    <n v="-883.43999999999971"/>
    <n v="-2061.3599999999997"/>
    <n v="-0.10104705882352939"/>
  </r>
  <r>
    <x v="9"/>
    <x v="1"/>
    <s v="June 2014"/>
    <n v="1"/>
    <x v="2"/>
    <x v="0"/>
    <x v="1"/>
    <s v="Worst"/>
    <n v="1200"/>
    <n v="17"/>
    <n v="0.1"/>
    <n v="0.18"/>
    <n v="18000"/>
    <n v="0.3"/>
    <n v="20400"/>
    <n v="18360"/>
    <n v="3304.7999999999997"/>
    <n v="21304.799999999999"/>
    <n v="-2944.7999999999993"/>
    <n v="-883.43999999999971"/>
    <n v="-2061.3599999999997"/>
    <n v="-0.10104705882352939"/>
  </r>
  <r>
    <x v="9"/>
    <x v="1"/>
    <s v="June 2014"/>
    <n v="1"/>
    <x v="2"/>
    <x v="0"/>
    <x v="2"/>
    <s v="Worst"/>
    <n v="1200"/>
    <n v="17"/>
    <n v="0.1"/>
    <n v="0.18"/>
    <n v="18000"/>
    <n v="0.3"/>
    <n v="20400"/>
    <n v="18360"/>
    <n v="3304.7999999999997"/>
    <n v="21304.799999999999"/>
    <n v="-2944.7999999999993"/>
    <n v="-883.43999999999971"/>
    <n v="-2061.3599999999997"/>
    <n v="-0.10104705882352939"/>
  </r>
  <r>
    <x v="9"/>
    <x v="1"/>
    <s v="June 2014"/>
    <n v="1"/>
    <x v="2"/>
    <x v="0"/>
    <x v="3"/>
    <s v="Worst"/>
    <n v="1200"/>
    <n v="17"/>
    <n v="0.1"/>
    <n v="0.18"/>
    <n v="18000"/>
    <n v="0.3"/>
    <n v="20400"/>
    <n v="18360"/>
    <n v="3304.7999999999997"/>
    <n v="21304.799999999999"/>
    <n v="-2944.7999999999993"/>
    <n v="-883.43999999999971"/>
    <n v="-2061.3599999999997"/>
    <n v="-0.10104705882352939"/>
  </r>
  <r>
    <x v="9"/>
    <x v="1"/>
    <s v="June 2014"/>
    <n v="1"/>
    <x v="2"/>
    <x v="0"/>
    <x v="4"/>
    <s v="Worst"/>
    <n v="1200"/>
    <n v="17"/>
    <n v="0.1"/>
    <n v="0.18"/>
    <n v="18000"/>
    <n v="0.3"/>
    <n v="20400"/>
    <n v="18360"/>
    <n v="3304.7999999999997"/>
    <n v="21304.799999999999"/>
    <n v="-2944.7999999999993"/>
    <n v="-883.43999999999971"/>
    <n v="-2061.3599999999997"/>
    <n v="-0.10104705882352939"/>
  </r>
  <r>
    <x v="9"/>
    <x v="1"/>
    <s v="June 2014"/>
    <n v="1"/>
    <x v="2"/>
    <x v="1"/>
    <x v="0"/>
    <s v="Worst"/>
    <n v="1200"/>
    <n v="17"/>
    <n v="0.1"/>
    <n v="0.18"/>
    <n v="18000"/>
    <n v="0.3"/>
    <n v="20400"/>
    <n v="18360"/>
    <n v="3304.7999999999997"/>
    <n v="21304.799999999999"/>
    <n v="-2944.7999999999993"/>
    <n v="-883.43999999999971"/>
    <n v="-2061.3599999999997"/>
    <n v="-0.10104705882352939"/>
  </r>
  <r>
    <x v="9"/>
    <x v="1"/>
    <s v="June 2014"/>
    <n v="1"/>
    <x v="2"/>
    <x v="1"/>
    <x v="1"/>
    <s v="Worst"/>
    <n v="1200"/>
    <n v="17"/>
    <n v="0.1"/>
    <n v="0.18"/>
    <n v="18000"/>
    <n v="0.3"/>
    <n v="20400"/>
    <n v="18360"/>
    <n v="3304.7999999999997"/>
    <n v="21304.799999999999"/>
    <n v="-2944.7999999999993"/>
    <n v="-883.43999999999971"/>
    <n v="-2061.3599999999997"/>
    <n v="-0.10104705882352939"/>
  </r>
  <r>
    <x v="9"/>
    <x v="1"/>
    <s v="June 2014"/>
    <n v="1"/>
    <x v="2"/>
    <x v="1"/>
    <x v="2"/>
    <s v="Worst"/>
    <n v="1200"/>
    <n v="17"/>
    <n v="0.1"/>
    <n v="0.18"/>
    <n v="18000"/>
    <n v="0.3"/>
    <n v="20400"/>
    <n v="18360"/>
    <n v="3304.7999999999997"/>
    <n v="21304.799999999999"/>
    <n v="-2944.7999999999993"/>
    <n v="-883.43999999999971"/>
    <n v="-2061.3599999999997"/>
    <n v="-0.10104705882352939"/>
  </r>
  <r>
    <x v="9"/>
    <x v="1"/>
    <s v="June 2014"/>
    <n v="1"/>
    <x v="2"/>
    <x v="1"/>
    <x v="3"/>
    <s v="Worst"/>
    <n v="1200"/>
    <n v="17"/>
    <n v="0.1"/>
    <n v="0.18"/>
    <n v="18000"/>
    <n v="0.3"/>
    <n v="20400"/>
    <n v="18360"/>
    <n v="3304.7999999999997"/>
    <n v="21304.799999999999"/>
    <n v="-2944.7999999999993"/>
    <n v="-883.43999999999971"/>
    <n v="-2061.3599999999997"/>
    <n v="-0.10104705882352939"/>
  </r>
  <r>
    <x v="9"/>
    <x v="1"/>
    <s v="June 2014"/>
    <n v="1"/>
    <x v="2"/>
    <x v="1"/>
    <x v="4"/>
    <s v="Worst"/>
    <n v="1200"/>
    <n v="17"/>
    <n v="0.1"/>
    <n v="0.18"/>
    <n v="18000"/>
    <n v="0.3"/>
    <n v="20400"/>
    <n v="18360"/>
    <n v="3304.7999999999997"/>
    <n v="21304.799999999999"/>
    <n v="-2944.7999999999993"/>
    <n v="-883.43999999999971"/>
    <n v="-2061.3599999999997"/>
    <n v="-0.10104705882352939"/>
  </r>
  <r>
    <x v="9"/>
    <x v="1"/>
    <s v="June 2014"/>
    <n v="1"/>
    <x v="2"/>
    <x v="2"/>
    <x v="0"/>
    <s v="Worst"/>
    <n v="1200"/>
    <n v="17"/>
    <n v="0.1"/>
    <n v="0.18"/>
    <n v="18000"/>
    <n v="0.3"/>
    <n v="20400"/>
    <n v="18360"/>
    <n v="3304.7999999999997"/>
    <n v="21304.799999999999"/>
    <n v="-2944.7999999999993"/>
    <n v="-883.43999999999971"/>
    <n v="-2061.3599999999997"/>
    <n v="-0.10104705882352939"/>
  </r>
  <r>
    <x v="9"/>
    <x v="1"/>
    <s v="June 2014"/>
    <n v="1"/>
    <x v="2"/>
    <x v="2"/>
    <x v="1"/>
    <s v="Worst"/>
    <n v="1200"/>
    <n v="17"/>
    <n v="0.1"/>
    <n v="0.18"/>
    <n v="18000"/>
    <n v="0.3"/>
    <n v="20400"/>
    <n v="18360"/>
    <n v="3304.7999999999997"/>
    <n v="21304.799999999999"/>
    <n v="-2944.7999999999993"/>
    <n v="-883.43999999999971"/>
    <n v="-2061.3599999999997"/>
    <n v="-0.10104705882352939"/>
  </r>
  <r>
    <x v="9"/>
    <x v="1"/>
    <s v="June 2014"/>
    <n v="1"/>
    <x v="2"/>
    <x v="2"/>
    <x v="2"/>
    <s v="Worst"/>
    <n v="1200"/>
    <n v="17"/>
    <n v="0.1"/>
    <n v="0.18"/>
    <n v="18000"/>
    <n v="0.3"/>
    <n v="20400"/>
    <n v="18360"/>
    <n v="3304.7999999999997"/>
    <n v="21304.799999999999"/>
    <n v="-2944.7999999999993"/>
    <n v="-883.43999999999971"/>
    <n v="-2061.3599999999997"/>
    <n v="-0.10104705882352939"/>
  </r>
  <r>
    <x v="9"/>
    <x v="1"/>
    <s v="June 2014"/>
    <n v="1"/>
    <x v="2"/>
    <x v="2"/>
    <x v="3"/>
    <s v="Worst"/>
    <n v="1200"/>
    <n v="17"/>
    <n v="0.1"/>
    <n v="0.18"/>
    <n v="18000"/>
    <n v="0.3"/>
    <n v="20400"/>
    <n v="18360"/>
    <n v="3304.7999999999997"/>
    <n v="21304.799999999999"/>
    <n v="-2944.7999999999993"/>
    <n v="-883.43999999999971"/>
    <n v="-2061.3599999999997"/>
    <n v="-0.10104705882352939"/>
  </r>
  <r>
    <x v="9"/>
    <x v="1"/>
    <s v="June 2014"/>
    <n v="1"/>
    <x v="2"/>
    <x v="2"/>
    <x v="4"/>
    <s v="Worst"/>
    <n v="1200"/>
    <n v="17"/>
    <n v="0.1"/>
    <n v="0.18"/>
    <n v="18000"/>
    <n v="0.3"/>
    <n v="20400"/>
    <n v="18360"/>
    <n v="3304.7999999999997"/>
    <n v="21304.799999999999"/>
    <n v="-2944.7999999999993"/>
    <n v="-883.43999999999971"/>
    <n v="-2061.3599999999997"/>
    <n v="-0.10104705882352939"/>
  </r>
  <r>
    <x v="9"/>
    <x v="1"/>
    <s v="June 2014"/>
    <n v="1"/>
    <x v="2"/>
    <x v="3"/>
    <x v="0"/>
    <s v="Worst"/>
    <n v="1200"/>
    <n v="17"/>
    <n v="0.1"/>
    <n v="0.18"/>
    <n v="18000"/>
    <n v="0.3"/>
    <n v="20400"/>
    <n v="18360"/>
    <n v="3304.7999999999997"/>
    <n v="21304.799999999999"/>
    <n v="-2944.7999999999993"/>
    <n v="-883.43999999999971"/>
    <n v="-2061.3599999999997"/>
    <n v="-0.10104705882352939"/>
  </r>
  <r>
    <x v="9"/>
    <x v="1"/>
    <s v="June 2014"/>
    <n v="1"/>
    <x v="2"/>
    <x v="3"/>
    <x v="1"/>
    <s v="Worst"/>
    <n v="1200"/>
    <n v="17"/>
    <n v="0.1"/>
    <n v="0.18"/>
    <n v="18000"/>
    <n v="0.3"/>
    <n v="20400"/>
    <n v="18360"/>
    <n v="3304.7999999999997"/>
    <n v="21304.799999999999"/>
    <n v="-2944.7999999999993"/>
    <n v="-883.43999999999971"/>
    <n v="-2061.3599999999997"/>
    <n v="-0.10104705882352939"/>
  </r>
  <r>
    <x v="9"/>
    <x v="1"/>
    <s v="June 2014"/>
    <n v="1"/>
    <x v="2"/>
    <x v="3"/>
    <x v="2"/>
    <s v="Worst"/>
    <n v="1200"/>
    <n v="17"/>
    <n v="0.1"/>
    <n v="0.18"/>
    <n v="18000"/>
    <n v="0.3"/>
    <n v="20400"/>
    <n v="18360"/>
    <n v="3304.7999999999997"/>
    <n v="21304.799999999999"/>
    <n v="-2944.7999999999993"/>
    <n v="-883.43999999999971"/>
    <n v="-2061.3599999999997"/>
    <n v="-0.10104705882352939"/>
  </r>
  <r>
    <x v="9"/>
    <x v="1"/>
    <s v="June 2014"/>
    <n v="1"/>
    <x v="2"/>
    <x v="3"/>
    <x v="3"/>
    <s v="Worst"/>
    <n v="1200"/>
    <n v="17"/>
    <n v="0.1"/>
    <n v="0.18"/>
    <n v="18000"/>
    <n v="0.3"/>
    <n v="20400"/>
    <n v="18360"/>
    <n v="3304.7999999999997"/>
    <n v="21304.799999999999"/>
    <n v="-2944.7999999999993"/>
    <n v="-883.43999999999971"/>
    <n v="-2061.3599999999997"/>
    <n v="-0.10104705882352939"/>
  </r>
  <r>
    <x v="9"/>
    <x v="1"/>
    <s v="June 2014"/>
    <n v="1"/>
    <x v="2"/>
    <x v="3"/>
    <x v="4"/>
    <s v="Worst"/>
    <n v="1200"/>
    <n v="17"/>
    <n v="0.1"/>
    <n v="0.18"/>
    <n v="18000"/>
    <n v="0.3"/>
    <n v="20400"/>
    <n v="18360"/>
    <n v="3304.7999999999997"/>
    <n v="21304.799999999999"/>
    <n v="-2944.7999999999993"/>
    <n v="-883.43999999999971"/>
    <n v="-2061.3599999999997"/>
    <n v="-0.10104705882352939"/>
  </r>
  <r>
    <x v="9"/>
    <x v="1"/>
    <s v="June 2014"/>
    <n v="1"/>
    <x v="2"/>
    <x v="4"/>
    <x v="0"/>
    <s v="Worst"/>
    <n v="1200"/>
    <n v="17"/>
    <n v="0.1"/>
    <n v="0.18"/>
    <n v="18000"/>
    <n v="0.3"/>
    <n v="20400"/>
    <n v="18360"/>
    <n v="3304.7999999999997"/>
    <n v="21304.799999999999"/>
    <n v="-2944.7999999999993"/>
    <n v="-883.43999999999971"/>
    <n v="-2061.3599999999997"/>
    <n v="-0.10104705882352939"/>
  </r>
  <r>
    <x v="9"/>
    <x v="1"/>
    <s v="June 2014"/>
    <n v="1"/>
    <x v="2"/>
    <x v="4"/>
    <x v="1"/>
    <s v="Worst"/>
    <n v="1200"/>
    <n v="17"/>
    <n v="0.1"/>
    <n v="0.18"/>
    <n v="18000"/>
    <n v="0.3"/>
    <n v="20400"/>
    <n v="18360"/>
    <n v="3304.7999999999997"/>
    <n v="21304.799999999999"/>
    <n v="-2944.7999999999993"/>
    <n v="-883.43999999999971"/>
    <n v="-2061.3599999999997"/>
    <n v="-0.10104705882352939"/>
  </r>
  <r>
    <x v="9"/>
    <x v="1"/>
    <s v="June 2014"/>
    <n v="1"/>
    <x v="2"/>
    <x v="4"/>
    <x v="2"/>
    <s v="Worst"/>
    <n v="1200"/>
    <n v="17"/>
    <n v="0.1"/>
    <n v="0.18"/>
    <n v="18000"/>
    <n v="0.3"/>
    <n v="20400"/>
    <n v="18360"/>
    <n v="3304.7999999999997"/>
    <n v="21304.799999999999"/>
    <n v="-2944.7999999999993"/>
    <n v="-883.43999999999971"/>
    <n v="-2061.3599999999997"/>
    <n v="-0.10104705882352939"/>
  </r>
  <r>
    <x v="9"/>
    <x v="1"/>
    <s v="June 2014"/>
    <n v="1"/>
    <x v="2"/>
    <x v="4"/>
    <x v="3"/>
    <s v="Worst"/>
    <n v="1200"/>
    <n v="17"/>
    <n v="0.1"/>
    <n v="0.18"/>
    <n v="18000"/>
    <n v="0.3"/>
    <n v="20400"/>
    <n v="18360"/>
    <n v="3304.7999999999997"/>
    <n v="21304.799999999999"/>
    <n v="-2944.7999999999993"/>
    <n v="-883.43999999999971"/>
    <n v="-2061.3599999999997"/>
    <n v="-0.10104705882352939"/>
  </r>
  <r>
    <x v="9"/>
    <x v="1"/>
    <s v="June 2014"/>
    <n v="1"/>
    <x v="2"/>
    <x v="4"/>
    <x v="4"/>
    <s v="Worst"/>
    <n v="1200"/>
    <n v="17"/>
    <n v="0.1"/>
    <n v="0.18"/>
    <n v="18000"/>
    <n v="0.3"/>
    <n v="20400"/>
    <n v="18360"/>
    <n v="3304.7999999999997"/>
    <n v="21304.799999999999"/>
    <n v="-2944.7999999999993"/>
    <n v="-883.43999999999971"/>
    <n v="-2061.3599999999997"/>
    <n v="-0.10104705882352939"/>
  </r>
  <r>
    <x v="9"/>
    <x v="1"/>
    <s v="June 2014"/>
    <n v="1"/>
    <x v="3"/>
    <x v="0"/>
    <x v="0"/>
    <s v="Worst"/>
    <n v="1200"/>
    <n v="17"/>
    <n v="0.1"/>
    <n v="0.18"/>
    <n v="18000"/>
    <n v="0.3"/>
    <n v="20400"/>
    <n v="18360"/>
    <n v="3304.7999999999997"/>
    <n v="21304.799999999999"/>
    <n v="-2944.7999999999993"/>
    <n v="-883.43999999999971"/>
    <n v="-2061.3599999999997"/>
    <n v="-0.10104705882352939"/>
  </r>
  <r>
    <x v="9"/>
    <x v="1"/>
    <s v="June 2014"/>
    <n v="1"/>
    <x v="3"/>
    <x v="0"/>
    <x v="1"/>
    <s v="Worst"/>
    <n v="1200"/>
    <n v="17"/>
    <n v="0.1"/>
    <n v="0.18"/>
    <n v="18000"/>
    <n v="0.3"/>
    <n v="20400"/>
    <n v="18360"/>
    <n v="3304.7999999999997"/>
    <n v="21304.799999999999"/>
    <n v="-2944.7999999999993"/>
    <n v="-883.43999999999971"/>
    <n v="-2061.3599999999997"/>
    <n v="-0.10104705882352939"/>
  </r>
  <r>
    <x v="9"/>
    <x v="1"/>
    <s v="June 2014"/>
    <n v="1"/>
    <x v="3"/>
    <x v="0"/>
    <x v="2"/>
    <s v="Worst"/>
    <n v="1200"/>
    <n v="17"/>
    <n v="0.1"/>
    <n v="0.18"/>
    <n v="18000"/>
    <n v="0.3"/>
    <n v="20400"/>
    <n v="18360"/>
    <n v="3304.7999999999997"/>
    <n v="21304.799999999999"/>
    <n v="-2944.7999999999993"/>
    <n v="-883.43999999999971"/>
    <n v="-2061.3599999999997"/>
    <n v="-0.10104705882352939"/>
  </r>
  <r>
    <x v="9"/>
    <x v="1"/>
    <s v="June 2014"/>
    <n v="1"/>
    <x v="3"/>
    <x v="0"/>
    <x v="3"/>
    <s v="Worst"/>
    <n v="1200"/>
    <n v="17"/>
    <n v="0.1"/>
    <n v="0.18"/>
    <n v="18000"/>
    <n v="0.3"/>
    <n v="20400"/>
    <n v="18360"/>
    <n v="3304.7999999999997"/>
    <n v="21304.799999999999"/>
    <n v="-2944.7999999999993"/>
    <n v="-883.43999999999971"/>
    <n v="-2061.3599999999997"/>
    <n v="-0.10104705882352939"/>
  </r>
  <r>
    <x v="9"/>
    <x v="1"/>
    <s v="June 2014"/>
    <n v="1"/>
    <x v="3"/>
    <x v="0"/>
    <x v="4"/>
    <s v="Worst"/>
    <n v="1200"/>
    <n v="17"/>
    <n v="0.1"/>
    <n v="0.18"/>
    <n v="18000"/>
    <n v="0.3"/>
    <n v="20400"/>
    <n v="18360"/>
    <n v="3304.7999999999997"/>
    <n v="21304.799999999999"/>
    <n v="-2944.7999999999993"/>
    <n v="-883.43999999999971"/>
    <n v="-2061.3599999999997"/>
    <n v="-0.10104705882352939"/>
  </r>
  <r>
    <x v="9"/>
    <x v="1"/>
    <s v="June 2014"/>
    <n v="1"/>
    <x v="3"/>
    <x v="1"/>
    <x v="0"/>
    <s v="Worst"/>
    <n v="1200"/>
    <n v="17"/>
    <n v="0.1"/>
    <n v="0.18"/>
    <n v="18000"/>
    <n v="0.3"/>
    <n v="20400"/>
    <n v="18360"/>
    <n v="3304.7999999999997"/>
    <n v="21304.799999999999"/>
    <n v="-2944.7999999999993"/>
    <n v="-883.43999999999971"/>
    <n v="-2061.3599999999997"/>
    <n v="-0.10104705882352939"/>
  </r>
  <r>
    <x v="9"/>
    <x v="1"/>
    <s v="June 2014"/>
    <n v="1"/>
    <x v="3"/>
    <x v="1"/>
    <x v="1"/>
    <s v="Worst"/>
    <n v="1200"/>
    <n v="17"/>
    <n v="0.1"/>
    <n v="0.18"/>
    <n v="18000"/>
    <n v="0.3"/>
    <n v="20400"/>
    <n v="18360"/>
    <n v="3304.7999999999997"/>
    <n v="21304.799999999999"/>
    <n v="-2944.7999999999993"/>
    <n v="-883.43999999999971"/>
    <n v="-2061.3599999999997"/>
    <n v="-0.10104705882352939"/>
  </r>
  <r>
    <x v="9"/>
    <x v="1"/>
    <s v="June 2014"/>
    <n v="1"/>
    <x v="3"/>
    <x v="1"/>
    <x v="2"/>
    <s v="Worst"/>
    <n v="1200"/>
    <n v="17"/>
    <n v="0.1"/>
    <n v="0.18"/>
    <n v="18000"/>
    <n v="0.3"/>
    <n v="20400"/>
    <n v="18360"/>
    <n v="3304.7999999999997"/>
    <n v="21304.799999999999"/>
    <n v="-2944.7999999999993"/>
    <n v="-883.43999999999971"/>
    <n v="-2061.3599999999997"/>
    <n v="-0.10104705882352939"/>
  </r>
  <r>
    <x v="9"/>
    <x v="1"/>
    <s v="June 2014"/>
    <n v="1"/>
    <x v="3"/>
    <x v="1"/>
    <x v="3"/>
    <s v="Worst"/>
    <n v="1200"/>
    <n v="17"/>
    <n v="0.1"/>
    <n v="0.18"/>
    <n v="18000"/>
    <n v="0.3"/>
    <n v="20400"/>
    <n v="18360"/>
    <n v="3304.7999999999997"/>
    <n v="21304.799999999999"/>
    <n v="-2944.7999999999993"/>
    <n v="-883.43999999999971"/>
    <n v="-2061.3599999999997"/>
    <n v="-0.10104705882352939"/>
  </r>
  <r>
    <x v="9"/>
    <x v="1"/>
    <s v="June 2014"/>
    <n v="1"/>
    <x v="3"/>
    <x v="1"/>
    <x v="4"/>
    <s v="Worst"/>
    <n v="1200"/>
    <n v="17"/>
    <n v="0.1"/>
    <n v="0.18"/>
    <n v="18000"/>
    <n v="0.3"/>
    <n v="20400"/>
    <n v="18360"/>
    <n v="3304.7999999999997"/>
    <n v="21304.799999999999"/>
    <n v="-2944.7999999999993"/>
    <n v="-883.43999999999971"/>
    <n v="-2061.3599999999997"/>
    <n v="-0.10104705882352939"/>
  </r>
  <r>
    <x v="9"/>
    <x v="1"/>
    <s v="June 2014"/>
    <n v="1"/>
    <x v="3"/>
    <x v="2"/>
    <x v="0"/>
    <s v="Worst"/>
    <n v="1200"/>
    <n v="17"/>
    <n v="0.1"/>
    <n v="0.18"/>
    <n v="18000"/>
    <n v="0.3"/>
    <n v="20400"/>
    <n v="18360"/>
    <n v="3304.7999999999997"/>
    <n v="21304.799999999999"/>
    <n v="-2944.7999999999993"/>
    <n v="-883.43999999999971"/>
    <n v="-2061.3599999999997"/>
    <n v="-0.10104705882352939"/>
  </r>
  <r>
    <x v="9"/>
    <x v="1"/>
    <s v="June 2014"/>
    <n v="1"/>
    <x v="3"/>
    <x v="2"/>
    <x v="1"/>
    <s v="Worst"/>
    <n v="1200"/>
    <n v="17"/>
    <n v="0.1"/>
    <n v="0.18"/>
    <n v="18000"/>
    <n v="0.3"/>
    <n v="20400"/>
    <n v="18360"/>
    <n v="3304.7999999999997"/>
    <n v="21304.799999999999"/>
    <n v="-2944.7999999999993"/>
    <n v="-883.43999999999971"/>
    <n v="-2061.3599999999997"/>
    <n v="-0.10104705882352939"/>
  </r>
  <r>
    <x v="9"/>
    <x v="1"/>
    <s v="June 2014"/>
    <n v="1"/>
    <x v="3"/>
    <x v="2"/>
    <x v="2"/>
    <s v="Worst"/>
    <n v="1200"/>
    <n v="17"/>
    <n v="0.1"/>
    <n v="0.18"/>
    <n v="18000"/>
    <n v="0.3"/>
    <n v="20400"/>
    <n v="18360"/>
    <n v="3304.7999999999997"/>
    <n v="21304.799999999999"/>
    <n v="-2944.7999999999993"/>
    <n v="-883.43999999999971"/>
    <n v="-2061.3599999999997"/>
    <n v="-0.10104705882352939"/>
  </r>
  <r>
    <x v="9"/>
    <x v="1"/>
    <s v="June 2014"/>
    <n v="1"/>
    <x v="3"/>
    <x v="2"/>
    <x v="3"/>
    <s v="Worst"/>
    <n v="1200"/>
    <n v="17"/>
    <n v="0.1"/>
    <n v="0.18"/>
    <n v="18000"/>
    <n v="0.3"/>
    <n v="20400"/>
    <n v="18360"/>
    <n v="3304.7999999999997"/>
    <n v="21304.799999999999"/>
    <n v="-2944.7999999999993"/>
    <n v="-883.43999999999971"/>
    <n v="-2061.3599999999997"/>
    <n v="-0.10104705882352939"/>
  </r>
  <r>
    <x v="9"/>
    <x v="1"/>
    <s v="June 2014"/>
    <n v="1"/>
    <x v="3"/>
    <x v="2"/>
    <x v="4"/>
    <s v="Worst"/>
    <n v="1200"/>
    <n v="17"/>
    <n v="0.1"/>
    <n v="0.18"/>
    <n v="18000"/>
    <n v="0.3"/>
    <n v="20400"/>
    <n v="18360"/>
    <n v="3304.7999999999997"/>
    <n v="21304.799999999999"/>
    <n v="-2944.7999999999993"/>
    <n v="-883.43999999999971"/>
    <n v="-2061.3599999999997"/>
    <n v="-0.10104705882352939"/>
  </r>
  <r>
    <x v="9"/>
    <x v="1"/>
    <s v="June 2014"/>
    <n v="1"/>
    <x v="3"/>
    <x v="3"/>
    <x v="0"/>
    <s v="Worst"/>
    <n v="1200"/>
    <n v="17"/>
    <n v="0.1"/>
    <n v="0.18"/>
    <n v="18000"/>
    <n v="0.3"/>
    <n v="20400"/>
    <n v="18360"/>
    <n v="3304.7999999999997"/>
    <n v="21304.799999999999"/>
    <n v="-2944.7999999999993"/>
    <n v="-883.43999999999971"/>
    <n v="-2061.3599999999997"/>
    <n v="-0.10104705882352939"/>
  </r>
  <r>
    <x v="9"/>
    <x v="1"/>
    <s v="June 2014"/>
    <n v="1"/>
    <x v="3"/>
    <x v="3"/>
    <x v="1"/>
    <s v="Worst"/>
    <n v="1200"/>
    <n v="17"/>
    <n v="0.1"/>
    <n v="0.18"/>
    <n v="18000"/>
    <n v="0.3"/>
    <n v="20400"/>
    <n v="18360"/>
    <n v="3304.7999999999997"/>
    <n v="21304.799999999999"/>
    <n v="-2944.7999999999993"/>
    <n v="-883.43999999999971"/>
    <n v="-2061.3599999999997"/>
    <n v="-0.10104705882352939"/>
  </r>
  <r>
    <x v="9"/>
    <x v="1"/>
    <s v="June 2014"/>
    <n v="1"/>
    <x v="3"/>
    <x v="3"/>
    <x v="2"/>
    <s v="Worst"/>
    <n v="1200"/>
    <n v="17"/>
    <n v="0.1"/>
    <n v="0.18"/>
    <n v="18000"/>
    <n v="0.3"/>
    <n v="20400"/>
    <n v="18360"/>
    <n v="3304.7999999999997"/>
    <n v="21304.799999999999"/>
    <n v="-2944.7999999999993"/>
    <n v="-883.43999999999971"/>
    <n v="-2061.3599999999997"/>
    <n v="-0.10104705882352939"/>
  </r>
  <r>
    <x v="9"/>
    <x v="1"/>
    <s v="June 2014"/>
    <n v="1"/>
    <x v="3"/>
    <x v="3"/>
    <x v="3"/>
    <s v="Worst"/>
    <n v="1200"/>
    <n v="17"/>
    <n v="0.1"/>
    <n v="0.18"/>
    <n v="18000"/>
    <n v="0.3"/>
    <n v="20400"/>
    <n v="18360"/>
    <n v="3304.7999999999997"/>
    <n v="21304.799999999999"/>
    <n v="-2944.7999999999993"/>
    <n v="-883.43999999999971"/>
    <n v="-2061.3599999999997"/>
    <n v="-0.10104705882352939"/>
  </r>
  <r>
    <x v="9"/>
    <x v="1"/>
    <s v="June 2014"/>
    <n v="1"/>
    <x v="3"/>
    <x v="3"/>
    <x v="4"/>
    <s v="Worst"/>
    <n v="1200"/>
    <n v="17"/>
    <n v="0.1"/>
    <n v="0.18"/>
    <n v="18000"/>
    <n v="0.3"/>
    <n v="20400"/>
    <n v="18360"/>
    <n v="3304.7999999999997"/>
    <n v="21304.799999999999"/>
    <n v="-2944.7999999999993"/>
    <n v="-883.43999999999971"/>
    <n v="-2061.3599999999997"/>
    <n v="-0.10104705882352939"/>
  </r>
  <r>
    <x v="9"/>
    <x v="1"/>
    <s v="June 2014"/>
    <n v="1"/>
    <x v="3"/>
    <x v="4"/>
    <x v="0"/>
    <s v="Worst"/>
    <n v="1200"/>
    <n v="17"/>
    <n v="0.1"/>
    <n v="0.18"/>
    <n v="18000"/>
    <n v="0.3"/>
    <n v="20400"/>
    <n v="18360"/>
    <n v="3304.7999999999997"/>
    <n v="21304.799999999999"/>
    <n v="-2944.7999999999993"/>
    <n v="-883.43999999999971"/>
    <n v="-2061.3599999999997"/>
    <n v="-0.10104705882352939"/>
  </r>
  <r>
    <x v="9"/>
    <x v="1"/>
    <s v="June 2014"/>
    <n v="1"/>
    <x v="3"/>
    <x v="4"/>
    <x v="1"/>
    <s v="Worst"/>
    <n v="1200"/>
    <n v="17"/>
    <n v="0.1"/>
    <n v="0.18"/>
    <n v="18000"/>
    <n v="0.3"/>
    <n v="20400"/>
    <n v="18360"/>
    <n v="3304.7999999999997"/>
    <n v="21304.799999999999"/>
    <n v="-2944.7999999999993"/>
    <n v="-883.43999999999971"/>
    <n v="-2061.3599999999997"/>
    <n v="-0.10104705882352939"/>
  </r>
  <r>
    <x v="9"/>
    <x v="1"/>
    <s v="June 2014"/>
    <n v="1"/>
    <x v="3"/>
    <x v="4"/>
    <x v="2"/>
    <s v="Worst"/>
    <n v="1200"/>
    <n v="17"/>
    <n v="0.1"/>
    <n v="0.18"/>
    <n v="18000"/>
    <n v="0.3"/>
    <n v="20400"/>
    <n v="18360"/>
    <n v="3304.7999999999997"/>
    <n v="21304.799999999999"/>
    <n v="-2944.7999999999993"/>
    <n v="-883.43999999999971"/>
    <n v="-2061.3599999999997"/>
    <n v="-0.10104705882352939"/>
  </r>
  <r>
    <x v="9"/>
    <x v="1"/>
    <s v="June 2014"/>
    <n v="1"/>
    <x v="3"/>
    <x v="4"/>
    <x v="3"/>
    <s v="Worst"/>
    <n v="1200"/>
    <n v="17"/>
    <n v="0.1"/>
    <n v="0.18"/>
    <n v="18000"/>
    <n v="0.3"/>
    <n v="20400"/>
    <n v="18360"/>
    <n v="3304.7999999999997"/>
    <n v="21304.799999999999"/>
    <n v="-2944.7999999999993"/>
    <n v="-883.43999999999971"/>
    <n v="-2061.3599999999997"/>
    <n v="-0.10104705882352939"/>
  </r>
  <r>
    <x v="9"/>
    <x v="1"/>
    <s v="June 2014"/>
    <n v="1"/>
    <x v="3"/>
    <x v="4"/>
    <x v="4"/>
    <s v="Worst"/>
    <n v="1200"/>
    <n v="17"/>
    <n v="0.1"/>
    <n v="0.18"/>
    <n v="18000"/>
    <n v="0.3"/>
    <n v="20400"/>
    <n v="18360"/>
    <n v="3304.7999999999997"/>
    <n v="21304.799999999999"/>
    <n v="-2944.7999999999993"/>
    <n v="-883.43999999999971"/>
    <n v="-2061.3599999999997"/>
    <n v="-0.10104705882352939"/>
  </r>
  <r>
    <x v="9"/>
    <x v="1"/>
    <s v="June 2014"/>
    <n v="1"/>
    <x v="4"/>
    <x v="0"/>
    <x v="0"/>
    <s v="Worst"/>
    <n v="1200"/>
    <n v="17"/>
    <n v="0.1"/>
    <n v="0.18"/>
    <n v="18000"/>
    <n v="0.3"/>
    <n v="20400"/>
    <n v="18360"/>
    <n v="3304.7999999999997"/>
    <n v="21304.799999999999"/>
    <n v="-2944.7999999999993"/>
    <n v="-883.43999999999971"/>
    <n v="-2061.3599999999997"/>
    <n v="-0.10104705882352939"/>
  </r>
  <r>
    <x v="9"/>
    <x v="1"/>
    <s v="June 2014"/>
    <n v="1"/>
    <x v="4"/>
    <x v="0"/>
    <x v="1"/>
    <s v="Worst"/>
    <n v="1200"/>
    <n v="17"/>
    <n v="0.1"/>
    <n v="0.18"/>
    <n v="18000"/>
    <n v="0.3"/>
    <n v="20400"/>
    <n v="18360"/>
    <n v="3304.7999999999997"/>
    <n v="21304.799999999999"/>
    <n v="-2944.7999999999993"/>
    <n v="-883.43999999999971"/>
    <n v="-2061.3599999999997"/>
    <n v="-0.10104705882352939"/>
  </r>
  <r>
    <x v="9"/>
    <x v="1"/>
    <s v="June 2014"/>
    <n v="1"/>
    <x v="4"/>
    <x v="0"/>
    <x v="2"/>
    <s v="Worst"/>
    <n v="1200"/>
    <n v="17"/>
    <n v="0.1"/>
    <n v="0.18"/>
    <n v="18000"/>
    <n v="0.3"/>
    <n v="20400"/>
    <n v="18360"/>
    <n v="3304.7999999999997"/>
    <n v="21304.799999999999"/>
    <n v="-2944.7999999999993"/>
    <n v="-883.43999999999971"/>
    <n v="-2061.3599999999997"/>
    <n v="-0.10104705882352939"/>
  </r>
  <r>
    <x v="9"/>
    <x v="1"/>
    <s v="June 2014"/>
    <n v="1"/>
    <x v="4"/>
    <x v="0"/>
    <x v="3"/>
    <s v="Worst"/>
    <n v="1200"/>
    <n v="17"/>
    <n v="0.1"/>
    <n v="0.18"/>
    <n v="18000"/>
    <n v="0.3"/>
    <n v="20400"/>
    <n v="18360"/>
    <n v="3304.7999999999997"/>
    <n v="21304.799999999999"/>
    <n v="-2944.7999999999993"/>
    <n v="-883.43999999999971"/>
    <n v="-2061.3599999999997"/>
    <n v="-0.10104705882352939"/>
  </r>
  <r>
    <x v="9"/>
    <x v="1"/>
    <s v="June 2014"/>
    <n v="1"/>
    <x v="4"/>
    <x v="0"/>
    <x v="4"/>
    <s v="Worst"/>
    <n v="1200"/>
    <n v="17"/>
    <n v="0.1"/>
    <n v="0.18"/>
    <n v="18000"/>
    <n v="0.3"/>
    <n v="20400"/>
    <n v="18360"/>
    <n v="3304.7999999999997"/>
    <n v="21304.799999999999"/>
    <n v="-2944.7999999999993"/>
    <n v="-883.43999999999971"/>
    <n v="-2061.3599999999997"/>
    <n v="-0.10104705882352939"/>
  </r>
  <r>
    <x v="9"/>
    <x v="1"/>
    <s v="June 2014"/>
    <n v="1"/>
    <x v="4"/>
    <x v="1"/>
    <x v="0"/>
    <s v="Worst"/>
    <n v="1200"/>
    <n v="17"/>
    <n v="0.1"/>
    <n v="0.18"/>
    <n v="18000"/>
    <n v="0.3"/>
    <n v="20400"/>
    <n v="18360"/>
    <n v="3304.7999999999997"/>
    <n v="21304.799999999999"/>
    <n v="-2944.7999999999993"/>
    <n v="-883.43999999999971"/>
    <n v="-2061.3599999999997"/>
    <n v="-0.10104705882352939"/>
  </r>
  <r>
    <x v="9"/>
    <x v="1"/>
    <s v="June 2014"/>
    <n v="1"/>
    <x v="4"/>
    <x v="1"/>
    <x v="1"/>
    <s v="Worst"/>
    <n v="1200"/>
    <n v="17"/>
    <n v="0.1"/>
    <n v="0.18"/>
    <n v="18000"/>
    <n v="0.3"/>
    <n v="20400"/>
    <n v="18360"/>
    <n v="3304.7999999999997"/>
    <n v="21304.799999999999"/>
    <n v="-2944.7999999999993"/>
    <n v="-883.43999999999971"/>
    <n v="-2061.3599999999997"/>
    <n v="-0.10104705882352939"/>
  </r>
  <r>
    <x v="9"/>
    <x v="1"/>
    <s v="June 2014"/>
    <n v="1"/>
    <x v="4"/>
    <x v="1"/>
    <x v="2"/>
    <s v="Worst"/>
    <n v="1200"/>
    <n v="17"/>
    <n v="0.1"/>
    <n v="0.18"/>
    <n v="18000"/>
    <n v="0.3"/>
    <n v="20400"/>
    <n v="18360"/>
    <n v="3304.7999999999997"/>
    <n v="21304.799999999999"/>
    <n v="-2944.7999999999993"/>
    <n v="-883.43999999999971"/>
    <n v="-2061.3599999999997"/>
    <n v="-0.10104705882352939"/>
  </r>
  <r>
    <x v="9"/>
    <x v="1"/>
    <s v="June 2014"/>
    <n v="1"/>
    <x v="4"/>
    <x v="1"/>
    <x v="3"/>
    <s v="Worst"/>
    <n v="1200"/>
    <n v="17"/>
    <n v="0.1"/>
    <n v="0.18"/>
    <n v="18000"/>
    <n v="0.3"/>
    <n v="20400"/>
    <n v="18360"/>
    <n v="3304.7999999999997"/>
    <n v="21304.799999999999"/>
    <n v="-2944.7999999999993"/>
    <n v="-883.43999999999971"/>
    <n v="-2061.3599999999997"/>
    <n v="-0.10104705882352939"/>
  </r>
  <r>
    <x v="9"/>
    <x v="1"/>
    <s v="June 2014"/>
    <n v="1"/>
    <x v="4"/>
    <x v="1"/>
    <x v="4"/>
    <s v="Worst"/>
    <n v="1200"/>
    <n v="17"/>
    <n v="0.1"/>
    <n v="0.18"/>
    <n v="18000"/>
    <n v="0.3"/>
    <n v="20400"/>
    <n v="18360"/>
    <n v="3304.7999999999997"/>
    <n v="21304.799999999999"/>
    <n v="-2944.7999999999993"/>
    <n v="-883.43999999999971"/>
    <n v="-2061.3599999999997"/>
    <n v="-0.10104705882352939"/>
  </r>
  <r>
    <x v="9"/>
    <x v="1"/>
    <s v="June 2014"/>
    <n v="1"/>
    <x v="4"/>
    <x v="2"/>
    <x v="0"/>
    <s v="Worst"/>
    <n v="1200"/>
    <n v="17"/>
    <n v="0.1"/>
    <n v="0.18"/>
    <n v="18000"/>
    <n v="0.3"/>
    <n v="20400"/>
    <n v="18360"/>
    <n v="3304.7999999999997"/>
    <n v="21304.799999999999"/>
    <n v="-2944.7999999999993"/>
    <n v="-883.43999999999971"/>
    <n v="-2061.3599999999997"/>
    <n v="-0.10104705882352939"/>
  </r>
  <r>
    <x v="9"/>
    <x v="1"/>
    <s v="June 2014"/>
    <n v="1"/>
    <x v="4"/>
    <x v="2"/>
    <x v="1"/>
    <s v="Worst"/>
    <n v="1200"/>
    <n v="17"/>
    <n v="0.1"/>
    <n v="0.18"/>
    <n v="18000"/>
    <n v="0.3"/>
    <n v="20400"/>
    <n v="18360"/>
    <n v="3304.7999999999997"/>
    <n v="21304.799999999999"/>
    <n v="-2944.7999999999993"/>
    <n v="-883.43999999999971"/>
    <n v="-2061.3599999999997"/>
    <n v="-0.10104705882352939"/>
  </r>
  <r>
    <x v="9"/>
    <x v="1"/>
    <s v="June 2014"/>
    <n v="1"/>
    <x v="4"/>
    <x v="2"/>
    <x v="2"/>
    <s v="Worst"/>
    <n v="1200"/>
    <n v="17"/>
    <n v="0.1"/>
    <n v="0.18"/>
    <n v="18000"/>
    <n v="0.3"/>
    <n v="20400"/>
    <n v="18360"/>
    <n v="3304.7999999999997"/>
    <n v="21304.799999999999"/>
    <n v="-2944.7999999999993"/>
    <n v="-883.43999999999971"/>
    <n v="-2061.3599999999997"/>
    <n v="-0.10104705882352939"/>
  </r>
  <r>
    <x v="9"/>
    <x v="1"/>
    <s v="June 2014"/>
    <n v="1"/>
    <x v="4"/>
    <x v="2"/>
    <x v="3"/>
    <s v="Worst"/>
    <n v="1200"/>
    <n v="17"/>
    <n v="0.1"/>
    <n v="0.18"/>
    <n v="18000"/>
    <n v="0.3"/>
    <n v="20400"/>
    <n v="18360"/>
    <n v="3304.7999999999997"/>
    <n v="21304.799999999999"/>
    <n v="-2944.7999999999993"/>
    <n v="-883.43999999999971"/>
    <n v="-2061.3599999999997"/>
    <n v="-0.10104705882352939"/>
  </r>
  <r>
    <x v="9"/>
    <x v="1"/>
    <s v="June 2014"/>
    <n v="1"/>
    <x v="4"/>
    <x v="2"/>
    <x v="4"/>
    <s v="Worst"/>
    <n v="1200"/>
    <n v="17"/>
    <n v="0.1"/>
    <n v="0.18"/>
    <n v="18000"/>
    <n v="0.3"/>
    <n v="20400"/>
    <n v="18360"/>
    <n v="3304.7999999999997"/>
    <n v="21304.799999999999"/>
    <n v="-2944.7999999999993"/>
    <n v="-883.43999999999971"/>
    <n v="-2061.3599999999997"/>
    <n v="-0.10104705882352939"/>
  </r>
  <r>
    <x v="9"/>
    <x v="1"/>
    <s v="June 2014"/>
    <n v="1"/>
    <x v="4"/>
    <x v="3"/>
    <x v="0"/>
    <s v="Worst"/>
    <n v="1200"/>
    <n v="17"/>
    <n v="0.1"/>
    <n v="0.18"/>
    <n v="18000"/>
    <n v="0.3"/>
    <n v="20400"/>
    <n v="18360"/>
    <n v="3304.7999999999997"/>
    <n v="21304.799999999999"/>
    <n v="-2944.7999999999993"/>
    <n v="-883.43999999999971"/>
    <n v="-2061.3599999999997"/>
    <n v="-0.10104705882352939"/>
  </r>
  <r>
    <x v="9"/>
    <x v="1"/>
    <s v="June 2014"/>
    <n v="1"/>
    <x v="4"/>
    <x v="3"/>
    <x v="1"/>
    <s v="Worst"/>
    <n v="1200"/>
    <n v="17"/>
    <n v="0.1"/>
    <n v="0.18"/>
    <n v="18000"/>
    <n v="0.3"/>
    <n v="20400"/>
    <n v="18360"/>
    <n v="3304.7999999999997"/>
    <n v="21304.799999999999"/>
    <n v="-2944.7999999999993"/>
    <n v="-883.43999999999971"/>
    <n v="-2061.3599999999997"/>
    <n v="-0.10104705882352939"/>
  </r>
  <r>
    <x v="9"/>
    <x v="1"/>
    <s v="June 2014"/>
    <n v="1"/>
    <x v="4"/>
    <x v="3"/>
    <x v="2"/>
    <s v="Worst"/>
    <n v="1200"/>
    <n v="17"/>
    <n v="0.1"/>
    <n v="0.18"/>
    <n v="18000"/>
    <n v="0.3"/>
    <n v="20400"/>
    <n v="18360"/>
    <n v="3304.7999999999997"/>
    <n v="21304.799999999999"/>
    <n v="-2944.7999999999993"/>
    <n v="-883.43999999999971"/>
    <n v="-2061.3599999999997"/>
    <n v="-0.10104705882352939"/>
  </r>
  <r>
    <x v="9"/>
    <x v="1"/>
    <s v="June 2014"/>
    <n v="1"/>
    <x v="4"/>
    <x v="3"/>
    <x v="3"/>
    <s v="Worst"/>
    <n v="1200"/>
    <n v="17"/>
    <n v="0.1"/>
    <n v="0.18"/>
    <n v="18000"/>
    <n v="0.3"/>
    <n v="20400"/>
    <n v="18360"/>
    <n v="3304.7999999999997"/>
    <n v="21304.799999999999"/>
    <n v="-2944.7999999999993"/>
    <n v="-883.43999999999971"/>
    <n v="-2061.3599999999997"/>
    <n v="-0.10104705882352939"/>
  </r>
  <r>
    <x v="9"/>
    <x v="1"/>
    <s v="June 2014"/>
    <n v="1"/>
    <x v="4"/>
    <x v="3"/>
    <x v="4"/>
    <s v="Worst"/>
    <n v="1200"/>
    <n v="17"/>
    <n v="0.1"/>
    <n v="0.18"/>
    <n v="18000"/>
    <n v="0.3"/>
    <n v="20400"/>
    <n v="18360"/>
    <n v="3304.7999999999997"/>
    <n v="21304.799999999999"/>
    <n v="-2944.7999999999993"/>
    <n v="-883.43999999999971"/>
    <n v="-2061.3599999999997"/>
    <n v="-0.10104705882352939"/>
  </r>
  <r>
    <x v="9"/>
    <x v="1"/>
    <s v="June 2014"/>
    <n v="1"/>
    <x v="4"/>
    <x v="4"/>
    <x v="0"/>
    <s v="Worst"/>
    <n v="1200"/>
    <n v="17"/>
    <n v="0.1"/>
    <n v="0.18"/>
    <n v="18000"/>
    <n v="0.3"/>
    <n v="20400"/>
    <n v="18360"/>
    <n v="3304.7999999999997"/>
    <n v="21304.799999999999"/>
    <n v="-2944.7999999999993"/>
    <n v="-883.43999999999971"/>
    <n v="-2061.3599999999997"/>
    <n v="-0.10104705882352939"/>
  </r>
  <r>
    <x v="9"/>
    <x v="1"/>
    <s v="June 2014"/>
    <n v="1"/>
    <x v="4"/>
    <x v="4"/>
    <x v="1"/>
    <s v="Worst"/>
    <n v="1200"/>
    <n v="17"/>
    <n v="0.1"/>
    <n v="0.18"/>
    <n v="18000"/>
    <n v="0.3"/>
    <n v="20400"/>
    <n v="18360"/>
    <n v="3304.7999999999997"/>
    <n v="21304.799999999999"/>
    <n v="-2944.7999999999993"/>
    <n v="-883.43999999999971"/>
    <n v="-2061.3599999999997"/>
    <n v="-0.10104705882352939"/>
  </r>
  <r>
    <x v="9"/>
    <x v="1"/>
    <s v="June 2014"/>
    <n v="1"/>
    <x v="4"/>
    <x v="4"/>
    <x v="2"/>
    <s v="Worst"/>
    <n v="1200"/>
    <n v="17"/>
    <n v="0.1"/>
    <n v="0.18"/>
    <n v="18000"/>
    <n v="0.3"/>
    <n v="20400"/>
    <n v="18360"/>
    <n v="3304.7999999999997"/>
    <n v="21304.799999999999"/>
    <n v="-2944.7999999999993"/>
    <n v="-883.43999999999971"/>
    <n v="-2061.3599999999997"/>
    <n v="-0.10104705882352939"/>
  </r>
  <r>
    <x v="9"/>
    <x v="1"/>
    <s v="June 2014"/>
    <n v="1"/>
    <x v="4"/>
    <x v="4"/>
    <x v="3"/>
    <s v="Worst"/>
    <n v="1200"/>
    <n v="17"/>
    <n v="0.1"/>
    <n v="0.18"/>
    <n v="18000"/>
    <n v="0.3"/>
    <n v="20400"/>
    <n v="18360"/>
    <n v="3304.7999999999997"/>
    <n v="21304.799999999999"/>
    <n v="-2944.7999999999993"/>
    <n v="-883.43999999999971"/>
    <n v="-2061.3599999999997"/>
    <n v="-0.10104705882352939"/>
  </r>
  <r>
    <x v="9"/>
    <x v="1"/>
    <s v="June 2014"/>
    <n v="1"/>
    <x v="4"/>
    <x v="4"/>
    <x v="4"/>
    <s v="Worst"/>
    <n v="1200"/>
    <n v="17"/>
    <n v="0.1"/>
    <n v="0.18"/>
    <n v="18000"/>
    <n v="0.3"/>
    <n v="20400"/>
    <n v="18360"/>
    <n v="3304.7999999999997"/>
    <n v="21304.799999999999"/>
    <n v="-2944.7999999999993"/>
    <n v="-883.43999999999971"/>
    <n v="-2061.3599999999997"/>
    <n v="-0.10104705882352939"/>
  </r>
  <r>
    <x v="10"/>
    <x v="1"/>
    <s v="July 2014"/>
    <n v="1"/>
    <x v="0"/>
    <x v="0"/>
    <x v="0"/>
    <s v="Worst"/>
    <n v="1200"/>
    <n v="17"/>
    <n v="0.1"/>
    <n v="0.18"/>
    <n v="18000"/>
    <n v="0.3"/>
    <n v="20400"/>
    <n v="18360"/>
    <n v="3304.7999999999997"/>
    <n v="21304.799999999999"/>
    <n v="-2944.7999999999993"/>
    <n v="-883.43999999999971"/>
    <n v="-2061.3599999999997"/>
    <n v="-0.10104705882352939"/>
  </r>
  <r>
    <x v="10"/>
    <x v="1"/>
    <s v="July 2014"/>
    <n v="1"/>
    <x v="0"/>
    <x v="0"/>
    <x v="1"/>
    <s v="Worst"/>
    <n v="1200"/>
    <n v="17"/>
    <n v="0.1"/>
    <n v="0.18"/>
    <n v="18000"/>
    <n v="0.3"/>
    <n v="20400"/>
    <n v="18360"/>
    <n v="3304.7999999999997"/>
    <n v="21304.799999999999"/>
    <n v="-2944.7999999999993"/>
    <n v="-883.43999999999971"/>
    <n v="-2061.3599999999997"/>
    <n v="-0.10104705882352939"/>
  </r>
  <r>
    <x v="10"/>
    <x v="1"/>
    <s v="July 2014"/>
    <n v="1"/>
    <x v="0"/>
    <x v="0"/>
    <x v="2"/>
    <s v="Worst"/>
    <n v="1200"/>
    <n v="17"/>
    <n v="0.1"/>
    <n v="0.18"/>
    <n v="18000"/>
    <n v="0.3"/>
    <n v="20400"/>
    <n v="18360"/>
    <n v="3304.7999999999997"/>
    <n v="21304.799999999999"/>
    <n v="-2944.7999999999993"/>
    <n v="-883.43999999999971"/>
    <n v="-2061.3599999999997"/>
    <n v="-0.10104705882352939"/>
  </r>
  <r>
    <x v="10"/>
    <x v="1"/>
    <s v="July 2014"/>
    <n v="1"/>
    <x v="0"/>
    <x v="0"/>
    <x v="3"/>
    <s v="Worst"/>
    <n v="1200"/>
    <n v="17"/>
    <n v="0.1"/>
    <n v="0.18"/>
    <n v="18000"/>
    <n v="0.3"/>
    <n v="20400"/>
    <n v="18360"/>
    <n v="3304.7999999999997"/>
    <n v="21304.799999999999"/>
    <n v="-2944.7999999999993"/>
    <n v="-883.43999999999971"/>
    <n v="-2061.3599999999997"/>
    <n v="-0.10104705882352939"/>
  </r>
  <r>
    <x v="10"/>
    <x v="1"/>
    <s v="July 2014"/>
    <n v="1"/>
    <x v="0"/>
    <x v="0"/>
    <x v="4"/>
    <s v="Worst"/>
    <n v="1200"/>
    <n v="17"/>
    <n v="0.1"/>
    <n v="0.18"/>
    <n v="18000"/>
    <n v="0.3"/>
    <n v="20400"/>
    <n v="18360"/>
    <n v="3304.7999999999997"/>
    <n v="21304.799999999999"/>
    <n v="-2944.7999999999993"/>
    <n v="-883.43999999999971"/>
    <n v="-2061.3599999999997"/>
    <n v="-0.10104705882352939"/>
  </r>
  <r>
    <x v="10"/>
    <x v="1"/>
    <s v="July 2014"/>
    <n v="1"/>
    <x v="0"/>
    <x v="1"/>
    <x v="0"/>
    <s v="Worst"/>
    <n v="1200"/>
    <n v="17"/>
    <n v="0.1"/>
    <n v="0.18"/>
    <n v="18000"/>
    <n v="0.3"/>
    <n v="20400"/>
    <n v="18360"/>
    <n v="3304.7999999999997"/>
    <n v="21304.799999999999"/>
    <n v="-2944.7999999999993"/>
    <n v="-883.43999999999971"/>
    <n v="-2061.3599999999997"/>
    <n v="-0.10104705882352939"/>
  </r>
  <r>
    <x v="10"/>
    <x v="1"/>
    <s v="July 2014"/>
    <n v="1"/>
    <x v="0"/>
    <x v="1"/>
    <x v="1"/>
    <s v="Worst"/>
    <n v="1200"/>
    <n v="17"/>
    <n v="0.1"/>
    <n v="0.18"/>
    <n v="18000"/>
    <n v="0.3"/>
    <n v="20400"/>
    <n v="18360"/>
    <n v="3304.7999999999997"/>
    <n v="21304.799999999999"/>
    <n v="-2944.7999999999993"/>
    <n v="-883.43999999999971"/>
    <n v="-2061.3599999999997"/>
    <n v="-0.10104705882352939"/>
  </r>
  <r>
    <x v="10"/>
    <x v="1"/>
    <s v="July 2014"/>
    <n v="1"/>
    <x v="0"/>
    <x v="1"/>
    <x v="2"/>
    <s v="Worst"/>
    <n v="1200"/>
    <n v="17"/>
    <n v="0.1"/>
    <n v="0.18"/>
    <n v="18000"/>
    <n v="0.3"/>
    <n v="20400"/>
    <n v="18360"/>
    <n v="3304.7999999999997"/>
    <n v="21304.799999999999"/>
    <n v="-2944.7999999999993"/>
    <n v="-883.43999999999971"/>
    <n v="-2061.3599999999997"/>
    <n v="-0.10104705882352939"/>
  </r>
  <r>
    <x v="10"/>
    <x v="1"/>
    <s v="July 2014"/>
    <n v="1"/>
    <x v="0"/>
    <x v="1"/>
    <x v="3"/>
    <s v="Worst"/>
    <n v="1200"/>
    <n v="17"/>
    <n v="0.1"/>
    <n v="0.18"/>
    <n v="18000"/>
    <n v="0.3"/>
    <n v="20400"/>
    <n v="18360"/>
    <n v="3304.7999999999997"/>
    <n v="21304.799999999999"/>
    <n v="-2944.7999999999993"/>
    <n v="-883.43999999999971"/>
    <n v="-2061.3599999999997"/>
    <n v="-0.10104705882352939"/>
  </r>
  <r>
    <x v="10"/>
    <x v="1"/>
    <s v="July 2014"/>
    <n v="1"/>
    <x v="0"/>
    <x v="1"/>
    <x v="4"/>
    <s v="Worst"/>
    <n v="1200"/>
    <n v="17"/>
    <n v="0.1"/>
    <n v="0.18"/>
    <n v="18000"/>
    <n v="0.3"/>
    <n v="20400"/>
    <n v="18360"/>
    <n v="3304.7999999999997"/>
    <n v="21304.799999999999"/>
    <n v="-2944.7999999999993"/>
    <n v="-883.43999999999971"/>
    <n v="-2061.3599999999997"/>
    <n v="-0.10104705882352939"/>
  </r>
  <r>
    <x v="10"/>
    <x v="1"/>
    <s v="July 2014"/>
    <n v="1"/>
    <x v="0"/>
    <x v="2"/>
    <x v="0"/>
    <s v="Worst"/>
    <n v="1200"/>
    <n v="17"/>
    <n v="0.1"/>
    <n v="0.18"/>
    <n v="18000"/>
    <n v="0.3"/>
    <n v="20400"/>
    <n v="18360"/>
    <n v="3304.7999999999997"/>
    <n v="21304.799999999999"/>
    <n v="-2944.7999999999993"/>
    <n v="-883.43999999999971"/>
    <n v="-2061.3599999999997"/>
    <n v="-0.10104705882352939"/>
  </r>
  <r>
    <x v="10"/>
    <x v="1"/>
    <s v="July 2014"/>
    <n v="1"/>
    <x v="0"/>
    <x v="2"/>
    <x v="1"/>
    <s v="Worst"/>
    <n v="1200"/>
    <n v="17"/>
    <n v="0.1"/>
    <n v="0.18"/>
    <n v="18000"/>
    <n v="0.3"/>
    <n v="20400"/>
    <n v="18360"/>
    <n v="3304.7999999999997"/>
    <n v="21304.799999999999"/>
    <n v="-2944.7999999999993"/>
    <n v="-883.43999999999971"/>
    <n v="-2061.3599999999997"/>
    <n v="-0.10104705882352939"/>
  </r>
  <r>
    <x v="10"/>
    <x v="1"/>
    <s v="July 2014"/>
    <n v="1"/>
    <x v="0"/>
    <x v="2"/>
    <x v="2"/>
    <s v="Worst"/>
    <n v="1200"/>
    <n v="17"/>
    <n v="0.1"/>
    <n v="0.18"/>
    <n v="18000"/>
    <n v="0.3"/>
    <n v="20400"/>
    <n v="18360"/>
    <n v="3304.7999999999997"/>
    <n v="21304.799999999999"/>
    <n v="-2944.7999999999993"/>
    <n v="-883.43999999999971"/>
    <n v="-2061.3599999999997"/>
    <n v="-0.10104705882352939"/>
  </r>
  <r>
    <x v="10"/>
    <x v="1"/>
    <s v="July 2014"/>
    <n v="1"/>
    <x v="0"/>
    <x v="2"/>
    <x v="3"/>
    <s v="Worst"/>
    <n v="1200"/>
    <n v="17"/>
    <n v="0.1"/>
    <n v="0.18"/>
    <n v="18000"/>
    <n v="0.3"/>
    <n v="20400"/>
    <n v="18360"/>
    <n v="3304.7999999999997"/>
    <n v="21304.799999999999"/>
    <n v="-2944.7999999999993"/>
    <n v="-883.43999999999971"/>
    <n v="-2061.3599999999997"/>
    <n v="-0.10104705882352939"/>
  </r>
  <r>
    <x v="10"/>
    <x v="1"/>
    <s v="July 2014"/>
    <n v="1"/>
    <x v="0"/>
    <x v="2"/>
    <x v="4"/>
    <s v="Worst"/>
    <n v="1200"/>
    <n v="17"/>
    <n v="0.1"/>
    <n v="0.18"/>
    <n v="18000"/>
    <n v="0.3"/>
    <n v="20400"/>
    <n v="18360"/>
    <n v="3304.7999999999997"/>
    <n v="21304.799999999999"/>
    <n v="-2944.7999999999993"/>
    <n v="-883.43999999999971"/>
    <n v="-2061.3599999999997"/>
    <n v="-0.10104705882352939"/>
  </r>
  <r>
    <x v="10"/>
    <x v="1"/>
    <s v="July 2014"/>
    <n v="1"/>
    <x v="0"/>
    <x v="3"/>
    <x v="0"/>
    <s v="Worst"/>
    <n v="1200"/>
    <n v="17"/>
    <n v="0.1"/>
    <n v="0.18"/>
    <n v="18000"/>
    <n v="0.3"/>
    <n v="20400"/>
    <n v="18360"/>
    <n v="3304.7999999999997"/>
    <n v="21304.799999999999"/>
    <n v="-2944.7999999999993"/>
    <n v="-883.43999999999971"/>
    <n v="-2061.3599999999997"/>
    <n v="-0.10104705882352939"/>
  </r>
  <r>
    <x v="10"/>
    <x v="1"/>
    <s v="July 2014"/>
    <n v="1"/>
    <x v="0"/>
    <x v="3"/>
    <x v="1"/>
    <s v="Worst"/>
    <n v="1200"/>
    <n v="17"/>
    <n v="0.1"/>
    <n v="0.18"/>
    <n v="18000"/>
    <n v="0.3"/>
    <n v="20400"/>
    <n v="18360"/>
    <n v="3304.7999999999997"/>
    <n v="21304.799999999999"/>
    <n v="-2944.7999999999993"/>
    <n v="-883.43999999999971"/>
    <n v="-2061.3599999999997"/>
    <n v="-0.10104705882352939"/>
  </r>
  <r>
    <x v="10"/>
    <x v="1"/>
    <s v="July 2014"/>
    <n v="1"/>
    <x v="0"/>
    <x v="3"/>
    <x v="2"/>
    <s v="Worst"/>
    <n v="1200"/>
    <n v="17"/>
    <n v="0.1"/>
    <n v="0.18"/>
    <n v="18000"/>
    <n v="0.3"/>
    <n v="20400"/>
    <n v="18360"/>
    <n v="3304.7999999999997"/>
    <n v="21304.799999999999"/>
    <n v="-2944.7999999999993"/>
    <n v="-883.43999999999971"/>
    <n v="-2061.3599999999997"/>
    <n v="-0.10104705882352939"/>
  </r>
  <r>
    <x v="10"/>
    <x v="1"/>
    <s v="July 2014"/>
    <n v="1"/>
    <x v="0"/>
    <x v="3"/>
    <x v="3"/>
    <s v="Worst"/>
    <n v="1200"/>
    <n v="17"/>
    <n v="0.1"/>
    <n v="0.18"/>
    <n v="18000"/>
    <n v="0.3"/>
    <n v="20400"/>
    <n v="18360"/>
    <n v="3304.7999999999997"/>
    <n v="21304.799999999999"/>
    <n v="-2944.7999999999993"/>
    <n v="-883.43999999999971"/>
    <n v="-2061.3599999999997"/>
    <n v="-0.10104705882352939"/>
  </r>
  <r>
    <x v="10"/>
    <x v="1"/>
    <s v="July 2014"/>
    <n v="1"/>
    <x v="0"/>
    <x v="3"/>
    <x v="4"/>
    <s v="Worst"/>
    <n v="1200"/>
    <n v="17"/>
    <n v="0.1"/>
    <n v="0.18"/>
    <n v="18000"/>
    <n v="0.3"/>
    <n v="20400"/>
    <n v="18360"/>
    <n v="3304.7999999999997"/>
    <n v="21304.799999999999"/>
    <n v="-2944.7999999999993"/>
    <n v="-883.43999999999971"/>
    <n v="-2061.3599999999997"/>
    <n v="-0.10104705882352939"/>
  </r>
  <r>
    <x v="10"/>
    <x v="1"/>
    <s v="July 2014"/>
    <n v="1"/>
    <x v="0"/>
    <x v="4"/>
    <x v="0"/>
    <s v="Worst"/>
    <n v="1200"/>
    <n v="17"/>
    <n v="0.1"/>
    <n v="0.18"/>
    <n v="18000"/>
    <n v="0.3"/>
    <n v="20400"/>
    <n v="18360"/>
    <n v="3304.7999999999997"/>
    <n v="21304.799999999999"/>
    <n v="-2944.7999999999993"/>
    <n v="-883.43999999999971"/>
    <n v="-2061.3599999999997"/>
    <n v="-0.10104705882352939"/>
  </r>
  <r>
    <x v="10"/>
    <x v="1"/>
    <s v="July 2014"/>
    <n v="1"/>
    <x v="0"/>
    <x v="4"/>
    <x v="1"/>
    <s v="Worst"/>
    <n v="1200"/>
    <n v="17"/>
    <n v="0.1"/>
    <n v="0.18"/>
    <n v="18000"/>
    <n v="0.3"/>
    <n v="20400"/>
    <n v="18360"/>
    <n v="3304.7999999999997"/>
    <n v="21304.799999999999"/>
    <n v="-2944.7999999999993"/>
    <n v="-883.43999999999971"/>
    <n v="-2061.3599999999997"/>
    <n v="-0.10104705882352939"/>
  </r>
  <r>
    <x v="10"/>
    <x v="1"/>
    <s v="July 2014"/>
    <n v="1"/>
    <x v="0"/>
    <x v="4"/>
    <x v="2"/>
    <s v="Worst"/>
    <n v="1200"/>
    <n v="17"/>
    <n v="0.1"/>
    <n v="0.18"/>
    <n v="18000"/>
    <n v="0.3"/>
    <n v="20400"/>
    <n v="18360"/>
    <n v="3304.7999999999997"/>
    <n v="21304.799999999999"/>
    <n v="-2944.7999999999993"/>
    <n v="-883.43999999999971"/>
    <n v="-2061.3599999999997"/>
    <n v="-0.10104705882352939"/>
  </r>
  <r>
    <x v="10"/>
    <x v="1"/>
    <s v="July 2014"/>
    <n v="1"/>
    <x v="0"/>
    <x v="4"/>
    <x v="3"/>
    <s v="Worst"/>
    <n v="1200"/>
    <n v="17"/>
    <n v="0.1"/>
    <n v="0.18"/>
    <n v="18000"/>
    <n v="0.3"/>
    <n v="20400"/>
    <n v="18360"/>
    <n v="3304.7999999999997"/>
    <n v="21304.799999999999"/>
    <n v="-2944.7999999999993"/>
    <n v="-883.43999999999971"/>
    <n v="-2061.3599999999997"/>
    <n v="-0.10104705882352939"/>
  </r>
  <r>
    <x v="10"/>
    <x v="1"/>
    <s v="July 2014"/>
    <n v="1"/>
    <x v="0"/>
    <x v="4"/>
    <x v="4"/>
    <s v="Worst"/>
    <n v="1200"/>
    <n v="17"/>
    <n v="0.1"/>
    <n v="0.18"/>
    <n v="18000"/>
    <n v="0.3"/>
    <n v="20400"/>
    <n v="18360"/>
    <n v="3304.7999999999997"/>
    <n v="21304.799999999999"/>
    <n v="-2944.7999999999993"/>
    <n v="-883.43999999999971"/>
    <n v="-2061.3599999999997"/>
    <n v="-0.10104705882352939"/>
  </r>
  <r>
    <x v="10"/>
    <x v="1"/>
    <s v="July 2014"/>
    <n v="1"/>
    <x v="1"/>
    <x v="0"/>
    <x v="0"/>
    <s v="Worst"/>
    <n v="1200"/>
    <n v="17"/>
    <n v="0.1"/>
    <n v="0.18"/>
    <n v="18000"/>
    <n v="0.3"/>
    <n v="20400"/>
    <n v="18360"/>
    <n v="3304.7999999999997"/>
    <n v="21304.799999999999"/>
    <n v="-2944.7999999999993"/>
    <n v="-883.43999999999971"/>
    <n v="-2061.3599999999997"/>
    <n v="-0.10104705882352939"/>
  </r>
  <r>
    <x v="10"/>
    <x v="1"/>
    <s v="July 2014"/>
    <n v="1"/>
    <x v="1"/>
    <x v="0"/>
    <x v="1"/>
    <s v="Worst"/>
    <n v="1200"/>
    <n v="17"/>
    <n v="0.1"/>
    <n v="0.18"/>
    <n v="18000"/>
    <n v="0.3"/>
    <n v="20400"/>
    <n v="18360"/>
    <n v="3304.7999999999997"/>
    <n v="21304.799999999999"/>
    <n v="-2944.7999999999993"/>
    <n v="-883.43999999999971"/>
    <n v="-2061.3599999999997"/>
    <n v="-0.10104705882352939"/>
  </r>
  <r>
    <x v="10"/>
    <x v="1"/>
    <s v="July 2014"/>
    <n v="1"/>
    <x v="1"/>
    <x v="0"/>
    <x v="2"/>
    <s v="Worst"/>
    <n v="1200"/>
    <n v="17"/>
    <n v="0.1"/>
    <n v="0.18"/>
    <n v="18000"/>
    <n v="0.3"/>
    <n v="20400"/>
    <n v="18360"/>
    <n v="3304.7999999999997"/>
    <n v="21304.799999999999"/>
    <n v="-2944.7999999999993"/>
    <n v="-883.43999999999971"/>
    <n v="-2061.3599999999997"/>
    <n v="-0.10104705882352939"/>
  </r>
  <r>
    <x v="10"/>
    <x v="1"/>
    <s v="July 2014"/>
    <n v="1"/>
    <x v="1"/>
    <x v="0"/>
    <x v="3"/>
    <s v="Worst"/>
    <n v="1200"/>
    <n v="17"/>
    <n v="0.1"/>
    <n v="0.18"/>
    <n v="18000"/>
    <n v="0.3"/>
    <n v="20400"/>
    <n v="18360"/>
    <n v="3304.7999999999997"/>
    <n v="21304.799999999999"/>
    <n v="-2944.7999999999993"/>
    <n v="-883.43999999999971"/>
    <n v="-2061.3599999999997"/>
    <n v="-0.10104705882352939"/>
  </r>
  <r>
    <x v="10"/>
    <x v="1"/>
    <s v="July 2014"/>
    <n v="1"/>
    <x v="1"/>
    <x v="0"/>
    <x v="4"/>
    <s v="Worst"/>
    <n v="1200"/>
    <n v="17"/>
    <n v="0.1"/>
    <n v="0.18"/>
    <n v="18000"/>
    <n v="0.3"/>
    <n v="20400"/>
    <n v="18360"/>
    <n v="3304.7999999999997"/>
    <n v="21304.799999999999"/>
    <n v="-2944.7999999999993"/>
    <n v="-883.43999999999971"/>
    <n v="-2061.3599999999997"/>
    <n v="-0.10104705882352939"/>
  </r>
  <r>
    <x v="10"/>
    <x v="1"/>
    <s v="July 2014"/>
    <n v="1"/>
    <x v="1"/>
    <x v="1"/>
    <x v="0"/>
    <s v="Worst"/>
    <n v="1200"/>
    <n v="17"/>
    <n v="0.1"/>
    <n v="0.18"/>
    <n v="18000"/>
    <n v="0.3"/>
    <n v="20400"/>
    <n v="18360"/>
    <n v="3304.7999999999997"/>
    <n v="21304.799999999999"/>
    <n v="-2944.7999999999993"/>
    <n v="-883.43999999999971"/>
    <n v="-2061.3599999999997"/>
    <n v="-0.10104705882352939"/>
  </r>
  <r>
    <x v="10"/>
    <x v="1"/>
    <s v="July 2014"/>
    <n v="1"/>
    <x v="1"/>
    <x v="1"/>
    <x v="1"/>
    <s v="Worst"/>
    <n v="1200"/>
    <n v="17"/>
    <n v="0.1"/>
    <n v="0.18"/>
    <n v="18000"/>
    <n v="0.3"/>
    <n v="20400"/>
    <n v="18360"/>
    <n v="3304.7999999999997"/>
    <n v="21304.799999999999"/>
    <n v="-2944.7999999999993"/>
    <n v="-883.43999999999971"/>
    <n v="-2061.3599999999997"/>
    <n v="-0.10104705882352939"/>
  </r>
  <r>
    <x v="10"/>
    <x v="1"/>
    <s v="July 2014"/>
    <n v="1"/>
    <x v="1"/>
    <x v="1"/>
    <x v="2"/>
    <s v="Worst"/>
    <n v="1200"/>
    <n v="17"/>
    <n v="0.1"/>
    <n v="0.18"/>
    <n v="18000"/>
    <n v="0.3"/>
    <n v="20400"/>
    <n v="18360"/>
    <n v="3304.7999999999997"/>
    <n v="21304.799999999999"/>
    <n v="-2944.7999999999993"/>
    <n v="-883.43999999999971"/>
    <n v="-2061.3599999999997"/>
    <n v="-0.10104705882352939"/>
  </r>
  <r>
    <x v="10"/>
    <x v="1"/>
    <s v="July 2014"/>
    <n v="1"/>
    <x v="1"/>
    <x v="1"/>
    <x v="3"/>
    <s v="Worst"/>
    <n v="1200"/>
    <n v="17"/>
    <n v="0.1"/>
    <n v="0.18"/>
    <n v="18000"/>
    <n v="0.3"/>
    <n v="20400"/>
    <n v="18360"/>
    <n v="3304.7999999999997"/>
    <n v="21304.799999999999"/>
    <n v="-2944.7999999999993"/>
    <n v="-883.43999999999971"/>
    <n v="-2061.3599999999997"/>
    <n v="-0.10104705882352939"/>
  </r>
  <r>
    <x v="10"/>
    <x v="1"/>
    <s v="July 2014"/>
    <n v="1"/>
    <x v="1"/>
    <x v="1"/>
    <x v="4"/>
    <s v="Worst"/>
    <n v="1200"/>
    <n v="17"/>
    <n v="0.1"/>
    <n v="0.18"/>
    <n v="18000"/>
    <n v="0.3"/>
    <n v="20400"/>
    <n v="18360"/>
    <n v="3304.7999999999997"/>
    <n v="21304.799999999999"/>
    <n v="-2944.7999999999993"/>
    <n v="-883.43999999999971"/>
    <n v="-2061.3599999999997"/>
    <n v="-0.10104705882352939"/>
  </r>
  <r>
    <x v="10"/>
    <x v="1"/>
    <s v="July 2014"/>
    <n v="1"/>
    <x v="1"/>
    <x v="2"/>
    <x v="0"/>
    <s v="Worst"/>
    <n v="1200"/>
    <n v="17"/>
    <n v="0.1"/>
    <n v="0.18"/>
    <n v="18000"/>
    <n v="0.3"/>
    <n v="20400"/>
    <n v="18360"/>
    <n v="3304.7999999999997"/>
    <n v="21304.799999999999"/>
    <n v="-2944.7999999999993"/>
    <n v="-883.43999999999971"/>
    <n v="-2061.3599999999997"/>
    <n v="-0.10104705882352939"/>
  </r>
  <r>
    <x v="10"/>
    <x v="1"/>
    <s v="July 2014"/>
    <n v="1"/>
    <x v="1"/>
    <x v="2"/>
    <x v="1"/>
    <s v="Worst"/>
    <n v="1200"/>
    <n v="17"/>
    <n v="0.1"/>
    <n v="0.18"/>
    <n v="18000"/>
    <n v="0.3"/>
    <n v="20400"/>
    <n v="18360"/>
    <n v="3304.7999999999997"/>
    <n v="21304.799999999999"/>
    <n v="-2944.7999999999993"/>
    <n v="-883.43999999999971"/>
    <n v="-2061.3599999999997"/>
    <n v="-0.10104705882352939"/>
  </r>
  <r>
    <x v="10"/>
    <x v="1"/>
    <s v="July 2014"/>
    <n v="1"/>
    <x v="1"/>
    <x v="2"/>
    <x v="2"/>
    <s v="Worst"/>
    <n v="1200"/>
    <n v="17"/>
    <n v="0.1"/>
    <n v="0.18"/>
    <n v="18000"/>
    <n v="0.3"/>
    <n v="20400"/>
    <n v="18360"/>
    <n v="3304.7999999999997"/>
    <n v="21304.799999999999"/>
    <n v="-2944.7999999999993"/>
    <n v="-883.43999999999971"/>
    <n v="-2061.3599999999997"/>
    <n v="-0.10104705882352939"/>
  </r>
  <r>
    <x v="10"/>
    <x v="1"/>
    <s v="July 2014"/>
    <n v="1"/>
    <x v="1"/>
    <x v="2"/>
    <x v="3"/>
    <s v="Worst"/>
    <n v="1200"/>
    <n v="17"/>
    <n v="0.1"/>
    <n v="0.18"/>
    <n v="18000"/>
    <n v="0.3"/>
    <n v="20400"/>
    <n v="18360"/>
    <n v="3304.7999999999997"/>
    <n v="21304.799999999999"/>
    <n v="-2944.7999999999993"/>
    <n v="-883.43999999999971"/>
    <n v="-2061.3599999999997"/>
    <n v="-0.10104705882352939"/>
  </r>
  <r>
    <x v="10"/>
    <x v="1"/>
    <s v="July 2014"/>
    <n v="1"/>
    <x v="1"/>
    <x v="2"/>
    <x v="4"/>
    <s v="Worst"/>
    <n v="1200"/>
    <n v="17"/>
    <n v="0.1"/>
    <n v="0.18"/>
    <n v="18000"/>
    <n v="0.3"/>
    <n v="20400"/>
    <n v="18360"/>
    <n v="3304.7999999999997"/>
    <n v="21304.799999999999"/>
    <n v="-2944.7999999999993"/>
    <n v="-883.43999999999971"/>
    <n v="-2061.3599999999997"/>
    <n v="-0.10104705882352939"/>
  </r>
  <r>
    <x v="10"/>
    <x v="1"/>
    <s v="July 2014"/>
    <n v="1"/>
    <x v="1"/>
    <x v="3"/>
    <x v="0"/>
    <s v="Worst"/>
    <n v="1200"/>
    <n v="17"/>
    <n v="0.1"/>
    <n v="0.18"/>
    <n v="18000"/>
    <n v="0.3"/>
    <n v="20400"/>
    <n v="18360"/>
    <n v="3304.7999999999997"/>
    <n v="21304.799999999999"/>
    <n v="-2944.7999999999993"/>
    <n v="-883.43999999999971"/>
    <n v="-2061.3599999999997"/>
    <n v="-0.10104705882352939"/>
  </r>
  <r>
    <x v="10"/>
    <x v="1"/>
    <s v="July 2014"/>
    <n v="1"/>
    <x v="1"/>
    <x v="3"/>
    <x v="1"/>
    <s v="Worst"/>
    <n v="1200"/>
    <n v="17"/>
    <n v="0.1"/>
    <n v="0.18"/>
    <n v="18000"/>
    <n v="0.3"/>
    <n v="20400"/>
    <n v="18360"/>
    <n v="3304.7999999999997"/>
    <n v="21304.799999999999"/>
    <n v="-2944.7999999999993"/>
    <n v="-883.43999999999971"/>
    <n v="-2061.3599999999997"/>
    <n v="-0.10104705882352939"/>
  </r>
  <r>
    <x v="10"/>
    <x v="1"/>
    <s v="July 2014"/>
    <n v="1"/>
    <x v="1"/>
    <x v="3"/>
    <x v="2"/>
    <s v="Worst"/>
    <n v="1200"/>
    <n v="17"/>
    <n v="0.1"/>
    <n v="0.18"/>
    <n v="18000"/>
    <n v="0.3"/>
    <n v="20400"/>
    <n v="18360"/>
    <n v="3304.7999999999997"/>
    <n v="21304.799999999999"/>
    <n v="-2944.7999999999993"/>
    <n v="-883.43999999999971"/>
    <n v="-2061.3599999999997"/>
    <n v="-0.10104705882352939"/>
  </r>
  <r>
    <x v="10"/>
    <x v="1"/>
    <s v="July 2014"/>
    <n v="1"/>
    <x v="1"/>
    <x v="3"/>
    <x v="3"/>
    <s v="Worst"/>
    <n v="1200"/>
    <n v="17"/>
    <n v="0.1"/>
    <n v="0.18"/>
    <n v="18000"/>
    <n v="0.3"/>
    <n v="20400"/>
    <n v="18360"/>
    <n v="3304.7999999999997"/>
    <n v="21304.799999999999"/>
    <n v="-2944.7999999999993"/>
    <n v="-883.43999999999971"/>
    <n v="-2061.3599999999997"/>
    <n v="-0.10104705882352939"/>
  </r>
  <r>
    <x v="10"/>
    <x v="1"/>
    <s v="July 2014"/>
    <n v="1"/>
    <x v="1"/>
    <x v="3"/>
    <x v="4"/>
    <s v="Worst"/>
    <n v="1200"/>
    <n v="17"/>
    <n v="0.1"/>
    <n v="0.18"/>
    <n v="18000"/>
    <n v="0.3"/>
    <n v="20400"/>
    <n v="18360"/>
    <n v="3304.7999999999997"/>
    <n v="21304.799999999999"/>
    <n v="-2944.7999999999993"/>
    <n v="-883.43999999999971"/>
    <n v="-2061.3599999999997"/>
    <n v="-0.10104705882352939"/>
  </r>
  <r>
    <x v="10"/>
    <x v="1"/>
    <s v="July 2014"/>
    <n v="1"/>
    <x v="1"/>
    <x v="4"/>
    <x v="0"/>
    <s v="Worst"/>
    <n v="1200"/>
    <n v="17"/>
    <n v="0.1"/>
    <n v="0.18"/>
    <n v="18000"/>
    <n v="0.3"/>
    <n v="20400"/>
    <n v="18360"/>
    <n v="3304.7999999999997"/>
    <n v="21304.799999999999"/>
    <n v="-2944.7999999999993"/>
    <n v="-883.43999999999971"/>
    <n v="-2061.3599999999997"/>
    <n v="-0.10104705882352939"/>
  </r>
  <r>
    <x v="10"/>
    <x v="1"/>
    <s v="July 2014"/>
    <n v="1"/>
    <x v="1"/>
    <x v="4"/>
    <x v="1"/>
    <s v="Worst"/>
    <n v="1200"/>
    <n v="17"/>
    <n v="0.1"/>
    <n v="0.18"/>
    <n v="18000"/>
    <n v="0.3"/>
    <n v="20400"/>
    <n v="18360"/>
    <n v="3304.7999999999997"/>
    <n v="21304.799999999999"/>
    <n v="-2944.7999999999993"/>
    <n v="-883.43999999999971"/>
    <n v="-2061.3599999999997"/>
    <n v="-0.10104705882352939"/>
  </r>
  <r>
    <x v="10"/>
    <x v="1"/>
    <s v="July 2014"/>
    <n v="1"/>
    <x v="1"/>
    <x v="4"/>
    <x v="2"/>
    <s v="Worst"/>
    <n v="1200"/>
    <n v="17"/>
    <n v="0.1"/>
    <n v="0.18"/>
    <n v="18000"/>
    <n v="0.3"/>
    <n v="20400"/>
    <n v="18360"/>
    <n v="3304.7999999999997"/>
    <n v="21304.799999999999"/>
    <n v="-2944.7999999999993"/>
    <n v="-883.43999999999971"/>
    <n v="-2061.3599999999997"/>
    <n v="-0.10104705882352939"/>
  </r>
  <r>
    <x v="10"/>
    <x v="1"/>
    <s v="July 2014"/>
    <n v="1"/>
    <x v="1"/>
    <x v="4"/>
    <x v="3"/>
    <s v="Worst"/>
    <n v="1200"/>
    <n v="17"/>
    <n v="0.1"/>
    <n v="0.18"/>
    <n v="18000"/>
    <n v="0.3"/>
    <n v="20400"/>
    <n v="18360"/>
    <n v="3304.7999999999997"/>
    <n v="21304.799999999999"/>
    <n v="-2944.7999999999993"/>
    <n v="-883.43999999999971"/>
    <n v="-2061.3599999999997"/>
    <n v="-0.10104705882352939"/>
  </r>
  <r>
    <x v="10"/>
    <x v="1"/>
    <s v="July 2014"/>
    <n v="1"/>
    <x v="1"/>
    <x v="4"/>
    <x v="4"/>
    <s v="Worst"/>
    <n v="1200"/>
    <n v="17"/>
    <n v="0.1"/>
    <n v="0.18"/>
    <n v="18000"/>
    <n v="0.3"/>
    <n v="20400"/>
    <n v="18360"/>
    <n v="3304.7999999999997"/>
    <n v="21304.799999999999"/>
    <n v="-2944.7999999999993"/>
    <n v="-883.43999999999971"/>
    <n v="-2061.3599999999997"/>
    <n v="-0.10104705882352939"/>
  </r>
  <r>
    <x v="10"/>
    <x v="1"/>
    <s v="July 2014"/>
    <n v="1"/>
    <x v="2"/>
    <x v="0"/>
    <x v="0"/>
    <s v="Worst"/>
    <n v="1200"/>
    <n v="17"/>
    <n v="0.1"/>
    <n v="0.18"/>
    <n v="18000"/>
    <n v="0.3"/>
    <n v="20400"/>
    <n v="18360"/>
    <n v="3304.7999999999997"/>
    <n v="21304.799999999999"/>
    <n v="-2944.7999999999993"/>
    <n v="-883.43999999999971"/>
    <n v="-2061.3599999999997"/>
    <n v="-0.10104705882352939"/>
  </r>
  <r>
    <x v="10"/>
    <x v="1"/>
    <s v="July 2014"/>
    <n v="1"/>
    <x v="2"/>
    <x v="0"/>
    <x v="1"/>
    <s v="Worst"/>
    <n v="1200"/>
    <n v="17"/>
    <n v="0.1"/>
    <n v="0.18"/>
    <n v="18000"/>
    <n v="0.3"/>
    <n v="20400"/>
    <n v="18360"/>
    <n v="3304.7999999999997"/>
    <n v="21304.799999999999"/>
    <n v="-2944.7999999999993"/>
    <n v="-883.43999999999971"/>
    <n v="-2061.3599999999997"/>
    <n v="-0.10104705882352939"/>
  </r>
  <r>
    <x v="10"/>
    <x v="1"/>
    <s v="July 2014"/>
    <n v="1"/>
    <x v="2"/>
    <x v="0"/>
    <x v="2"/>
    <s v="Worst"/>
    <n v="1200"/>
    <n v="17"/>
    <n v="0.1"/>
    <n v="0.18"/>
    <n v="18000"/>
    <n v="0.3"/>
    <n v="20400"/>
    <n v="18360"/>
    <n v="3304.7999999999997"/>
    <n v="21304.799999999999"/>
    <n v="-2944.7999999999993"/>
    <n v="-883.43999999999971"/>
    <n v="-2061.3599999999997"/>
    <n v="-0.10104705882352939"/>
  </r>
  <r>
    <x v="10"/>
    <x v="1"/>
    <s v="July 2014"/>
    <n v="1"/>
    <x v="2"/>
    <x v="0"/>
    <x v="3"/>
    <s v="Worst"/>
    <n v="1200"/>
    <n v="17"/>
    <n v="0.1"/>
    <n v="0.18"/>
    <n v="18000"/>
    <n v="0.3"/>
    <n v="20400"/>
    <n v="18360"/>
    <n v="3304.7999999999997"/>
    <n v="21304.799999999999"/>
    <n v="-2944.7999999999993"/>
    <n v="-883.43999999999971"/>
    <n v="-2061.3599999999997"/>
    <n v="-0.10104705882352939"/>
  </r>
  <r>
    <x v="10"/>
    <x v="1"/>
    <s v="July 2014"/>
    <n v="1"/>
    <x v="2"/>
    <x v="0"/>
    <x v="4"/>
    <s v="Worst"/>
    <n v="1200"/>
    <n v="17"/>
    <n v="0.1"/>
    <n v="0.18"/>
    <n v="18000"/>
    <n v="0.3"/>
    <n v="20400"/>
    <n v="18360"/>
    <n v="3304.7999999999997"/>
    <n v="21304.799999999999"/>
    <n v="-2944.7999999999993"/>
    <n v="-883.43999999999971"/>
    <n v="-2061.3599999999997"/>
    <n v="-0.10104705882352939"/>
  </r>
  <r>
    <x v="10"/>
    <x v="1"/>
    <s v="July 2014"/>
    <n v="1"/>
    <x v="2"/>
    <x v="1"/>
    <x v="0"/>
    <s v="Worst"/>
    <n v="1200"/>
    <n v="17"/>
    <n v="0.1"/>
    <n v="0.18"/>
    <n v="18000"/>
    <n v="0.3"/>
    <n v="20400"/>
    <n v="18360"/>
    <n v="3304.7999999999997"/>
    <n v="21304.799999999999"/>
    <n v="-2944.7999999999993"/>
    <n v="-883.43999999999971"/>
    <n v="-2061.3599999999997"/>
    <n v="-0.10104705882352939"/>
  </r>
  <r>
    <x v="10"/>
    <x v="1"/>
    <s v="July 2014"/>
    <n v="1"/>
    <x v="2"/>
    <x v="1"/>
    <x v="1"/>
    <s v="Worst"/>
    <n v="1200"/>
    <n v="17"/>
    <n v="0.1"/>
    <n v="0.18"/>
    <n v="18000"/>
    <n v="0.3"/>
    <n v="20400"/>
    <n v="18360"/>
    <n v="3304.7999999999997"/>
    <n v="21304.799999999999"/>
    <n v="-2944.7999999999993"/>
    <n v="-883.43999999999971"/>
    <n v="-2061.3599999999997"/>
    <n v="-0.10104705882352939"/>
  </r>
  <r>
    <x v="10"/>
    <x v="1"/>
    <s v="July 2014"/>
    <n v="1"/>
    <x v="2"/>
    <x v="1"/>
    <x v="2"/>
    <s v="Worst"/>
    <n v="1200"/>
    <n v="17"/>
    <n v="0.1"/>
    <n v="0.18"/>
    <n v="18000"/>
    <n v="0.3"/>
    <n v="20400"/>
    <n v="18360"/>
    <n v="3304.7999999999997"/>
    <n v="21304.799999999999"/>
    <n v="-2944.7999999999993"/>
    <n v="-883.43999999999971"/>
    <n v="-2061.3599999999997"/>
    <n v="-0.10104705882352939"/>
  </r>
  <r>
    <x v="10"/>
    <x v="1"/>
    <s v="July 2014"/>
    <n v="1"/>
    <x v="2"/>
    <x v="1"/>
    <x v="3"/>
    <s v="Worst"/>
    <n v="1200"/>
    <n v="17"/>
    <n v="0.1"/>
    <n v="0.18"/>
    <n v="18000"/>
    <n v="0.3"/>
    <n v="20400"/>
    <n v="18360"/>
    <n v="3304.7999999999997"/>
    <n v="21304.799999999999"/>
    <n v="-2944.7999999999993"/>
    <n v="-883.43999999999971"/>
    <n v="-2061.3599999999997"/>
    <n v="-0.10104705882352939"/>
  </r>
  <r>
    <x v="10"/>
    <x v="1"/>
    <s v="July 2014"/>
    <n v="1"/>
    <x v="2"/>
    <x v="1"/>
    <x v="4"/>
    <s v="Worst"/>
    <n v="1200"/>
    <n v="17"/>
    <n v="0.1"/>
    <n v="0.18"/>
    <n v="18000"/>
    <n v="0.3"/>
    <n v="20400"/>
    <n v="18360"/>
    <n v="3304.7999999999997"/>
    <n v="21304.799999999999"/>
    <n v="-2944.7999999999993"/>
    <n v="-883.43999999999971"/>
    <n v="-2061.3599999999997"/>
    <n v="-0.10104705882352939"/>
  </r>
  <r>
    <x v="10"/>
    <x v="1"/>
    <s v="July 2014"/>
    <n v="1"/>
    <x v="2"/>
    <x v="2"/>
    <x v="0"/>
    <s v="Worst"/>
    <n v="1200"/>
    <n v="17"/>
    <n v="0.1"/>
    <n v="0.18"/>
    <n v="18000"/>
    <n v="0.3"/>
    <n v="20400"/>
    <n v="18360"/>
    <n v="3304.7999999999997"/>
    <n v="21304.799999999999"/>
    <n v="-2944.7999999999993"/>
    <n v="-883.43999999999971"/>
    <n v="-2061.3599999999997"/>
    <n v="-0.10104705882352939"/>
  </r>
  <r>
    <x v="10"/>
    <x v="1"/>
    <s v="July 2014"/>
    <n v="1"/>
    <x v="2"/>
    <x v="2"/>
    <x v="1"/>
    <s v="Worst"/>
    <n v="1200"/>
    <n v="17"/>
    <n v="0.1"/>
    <n v="0.18"/>
    <n v="18000"/>
    <n v="0.3"/>
    <n v="20400"/>
    <n v="18360"/>
    <n v="3304.7999999999997"/>
    <n v="21304.799999999999"/>
    <n v="-2944.7999999999993"/>
    <n v="-883.43999999999971"/>
    <n v="-2061.3599999999997"/>
    <n v="-0.10104705882352939"/>
  </r>
  <r>
    <x v="10"/>
    <x v="1"/>
    <s v="July 2014"/>
    <n v="1"/>
    <x v="2"/>
    <x v="2"/>
    <x v="2"/>
    <s v="Worst"/>
    <n v="1200"/>
    <n v="17"/>
    <n v="0.1"/>
    <n v="0.18"/>
    <n v="18000"/>
    <n v="0.3"/>
    <n v="20400"/>
    <n v="18360"/>
    <n v="3304.7999999999997"/>
    <n v="21304.799999999999"/>
    <n v="-2944.7999999999993"/>
    <n v="-883.43999999999971"/>
    <n v="-2061.3599999999997"/>
    <n v="-0.10104705882352939"/>
  </r>
  <r>
    <x v="10"/>
    <x v="1"/>
    <s v="July 2014"/>
    <n v="1"/>
    <x v="2"/>
    <x v="2"/>
    <x v="3"/>
    <s v="Worst"/>
    <n v="1200"/>
    <n v="17"/>
    <n v="0.1"/>
    <n v="0.18"/>
    <n v="18000"/>
    <n v="0.3"/>
    <n v="20400"/>
    <n v="18360"/>
    <n v="3304.7999999999997"/>
    <n v="21304.799999999999"/>
    <n v="-2944.7999999999993"/>
    <n v="-883.43999999999971"/>
    <n v="-2061.3599999999997"/>
    <n v="-0.10104705882352939"/>
  </r>
  <r>
    <x v="10"/>
    <x v="1"/>
    <s v="July 2014"/>
    <n v="1"/>
    <x v="2"/>
    <x v="2"/>
    <x v="4"/>
    <s v="Worst"/>
    <n v="1200"/>
    <n v="17"/>
    <n v="0.1"/>
    <n v="0.18"/>
    <n v="18000"/>
    <n v="0.3"/>
    <n v="20400"/>
    <n v="18360"/>
    <n v="3304.7999999999997"/>
    <n v="21304.799999999999"/>
    <n v="-2944.7999999999993"/>
    <n v="-883.43999999999971"/>
    <n v="-2061.3599999999997"/>
    <n v="-0.10104705882352939"/>
  </r>
  <r>
    <x v="10"/>
    <x v="1"/>
    <s v="July 2014"/>
    <n v="1"/>
    <x v="2"/>
    <x v="3"/>
    <x v="0"/>
    <s v="Worst"/>
    <n v="1200"/>
    <n v="17"/>
    <n v="0.1"/>
    <n v="0.18"/>
    <n v="18000"/>
    <n v="0.3"/>
    <n v="20400"/>
    <n v="18360"/>
    <n v="3304.7999999999997"/>
    <n v="21304.799999999999"/>
    <n v="-2944.7999999999993"/>
    <n v="-883.43999999999971"/>
    <n v="-2061.3599999999997"/>
    <n v="-0.10104705882352939"/>
  </r>
  <r>
    <x v="10"/>
    <x v="1"/>
    <s v="July 2014"/>
    <n v="1"/>
    <x v="2"/>
    <x v="3"/>
    <x v="1"/>
    <s v="Worst"/>
    <n v="1200"/>
    <n v="17"/>
    <n v="0.1"/>
    <n v="0.18"/>
    <n v="18000"/>
    <n v="0.3"/>
    <n v="20400"/>
    <n v="18360"/>
    <n v="3304.7999999999997"/>
    <n v="21304.799999999999"/>
    <n v="-2944.7999999999993"/>
    <n v="-883.43999999999971"/>
    <n v="-2061.3599999999997"/>
    <n v="-0.10104705882352939"/>
  </r>
  <r>
    <x v="10"/>
    <x v="1"/>
    <s v="July 2014"/>
    <n v="1"/>
    <x v="2"/>
    <x v="3"/>
    <x v="2"/>
    <s v="Worst"/>
    <n v="1200"/>
    <n v="17"/>
    <n v="0.1"/>
    <n v="0.18"/>
    <n v="18000"/>
    <n v="0.3"/>
    <n v="20400"/>
    <n v="18360"/>
    <n v="3304.7999999999997"/>
    <n v="21304.799999999999"/>
    <n v="-2944.7999999999993"/>
    <n v="-883.43999999999971"/>
    <n v="-2061.3599999999997"/>
    <n v="-0.10104705882352939"/>
  </r>
  <r>
    <x v="10"/>
    <x v="1"/>
    <s v="July 2014"/>
    <n v="1"/>
    <x v="2"/>
    <x v="3"/>
    <x v="3"/>
    <s v="Worst"/>
    <n v="1200"/>
    <n v="17"/>
    <n v="0.1"/>
    <n v="0.18"/>
    <n v="18000"/>
    <n v="0.3"/>
    <n v="20400"/>
    <n v="18360"/>
    <n v="3304.7999999999997"/>
    <n v="21304.799999999999"/>
    <n v="-2944.7999999999993"/>
    <n v="-883.43999999999971"/>
    <n v="-2061.3599999999997"/>
    <n v="-0.10104705882352939"/>
  </r>
  <r>
    <x v="10"/>
    <x v="1"/>
    <s v="July 2014"/>
    <n v="1"/>
    <x v="2"/>
    <x v="3"/>
    <x v="4"/>
    <s v="Worst"/>
    <n v="1200"/>
    <n v="17"/>
    <n v="0.1"/>
    <n v="0.18"/>
    <n v="18000"/>
    <n v="0.3"/>
    <n v="20400"/>
    <n v="18360"/>
    <n v="3304.7999999999997"/>
    <n v="21304.799999999999"/>
    <n v="-2944.7999999999993"/>
    <n v="-883.43999999999971"/>
    <n v="-2061.3599999999997"/>
    <n v="-0.10104705882352939"/>
  </r>
  <r>
    <x v="10"/>
    <x v="1"/>
    <s v="July 2014"/>
    <n v="1"/>
    <x v="2"/>
    <x v="4"/>
    <x v="0"/>
    <s v="Worst"/>
    <n v="1200"/>
    <n v="17"/>
    <n v="0.1"/>
    <n v="0.18"/>
    <n v="18000"/>
    <n v="0.3"/>
    <n v="20400"/>
    <n v="18360"/>
    <n v="3304.7999999999997"/>
    <n v="21304.799999999999"/>
    <n v="-2944.7999999999993"/>
    <n v="-883.43999999999971"/>
    <n v="-2061.3599999999997"/>
    <n v="-0.10104705882352939"/>
  </r>
  <r>
    <x v="10"/>
    <x v="1"/>
    <s v="July 2014"/>
    <n v="1"/>
    <x v="2"/>
    <x v="4"/>
    <x v="1"/>
    <s v="Worst"/>
    <n v="1200"/>
    <n v="17"/>
    <n v="0.1"/>
    <n v="0.18"/>
    <n v="18000"/>
    <n v="0.3"/>
    <n v="20400"/>
    <n v="18360"/>
    <n v="3304.7999999999997"/>
    <n v="21304.799999999999"/>
    <n v="-2944.7999999999993"/>
    <n v="-883.43999999999971"/>
    <n v="-2061.3599999999997"/>
    <n v="-0.10104705882352939"/>
  </r>
  <r>
    <x v="10"/>
    <x v="1"/>
    <s v="July 2014"/>
    <n v="1"/>
    <x v="2"/>
    <x v="4"/>
    <x v="2"/>
    <s v="Worst"/>
    <n v="1200"/>
    <n v="17"/>
    <n v="0.1"/>
    <n v="0.18"/>
    <n v="18000"/>
    <n v="0.3"/>
    <n v="20400"/>
    <n v="18360"/>
    <n v="3304.7999999999997"/>
    <n v="21304.799999999999"/>
    <n v="-2944.7999999999993"/>
    <n v="-883.43999999999971"/>
    <n v="-2061.3599999999997"/>
    <n v="-0.10104705882352939"/>
  </r>
  <r>
    <x v="10"/>
    <x v="1"/>
    <s v="July 2014"/>
    <n v="1"/>
    <x v="2"/>
    <x v="4"/>
    <x v="3"/>
    <s v="Worst"/>
    <n v="1200"/>
    <n v="17"/>
    <n v="0.1"/>
    <n v="0.18"/>
    <n v="18000"/>
    <n v="0.3"/>
    <n v="20400"/>
    <n v="18360"/>
    <n v="3304.7999999999997"/>
    <n v="21304.799999999999"/>
    <n v="-2944.7999999999993"/>
    <n v="-883.43999999999971"/>
    <n v="-2061.3599999999997"/>
    <n v="-0.10104705882352939"/>
  </r>
  <r>
    <x v="10"/>
    <x v="1"/>
    <s v="July 2014"/>
    <n v="1"/>
    <x v="2"/>
    <x v="4"/>
    <x v="4"/>
    <s v="Worst"/>
    <n v="1200"/>
    <n v="17"/>
    <n v="0.1"/>
    <n v="0.18"/>
    <n v="18000"/>
    <n v="0.3"/>
    <n v="20400"/>
    <n v="18360"/>
    <n v="3304.7999999999997"/>
    <n v="21304.799999999999"/>
    <n v="-2944.7999999999993"/>
    <n v="-883.43999999999971"/>
    <n v="-2061.3599999999997"/>
    <n v="-0.10104705882352939"/>
  </r>
  <r>
    <x v="10"/>
    <x v="1"/>
    <s v="July 2014"/>
    <n v="1"/>
    <x v="3"/>
    <x v="0"/>
    <x v="0"/>
    <s v="Worst"/>
    <n v="1200"/>
    <n v="17"/>
    <n v="0.1"/>
    <n v="0.18"/>
    <n v="18000"/>
    <n v="0.3"/>
    <n v="20400"/>
    <n v="18360"/>
    <n v="3304.7999999999997"/>
    <n v="21304.799999999999"/>
    <n v="-2944.7999999999993"/>
    <n v="-883.43999999999971"/>
    <n v="-2061.3599999999997"/>
    <n v="-0.10104705882352939"/>
  </r>
  <r>
    <x v="10"/>
    <x v="1"/>
    <s v="July 2014"/>
    <n v="1"/>
    <x v="3"/>
    <x v="0"/>
    <x v="1"/>
    <s v="Worst"/>
    <n v="1200"/>
    <n v="17"/>
    <n v="0.1"/>
    <n v="0.18"/>
    <n v="18000"/>
    <n v="0.3"/>
    <n v="20400"/>
    <n v="18360"/>
    <n v="3304.7999999999997"/>
    <n v="21304.799999999999"/>
    <n v="-2944.7999999999993"/>
    <n v="-883.43999999999971"/>
    <n v="-2061.3599999999997"/>
    <n v="-0.10104705882352939"/>
  </r>
  <r>
    <x v="10"/>
    <x v="1"/>
    <s v="July 2014"/>
    <n v="1"/>
    <x v="3"/>
    <x v="0"/>
    <x v="2"/>
    <s v="Worst"/>
    <n v="1200"/>
    <n v="17"/>
    <n v="0.1"/>
    <n v="0.18"/>
    <n v="18000"/>
    <n v="0.3"/>
    <n v="20400"/>
    <n v="18360"/>
    <n v="3304.7999999999997"/>
    <n v="21304.799999999999"/>
    <n v="-2944.7999999999993"/>
    <n v="-883.43999999999971"/>
    <n v="-2061.3599999999997"/>
    <n v="-0.10104705882352939"/>
  </r>
  <r>
    <x v="10"/>
    <x v="1"/>
    <s v="July 2014"/>
    <n v="1"/>
    <x v="3"/>
    <x v="0"/>
    <x v="3"/>
    <s v="Worst"/>
    <n v="1200"/>
    <n v="17"/>
    <n v="0.1"/>
    <n v="0.18"/>
    <n v="18000"/>
    <n v="0.3"/>
    <n v="20400"/>
    <n v="18360"/>
    <n v="3304.7999999999997"/>
    <n v="21304.799999999999"/>
    <n v="-2944.7999999999993"/>
    <n v="-883.43999999999971"/>
    <n v="-2061.3599999999997"/>
    <n v="-0.10104705882352939"/>
  </r>
  <r>
    <x v="10"/>
    <x v="1"/>
    <s v="July 2014"/>
    <n v="1"/>
    <x v="3"/>
    <x v="0"/>
    <x v="4"/>
    <s v="Worst"/>
    <n v="1200"/>
    <n v="17"/>
    <n v="0.1"/>
    <n v="0.18"/>
    <n v="18000"/>
    <n v="0.3"/>
    <n v="20400"/>
    <n v="18360"/>
    <n v="3304.7999999999997"/>
    <n v="21304.799999999999"/>
    <n v="-2944.7999999999993"/>
    <n v="-883.43999999999971"/>
    <n v="-2061.3599999999997"/>
    <n v="-0.10104705882352939"/>
  </r>
  <r>
    <x v="10"/>
    <x v="1"/>
    <s v="July 2014"/>
    <n v="1"/>
    <x v="3"/>
    <x v="1"/>
    <x v="0"/>
    <s v="Worst"/>
    <n v="1200"/>
    <n v="17"/>
    <n v="0.1"/>
    <n v="0.18"/>
    <n v="18000"/>
    <n v="0.3"/>
    <n v="20400"/>
    <n v="18360"/>
    <n v="3304.7999999999997"/>
    <n v="21304.799999999999"/>
    <n v="-2944.7999999999993"/>
    <n v="-883.43999999999971"/>
    <n v="-2061.3599999999997"/>
    <n v="-0.10104705882352939"/>
  </r>
  <r>
    <x v="10"/>
    <x v="1"/>
    <s v="July 2014"/>
    <n v="1"/>
    <x v="3"/>
    <x v="1"/>
    <x v="1"/>
    <s v="Worst"/>
    <n v="1200"/>
    <n v="17"/>
    <n v="0.1"/>
    <n v="0.18"/>
    <n v="18000"/>
    <n v="0.3"/>
    <n v="20400"/>
    <n v="18360"/>
    <n v="3304.7999999999997"/>
    <n v="21304.799999999999"/>
    <n v="-2944.7999999999993"/>
    <n v="-883.43999999999971"/>
    <n v="-2061.3599999999997"/>
    <n v="-0.10104705882352939"/>
  </r>
  <r>
    <x v="10"/>
    <x v="1"/>
    <s v="July 2014"/>
    <n v="1"/>
    <x v="3"/>
    <x v="1"/>
    <x v="2"/>
    <s v="Worst"/>
    <n v="1200"/>
    <n v="17"/>
    <n v="0.1"/>
    <n v="0.18"/>
    <n v="18000"/>
    <n v="0.3"/>
    <n v="20400"/>
    <n v="18360"/>
    <n v="3304.7999999999997"/>
    <n v="21304.799999999999"/>
    <n v="-2944.7999999999993"/>
    <n v="-883.43999999999971"/>
    <n v="-2061.3599999999997"/>
    <n v="-0.10104705882352939"/>
  </r>
  <r>
    <x v="10"/>
    <x v="1"/>
    <s v="July 2014"/>
    <n v="1"/>
    <x v="3"/>
    <x v="1"/>
    <x v="3"/>
    <s v="Worst"/>
    <n v="1200"/>
    <n v="17"/>
    <n v="0.1"/>
    <n v="0.18"/>
    <n v="18000"/>
    <n v="0.3"/>
    <n v="20400"/>
    <n v="18360"/>
    <n v="3304.7999999999997"/>
    <n v="21304.799999999999"/>
    <n v="-2944.7999999999993"/>
    <n v="-883.43999999999971"/>
    <n v="-2061.3599999999997"/>
    <n v="-0.10104705882352939"/>
  </r>
  <r>
    <x v="10"/>
    <x v="1"/>
    <s v="July 2014"/>
    <n v="1"/>
    <x v="3"/>
    <x v="1"/>
    <x v="4"/>
    <s v="Worst"/>
    <n v="1200"/>
    <n v="17"/>
    <n v="0.1"/>
    <n v="0.18"/>
    <n v="18000"/>
    <n v="0.3"/>
    <n v="20400"/>
    <n v="18360"/>
    <n v="3304.7999999999997"/>
    <n v="21304.799999999999"/>
    <n v="-2944.7999999999993"/>
    <n v="-883.43999999999971"/>
    <n v="-2061.3599999999997"/>
    <n v="-0.10104705882352939"/>
  </r>
  <r>
    <x v="10"/>
    <x v="1"/>
    <s v="July 2014"/>
    <n v="1"/>
    <x v="3"/>
    <x v="2"/>
    <x v="0"/>
    <s v="Worst"/>
    <n v="1200"/>
    <n v="17"/>
    <n v="0.1"/>
    <n v="0.18"/>
    <n v="18000"/>
    <n v="0.3"/>
    <n v="20400"/>
    <n v="18360"/>
    <n v="3304.7999999999997"/>
    <n v="21304.799999999999"/>
    <n v="-2944.7999999999993"/>
    <n v="-883.43999999999971"/>
    <n v="-2061.3599999999997"/>
    <n v="-0.10104705882352939"/>
  </r>
  <r>
    <x v="10"/>
    <x v="1"/>
    <s v="July 2014"/>
    <n v="1"/>
    <x v="3"/>
    <x v="2"/>
    <x v="1"/>
    <s v="Worst"/>
    <n v="1200"/>
    <n v="17"/>
    <n v="0.1"/>
    <n v="0.18"/>
    <n v="18000"/>
    <n v="0.3"/>
    <n v="20400"/>
    <n v="18360"/>
    <n v="3304.7999999999997"/>
    <n v="21304.799999999999"/>
    <n v="-2944.7999999999993"/>
    <n v="-883.43999999999971"/>
    <n v="-2061.3599999999997"/>
    <n v="-0.10104705882352939"/>
  </r>
  <r>
    <x v="10"/>
    <x v="1"/>
    <s v="July 2014"/>
    <n v="1"/>
    <x v="3"/>
    <x v="2"/>
    <x v="2"/>
    <s v="Worst"/>
    <n v="1200"/>
    <n v="17"/>
    <n v="0.1"/>
    <n v="0.18"/>
    <n v="18000"/>
    <n v="0.3"/>
    <n v="20400"/>
    <n v="18360"/>
    <n v="3304.7999999999997"/>
    <n v="21304.799999999999"/>
    <n v="-2944.7999999999993"/>
    <n v="-883.43999999999971"/>
    <n v="-2061.3599999999997"/>
    <n v="-0.10104705882352939"/>
  </r>
  <r>
    <x v="10"/>
    <x v="1"/>
    <s v="July 2014"/>
    <n v="1"/>
    <x v="3"/>
    <x v="2"/>
    <x v="3"/>
    <s v="Worst"/>
    <n v="1200"/>
    <n v="17"/>
    <n v="0.1"/>
    <n v="0.18"/>
    <n v="18000"/>
    <n v="0.3"/>
    <n v="20400"/>
    <n v="18360"/>
    <n v="3304.7999999999997"/>
    <n v="21304.799999999999"/>
    <n v="-2944.7999999999993"/>
    <n v="-883.43999999999971"/>
    <n v="-2061.3599999999997"/>
    <n v="-0.10104705882352939"/>
  </r>
  <r>
    <x v="10"/>
    <x v="1"/>
    <s v="July 2014"/>
    <n v="1"/>
    <x v="3"/>
    <x v="2"/>
    <x v="4"/>
    <s v="Worst"/>
    <n v="1200"/>
    <n v="17"/>
    <n v="0.1"/>
    <n v="0.18"/>
    <n v="18000"/>
    <n v="0.3"/>
    <n v="20400"/>
    <n v="18360"/>
    <n v="3304.7999999999997"/>
    <n v="21304.799999999999"/>
    <n v="-2944.7999999999993"/>
    <n v="-883.43999999999971"/>
    <n v="-2061.3599999999997"/>
    <n v="-0.10104705882352939"/>
  </r>
  <r>
    <x v="10"/>
    <x v="1"/>
    <s v="July 2014"/>
    <n v="1"/>
    <x v="3"/>
    <x v="3"/>
    <x v="0"/>
    <s v="Worst"/>
    <n v="1200"/>
    <n v="17"/>
    <n v="0.1"/>
    <n v="0.18"/>
    <n v="18000"/>
    <n v="0.3"/>
    <n v="20400"/>
    <n v="18360"/>
    <n v="3304.7999999999997"/>
    <n v="21304.799999999999"/>
    <n v="-2944.7999999999993"/>
    <n v="-883.43999999999971"/>
    <n v="-2061.3599999999997"/>
    <n v="-0.10104705882352939"/>
  </r>
  <r>
    <x v="10"/>
    <x v="1"/>
    <s v="July 2014"/>
    <n v="1"/>
    <x v="3"/>
    <x v="3"/>
    <x v="1"/>
    <s v="Worst"/>
    <n v="1200"/>
    <n v="17"/>
    <n v="0.1"/>
    <n v="0.18"/>
    <n v="18000"/>
    <n v="0.3"/>
    <n v="20400"/>
    <n v="18360"/>
    <n v="3304.7999999999997"/>
    <n v="21304.799999999999"/>
    <n v="-2944.7999999999993"/>
    <n v="-883.43999999999971"/>
    <n v="-2061.3599999999997"/>
    <n v="-0.10104705882352939"/>
  </r>
  <r>
    <x v="10"/>
    <x v="1"/>
    <s v="July 2014"/>
    <n v="1"/>
    <x v="3"/>
    <x v="3"/>
    <x v="2"/>
    <s v="Worst"/>
    <n v="1200"/>
    <n v="17"/>
    <n v="0.1"/>
    <n v="0.18"/>
    <n v="18000"/>
    <n v="0.3"/>
    <n v="20400"/>
    <n v="18360"/>
    <n v="3304.7999999999997"/>
    <n v="21304.799999999999"/>
    <n v="-2944.7999999999993"/>
    <n v="-883.43999999999971"/>
    <n v="-2061.3599999999997"/>
    <n v="-0.10104705882352939"/>
  </r>
  <r>
    <x v="10"/>
    <x v="1"/>
    <s v="July 2014"/>
    <n v="1"/>
    <x v="3"/>
    <x v="3"/>
    <x v="3"/>
    <s v="Worst"/>
    <n v="1200"/>
    <n v="17"/>
    <n v="0.1"/>
    <n v="0.18"/>
    <n v="18000"/>
    <n v="0.3"/>
    <n v="20400"/>
    <n v="18360"/>
    <n v="3304.7999999999997"/>
    <n v="21304.799999999999"/>
    <n v="-2944.7999999999993"/>
    <n v="-883.43999999999971"/>
    <n v="-2061.3599999999997"/>
    <n v="-0.10104705882352939"/>
  </r>
  <r>
    <x v="10"/>
    <x v="1"/>
    <s v="July 2014"/>
    <n v="1"/>
    <x v="3"/>
    <x v="3"/>
    <x v="4"/>
    <s v="Worst"/>
    <n v="1200"/>
    <n v="17"/>
    <n v="0.1"/>
    <n v="0.18"/>
    <n v="18000"/>
    <n v="0.3"/>
    <n v="20400"/>
    <n v="18360"/>
    <n v="3304.7999999999997"/>
    <n v="21304.799999999999"/>
    <n v="-2944.7999999999993"/>
    <n v="-883.43999999999971"/>
    <n v="-2061.3599999999997"/>
    <n v="-0.10104705882352939"/>
  </r>
  <r>
    <x v="10"/>
    <x v="1"/>
    <s v="July 2014"/>
    <n v="1"/>
    <x v="3"/>
    <x v="4"/>
    <x v="0"/>
    <s v="Worst"/>
    <n v="1200"/>
    <n v="17"/>
    <n v="0.1"/>
    <n v="0.18"/>
    <n v="18000"/>
    <n v="0.3"/>
    <n v="20400"/>
    <n v="18360"/>
    <n v="3304.7999999999997"/>
    <n v="21304.799999999999"/>
    <n v="-2944.7999999999993"/>
    <n v="-883.43999999999971"/>
    <n v="-2061.3599999999997"/>
    <n v="-0.10104705882352939"/>
  </r>
  <r>
    <x v="10"/>
    <x v="1"/>
    <s v="July 2014"/>
    <n v="1"/>
    <x v="3"/>
    <x v="4"/>
    <x v="1"/>
    <s v="Worst"/>
    <n v="1200"/>
    <n v="17"/>
    <n v="0.1"/>
    <n v="0.18"/>
    <n v="18000"/>
    <n v="0.3"/>
    <n v="20400"/>
    <n v="18360"/>
    <n v="3304.7999999999997"/>
    <n v="21304.799999999999"/>
    <n v="-2944.7999999999993"/>
    <n v="-883.43999999999971"/>
    <n v="-2061.3599999999997"/>
    <n v="-0.10104705882352939"/>
  </r>
  <r>
    <x v="10"/>
    <x v="1"/>
    <s v="July 2014"/>
    <n v="1"/>
    <x v="3"/>
    <x v="4"/>
    <x v="2"/>
    <s v="Worst"/>
    <n v="1200"/>
    <n v="17"/>
    <n v="0.1"/>
    <n v="0.18"/>
    <n v="18000"/>
    <n v="0.3"/>
    <n v="20400"/>
    <n v="18360"/>
    <n v="3304.7999999999997"/>
    <n v="21304.799999999999"/>
    <n v="-2944.7999999999993"/>
    <n v="-883.43999999999971"/>
    <n v="-2061.3599999999997"/>
    <n v="-0.10104705882352939"/>
  </r>
  <r>
    <x v="10"/>
    <x v="1"/>
    <s v="July 2014"/>
    <n v="1"/>
    <x v="3"/>
    <x v="4"/>
    <x v="3"/>
    <s v="Worst"/>
    <n v="1200"/>
    <n v="17"/>
    <n v="0.1"/>
    <n v="0.18"/>
    <n v="18000"/>
    <n v="0.3"/>
    <n v="20400"/>
    <n v="18360"/>
    <n v="3304.7999999999997"/>
    <n v="21304.799999999999"/>
    <n v="-2944.7999999999993"/>
    <n v="-883.43999999999971"/>
    <n v="-2061.3599999999997"/>
    <n v="-0.10104705882352939"/>
  </r>
  <r>
    <x v="10"/>
    <x v="1"/>
    <s v="July 2014"/>
    <n v="1"/>
    <x v="3"/>
    <x v="4"/>
    <x v="4"/>
    <s v="Worst"/>
    <n v="1200"/>
    <n v="17"/>
    <n v="0.1"/>
    <n v="0.18"/>
    <n v="18000"/>
    <n v="0.3"/>
    <n v="20400"/>
    <n v="18360"/>
    <n v="3304.7999999999997"/>
    <n v="21304.799999999999"/>
    <n v="-2944.7999999999993"/>
    <n v="-883.43999999999971"/>
    <n v="-2061.3599999999997"/>
    <n v="-0.10104705882352939"/>
  </r>
  <r>
    <x v="10"/>
    <x v="1"/>
    <s v="July 2014"/>
    <n v="1"/>
    <x v="4"/>
    <x v="0"/>
    <x v="0"/>
    <s v="Worst"/>
    <n v="1200"/>
    <n v="17"/>
    <n v="0.1"/>
    <n v="0.18"/>
    <n v="18000"/>
    <n v="0.3"/>
    <n v="20400"/>
    <n v="18360"/>
    <n v="3304.7999999999997"/>
    <n v="21304.799999999999"/>
    <n v="-2944.7999999999993"/>
    <n v="-883.43999999999971"/>
    <n v="-2061.3599999999997"/>
    <n v="-0.10104705882352939"/>
  </r>
  <r>
    <x v="10"/>
    <x v="1"/>
    <s v="July 2014"/>
    <n v="1"/>
    <x v="4"/>
    <x v="0"/>
    <x v="1"/>
    <s v="Worst"/>
    <n v="1200"/>
    <n v="17"/>
    <n v="0.1"/>
    <n v="0.18"/>
    <n v="18000"/>
    <n v="0.3"/>
    <n v="20400"/>
    <n v="18360"/>
    <n v="3304.7999999999997"/>
    <n v="21304.799999999999"/>
    <n v="-2944.7999999999993"/>
    <n v="-883.43999999999971"/>
    <n v="-2061.3599999999997"/>
    <n v="-0.10104705882352939"/>
  </r>
  <r>
    <x v="10"/>
    <x v="1"/>
    <s v="July 2014"/>
    <n v="1"/>
    <x v="4"/>
    <x v="0"/>
    <x v="2"/>
    <s v="Worst"/>
    <n v="1200"/>
    <n v="17"/>
    <n v="0.1"/>
    <n v="0.18"/>
    <n v="18000"/>
    <n v="0.3"/>
    <n v="20400"/>
    <n v="18360"/>
    <n v="3304.7999999999997"/>
    <n v="21304.799999999999"/>
    <n v="-2944.7999999999993"/>
    <n v="-883.43999999999971"/>
    <n v="-2061.3599999999997"/>
    <n v="-0.10104705882352939"/>
  </r>
  <r>
    <x v="10"/>
    <x v="1"/>
    <s v="July 2014"/>
    <n v="1"/>
    <x v="4"/>
    <x v="0"/>
    <x v="3"/>
    <s v="Worst"/>
    <n v="1200"/>
    <n v="17"/>
    <n v="0.1"/>
    <n v="0.18"/>
    <n v="18000"/>
    <n v="0.3"/>
    <n v="20400"/>
    <n v="18360"/>
    <n v="3304.7999999999997"/>
    <n v="21304.799999999999"/>
    <n v="-2944.7999999999993"/>
    <n v="-883.43999999999971"/>
    <n v="-2061.3599999999997"/>
    <n v="-0.10104705882352939"/>
  </r>
  <r>
    <x v="10"/>
    <x v="1"/>
    <s v="July 2014"/>
    <n v="1"/>
    <x v="4"/>
    <x v="0"/>
    <x v="4"/>
    <s v="Worst"/>
    <n v="1200"/>
    <n v="17"/>
    <n v="0.1"/>
    <n v="0.18"/>
    <n v="18000"/>
    <n v="0.3"/>
    <n v="20400"/>
    <n v="18360"/>
    <n v="3304.7999999999997"/>
    <n v="21304.799999999999"/>
    <n v="-2944.7999999999993"/>
    <n v="-883.43999999999971"/>
    <n v="-2061.3599999999997"/>
    <n v="-0.10104705882352939"/>
  </r>
  <r>
    <x v="10"/>
    <x v="1"/>
    <s v="July 2014"/>
    <n v="1"/>
    <x v="4"/>
    <x v="1"/>
    <x v="0"/>
    <s v="Worst"/>
    <n v="1200"/>
    <n v="17"/>
    <n v="0.1"/>
    <n v="0.18"/>
    <n v="18000"/>
    <n v="0.3"/>
    <n v="20400"/>
    <n v="18360"/>
    <n v="3304.7999999999997"/>
    <n v="21304.799999999999"/>
    <n v="-2944.7999999999993"/>
    <n v="-883.43999999999971"/>
    <n v="-2061.3599999999997"/>
    <n v="-0.10104705882352939"/>
  </r>
  <r>
    <x v="10"/>
    <x v="1"/>
    <s v="July 2014"/>
    <n v="1"/>
    <x v="4"/>
    <x v="1"/>
    <x v="1"/>
    <s v="Worst"/>
    <n v="1200"/>
    <n v="17"/>
    <n v="0.1"/>
    <n v="0.18"/>
    <n v="18000"/>
    <n v="0.3"/>
    <n v="20400"/>
    <n v="18360"/>
    <n v="3304.7999999999997"/>
    <n v="21304.799999999999"/>
    <n v="-2944.7999999999993"/>
    <n v="-883.43999999999971"/>
    <n v="-2061.3599999999997"/>
    <n v="-0.10104705882352939"/>
  </r>
  <r>
    <x v="10"/>
    <x v="1"/>
    <s v="July 2014"/>
    <n v="1"/>
    <x v="4"/>
    <x v="1"/>
    <x v="2"/>
    <s v="Worst"/>
    <n v="1200"/>
    <n v="17"/>
    <n v="0.1"/>
    <n v="0.18"/>
    <n v="18000"/>
    <n v="0.3"/>
    <n v="20400"/>
    <n v="18360"/>
    <n v="3304.7999999999997"/>
    <n v="21304.799999999999"/>
    <n v="-2944.7999999999993"/>
    <n v="-883.43999999999971"/>
    <n v="-2061.3599999999997"/>
    <n v="-0.10104705882352939"/>
  </r>
  <r>
    <x v="10"/>
    <x v="1"/>
    <s v="July 2014"/>
    <n v="1"/>
    <x v="4"/>
    <x v="1"/>
    <x v="3"/>
    <s v="Worst"/>
    <n v="1200"/>
    <n v="17"/>
    <n v="0.1"/>
    <n v="0.18"/>
    <n v="18000"/>
    <n v="0.3"/>
    <n v="20400"/>
    <n v="18360"/>
    <n v="3304.7999999999997"/>
    <n v="21304.799999999999"/>
    <n v="-2944.7999999999993"/>
    <n v="-883.43999999999971"/>
    <n v="-2061.3599999999997"/>
    <n v="-0.10104705882352939"/>
  </r>
  <r>
    <x v="10"/>
    <x v="1"/>
    <s v="July 2014"/>
    <n v="1"/>
    <x v="4"/>
    <x v="1"/>
    <x v="4"/>
    <s v="Worst"/>
    <n v="1200"/>
    <n v="17"/>
    <n v="0.1"/>
    <n v="0.18"/>
    <n v="18000"/>
    <n v="0.3"/>
    <n v="20400"/>
    <n v="18360"/>
    <n v="3304.7999999999997"/>
    <n v="21304.799999999999"/>
    <n v="-2944.7999999999993"/>
    <n v="-883.43999999999971"/>
    <n v="-2061.3599999999997"/>
    <n v="-0.10104705882352939"/>
  </r>
  <r>
    <x v="10"/>
    <x v="1"/>
    <s v="July 2014"/>
    <n v="1"/>
    <x v="4"/>
    <x v="2"/>
    <x v="0"/>
    <s v="Worst"/>
    <n v="1200"/>
    <n v="17"/>
    <n v="0.1"/>
    <n v="0.18"/>
    <n v="18000"/>
    <n v="0.3"/>
    <n v="20400"/>
    <n v="18360"/>
    <n v="3304.7999999999997"/>
    <n v="21304.799999999999"/>
    <n v="-2944.7999999999993"/>
    <n v="-883.43999999999971"/>
    <n v="-2061.3599999999997"/>
    <n v="-0.10104705882352939"/>
  </r>
  <r>
    <x v="10"/>
    <x v="1"/>
    <s v="July 2014"/>
    <n v="1"/>
    <x v="4"/>
    <x v="2"/>
    <x v="1"/>
    <s v="Worst"/>
    <n v="1200"/>
    <n v="17"/>
    <n v="0.1"/>
    <n v="0.18"/>
    <n v="18000"/>
    <n v="0.3"/>
    <n v="20400"/>
    <n v="18360"/>
    <n v="3304.7999999999997"/>
    <n v="21304.799999999999"/>
    <n v="-2944.7999999999993"/>
    <n v="-883.43999999999971"/>
    <n v="-2061.3599999999997"/>
    <n v="-0.10104705882352939"/>
  </r>
  <r>
    <x v="10"/>
    <x v="1"/>
    <s v="July 2014"/>
    <n v="1"/>
    <x v="4"/>
    <x v="2"/>
    <x v="2"/>
    <s v="Worst"/>
    <n v="1200"/>
    <n v="17"/>
    <n v="0.1"/>
    <n v="0.18"/>
    <n v="18000"/>
    <n v="0.3"/>
    <n v="20400"/>
    <n v="18360"/>
    <n v="3304.7999999999997"/>
    <n v="21304.799999999999"/>
    <n v="-2944.7999999999993"/>
    <n v="-883.43999999999971"/>
    <n v="-2061.3599999999997"/>
    <n v="-0.10104705882352939"/>
  </r>
  <r>
    <x v="10"/>
    <x v="1"/>
    <s v="July 2014"/>
    <n v="1"/>
    <x v="4"/>
    <x v="2"/>
    <x v="3"/>
    <s v="Worst"/>
    <n v="1200"/>
    <n v="17"/>
    <n v="0.1"/>
    <n v="0.18"/>
    <n v="18000"/>
    <n v="0.3"/>
    <n v="20400"/>
    <n v="18360"/>
    <n v="3304.7999999999997"/>
    <n v="21304.799999999999"/>
    <n v="-2944.7999999999993"/>
    <n v="-883.43999999999971"/>
    <n v="-2061.3599999999997"/>
    <n v="-0.10104705882352939"/>
  </r>
  <r>
    <x v="10"/>
    <x v="1"/>
    <s v="July 2014"/>
    <n v="1"/>
    <x v="4"/>
    <x v="2"/>
    <x v="4"/>
    <s v="Worst"/>
    <n v="1200"/>
    <n v="17"/>
    <n v="0.1"/>
    <n v="0.18"/>
    <n v="18000"/>
    <n v="0.3"/>
    <n v="20400"/>
    <n v="18360"/>
    <n v="3304.7999999999997"/>
    <n v="21304.799999999999"/>
    <n v="-2944.7999999999993"/>
    <n v="-883.43999999999971"/>
    <n v="-2061.3599999999997"/>
    <n v="-0.10104705882352939"/>
  </r>
  <r>
    <x v="10"/>
    <x v="1"/>
    <s v="July 2014"/>
    <n v="1"/>
    <x v="4"/>
    <x v="3"/>
    <x v="0"/>
    <s v="Worst"/>
    <n v="1200"/>
    <n v="17"/>
    <n v="0.1"/>
    <n v="0.18"/>
    <n v="18000"/>
    <n v="0.3"/>
    <n v="20400"/>
    <n v="18360"/>
    <n v="3304.7999999999997"/>
    <n v="21304.799999999999"/>
    <n v="-2944.7999999999993"/>
    <n v="-883.43999999999971"/>
    <n v="-2061.3599999999997"/>
    <n v="-0.10104705882352939"/>
  </r>
  <r>
    <x v="10"/>
    <x v="1"/>
    <s v="July 2014"/>
    <n v="1"/>
    <x v="4"/>
    <x v="3"/>
    <x v="1"/>
    <s v="Worst"/>
    <n v="1200"/>
    <n v="17"/>
    <n v="0.1"/>
    <n v="0.18"/>
    <n v="18000"/>
    <n v="0.3"/>
    <n v="20400"/>
    <n v="18360"/>
    <n v="3304.7999999999997"/>
    <n v="21304.799999999999"/>
    <n v="-2944.7999999999993"/>
    <n v="-883.43999999999971"/>
    <n v="-2061.3599999999997"/>
    <n v="-0.10104705882352939"/>
  </r>
  <r>
    <x v="10"/>
    <x v="1"/>
    <s v="July 2014"/>
    <n v="1"/>
    <x v="4"/>
    <x v="3"/>
    <x v="2"/>
    <s v="Worst"/>
    <n v="1200"/>
    <n v="17"/>
    <n v="0.1"/>
    <n v="0.18"/>
    <n v="18000"/>
    <n v="0.3"/>
    <n v="20400"/>
    <n v="18360"/>
    <n v="3304.7999999999997"/>
    <n v="21304.799999999999"/>
    <n v="-2944.7999999999993"/>
    <n v="-883.43999999999971"/>
    <n v="-2061.3599999999997"/>
    <n v="-0.10104705882352939"/>
  </r>
  <r>
    <x v="10"/>
    <x v="1"/>
    <s v="July 2014"/>
    <n v="1"/>
    <x v="4"/>
    <x v="3"/>
    <x v="3"/>
    <s v="Worst"/>
    <n v="1200"/>
    <n v="17"/>
    <n v="0.1"/>
    <n v="0.18"/>
    <n v="18000"/>
    <n v="0.3"/>
    <n v="20400"/>
    <n v="18360"/>
    <n v="3304.7999999999997"/>
    <n v="21304.799999999999"/>
    <n v="-2944.7999999999993"/>
    <n v="-883.43999999999971"/>
    <n v="-2061.3599999999997"/>
    <n v="-0.10104705882352939"/>
  </r>
  <r>
    <x v="10"/>
    <x v="1"/>
    <s v="July 2014"/>
    <n v="1"/>
    <x v="4"/>
    <x v="3"/>
    <x v="4"/>
    <s v="Worst"/>
    <n v="1200"/>
    <n v="17"/>
    <n v="0.1"/>
    <n v="0.18"/>
    <n v="18000"/>
    <n v="0.3"/>
    <n v="20400"/>
    <n v="18360"/>
    <n v="3304.7999999999997"/>
    <n v="21304.799999999999"/>
    <n v="-2944.7999999999993"/>
    <n v="-883.43999999999971"/>
    <n v="-2061.3599999999997"/>
    <n v="-0.10104705882352939"/>
  </r>
  <r>
    <x v="10"/>
    <x v="1"/>
    <s v="July 2014"/>
    <n v="1"/>
    <x v="4"/>
    <x v="4"/>
    <x v="0"/>
    <s v="Worst"/>
    <n v="1200"/>
    <n v="17"/>
    <n v="0.1"/>
    <n v="0.18"/>
    <n v="18000"/>
    <n v="0.3"/>
    <n v="20400"/>
    <n v="18360"/>
    <n v="3304.7999999999997"/>
    <n v="21304.799999999999"/>
    <n v="-2944.7999999999993"/>
    <n v="-883.43999999999971"/>
    <n v="-2061.3599999999997"/>
    <n v="-0.10104705882352939"/>
  </r>
  <r>
    <x v="10"/>
    <x v="1"/>
    <s v="July 2014"/>
    <n v="1"/>
    <x v="4"/>
    <x v="4"/>
    <x v="1"/>
    <s v="Worst"/>
    <n v="1200"/>
    <n v="17"/>
    <n v="0.1"/>
    <n v="0.18"/>
    <n v="18000"/>
    <n v="0.3"/>
    <n v="20400"/>
    <n v="18360"/>
    <n v="3304.7999999999997"/>
    <n v="21304.799999999999"/>
    <n v="-2944.7999999999993"/>
    <n v="-883.43999999999971"/>
    <n v="-2061.3599999999997"/>
    <n v="-0.10104705882352939"/>
  </r>
  <r>
    <x v="10"/>
    <x v="1"/>
    <s v="July 2014"/>
    <n v="1"/>
    <x v="4"/>
    <x v="4"/>
    <x v="2"/>
    <s v="Worst"/>
    <n v="1200"/>
    <n v="17"/>
    <n v="0.1"/>
    <n v="0.18"/>
    <n v="18000"/>
    <n v="0.3"/>
    <n v="20400"/>
    <n v="18360"/>
    <n v="3304.7999999999997"/>
    <n v="21304.799999999999"/>
    <n v="-2944.7999999999993"/>
    <n v="-883.43999999999971"/>
    <n v="-2061.3599999999997"/>
    <n v="-0.10104705882352939"/>
  </r>
  <r>
    <x v="10"/>
    <x v="1"/>
    <s v="July 2014"/>
    <n v="1"/>
    <x v="4"/>
    <x v="4"/>
    <x v="3"/>
    <s v="Worst"/>
    <n v="1200"/>
    <n v="17"/>
    <n v="0.1"/>
    <n v="0.18"/>
    <n v="18000"/>
    <n v="0.3"/>
    <n v="20400"/>
    <n v="18360"/>
    <n v="3304.7999999999997"/>
    <n v="21304.799999999999"/>
    <n v="-2944.7999999999993"/>
    <n v="-883.43999999999971"/>
    <n v="-2061.3599999999997"/>
    <n v="-0.10104705882352939"/>
  </r>
  <r>
    <x v="10"/>
    <x v="1"/>
    <s v="July 2014"/>
    <n v="1"/>
    <x v="4"/>
    <x v="4"/>
    <x v="4"/>
    <s v="Worst"/>
    <n v="1200"/>
    <n v="17"/>
    <n v="0.1"/>
    <n v="0.18"/>
    <n v="18000"/>
    <n v="0.3"/>
    <n v="20400"/>
    <n v="18360"/>
    <n v="3304.7999999999997"/>
    <n v="21304.799999999999"/>
    <n v="-2944.7999999999993"/>
    <n v="-883.43999999999971"/>
    <n v="-2061.3599999999997"/>
    <n v="-0.10104705882352939"/>
  </r>
  <r>
    <x v="11"/>
    <x v="1"/>
    <s v="August 2014"/>
    <n v="1"/>
    <x v="0"/>
    <x v="0"/>
    <x v="0"/>
    <s v="Worst"/>
    <n v="1200"/>
    <n v="17"/>
    <n v="0.1"/>
    <n v="0.18"/>
    <n v="18000"/>
    <n v="0.3"/>
    <n v="20400"/>
    <n v="18360"/>
    <n v="3304.7999999999997"/>
    <n v="21304.799999999999"/>
    <n v="-2944.7999999999993"/>
    <n v="-883.43999999999971"/>
    <n v="-2061.3599999999997"/>
    <n v="-0.10104705882352939"/>
  </r>
  <r>
    <x v="11"/>
    <x v="1"/>
    <s v="August 2014"/>
    <n v="1"/>
    <x v="0"/>
    <x v="0"/>
    <x v="1"/>
    <s v="Worst"/>
    <n v="1200"/>
    <n v="17"/>
    <n v="0.1"/>
    <n v="0.18"/>
    <n v="18000"/>
    <n v="0.3"/>
    <n v="20400"/>
    <n v="18360"/>
    <n v="3304.7999999999997"/>
    <n v="21304.799999999999"/>
    <n v="-2944.7999999999993"/>
    <n v="-883.43999999999971"/>
    <n v="-2061.3599999999997"/>
    <n v="-0.10104705882352939"/>
  </r>
  <r>
    <x v="11"/>
    <x v="1"/>
    <s v="August 2014"/>
    <n v="1"/>
    <x v="0"/>
    <x v="0"/>
    <x v="2"/>
    <s v="Worst"/>
    <n v="1200"/>
    <n v="17"/>
    <n v="0.1"/>
    <n v="0.18"/>
    <n v="18000"/>
    <n v="0.3"/>
    <n v="20400"/>
    <n v="18360"/>
    <n v="3304.7999999999997"/>
    <n v="21304.799999999999"/>
    <n v="-2944.7999999999993"/>
    <n v="-883.43999999999971"/>
    <n v="-2061.3599999999997"/>
    <n v="-0.10104705882352939"/>
  </r>
  <r>
    <x v="11"/>
    <x v="1"/>
    <s v="August 2014"/>
    <n v="1"/>
    <x v="0"/>
    <x v="0"/>
    <x v="3"/>
    <s v="Worst"/>
    <n v="1200"/>
    <n v="17"/>
    <n v="0.1"/>
    <n v="0.18"/>
    <n v="18000"/>
    <n v="0.3"/>
    <n v="20400"/>
    <n v="18360"/>
    <n v="3304.7999999999997"/>
    <n v="21304.799999999999"/>
    <n v="-2944.7999999999993"/>
    <n v="-883.43999999999971"/>
    <n v="-2061.3599999999997"/>
    <n v="-0.10104705882352939"/>
  </r>
  <r>
    <x v="11"/>
    <x v="1"/>
    <s v="August 2014"/>
    <n v="1"/>
    <x v="0"/>
    <x v="0"/>
    <x v="4"/>
    <s v="Worst"/>
    <n v="1200"/>
    <n v="17"/>
    <n v="0.1"/>
    <n v="0.18"/>
    <n v="18000"/>
    <n v="0.3"/>
    <n v="20400"/>
    <n v="18360"/>
    <n v="3304.7999999999997"/>
    <n v="21304.799999999999"/>
    <n v="-2944.7999999999993"/>
    <n v="-883.43999999999971"/>
    <n v="-2061.3599999999997"/>
    <n v="-0.10104705882352939"/>
  </r>
  <r>
    <x v="11"/>
    <x v="1"/>
    <s v="August 2014"/>
    <n v="1"/>
    <x v="0"/>
    <x v="1"/>
    <x v="0"/>
    <s v="Worst"/>
    <n v="1200"/>
    <n v="17"/>
    <n v="0.1"/>
    <n v="0.18"/>
    <n v="18000"/>
    <n v="0.3"/>
    <n v="20400"/>
    <n v="18360"/>
    <n v="3304.7999999999997"/>
    <n v="21304.799999999999"/>
    <n v="-2944.7999999999993"/>
    <n v="-883.43999999999971"/>
    <n v="-2061.3599999999997"/>
    <n v="-0.10104705882352939"/>
  </r>
  <r>
    <x v="11"/>
    <x v="1"/>
    <s v="August 2014"/>
    <n v="1"/>
    <x v="0"/>
    <x v="1"/>
    <x v="1"/>
    <s v="Worst"/>
    <n v="1200"/>
    <n v="17"/>
    <n v="0.1"/>
    <n v="0.18"/>
    <n v="18000"/>
    <n v="0.3"/>
    <n v="20400"/>
    <n v="18360"/>
    <n v="3304.7999999999997"/>
    <n v="21304.799999999999"/>
    <n v="-2944.7999999999993"/>
    <n v="-883.43999999999971"/>
    <n v="-2061.3599999999997"/>
    <n v="-0.10104705882352939"/>
  </r>
  <r>
    <x v="11"/>
    <x v="1"/>
    <s v="August 2014"/>
    <n v="1"/>
    <x v="0"/>
    <x v="1"/>
    <x v="2"/>
    <s v="Worst"/>
    <n v="1200"/>
    <n v="17"/>
    <n v="0.1"/>
    <n v="0.18"/>
    <n v="18000"/>
    <n v="0.3"/>
    <n v="20400"/>
    <n v="18360"/>
    <n v="3304.7999999999997"/>
    <n v="21304.799999999999"/>
    <n v="-2944.7999999999993"/>
    <n v="-883.43999999999971"/>
    <n v="-2061.3599999999997"/>
    <n v="-0.10104705882352939"/>
  </r>
  <r>
    <x v="11"/>
    <x v="1"/>
    <s v="August 2014"/>
    <n v="1"/>
    <x v="0"/>
    <x v="1"/>
    <x v="3"/>
    <s v="Worst"/>
    <n v="1200"/>
    <n v="17"/>
    <n v="0.1"/>
    <n v="0.18"/>
    <n v="18000"/>
    <n v="0.3"/>
    <n v="20400"/>
    <n v="18360"/>
    <n v="3304.7999999999997"/>
    <n v="21304.799999999999"/>
    <n v="-2944.7999999999993"/>
    <n v="-883.43999999999971"/>
    <n v="-2061.3599999999997"/>
    <n v="-0.10104705882352939"/>
  </r>
  <r>
    <x v="11"/>
    <x v="1"/>
    <s v="August 2014"/>
    <n v="1"/>
    <x v="0"/>
    <x v="1"/>
    <x v="4"/>
    <s v="Worst"/>
    <n v="1200"/>
    <n v="17"/>
    <n v="0.1"/>
    <n v="0.18"/>
    <n v="18000"/>
    <n v="0.3"/>
    <n v="20400"/>
    <n v="18360"/>
    <n v="3304.7999999999997"/>
    <n v="21304.799999999999"/>
    <n v="-2944.7999999999993"/>
    <n v="-883.43999999999971"/>
    <n v="-2061.3599999999997"/>
    <n v="-0.10104705882352939"/>
  </r>
  <r>
    <x v="11"/>
    <x v="1"/>
    <s v="August 2014"/>
    <n v="1"/>
    <x v="0"/>
    <x v="2"/>
    <x v="0"/>
    <s v="Worst"/>
    <n v="1200"/>
    <n v="17"/>
    <n v="0.1"/>
    <n v="0.18"/>
    <n v="18000"/>
    <n v="0.3"/>
    <n v="20400"/>
    <n v="18360"/>
    <n v="3304.7999999999997"/>
    <n v="21304.799999999999"/>
    <n v="-2944.7999999999993"/>
    <n v="-883.43999999999971"/>
    <n v="-2061.3599999999997"/>
    <n v="-0.10104705882352939"/>
  </r>
  <r>
    <x v="11"/>
    <x v="1"/>
    <s v="August 2014"/>
    <n v="1"/>
    <x v="0"/>
    <x v="2"/>
    <x v="1"/>
    <s v="Worst"/>
    <n v="1200"/>
    <n v="17"/>
    <n v="0.1"/>
    <n v="0.18"/>
    <n v="18000"/>
    <n v="0.3"/>
    <n v="20400"/>
    <n v="18360"/>
    <n v="3304.7999999999997"/>
    <n v="21304.799999999999"/>
    <n v="-2944.7999999999993"/>
    <n v="-883.43999999999971"/>
    <n v="-2061.3599999999997"/>
    <n v="-0.10104705882352939"/>
  </r>
  <r>
    <x v="11"/>
    <x v="1"/>
    <s v="August 2014"/>
    <n v="1"/>
    <x v="0"/>
    <x v="2"/>
    <x v="2"/>
    <s v="Worst"/>
    <n v="1200"/>
    <n v="17"/>
    <n v="0.1"/>
    <n v="0.18"/>
    <n v="18000"/>
    <n v="0.3"/>
    <n v="20400"/>
    <n v="18360"/>
    <n v="3304.7999999999997"/>
    <n v="21304.799999999999"/>
    <n v="-2944.7999999999993"/>
    <n v="-883.43999999999971"/>
    <n v="-2061.3599999999997"/>
    <n v="-0.10104705882352939"/>
  </r>
  <r>
    <x v="11"/>
    <x v="1"/>
    <s v="August 2014"/>
    <n v="1"/>
    <x v="0"/>
    <x v="2"/>
    <x v="3"/>
    <s v="Worst"/>
    <n v="1200"/>
    <n v="17"/>
    <n v="0.1"/>
    <n v="0.18"/>
    <n v="18000"/>
    <n v="0.3"/>
    <n v="20400"/>
    <n v="18360"/>
    <n v="3304.7999999999997"/>
    <n v="21304.799999999999"/>
    <n v="-2944.7999999999993"/>
    <n v="-883.43999999999971"/>
    <n v="-2061.3599999999997"/>
    <n v="-0.10104705882352939"/>
  </r>
  <r>
    <x v="11"/>
    <x v="1"/>
    <s v="August 2014"/>
    <n v="1"/>
    <x v="0"/>
    <x v="2"/>
    <x v="4"/>
    <s v="Worst"/>
    <n v="1200"/>
    <n v="17"/>
    <n v="0.1"/>
    <n v="0.18"/>
    <n v="18000"/>
    <n v="0.3"/>
    <n v="20400"/>
    <n v="18360"/>
    <n v="3304.7999999999997"/>
    <n v="21304.799999999999"/>
    <n v="-2944.7999999999993"/>
    <n v="-883.43999999999971"/>
    <n v="-2061.3599999999997"/>
    <n v="-0.10104705882352939"/>
  </r>
  <r>
    <x v="11"/>
    <x v="1"/>
    <s v="August 2014"/>
    <n v="1"/>
    <x v="0"/>
    <x v="3"/>
    <x v="0"/>
    <s v="Worst"/>
    <n v="1200"/>
    <n v="17"/>
    <n v="0.1"/>
    <n v="0.18"/>
    <n v="18000"/>
    <n v="0.3"/>
    <n v="20400"/>
    <n v="18360"/>
    <n v="3304.7999999999997"/>
    <n v="21304.799999999999"/>
    <n v="-2944.7999999999993"/>
    <n v="-883.43999999999971"/>
    <n v="-2061.3599999999997"/>
    <n v="-0.10104705882352939"/>
  </r>
  <r>
    <x v="11"/>
    <x v="1"/>
    <s v="August 2014"/>
    <n v="1"/>
    <x v="0"/>
    <x v="3"/>
    <x v="1"/>
    <s v="Worst"/>
    <n v="1200"/>
    <n v="17"/>
    <n v="0.1"/>
    <n v="0.18"/>
    <n v="18000"/>
    <n v="0.3"/>
    <n v="20400"/>
    <n v="18360"/>
    <n v="3304.7999999999997"/>
    <n v="21304.799999999999"/>
    <n v="-2944.7999999999993"/>
    <n v="-883.43999999999971"/>
    <n v="-2061.3599999999997"/>
    <n v="-0.10104705882352939"/>
  </r>
  <r>
    <x v="11"/>
    <x v="1"/>
    <s v="August 2014"/>
    <n v="1"/>
    <x v="0"/>
    <x v="3"/>
    <x v="2"/>
    <s v="Worst"/>
    <n v="1200"/>
    <n v="17"/>
    <n v="0.1"/>
    <n v="0.18"/>
    <n v="18000"/>
    <n v="0.3"/>
    <n v="20400"/>
    <n v="18360"/>
    <n v="3304.7999999999997"/>
    <n v="21304.799999999999"/>
    <n v="-2944.7999999999993"/>
    <n v="-883.43999999999971"/>
    <n v="-2061.3599999999997"/>
    <n v="-0.10104705882352939"/>
  </r>
  <r>
    <x v="11"/>
    <x v="1"/>
    <s v="August 2014"/>
    <n v="1"/>
    <x v="0"/>
    <x v="3"/>
    <x v="3"/>
    <s v="Worst"/>
    <n v="1200"/>
    <n v="17"/>
    <n v="0.1"/>
    <n v="0.18"/>
    <n v="18000"/>
    <n v="0.3"/>
    <n v="20400"/>
    <n v="18360"/>
    <n v="3304.7999999999997"/>
    <n v="21304.799999999999"/>
    <n v="-2944.7999999999993"/>
    <n v="-883.43999999999971"/>
    <n v="-2061.3599999999997"/>
    <n v="-0.10104705882352939"/>
  </r>
  <r>
    <x v="11"/>
    <x v="1"/>
    <s v="August 2014"/>
    <n v="1"/>
    <x v="0"/>
    <x v="3"/>
    <x v="4"/>
    <s v="Worst"/>
    <n v="1200"/>
    <n v="17"/>
    <n v="0.1"/>
    <n v="0.18"/>
    <n v="18000"/>
    <n v="0.3"/>
    <n v="20400"/>
    <n v="18360"/>
    <n v="3304.7999999999997"/>
    <n v="21304.799999999999"/>
    <n v="-2944.7999999999993"/>
    <n v="-883.43999999999971"/>
    <n v="-2061.3599999999997"/>
    <n v="-0.10104705882352939"/>
  </r>
  <r>
    <x v="11"/>
    <x v="1"/>
    <s v="August 2014"/>
    <n v="1"/>
    <x v="0"/>
    <x v="4"/>
    <x v="0"/>
    <s v="Worst"/>
    <n v="1200"/>
    <n v="17"/>
    <n v="0.1"/>
    <n v="0.18"/>
    <n v="18000"/>
    <n v="0.3"/>
    <n v="20400"/>
    <n v="18360"/>
    <n v="3304.7999999999997"/>
    <n v="21304.799999999999"/>
    <n v="-2944.7999999999993"/>
    <n v="-883.43999999999971"/>
    <n v="-2061.3599999999997"/>
    <n v="-0.10104705882352939"/>
  </r>
  <r>
    <x v="11"/>
    <x v="1"/>
    <s v="August 2014"/>
    <n v="1"/>
    <x v="0"/>
    <x v="4"/>
    <x v="1"/>
    <s v="Worst"/>
    <n v="1200"/>
    <n v="17"/>
    <n v="0.1"/>
    <n v="0.18"/>
    <n v="18000"/>
    <n v="0.3"/>
    <n v="20400"/>
    <n v="18360"/>
    <n v="3304.7999999999997"/>
    <n v="21304.799999999999"/>
    <n v="-2944.7999999999993"/>
    <n v="-883.43999999999971"/>
    <n v="-2061.3599999999997"/>
    <n v="-0.10104705882352939"/>
  </r>
  <r>
    <x v="11"/>
    <x v="1"/>
    <s v="August 2014"/>
    <n v="1"/>
    <x v="0"/>
    <x v="4"/>
    <x v="2"/>
    <s v="Worst"/>
    <n v="1200"/>
    <n v="17"/>
    <n v="0.1"/>
    <n v="0.18"/>
    <n v="18000"/>
    <n v="0.3"/>
    <n v="20400"/>
    <n v="18360"/>
    <n v="3304.7999999999997"/>
    <n v="21304.799999999999"/>
    <n v="-2944.7999999999993"/>
    <n v="-883.43999999999971"/>
    <n v="-2061.3599999999997"/>
    <n v="-0.10104705882352939"/>
  </r>
  <r>
    <x v="11"/>
    <x v="1"/>
    <s v="August 2014"/>
    <n v="1"/>
    <x v="0"/>
    <x v="4"/>
    <x v="3"/>
    <s v="Worst"/>
    <n v="1200"/>
    <n v="17"/>
    <n v="0.1"/>
    <n v="0.18"/>
    <n v="18000"/>
    <n v="0.3"/>
    <n v="20400"/>
    <n v="18360"/>
    <n v="3304.7999999999997"/>
    <n v="21304.799999999999"/>
    <n v="-2944.7999999999993"/>
    <n v="-883.43999999999971"/>
    <n v="-2061.3599999999997"/>
    <n v="-0.10104705882352939"/>
  </r>
  <r>
    <x v="11"/>
    <x v="1"/>
    <s v="August 2014"/>
    <n v="1"/>
    <x v="0"/>
    <x v="4"/>
    <x v="4"/>
    <s v="Worst"/>
    <n v="1200"/>
    <n v="17"/>
    <n v="0.1"/>
    <n v="0.18"/>
    <n v="18000"/>
    <n v="0.3"/>
    <n v="20400"/>
    <n v="18360"/>
    <n v="3304.7999999999997"/>
    <n v="21304.799999999999"/>
    <n v="-2944.7999999999993"/>
    <n v="-883.43999999999971"/>
    <n v="-2061.3599999999997"/>
    <n v="-0.10104705882352939"/>
  </r>
  <r>
    <x v="11"/>
    <x v="1"/>
    <s v="August 2014"/>
    <n v="1"/>
    <x v="1"/>
    <x v="0"/>
    <x v="0"/>
    <s v="Worst"/>
    <n v="1200"/>
    <n v="17"/>
    <n v="0.1"/>
    <n v="0.18"/>
    <n v="18000"/>
    <n v="0.3"/>
    <n v="20400"/>
    <n v="18360"/>
    <n v="3304.7999999999997"/>
    <n v="21304.799999999999"/>
    <n v="-2944.7999999999993"/>
    <n v="-883.43999999999971"/>
    <n v="-2061.3599999999997"/>
    <n v="-0.10104705882352939"/>
  </r>
  <r>
    <x v="11"/>
    <x v="1"/>
    <s v="August 2014"/>
    <n v="1"/>
    <x v="1"/>
    <x v="0"/>
    <x v="1"/>
    <s v="Worst"/>
    <n v="1200"/>
    <n v="17"/>
    <n v="0.1"/>
    <n v="0.18"/>
    <n v="18000"/>
    <n v="0.3"/>
    <n v="20400"/>
    <n v="18360"/>
    <n v="3304.7999999999997"/>
    <n v="21304.799999999999"/>
    <n v="-2944.7999999999993"/>
    <n v="-883.43999999999971"/>
    <n v="-2061.3599999999997"/>
    <n v="-0.10104705882352939"/>
  </r>
  <r>
    <x v="11"/>
    <x v="1"/>
    <s v="August 2014"/>
    <n v="1"/>
    <x v="1"/>
    <x v="0"/>
    <x v="2"/>
    <s v="Worst"/>
    <n v="1200"/>
    <n v="17"/>
    <n v="0.1"/>
    <n v="0.18"/>
    <n v="18000"/>
    <n v="0.3"/>
    <n v="20400"/>
    <n v="18360"/>
    <n v="3304.7999999999997"/>
    <n v="21304.799999999999"/>
    <n v="-2944.7999999999993"/>
    <n v="-883.43999999999971"/>
    <n v="-2061.3599999999997"/>
    <n v="-0.10104705882352939"/>
  </r>
  <r>
    <x v="11"/>
    <x v="1"/>
    <s v="August 2014"/>
    <n v="1"/>
    <x v="1"/>
    <x v="0"/>
    <x v="3"/>
    <s v="Worst"/>
    <n v="1200"/>
    <n v="17"/>
    <n v="0.1"/>
    <n v="0.18"/>
    <n v="18000"/>
    <n v="0.3"/>
    <n v="20400"/>
    <n v="18360"/>
    <n v="3304.7999999999997"/>
    <n v="21304.799999999999"/>
    <n v="-2944.7999999999993"/>
    <n v="-883.43999999999971"/>
    <n v="-2061.3599999999997"/>
    <n v="-0.10104705882352939"/>
  </r>
  <r>
    <x v="11"/>
    <x v="1"/>
    <s v="August 2014"/>
    <n v="1"/>
    <x v="1"/>
    <x v="0"/>
    <x v="4"/>
    <s v="Worst"/>
    <n v="1200"/>
    <n v="17"/>
    <n v="0.1"/>
    <n v="0.18"/>
    <n v="18000"/>
    <n v="0.3"/>
    <n v="20400"/>
    <n v="18360"/>
    <n v="3304.7999999999997"/>
    <n v="21304.799999999999"/>
    <n v="-2944.7999999999993"/>
    <n v="-883.43999999999971"/>
    <n v="-2061.3599999999997"/>
    <n v="-0.10104705882352939"/>
  </r>
  <r>
    <x v="11"/>
    <x v="1"/>
    <s v="August 2014"/>
    <n v="1"/>
    <x v="1"/>
    <x v="1"/>
    <x v="0"/>
    <s v="Worst"/>
    <n v="1200"/>
    <n v="17"/>
    <n v="0.1"/>
    <n v="0.18"/>
    <n v="18000"/>
    <n v="0.3"/>
    <n v="20400"/>
    <n v="18360"/>
    <n v="3304.7999999999997"/>
    <n v="21304.799999999999"/>
    <n v="-2944.7999999999993"/>
    <n v="-883.43999999999971"/>
    <n v="-2061.3599999999997"/>
    <n v="-0.10104705882352939"/>
  </r>
  <r>
    <x v="11"/>
    <x v="1"/>
    <s v="August 2014"/>
    <n v="1"/>
    <x v="1"/>
    <x v="1"/>
    <x v="1"/>
    <s v="Worst"/>
    <n v="1200"/>
    <n v="17"/>
    <n v="0.1"/>
    <n v="0.18"/>
    <n v="18000"/>
    <n v="0.3"/>
    <n v="20400"/>
    <n v="18360"/>
    <n v="3304.7999999999997"/>
    <n v="21304.799999999999"/>
    <n v="-2944.7999999999993"/>
    <n v="-883.43999999999971"/>
    <n v="-2061.3599999999997"/>
    <n v="-0.10104705882352939"/>
  </r>
  <r>
    <x v="11"/>
    <x v="1"/>
    <s v="August 2014"/>
    <n v="1"/>
    <x v="1"/>
    <x v="1"/>
    <x v="2"/>
    <s v="Worst"/>
    <n v="1200"/>
    <n v="17"/>
    <n v="0.1"/>
    <n v="0.18"/>
    <n v="18000"/>
    <n v="0.3"/>
    <n v="20400"/>
    <n v="18360"/>
    <n v="3304.7999999999997"/>
    <n v="21304.799999999999"/>
    <n v="-2944.7999999999993"/>
    <n v="-883.43999999999971"/>
    <n v="-2061.3599999999997"/>
    <n v="-0.10104705882352939"/>
  </r>
  <r>
    <x v="11"/>
    <x v="1"/>
    <s v="August 2014"/>
    <n v="1"/>
    <x v="1"/>
    <x v="1"/>
    <x v="3"/>
    <s v="Worst"/>
    <n v="1200"/>
    <n v="17"/>
    <n v="0.1"/>
    <n v="0.18"/>
    <n v="18000"/>
    <n v="0.3"/>
    <n v="20400"/>
    <n v="18360"/>
    <n v="3304.7999999999997"/>
    <n v="21304.799999999999"/>
    <n v="-2944.7999999999993"/>
    <n v="-883.43999999999971"/>
    <n v="-2061.3599999999997"/>
    <n v="-0.10104705882352939"/>
  </r>
  <r>
    <x v="11"/>
    <x v="1"/>
    <s v="August 2014"/>
    <n v="1"/>
    <x v="1"/>
    <x v="1"/>
    <x v="4"/>
    <s v="Worst"/>
    <n v="1200"/>
    <n v="17"/>
    <n v="0.1"/>
    <n v="0.18"/>
    <n v="18000"/>
    <n v="0.3"/>
    <n v="20400"/>
    <n v="18360"/>
    <n v="3304.7999999999997"/>
    <n v="21304.799999999999"/>
    <n v="-2944.7999999999993"/>
    <n v="-883.43999999999971"/>
    <n v="-2061.3599999999997"/>
    <n v="-0.10104705882352939"/>
  </r>
  <r>
    <x v="11"/>
    <x v="1"/>
    <s v="August 2014"/>
    <n v="1"/>
    <x v="1"/>
    <x v="2"/>
    <x v="0"/>
    <s v="Worst"/>
    <n v="1200"/>
    <n v="17"/>
    <n v="0.1"/>
    <n v="0.18"/>
    <n v="18000"/>
    <n v="0.3"/>
    <n v="20400"/>
    <n v="18360"/>
    <n v="3304.7999999999997"/>
    <n v="21304.799999999999"/>
    <n v="-2944.7999999999993"/>
    <n v="-883.43999999999971"/>
    <n v="-2061.3599999999997"/>
    <n v="-0.10104705882352939"/>
  </r>
  <r>
    <x v="11"/>
    <x v="1"/>
    <s v="August 2014"/>
    <n v="1"/>
    <x v="1"/>
    <x v="2"/>
    <x v="1"/>
    <s v="Worst"/>
    <n v="1200"/>
    <n v="17"/>
    <n v="0.1"/>
    <n v="0.18"/>
    <n v="18000"/>
    <n v="0.3"/>
    <n v="20400"/>
    <n v="18360"/>
    <n v="3304.7999999999997"/>
    <n v="21304.799999999999"/>
    <n v="-2944.7999999999993"/>
    <n v="-883.43999999999971"/>
    <n v="-2061.3599999999997"/>
    <n v="-0.10104705882352939"/>
  </r>
  <r>
    <x v="11"/>
    <x v="1"/>
    <s v="August 2014"/>
    <n v="1"/>
    <x v="1"/>
    <x v="2"/>
    <x v="2"/>
    <s v="Worst"/>
    <n v="1200"/>
    <n v="17"/>
    <n v="0.1"/>
    <n v="0.18"/>
    <n v="18000"/>
    <n v="0.3"/>
    <n v="20400"/>
    <n v="18360"/>
    <n v="3304.7999999999997"/>
    <n v="21304.799999999999"/>
    <n v="-2944.7999999999993"/>
    <n v="-883.43999999999971"/>
    <n v="-2061.3599999999997"/>
    <n v="-0.10104705882352939"/>
  </r>
  <r>
    <x v="11"/>
    <x v="1"/>
    <s v="August 2014"/>
    <n v="1"/>
    <x v="1"/>
    <x v="2"/>
    <x v="3"/>
    <s v="Worst"/>
    <n v="1200"/>
    <n v="17"/>
    <n v="0.1"/>
    <n v="0.18"/>
    <n v="18000"/>
    <n v="0.3"/>
    <n v="20400"/>
    <n v="18360"/>
    <n v="3304.7999999999997"/>
    <n v="21304.799999999999"/>
    <n v="-2944.7999999999993"/>
    <n v="-883.43999999999971"/>
    <n v="-2061.3599999999997"/>
    <n v="-0.10104705882352939"/>
  </r>
  <r>
    <x v="11"/>
    <x v="1"/>
    <s v="August 2014"/>
    <n v="1"/>
    <x v="1"/>
    <x v="2"/>
    <x v="4"/>
    <s v="Worst"/>
    <n v="1200"/>
    <n v="17"/>
    <n v="0.1"/>
    <n v="0.18"/>
    <n v="18000"/>
    <n v="0.3"/>
    <n v="20400"/>
    <n v="18360"/>
    <n v="3304.7999999999997"/>
    <n v="21304.799999999999"/>
    <n v="-2944.7999999999993"/>
    <n v="-883.43999999999971"/>
    <n v="-2061.3599999999997"/>
    <n v="-0.10104705882352939"/>
  </r>
  <r>
    <x v="11"/>
    <x v="1"/>
    <s v="August 2014"/>
    <n v="1"/>
    <x v="1"/>
    <x v="3"/>
    <x v="0"/>
    <s v="Worst"/>
    <n v="1200"/>
    <n v="17"/>
    <n v="0.1"/>
    <n v="0.18"/>
    <n v="18000"/>
    <n v="0.3"/>
    <n v="20400"/>
    <n v="18360"/>
    <n v="3304.7999999999997"/>
    <n v="21304.799999999999"/>
    <n v="-2944.7999999999993"/>
    <n v="-883.43999999999971"/>
    <n v="-2061.3599999999997"/>
    <n v="-0.10104705882352939"/>
  </r>
  <r>
    <x v="11"/>
    <x v="1"/>
    <s v="August 2014"/>
    <n v="1"/>
    <x v="1"/>
    <x v="3"/>
    <x v="1"/>
    <s v="Worst"/>
    <n v="1200"/>
    <n v="17"/>
    <n v="0.1"/>
    <n v="0.18"/>
    <n v="18000"/>
    <n v="0.3"/>
    <n v="20400"/>
    <n v="18360"/>
    <n v="3304.7999999999997"/>
    <n v="21304.799999999999"/>
    <n v="-2944.7999999999993"/>
    <n v="-883.43999999999971"/>
    <n v="-2061.3599999999997"/>
    <n v="-0.10104705882352939"/>
  </r>
  <r>
    <x v="11"/>
    <x v="1"/>
    <s v="August 2014"/>
    <n v="1"/>
    <x v="1"/>
    <x v="3"/>
    <x v="2"/>
    <s v="Worst"/>
    <n v="1200"/>
    <n v="17"/>
    <n v="0.1"/>
    <n v="0.18"/>
    <n v="18000"/>
    <n v="0.3"/>
    <n v="20400"/>
    <n v="18360"/>
    <n v="3304.7999999999997"/>
    <n v="21304.799999999999"/>
    <n v="-2944.7999999999993"/>
    <n v="-883.43999999999971"/>
    <n v="-2061.3599999999997"/>
    <n v="-0.10104705882352939"/>
  </r>
  <r>
    <x v="11"/>
    <x v="1"/>
    <s v="August 2014"/>
    <n v="1"/>
    <x v="1"/>
    <x v="3"/>
    <x v="3"/>
    <s v="Worst"/>
    <n v="1200"/>
    <n v="17"/>
    <n v="0.1"/>
    <n v="0.18"/>
    <n v="18000"/>
    <n v="0.3"/>
    <n v="20400"/>
    <n v="18360"/>
    <n v="3304.7999999999997"/>
    <n v="21304.799999999999"/>
    <n v="-2944.7999999999993"/>
    <n v="-883.43999999999971"/>
    <n v="-2061.3599999999997"/>
    <n v="-0.10104705882352939"/>
  </r>
  <r>
    <x v="11"/>
    <x v="1"/>
    <s v="August 2014"/>
    <n v="1"/>
    <x v="1"/>
    <x v="3"/>
    <x v="4"/>
    <s v="Worst"/>
    <n v="1200"/>
    <n v="17"/>
    <n v="0.1"/>
    <n v="0.18"/>
    <n v="18000"/>
    <n v="0.3"/>
    <n v="20400"/>
    <n v="18360"/>
    <n v="3304.7999999999997"/>
    <n v="21304.799999999999"/>
    <n v="-2944.7999999999993"/>
    <n v="-883.43999999999971"/>
    <n v="-2061.3599999999997"/>
    <n v="-0.10104705882352939"/>
  </r>
  <r>
    <x v="11"/>
    <x v="1"/>
    <s v="August 2014"/>
    <n v="1"/>
    <x v="1"/>
    <x v="4"/>
    <x v="0"/>
    <s v="Worst"/>
    <n v="1200"/>
    <n v="17"/>
    <n v="0.1"/>
    <n v="0.18"/>
    <n v="18000"/>
    <n v="0.3"/>
    <n v="20400"/>
    <n v="18360"/>
    <n v="3304.7999999999997"/>
    <n v="21304.799999999999"/>
    <n v="-2944.7999999999993"/>
    <n v="-883.43999999999971"/>
    <n v="-2061.3599999999997"/>
    <n v="-0.10104705882352939"/>
  </r>
  <r>
    <x v="11"/>
    <x v="1"/>
    <s v="August 2014"/>
    <n v="1"/>
    <x v="1"/>
    <x v="4"/>
    <x v="1"/>
    <s v="Worst"/>
    <n v="1200"/>
    <n v="17"/>
    <n v="0.1"/>
    <n v="0.18"/>
    <n v="18000"/>
    <n v="0.3"/>
    <n v="20400"/>
    <n v="18360"/>
    <n v="3304.7999999999997"/>
    <n v="21304.799999999999"/>
    <n v="-2944.7999999999993"/>
    <n v="-883.43999999999971"/>
    <n v="-2061.3599999999997"/>
    <n v="-0.10104705882352939"/>
  </r>
  <r>
    <x v="11"/>
    <x v="1"/>
    <s v="August 2014"/>
    <n v="1"/>
    <x v="1"/>
    <x v="4"/>
    <x v="2"/>
    <s v="Worst"/>
    <n v="1200"/>
    <n v="17"/>
    <n v="0.1"/>
    <n v="0.18"/>
    <n v="18000"/>
    <n v="0.3"/>
    <n v="20400"/>
    <n v="18360"/>
    <n v="3304.7999999999997"/>
    <n v="21304.799999999999"/>
    <n v="-2944.7999999999993"/>
    <n v="-883.43999999999971"/>
    <n v="-2061.3599999999997"/>
    <n v="-0.10104705882352939"/>
  </r>
  <r>
    <x v="11"/>
    <x v="1"/>
    <s v="August 2014"/>
    <n v="1"/>
    <x v="1"/>
    <x v="4"/>
    <x v="3"/>
    <s v="Worst"/>
    <n v="1200"/>
    <n v="17"/>
    <n v="0.1"/>
    <n v="0.18"/>
    <n v="18000"/>
    <n v="0.3"/>
    <n v="20400"/>
    <n v="18360"/>
    <n v="3304.7999999999997"/>
    <n v="21304.799999999999"/>
    <n v="-2944.7999999999993"/>
    <n v="-883.43999999999971"/>
    <n v="-2061.3599999999997"/>
    <n v="-0.10104705882352939"/>
  </r>
  <r>
    <x v="11"/>
    <x v="1"/>
    <s v="August 2014"/>
    <n v="1"/>
    <x v="1"/>
    <x v="4"/>
    <x v="4"/>
    <s v="Worst"/>
    <n v="1200"/>
    <n v="17"/>
    <n v="0.1"/>
    <n v="0.18"/>
    <n v="18000"/>
    <n v="0.3"/>
    <n v="20400"/>
    <n v="18360"/>
    <n v="3304.7999999999997"/>
    <n v="21304.799999999999"/>
    <n v="-2944.7999999999993"/>
    <n v="-883.43999999999971"/>
    <n v="-2061.3599999999997"/>
    <n v="-0.10104705882352939"/>
  </r>
  <r>
    <x v="11"/>
    <x v="1"/>
    <s v="August 2014"/>
    <n v="1"/>
    <x v="2"/>
    <x v="0"/>
    <x v="0"/>
    <s v="Worst"/>
    <n v="1200"/>
    <n v="17"/>
    <n v="0.1"/>
    <n v="0.18"/>
    <n v="18000"/>
    <n v="0.3"/>
    <n v="20400"/>
    <n v="18360"/>
    <n v="3304.7999999999997"/>
    <n v="21304.799999999999"/>
    <n v="-2944.7999999999993"/>
    <n v="-883.43999999999971"/>
    <n v="-2061.3599999999997"/>
    <n v="-0.10104705882352939"/>
  </r>
  <r>
    <x v="11"/>
    <x v="1"/>
    <s v="August 2014"/>
    <n v="1"/>
    <x v="2"/>
    <x v="0"/>
    <x v="1"/>
    <s v="Worst"/>
    <n v="1200"/>
    <n v="17"/>
    <n v="0.1"/>
    <n v="0.18"/>
    <n v="18000"/>
    <n v="0.3"/>
    <n v="20400"/>
    <n v="18360"/>
    <n v="3304.7999999999997"/>
    <n v="21304.799999999999"/>
    <n v="-2944.7999999999993"/>
    <n v="-883.43999999999971"/>
    <n v="-2061.3599999999997"/>
    <n v="-0.10104705882352939"/>
  </r>
  <r>
    <x v="11"/>
    <x v="1"/>
    <s v="August 2014"/>
    <n v="1"/>
    <x v="2"/>
    <x v="0"/>
    <x v="2"/>
    <s v="Worst"/>
    <n v="1200"/>
    <n v="17"/>
    <n v="0.1"/>
    <n v="0.18"/>
    <n v="18000"/>
    <n v="0.3"/>
    <n v="20400"/>
    <n v="18360"/>
    <n v="3304.7999999999997"/>
    <n v="21304.799999999999"/>
    <n v="-2944.7999999999993"/>
    <n v="-883.43999999999971"/>
    <n v="-2061.3599999999997"/>
    <n v="-0.10104705882352939"/>
  </r>
  <r>
    <x v="11"/>
    <x v="1"/>
    <s v="August 2014"/>
    <n v="1"/>
    <x v="2"/>
    <x v="0"/>
    <x v="3"/>
    <s v="Worst"/>
    <n v="1200"/>
    <n v="17"/>
    <n v="0.1"/>
    <n v="0.18"/>
    <n v="18000"/>
    <n v="0.3"/>
    <n v="20400"/>
    <n v="18360"/>
    <n v="3304.7999999999997"/>
    <n v="21304.799999999999"/>
    <n v="-2944.7999999999993"/>
    <n v="-883.43999999999971"/>
    <n v="-2061.3599999999997"/>
    <n v="-0.10104705882352939"/>
  </r>
  <r>
    <x v="11"/>
    <x v="1"/>
    <s v="August 2014"/>
    <n v="1"/>
    <x v="2"/>
    <x v="0"/>
    <x v="4"/>
    <s v="Worst"/>
    <n v="1200"/>
    <n v="17"/>
    <n v="0.1"/>
    <n v="0.18"/>
    <n v="18000"/>
    <n v="0.3"/>
    <n v="20400"/>
    <n v="18360"/>
    <n v="3304.7999999999997"/>
    <n v="21304.799999999999"/>
    <n v="-2944.7999999999993"/>
    <n v="-883.43999999999971"/>
    <n v="-2061.3599999999997"/>
    <n v="-0.10104705882352939"/>
  </r>
  <r>
    <x v="11"/>
    <x v="1"/>
    <s v="August 2014"/>
    <n v="1"/>
    <x v="2"/>
    <x v="1"/>
    <x v="0"/>
    <s v="Worst"/>
    <n v="1200"/>
    <n v="17"/>
    <n v="0.1"/>
    <n v="0.18"/>
    <n v="18000"/>
    <n v="0.3"/>
    <n v="20400"/>
    <n v="18360"/>
    <n v="3304.7999999999997"/>
    <n v="21304.799999999999"/>
    <n v="-2944.7999999999993"/>
    <n v="-883.43999999999971"/>
    <n v="-2061.3599999999997"/>
    <n v="-0.10104705882352939"/>
  </r>
  <r>
    <x v="11"/>
    <x v="1"/>
    <s v="August 2014"/>
    <n v="1"/>
    <x v="2"/>
    <x v="1"/>
    <x v="1"/>
    <s v="Worst"/>
    <n v="1200"/>
    <n v="17"/>
    <n v="0.1"/>
    <n v="0.18"/>
    <n v="18000"/>
    <n v="0.3"/>
    <n v="20400"/>
    <n v="18360"/>
    <n v="3304.7999999999997"/>
    <n v="21304.799999999999"/>
    <n v="-2944.7999999999993"/>
    <n v="-883.43999999999971"/>
    <n v="-2061.3599999999997"/>
    <n v="-0.10104705882352939"/>
  </r>
  <r>
    <x v="11"/>
    <x v="1"/>
    <s v="August 2014"/>
    <n v="1"/>
    <x v="2"/>
    <x v="1"/>
    <x v="2"/>
    <s v="Worst"/>
    <n v="1200"/>
    <n v="17"/>
    <n v="0.1"/>
    <n v="0.18"/>
    <n v="18000"/>
    <n v="0.3"/>
    <n v="20400"/>
    <n v="18360"/>
    <n v="3304.7999999999997"/>
    <n v="21304.799999999999"/>
    <n v="-2944.7999999999993"/>
    <n v="-883.43999999999971"/>
    <n v="-2061.3599999999997"/>
    <n v="-0.10104705882352939"/>
  </r>
  <r>
    <x v="11"/>
    <x v="1"/>
    <s v="August 2014"/>
    <n v="1"/>
    <x v="2"/>
    <x v="1"/>
    <x v="3"/>
    <s v="Worst"/>
    <n v="1200"/>
    <n v="17"/>
    <n v="0.1"/>
    <n v="0.18"/>
    <n v="18000"/>
    <n v="0.3"/>
    <n v="20400"/>
    <n v="18360"/>
    <n v="3304.7999999999997"/>
    <n v="21304.799999999999"/>
    <n v="-2944.7999999999993"/>
    <n v="-883.43999999999971"/>
    <n v="-2061.3599999999997"/>
    <n v="-0.10104705882352939"/>
  </r>
  <r>
    <x v="11"/>
    <x v="1"/>
    <s v="August 2014"/>
    <n v="1"/>
    <x v="2"/>
    <x v="1"/>
    <x v="4"/>
    <s v="Worst"/>
    <n v="1200"/>
    <n v="17"/>
    <n v="0.1"/>
    <n v="0.18"/>
    <n v="18000"/>
    <n v="0.3"/>
    <n v="20400"/>
    <n v="18360"/>
    <n v="3304.7999999999997"/>
    <n v="21304.799999999999"/>
    <n v="-2944.7999999999993"/>
    <n v="-883.43999999999971"/>
    <n v="-2061.3599999999997"/>
    <n v="-0.10104705882352939"/>
  </r>
  <r>
    <x v="11"/>
    <x v="1"/>
    <s v="August 2014"/>
    <n v="1"/>
    <x v="2"/>
    <x v="2"/>
    <x v="0"/>
    <s v="Worst"/>
    <n v="1200"/>
    <n v="17"/>
    <n v="0.1"/>
    <n v="0.18"/>
    <n v="18000"/>
    <n v="0.3"/>
    <n v="20400"/>
    <n v="18360"/>
    <n v="3304.7999999999997"/>
    <n v="21304.799999999999"/>
    <n v="-2944.7999999999993"/>
    <n v="-883.43999999999971"/>
    <n v="-2061.3599999999997"/>
    <n v="-0.10104705882352939"/>
  </r>
  <r>
    <x v="11"/>
    <x v="1"/>
    <s v="August 2014"/>
    <n v="1"/>
    <x v="2"/>
    <x v="2"/>
    <x v="1"/>
    <s v="Worst"/>
    <n v="1200"/>
    <n v="17"/>
    <n v="0.1"/>
    <n v="0.18"/>
    <n v="18000"/>
    <n v="0.3"/>
    <n v="20400"/>
    <n v="18360"/>
    <n v="3304.7999999999997"/>
    <n v="21304.799999999999"/>
    <n v="-2944.7999999999993"/>
    <n v="-883.43999999999971"/>
    <n v="-2061.3599999999997"/>
    <n v="-0.10104705882352939"/>
  </r>
  <r>
    <x v="11"/>
    <x v="1"/>
    <s v="August 2014"/>
    <n v="1"/>
    <x v="2"/>
    <x v="2"/>
    <x v="2"/>
    <s v="Worst"/>
    <n v="1200"/>
    <n v="17"/>
    <n v="0.1"/>
    <n v="0.18"/>
    <n v="18000"/>
    <n v="0.3"/>
    <n v="20400"/>
    <n v="18360"/>
    <n v="3304.7999999999997"/>
    <n v="21304.799999999999"/>
    <n v="-2944.7999999999993"/>
    <n v="-883.43999999999971"/>
    <n v="-2061.3599999999997"/>
    <n v="-0.10104705882352939"/>
  </r>
  <r>
    <x v="11"/>
    <x v="1"/>
    <s v="August 2014"/>
    <n v="1"/>
    <x v="2"/>
    <x v="2"/>
    <x v="3"/>
    <s v="Worst"/>
    <n v="1200"/>
    <n v="17"/>
    <n v="0.1"/>
    <n v="0.18"/>
    <n v="18000"/>
    <n v="0.3"/>
    <n v="20400"/>
    <n v="18360"/>
    <n v="3304.7999999999997"/>
    <n v="21304.799999999999"/>
    <n v="-2944.7999999999993"/>
    <n v="-883.43999999999971"/>
    <n v="-2061.3599999999997"/>
    <n v="-0.10104705882352939"/>
  </r>
  <r>
    <x v="11"/>
    <x v="1"/>
    <s v="August 2014"/>
    <n v="1"/>
    <x v="2"/>
    <x v="2"/>
    <x v="4"/>
    <s v="Worst"/>
    <n v="1200"/>
    <n v="17"/>
    <n v="0.1"/>
    <n v="0.18"/>
    <n v="18000"/>
    <n v="0.3"/>
    <n v="20400"/>
    <n v="18360"/>
    <n v="3304.7999999999997"/>
    <n v="21304.799999999999"/>
    <n v="-2944.7999999999993"/>
    <n v="-883.43999999999971"/>
    <n v="-2061.3599999999997"/>
    <n v="-0.10104705882352939"/>
  </r>
  <r>
    <x v="11"/>
    <x v="1"/>
    <s v="August 2014"/>
    <n v="1"/>
    <x v="2"/>
    <x v="3"/>
    <x v="0"/>
    <s v="Worst"/>
    <n v="1200"/>
    <n v="17"/>
    <n v="0.1"/>
    <n v="0.18"/>
    <n v="18000"/>
    <n v="0.3"/>
    <n v="20400"/>
    <n v="18360"/>
    <n v="3304.7999999999997"/>
    <n v="21304.799999999999"/>
    <n v="-2944.7999999999993"/>
    <n v="-883.43999999999971"/>
    <n v="-2061.3599999999997"/>
    <n v="-0.10104705882352939"/>
  </r>
  <r>
    <x v="11"/>
    <x v="1"/>
    <s v="August 2014"/>
    <n v="1"/>
    <x v="2"/>
    <x v="3"/>
    <x v="1"/>
    <s v="Worst"/>
    <n v="1200"/>
    <n v="17"/>
    <n v="0.1"/>
    <n v="0.18"/>
    <n v="18000"/>
    <n v="0.3"/>
    <n v="20400"/>
    <n v="18360"/>
    <n v="3304.7999999999997"/>
    <n v="21304.799999999999"/>
    <n v="-2944.7999999999993"/>
    <n v="-883.43999999999971"/>
    <n v="-2061.3599999999997"/>
    <n v="-0.10104705882352939"/>
  </r>
  <r>
    <x v="11"/>
    <x v="1"/>
    <s v="August 2014"/>
    <n v="1"/>
    <x v="2"/>
    <x v="3"/>
    <x v="2"/>
    <s v="Worst"/>
    <n v="1200"/>
    <n v="17"/>
    <n v="0.1"/>
    <n v="0.18"/>
    <n v="18000"/>
    <n v="0.3"/>
    <n v="20400"/>
    <n v="18360"/>
    <n v="3304.7999999999997"/>
    <n v="21304.799999999999"/>
    <n v="-2944.7999999999993"/>
    <n v="-883.43999999999971"/>
    <n v="-2061.3599999999997"/>
    <n v="-0.10104705882352939"/>
  </r>
  <r>
    <x v="11"/>
    <x v="1"/>
    <s v="August 2014"/>
    <n v="1"/>
    <x v="2"/>
    <x v="3"/>
    <x v="3"/>
    <s v="Worst"/>
    <n v="1200"/>
    <n v="17"/>
    <n v="0.1"/>
    <n v="0.18"/>
    <n v="18000"/>
    <n v="0.3"/>
    <n v="20400"/>
    <n v="18360"/>
    <n v="3304.7999999999997"/>
    <n v="21304.799999999999"/>
    <n v="-2944.7999999999993"/>
    <n v="-883.43999999999971"/>
    <n v="-2061.3599999999997"/>
    <n v="-0.10104705882352939"/>
  </r>
  <r>
    <x v="11"/>
    <x v="1"/>
    <s v="August 2014"/>
    <n v="1"/>
    <x v="2"/>
    <x v="3"/>
    <x v="4"/>
    <s v="Worst"/>
    <n v="1200"/>
    <n v="17"/>
    <n v="0.1"/>
    <n v="0.18"/>
    <n v="18000"/>
    <n v="0.3"/>
    <n v="20400"/>
    <n v="18360"/>
    <n v="3304.7999999999997"/>
    <n v="21304.799999999999"/>
    <n v="-2944.7999999999993"/>
    <n v="-883.43999999999971"/>
    <n v="-2061.3599999999997"/>
    <n v="-0.10104705882352939"/>
  </r>
  <r>
    <x v="11"/>
    <x v="1"/>
    <s v="August 2014"/>
    <n v="1"/>
    <x v="2"/>
    <x v="4"/>
    <x v="0"/>
    <s v="Worst"/>
    <n v="1200"/>
    <n v="17"/>
    <n v="0.1"/>
    <n v="0.18"/>
    <n v="18000"/>
    <n v="0.3"/>
    <n v="20400"/>
    <n v="18360"/>
    <n v="3304.7999999999997"/>
    <n v="21304.799999999999"/>
    <n v="-2944.7999999999993"/>
    <n v="-883.43999999999971"/>
    <n v="-2061.3599999999997"/>
    <n v="-0.10104705882352939"/>
  </r>
  <r>
    <x v="11"/>
    <x v="1"/>
    <s v="August 2014"/>
    <n v="1"/>
    <x v="2"/>
    <x v="4"/>
    <x v="1"/>
    <s v="Worst"/>
    <n v="1200"/>
    <n v="17"/>
    <n v="0.1"/>
    <n v="0.18"/>
    <n v="18000"/>
    <n v="0.3"/>
    <n v="20400"/>
    <n v="18360"/>
    <n v="3304.7999999999997"/>
    <n v="21304.799999999999"/>
    <n v="-2944.7999999999993"/>
    <n v="-883.43999999999971"/>
    <n v="-2061.3599999999997"/>
    <n v="-0.10104705882352939"/>
  </r>
  <r>
    <x v="11"/>
    <x v="1"/>
    <s v="August 2014"/>
    <n v="1"/>
    <x v="2"/>
    <x v="4"/>
    <x v="2"/>
    <s v="Worst"/>
    <n v="1200"/>
    <n v="17"/>
    <n v="0.1"/>
    <n v="0.18"/>
    <n v="18000"/>
    <n v="0.3"/>
    <n v="20400"/>
    <n v="18360"/>
    <n v="3304.7999999999997"/>
    <n v="21304.799999999999"/>
    <n v="-2944.7999999999993"/>
    <n v="-883.43999999999971"/>
    <n v="-2061.3599999999997"/>
    <n v="-0.10104705882352939"/>
  </r>
  <r>
    <x v="11"/>
    <x v="1"/>
    <s v="August 2014"/>
    <n v="1"/>
    <x v="2"/>
    <x v="4"/>
    <x v="3"/>
    <s v="Worst"/>
    <n v="1200"/>
    <n v="17"/>
    <n v="0.1"/>
    <n v="0.18"/>
    <n v="18000"/>
    <n v="0.3"/>
    <n v="20400"/>
    <n v="18360"/>
    <n v="3304.7999999999997"/>
    <n v="21304.799999999999"/>
    <n v="-2944.7999999999993"/>
    <n v="-883.43999999999971"/>
    <n v="-2061.3599999999997"/>
    <n v="-0.10104705882352939"/>
  </r>
  <r>
    <x v="11"/>
    <x v="1"/>
    <s v="August 2014"/>
    <n v="1"/>
    <x v="2"/>
    <x v="4"/>
    <x v="4"/>
    <s v="Worst"/>
    <n v="1200"/>
    <n v="17"/>
    <n v="0.1"/>
    <n v="0.18"/>
    <n v="18000"/>
    <n v="0.3"/>
    <n v="20400"/>
    <n v="18360"/>
    <n v="3304.7999999999997"/>
    <n v="21304.799999999999"/>
    <n v="-2944.7999999999993"/>
    <n v="-883.43999999999971"/>
    <n v="-2061.3599999999997"/>
    <n v="-0.10104705882352939"/>
  </r>
  <r>
    <x v="11"/>
    <x v="1"/>
    <s v="August 2014"/>
    <n v="1"/>
    <x v="3"/>
    <x v="0"/>
    <x v="0"/>
    <s v="Worst"/>
    <n v="1200"/>
    <n v="17"/>
    <n v="0.1"/>
    <n v="0.18"/>
    <n v="18000"/>
    <n v="0.3"/>
    <n v="20400"/>
    <n v="18360"/>
    <n v="3304.7999999999997"/>
    <n v="21304.799999999999"/>
    <n v="-2944.7999999999993"/>
    <n v="-883.43999999999971"/>
    <n v="-2061.3599999999997"/>
    <n v="-0.10104705882352939"/>
  </r>
  <r>
    <x v="11"/>
    <x v="1"/>
    <s v="August 2014"/>
    <n v="1"/>
    <x v="3"/>
    <x v="0"/>
    <x v="1"/>
    <s v="Worst"/>
    <n v="1200"/>
    <n v="17"/>
    <n v="0.1"/>
    <n v="0.18"/>
    <n v="18000"/>
    <n v="0.3"/>
    <n v="20400"/>
    <n v="18360"/>
    <n v="3304.7999999999997"/>
    <n v="21304.799999999999"/>
    <n v="-2944.7999999999993"/>
    <n v="-883.43999999999971"/>
    <n v="-2061.3599999999997"/>
    <n v="-0.10104705882352939"/>
  </r>
  <r>
    <x v="11"/>
    <x v="1"/>
    <s v="August 2014"/>
    <n v="1"/>
    <x v="3"/>
    <x v="0"/>
    <x v="2"/>
    <s v="Worst"/>
    <n v="1200"/>
    <n v="17"/>
    <n v="0.1"/>
    <n v="0.18"/>
    <n v="18000"/>
    <n v="0.3"/>
    <n v="20400"/>
    <n v="18360"/>
    <n v="3304.7999999999997"/>
    <n v="21304.799999999999"/>
    <n v="-2944.7999999999993"/>
    <n v="-883.43999999999971"/>
    <n v="-2061.3599999999997"/>
    <n v="-0.10104705882352939"/>
  </r>
  <r>
    <x v="11"/>
    <x v="1"/>
    <s v="August 2014"/>
    <n v="1"/>
    <x v="3"/>
    <x v="0"/>
    <x v="3"/>
    <s v="Worst"/>
    <n v="1200"/>
    <n v="17"/>
    <n v="0.1"/>
    <n v="0.18"/>
    <n v="18000"/>
    <n v="0.3"/>
    <n v="20400"/>
    <n v="18360"/>
    <n v="3304.7999999999997"/>
    <n v="21304.799999999999"/>
    <n v="-2944.7999999999993"/>
    <n v="-883.43999999999971"/>
    <n v="-2061.3599999999997"/>
    <n v="-0.10104705882352939"/>
  </r>
  <r>
    <x v="11"/>
    <x v="1"/>
    <s v="August 2014"/>
    <n v="1"/>
    <x v="3"/>
    <x v="0"/>
    <x v="4"/>
    <s v="Worst"/>
    <n v="1200"/>
    <n v="17"/>
    <n v="0.1"/>
    <n v="0.18"/>
    <n v="18000"/>
    <n v="0.3"/>
    <n v="20400"/>
    <n v="18360"/>
    <n v="3304.7999999999997"/>
    <n v="21304.799999999999"/>
    <n v="-2944.7999999999993"/>
    <n v="-883.43999999999971"/>
    <n v="-2061.3599999999997"/>
    <n v="-0.10104705882352939"/>
  </r>
  <r>
    <x v="11"/>
    <x v="1"/>
    <s v="August 2014"/>
    <n v="1"/>
    <x v="3"/>
    <x v="1"/>
    <x v="0"/>
    <s v="Worst"/>
    <n v="1200"/>
    <n v="17"/>
    <n v="0.1"/>
    <n v="0.18"/>
    <n v="18000"/>
    <n v="0.3"/>
    <n v="20400"/>
    <n v="18360"/>
    <n v="3304.7999999999997"/>
    <n v="21304.799999999999"/>
    <n v="-2944.7999999999993"/>
    <n v="-883.43999999999971"/>
    <n v="-2061.3599999999997"/>
    <n v="-0.10104705882352939"/>
  </r>
  <r>
    <x v="11"/>
    <x v="1"/>
    <s v="August 2014"/>
    <n v="1"/>
    <x v="3"/>
    <x v="1"/>
    <x v="1"/>
    <s v="Worst"/>
    <n v="1200"/>
    <n v="17"/>
    <n v="0.1"/>
    <n v="0.18"/>
    <n v="18000"/>
    <n v="0.3"/>
    <n v="20400"/>
    <n v="18360"/>
    <n v="3304.7999999999997"/>
    <n v="21304.799999999999"/>
    <n v="-2944.7999999999993"/>
    <n v="-883.43999999999971"/>
    <n v="-2061.3599999999997"/>
    <n v="-0.10104705882352939"/>
  </r>
  <r>
    <x v="11"/>
    <x v="1"/>
    <s v="August 2014"/>
    <n v="1"/>
    <x v="3"/>
    <x v="1"/>
    <x v="2"/>
    <s v="Worst"/>
    <n v="1200"/>
    <n v="17"/>
    <n v="0.1"/>
    <n v="0.18"/>
    <n v="18000"/>
    <n v="0.3"/>
    <n v="20400"/>
    <n v="18360"/>
    <n v="3304.7999999999997"/>
    <n v="21304.799999999999"/>
    <n v="-2944.7999999999993"/>
    <n v="-883.43999999999971"/>
    <n v="-2061.3599999999997"/>
    <n v="-0.10104705882352939"/>
  </r>
  <r>
    <x v="11"/>
    <x v="1"/>
    <s v="August 2014"/>
    <n v="1"/>
    <x v="3"/>
    <x v="1"/>
    <x v="3"/>
    <s v="Worst"/>
    <n v="1200"/>
    <n v="17"/>
    <n v="0.1"/>
    <n v="0.18"/>
    <n v="18000"/>
    <n v="0.3"/>
    <n v="20400"/>
    <n v="18360"/>
    <n v="3304.7999999999997"/>
    <n v="21304.799999999999"/>
    <n v="-2944.7999999999993"/>
    <n v="-883.43999999999971"/>
    <n v="-2061.3599999999997"/>
    <n v="-0.10104705882352939"/>
  </r>
  <r>
    <x v="11"/>
    <x v="1"/>
    <s v="August 2014"/>
    <n v="1"/>
    <x v="3"/>
    <x v="1"/>
    <x v="4"/>
    <s v="Worst"/>
    <n v="1200"/>
    <n v="17"/>
    <n v="0.1"/>
    <n v="0.18"/>
    <n v="18000"/>
    <n v="0.3"/>
    <n v="20400"/>
    <n v="18360"/>
    <n v="3304.7999999999997"/>
    <n v="21304.799999999999"/>
    <n v="-2944.7999999999993"/>
    <n v="-883.43999999999971"/>
    <n v="-2061.3599999999997"/>
    <n v="-0.10104705882352939"/>
  </r>
  <r>
    <x v="11"/>
    <x v="1"/>
    <s v="August 2014"/>
    <n v="1"/>
    <x v="3"/>
    <x v="2"/>
    <x v="0"/>
    <s v="Worst"/>
    <n v="1200"/>
    <n v="17"/>
    <n v="0.1"/>
    <n v="0.18"/>
    <n v="18000"/>
    <n v="0.3"/>
    <n v="20400"/>
    <n v="18360"/>
    <n v="3304.7999999999997"/>
    <n v="21304.799999999999"/>
    <n v="-2944.7999999999993"/>
    <n v="-883.43999999999971"/>
    <n v="-2061.3599999999997"/>
    <n v="-0.10104705882352939"/>
  </r>
  <r>
    <x v="11"/>
    <x v="1"/>
    <s v="August 2014"/>
    <n v="1"/>
    <x v="3"/>
    <x v="2"/>
    <x v="1"/>
    <s v="Worst"/>
    <n v="1200"/>
    <n v="17"/>
    <n v="0.1"/>
    <n v="0.18"/>
    <n v="18000"/>
    <n v="0.3"/>
    <n v="20400"/>
    <n v="18360"/>
    <n v="3304.7999999999997"/>
    <n v="21304.799999999999"/>
    <n v="-2944.7999999999993"/>
    <n v="-883.43999999999971"/>
    <n v="-2061.3599999999997"/>
    <n v="-0.10104705882352939"/>
  </r>
  <r>
    <x v="11"/>
    <x v="1"/>
    <s v="August 2014"/>
    <n v="1"/>
    <x v="3"/>
    <x v="2"/>
    <x v="2"/>
    <s v="Worst"/>
    <n v="1200"/>
    <n v="17"/>
    <n v="0.1"/>
    <n v="0.18"/>
    <n v="18000"/>
    <n v="0.3"/>
    <n v="20400"/>
    <n v="18360"/>
    <n v="3304.7999999999997"/>
    <n v="21304.799999999999"/>
    <n v="-2944.7999999999993"/>
    <n v="-883.43999999999971"/>
    <n v="-2061.3599999999997"/>
    <n v="-0.10104705882352939"/>
  </r>
  <r>
    <x v="11"/>
    <x v="1"/>
    <s v="August 2014"/>
    <n v="1"/>
    <x v="3"/>
    <x v="2"/>
    <x v="3"/>
    <s v="Worst"/>
    <n v="1200"/>
    <n v="17"/>
    <n v="0.1"/>
    <n v="0.18"/>
    <n v="18000"/>
    <n v="0.3"/>
    <n v="20400"/>
    <n v="18360"/>
    <n v="3304.7999999999997"/>
    <n v="21304.799999999999"/>
    <n v="-2944.7999999999993"/>
    <n v="-883.43999999999971"/>
    <n v="-2061.3599999999997"/>
    <n v="-0.10104705882352939"/>
  </r>
  <r>
    <x v="11"/>
    <x v="1"/>
    <s v="August 2014"/>
    <n v="1"/>
    <x v="3"/>
    <x v="2"/>
    <x v="4"/>
    <s v="Worst"/>
    <n v="1200"/>
    <n v="17"/>
    <n v="0.1"/>
    <n v="0.18"/>
    <n v="18000"/>
    <n v="0.3"/>
    <n v="20400"/>
    <n v="18360"/>
    <n v="3304.7999999999997"/>
    <n v="21304.799999999999"/>
    <n v="-2944.7999999999993"/>
    <n v="-883.43999999999971"/>
    <n v="-2061.3599999999997"/>
    <n v="-0.10104705882352939"/>
  </r>
  <r>
    <x v="11"/>
    <x v="1"/>
    <s v="August 2014"/>
    <n v="1"/>
    <x v="3"/>
    <x v="3"/>
    <x v="0"/>
    <s v="Worst"/>
    <n v="1200"/>
    <n v="17"/>
    <n v="0.1"/>
    <n v="0.18"/>
    <n v="18000"/>
    <n v="0.3"/>
    <n v="20400"/>
    <n v="18360"/>
    <n v="3304.7999999999997"/>
    <n v="21304.799999999999"/>
    <n v="-2944.7999999999993"/>
    <n v="-883.43999999999971"/>
    <n v="-2061.3599999999997"/>
    <n v="-0.10104705882352939"/>
  </r>
  <r>
    <x v="11"/>
    <x v="1"/>
    <s v="August 2014"/>
    <n v="1"/>
    <x v="3"/>
    <x v="3"/>
    <x v="1"/>
    <s v="Worst"/>
    <n v="1200"/>
    <n v="17"/>
    <n v="0.1"/>
    <n v="0.18"/>
    <n v="18000"/>
    <n v="0.3"/>
    <n v="20400"/>
    <n v="18360"/>
    <n v="3304.7999999999997"/>
    <n v="21304.799999999999"/>
    <n v="-2944.7999999999993"/>
    <n v="-883.43999999999971"/>
    <n v="-2061.3599999999997"/>
    <n v="-0.10104705882352939"/>
  </r>
  <r>
    <x v="11"/>
    <x v="1"/>
    <s v="August 2014"/>
    <n v="1"/>
    <x v="3"/>
    <x v="3"/>
    <x v="2"/>
    <s v="Worst"/>
    <n v="1200"/>
    <n v="17"/>
    <n v="0.1"/>
    <n v="0.18"/>
    <n v="18000"/>
    <n v="0.3"/>
    <n v="20400"/>
    <n v="18360"/>
    <n v="3304.7999999999997"/>
    <n v="21304.799999999999"/>
    <n v="-2944.7999999999993"/>
    <n v="-883.43999999999971"/>
    <n v="-2061.3599999999997"/>
    <n v="-0.10104705882352939"/>
  </r>
  <r>
    <x v="11"/>
    <x v="1"/>
    <s v="August 2014"/>
    <n v="1"/>
    <x v="3"/>
    <x v="3"/>
    <x v="3"/>
    <s v="Worst"/>
    <n v="1200"/>
    <n v="17"/>
    <n v="0.1"/>
    <n v="0.18"/>
    <n v="18000"/>
    <n v="0.3"/>
    <n v="20400"/>
    <n v="18360"/>
    <n v="3304.7999999999997"/>
    <n v="21304.799999999999"/>
    <n v="-2944.7999999999993"/>
    <n v="-883.43999999999971"/>
    <n v="-2061.3599999999997"/>
    <n v="-0.10104705882352939"/>
  </r>
  <r>
    <x v="11"/>
    <x v="1"/>
    <s v="August 2014"/>
    <n v="1"/>
    <x v="3"/>
    <x v="3"/>
    <x v="4"/>
    <s v="Worst"/>
    <n v="1200"/>
    <n v="17"/>
    <n v="0.1"/>
    <n v="0.18"/>
    <n v="18000"/>
    <n v="0.3"/>
    <n v="20400"/>
    <n v="18360"/>
    <n v="3304.7999999999997"/>
    <n v="21304.799999999999"/>
    <n v="-2944.7999999999993"/>
    <n v="-883.43999999999971"/>
    <n v="-2061.3599999999997"/>
    <n v="-0.10104705882352939"/>
  </r>
  <r>
    <x v="11"/>
    <x v="1"/>
    <s v="August 2014"/>
    <n v="1"/>
    <x v="3"/>
    <x v="4"/>
    <x v="0"/>
    <s v="Worst"/>
    <n v="1200"/>
    <n v="17"/>
    <n v="0.1"/>
    <n v="0.18"/>
    <n v="18000"/>
    <n v="0.3"/>
    <n v="20400"/>
    <n v="18360"/>
    <n v="3304.7999999999997"/>
    <n v="21304.799999999999"/>
    <n v="-2944.7999999999993"/>
    <n v="-883.43999999999971"/>
    <n v="-2061.3599999999997"/>
    <n v="-0.10104705882352939"/>
  </r>
  <r>
    <x v="11"/>
    <x v="1"/>
    <s v="August 2014"/>
    <n v="1"/>
    <x v="3"/>
    <x v="4"/>
    <x v="1"/>
    <s v="Worst"/>
    <n v="1200"/>
    <n v="17"/>
    <n v="0.1"/>
    <n v="0.18"/>
    <n v="18000"/>
    <n v="0.3"/>
    <n v="20400"/>
    <n v="18360"/>
    <n v="3304.7999999999997"/>
    <n v="21304.799999999999"/>
    <n v="-2944.7999999999993"/>
    <n v="-883.43999999999971"/>
    <n v="-2061.3599999999997"/>
    <n v="-0.10104705882352939"/>
  </r>
  <r>
    <x v="11"/>
    <x v="1"/>
    <s v="August 2014"/>
    <n v="1"/>
    <x v="3"/>
    <x v="4"/>
    <x v="2"/>
    <s v="Worst"/>
    <n v="1200"/>
    <n v="17"/>
    <n v="0.1"/>
    <n v="0.18"/>
    <n v="18000"/>
    <n v="0.3"/>
    <n v="20400"/>
    <n v="18360"/>
    <n v="3304.7999999999997"/>
    <n v="21304.799999999999"/>
    <n v="-2944.7999999999993"/>
    <n v="-883.43999999999971"/>
    <n v="-2061.3599999999997"/>
    <n v="-0.10104705882352939"/>
  </r>
  <r>
    <x v="11"/>
    <x v="1"/>
    <s v="August 2014"/>
    <n v="1"/>
    <x v="3"/>
    <x v="4"/>
    <x v="3"/>
    <s v="Worst"/>
    <n v="1200"/>
    <n v="17"/>
    <n v="0.1"/>
    <n v="0.18"/>
    <n v="18000"/>
    <n v="0.3"/>
    <n v="20400"/>
    <n v="18360"/>
    <n v="3304.7999999999997"/>
    <n v="21304.799999999999"/>
    <n v="-2944.7999999999993"/>
    <n v="-883.43999999999971"/>
    <n v="-2061.3599999999997"/>
    <n v="-0.10104705882352939"/>
  </r>
  <r>
    <x v="11"/>
    <x v="1"/>
    <s v="August 2014"/>
    <n v="1"/>
    <x v="3"/>
    <x v="4"/>
    <x v="4"/>
    <s v="Worst"/>
    <n v="1200"/>
    <n v="17"/>
    <n v="0.1"/>
    <n v="0.18"/>
    <n v="18000"/>
    <n v="0.3"/>
    <n v="20400"/>
    <n v="18360"/>
    <n v="3304.7999999999997"/>
    <n v="21304.799999999999"/>
    <n v="-2944.7999999999993"/>
    <n v="-883.43999999999971"/>
    <n v="-2061.3599999999997"/>
    <n v="-0.10104705882352939"/>
  </r>
  <r>
    <x v="11"/>
    <x v="1"/>
    <s v="August 2014"/>
    <n v="1"/>
    <x v="4"/>
    <x v="0"/>
    <x v="0"/>
    <s v="Worst"/>
    <n v="1200"/>
    <n v="17"/>
    <n v="0.1"/>
    <n v="0.18"/>
    <n v="18000"/>
    <n v="0.3"/>
    <n v="20400"/>
    <n v="18360"/>
    <n v="3304.7999999999997"/>
    <n v="21304.799999999999"/>
    <n v="-2944.7999999999993"/>
    <n v="-883.43999999999971"/>
    <n v="-2061.3599999999997"/>
    <n v="-0.10104705882352939"/>
  </r>
  <r>
    <x v="11"/>
    <x v="1"/>
    <s v="August 2014"/>
    <n v="1"/>
    <x v="4"/>
    <x v="0"/>
    <x v="1"/>
    <s v="Worst"/>
    <n v="1200"/>
    <n v="17"/>
    <n v="0.1"/>
    <n v="0.18"/>
    <n v="18000"/>
    <n v="0.3"/>
    <n v="20400"/>
    <n v="18360"/>
    <n v="3304.7999999999997"/>
    <n v="21304.799999999999"/>
    <n v="-2944.7999999999993"/>
    <n v="-883.43999999999971"/>
    <n v="-2061.3599999999997"/>
    <n v="-0.10104705882352939"/>
  </r>
  <r>
    <x v="11"/>
    <x v="1"/>
    <s v="August 2014"/>
    <n v="1"/>
    <x v="4"/>
    <x v="0"/>
    <x v="2"/>
    <s v="Worst"/>
    <n v="1200"/>
    <n v="17"/>
    <n v="0.1"/>
    <n v="0.18"/>
    <n v="18000"/>
    <n v="0.3"/>
    <n v="20400"/>
    <n v="18360"/>
    <n v="3304.7999999999997"/>
    <n v="21304.799999999999"/>
    <n v="-2944.7999999999993"/>
    <n v="-883.43999999999971"/>
    <n v="-2061.3599999999997"/>
    <n v="-0.10104705882352939"/>
  </r>
  <r>
    <x v="11"/>
    <x v="1"/>
    <s v="August 2014"/>
    <n v="1"/>
    <x v="4"/>
    <x v="0"/>
    <x v="3"/>
    <s v="Worst"/>
    <n v="1200"/>
    <n v="17"/>
    <n v="0.1"/>
    <n v="0.18"/>
    <n v="18000"/>
    <n v="0.3"/>
    <n v="20400"/>
    <n v="18360"/>
    <n v="3304.7999999999997"/>
    <n v="21304.799999999999"/>
    <n v="-2944.7999999999993"/>
    <n v="-883.43999999999971"/>
    <n v="-2061.3599999999997"/>
    <n v="-0.10104705882352939"/>
  </r>
  <r>
    <x v="11"/>
    <x v="1"/>
    <s v="August 2014"/>
    <n v="1"/>
    <x v="4"/>
    <x v="0"/>
    <x v="4"/>
    <s v="Worst"/>
    <n v="1200"/>
    <n v="17"/>
    <n v="0.1"/>
    <n v="0.18"/>
    <n v="18000"/>
    <n v="0.3"/>
    <n v="20400"/>
    <n v="18360"/>
    <n v="3304.7999999999997"/>
    <n v="21304.799999999999"/>
    <n v="-2944.7999999999993"/>
    <n v="-883.43999999999971"/>
    <n v="-2061.3599999999997"/>
    <n v="-0.10104705882352939"/>
  </r>
  <r>
    <x v="11"/>
    <x v="1"/>
    <s v="August 2014"/>
    <n v="1"/>
    <x v="4"/>
    <x v="1"/>
    <x v="0"/>
    <s v="Worst"/>
    <n v="1200"/>
    <n v="17"/>
    <n v="0.1"/>
    <n v="0.18"/>
    <n v="18000"/>
    <n v="0.3"/>
    <n v="20400"/>
    <n v="18360"/>
    <n v="3304.7999999999997"/>
    <n v="21304.799999999999"/>
    <n v="-2944.7999999999993"/>
    <n v="-883.43999999999971"/>
    <n v="-2061.3599999999997"/>
    <n v="-0.10104705882352939"/>
  </r>
  <r>
    <x v="11"/>
    <x v="1"/>
    <s v="August 2014"/>
    <n v="1"/>
    <x v="4"/>
    <x v="1"/>
    <x v="1"/>
    <s v="Worst"/>
    <n v="1200"/>
    <n v="17"/>
    <n v="0.1"/>
    <n v="0.18"/>
    <n v="18000"/>
    <n v="0.3"/>
    <n v="20400"/>
    <n v="18360"/>
    <n v="3304.7999999999997"/>
    <n v="21304.799999999999"/>
    <n v="-2944.7999999999993"/>
    <n v="-883.43999999999971"/>
    <n v="-2061.3599999999997"/>
    <n v="-0.10104705882352939"/>
  </r>
  <r>
    <x v="11"/>
    <x v="1"/>
    <s v="August 2014"/>
    <n v="1"/>
    <x v="4"/>
    <x v="1"/>
    <x v="2"/>
    <s v="Worst"/>
    <n v="1200"/>
    <n v="17"/>
    <n v="0.1"/>
    <n v="0.18"/>
    <n v="18000"/>
    <n v="0.3"/>
    <n v="20400"/>
    <n v="18360"/>
    <n v="3304.7999999999997"/>
    <n v="21304.799999999999"/>
    <n v="-2944.7999999999993"/>
    <n v="-883.43999999999971"/>
    <n v="-2061.3599999999997"/>
    <n v="-0.10104705882352939"/>
  </r>
  <r>
    <x v="11"/>
    <x v="1"/>
    <s v="August 2014"/>
    <n v="1"/>
    <x v="4"/>
    <x v="1"/>
    <x v="3"/>
    <s v="Worst"/>
    <n v="1200"/>
    <n v="17"/>
    <n v="0.1"/>
    <n v="0.18"/>
    <n v="18000"/>
    <n v="0.3"/>
    <n v="20400"/>
    <n v="18360"/>
    <n v="3304.7999999999997"/>
    <n v="21304.799999999999"/>
    <n v="-2944.7999999999993"/>
    <n v="-883.43999999999971"/>
    <n v="-2061.3599999999997"/>
    <n v="-0.10104705882352939"/>
  </r>
  <r>
    <x v="11"/>
    <x v="1"/>
    <s v="August 2014"/>
    <n v="1"/>
    <x v="4"/>
    <x v="1"/>
    <x v="4"/>
    <s v="Worst"/>
    <n v="1200"/>
    <n v="17"/>
    <n v="0.1"/>
    <n v="0.18"/>
    <n v="18000"/>
    <n v="0.3"/>
    <n v="20400"/>
    <n v="18360"/>
    <n v="3304.7999999999997"/>
    <n v="21304.799999999999"/>
    <n v="-2944.7999999999993"/>
    <n v="-883.43999999999971"/>
    <n v="-2061.3599999999997"/>
    <n v="-0.10104705882352939"/>
  </r>
  <r>
    <x v="11"/>
    <x v="1"/>
    <s v="August 2014"/>
    <n v="1"/>
    <x v="4"/>
    <x v="2"/>
    <x v="0"/>
    <s v="Worst"/>
    <n v="1200"/>
    <n v="17"/>
    <n v="0.1"/>
    <n v="0.18"/>
    <n v="18000"/>
    <n v="0.3"/>
    <n v="20400"/>
    <n v="18360"/>
    <n v="3304.7999999999997"/>
    <n v="21304.799999999999"/>
    <n v="-2944.7999999999993"/>
    <n v="-883.43999999999971"/>
    <n v="-2061.3599999999997"/>
    <n v="-0.10104705882352939"/>
  </r>
  <r>
    <x v="11"/>
    <x v="1"/>
    <s v="August 2014"/>
    <n v="1"/>
    <x v="4"/>
    <x v="2"/>
    <x v="1"/>
    <s v="Worst"/>
    <n v="1200"/>
    <n v="17"/>
    <n v="0.1"/>
    <n v="0.18"/>
    <n v="18000"/>
    <n v="0.3"/>
    <n v="20400"/>
    <n v="18360"/>
    <n v="3304.7999999999997"/>
    <n v="21304.799999999999"/>
    <n v="-2944.7999999999993"/>
    <n v="-883.43999999999971"/>
    <n v="-2061.3599999999997"/>
    <n v="-0.10104705882352939"/>
  </r>
  <r>
    <x v="11"/>
    <x v="1"/>
    <s v="August 2014"/>
    <n v="1"/>
    <x v="4"/>
    <x v="2"/>
    <x v="2"/>
    <s v="Worst"/>
    <n v="1200"/>
    <n v="17"/>
    <n v="0.1"/>
    <n v="0.18"/>
    <n v="18000"/>
    <n v="0.3"/>
    <n v="20400"/>
    <n v="18360"/>
    <n v="3304.7999999999997"/>
    <n v="21304.799999999999"/>
    <n v="-2944.7999999999993"/>
    <n v="-883.43999999999971"/>
    <n v="-2061.3599999999997"/>
    <n v="-0.10104705882352939"/>
  </r>
  <r>
    <x v="11"/>
    <x v="1"/>
    <s v="August 2014"/>
    <n v="1"/>
    <x v="4"/>
    <x v="2"/>
    <x v="3"/>
    <s v="Worst"/>
    <n v="1200"/>
    <n v="17"/>
    <n v="0.1"/>
    <n v="0.18"/>
    <n v="18000"/>
    <n v="0.3"/>
    <n v="20400"/>
    <n v="18360"/>
    <n v="3304.7999999999997"/>
    <n v="21304.799999999999"/>
    <n v="-2944.7999999999993"/>
    <n v="-883.43999999999971"/>
    <n v="-2061.3599999999997"/>
    <n v="-0.10104705882352939"/>
  </r>
  <r>
    <x v="11"/>
    <x v="1"/>
    <s v="August 2014"/>
    <n v="1"/>
    <x v="4"/>
    <x v="2"/>
    <x v="4"/>
    <s v="Worst"/>
    <n v="1200"/>
    <n v="17"/>
    <n v="0.1"/>
    <n v="0.18"/>
    <n v="18000"/>
    <n v="0.3"/>
    <n v="20400"/>
    <n v="18360"/>
    <n v="3304.7999999999997"/>
    <n v="21304.799999999999"/>
    <n v="-2944.7999999999993"/>
    <n v="-883.43999999999971"/>
    <n v="-2061.3599999999997"/>
    <n v="-0.10104705882352939"/>
  </r>
  <r>
    <x v="11"/>
    <x v="1"/>
    <s v="August 2014"/>
    <n v="1"/>
    <x v="4"/>
    <x v="3"/>
    <x v="0"/>
    <s v="Worst"/>
    <n v="1200"/>
    <n v="17"/>
    <n v="0.1"/>
    <n v="0.18"/>
    <n v="18000"/>
    <n v="0.3"/>
    <n v="20400"/>
    <n v="18360"/>
    <n v="3304.7999999999997"/>
    <n v="21304.799999999999"/>
    <n v="-2944.7999999999993"/>
    <n v="-883.43999999999971"/>
    <n v="-2061.3599999999997"/>
    <n v="-0.10104705882352939"/>
  </r>
  <r>
    <x v="11"/>
    <x v="1"/>
    <s v="August 2014"/>
    <n v="1"/>
    <x v="4"/>
    <x v="3"/>
    <x v="1"/>
    <s v="Worst"/>
    <n v="1200"/>
    <n v="17"/>
    <n v="0.1"/>
    <n v="0.18"/>
    <n v="18000"/>
    <n v="0.3"/>
    <n v="20400"/>
    <n v="18360"/>
    <n v="3304.7999999999997"/>
    <n v="21304.799999999999"/>
    <n v="-2944.7999999999993"/>
    <n v="-883.43999999999971"/>
    <n v="-2061.3599999999997"/>
    <n v="-0.10104705882352939"/>
  </r>
  <r>
    <x v="11"/>
    <x v="1"/>
    <s v="August 2014"/>
    <n v="1"/>
    <x v="4"/>
    <x v="3"/>
    <x v="2"/>
    <s v="Worst"/>
    <n v="1200"/>
    <n v="17"/>
    <n v="0.1"/>
    <n v="0.18"/>
    <n v="18000"/>
    <n v="0.3"/>
    <n v="20400"/>
    <n v="18360"/>
    <n v="3304.7999999999997"/>
    <n v="21304.799999999999"/>
    <n v="-2944.7999999999993"/>
    <n v="-883.43999999999971"/>
    <n v="-2061.3599999999997"/>
    <n v="-0.10104705882352939"/>
  </r>
  <r>
    <x v="11"/>
    <x v="1"/>
    <s v="August 2014"/>
    <n v="1"/>
    <x v="4"/>
    <x v="3"/>
    <x v="3"/>
    <s v="Worst"/>
    <n v="1200"/>
    <n v="17"/>
    <n v="0.1"/>
    <n v="0.18"/>
    <n v="18000"/>
    <n v="0.3"/>
    <n v="20400"/>
    <n v="18360"/>
    <n v="3304.7999999999997"/>
    <n v="21304.799999999999"/>
    <n v="-2944.7999999999993"/>
    <n v="-883.43999999999971"/>
    <n v="-2061.3599999999997"/>
    <n v="-0.10104705882352939"/>
  </r>
  <r>
    <x v="11"/>
    <x v="1"/>
    <s v="August 2014"/>
    <n v="1"/>
    <x v="4"/>
    <x v="3"/>
    <x v="4"/>
    <s v="Worst"/>
    <n v="1200"/>
    <n v="17"/>
    <n v="0.1"/>
    <n v="0.18"/>
    <n v="18000"/>
    <n v="0.3"/>
    <n v="20400"/>
    <n v="18360"/>
    <n v="3304.7999999999997"/>
    <n v="21304.799999999999"/>
    <n v="-2944.7999999999993"/>
    <n v="-883.43999999999971"/>
    <n v="-2061.3599999999997"/>
    <n v="-0.10104705882352939"/>
  </r>
  <r>
    <x v="11"/>
    <x v="1"/>
    <s v="August 2014"/>
    <n v="1"/>
    <x v="4"/>
    <x v="4"/>
    <x v="0"/>
    <s v="Worst"/>
    <n v="1200"/>
    <n v="17"/>
    <n v="0.1"/>
    <n v="0.18"/>
    <n v="18000"/>
    <n v="0.3"/>
    <n v="20400"/>
    <n v="18360"/>
    <n v="3304.7999999999997"/>
    <n v="21304.799999999999"/>
    <n v="-2944.7999999999993"/>
    <n v="-883.43999999999971"/>
    <n v="-2061.3599999999997"/>
    <n v="-0.10104705882352939"/>
  </r>
  <r>
    <x v="11"/>
    <x v="1"/>
    <s v="August 2014"/>
    <n v="1"/>
    <x v="4"/>
    <x v="4"/>
    <x v="1"/>
    <s v="Worst"/>
    <n v="1200"/>
    <n v="17"/>
    <n v="0.1"/>
    <n v="0.18"/>
    <n v="18000"/>
    <n v="0.3"/>
    <n v="20400"/>
    <n v="18360"/>
    <n v="3304.7999999999997"/>
    <n v="21304.799999999999"/>
    <n v="-2944.7999999999993"/>
    <n v="-883.43999999999971"/>
    <n v="-2061.3599999999997"/>
    <n v="-0.10104705882352939"/>
  </r>
  <r>
    <x v="11"/>
    <x v="1"/>
    <s v="August 2014"/>
    <n v="1"/>
    <x v="4"/>
    <x v="4"/>
    <x v="2"/>
    <s v="Worst"/>
    <n v="1200"/>
    <n v="17"/>
    <n v="0.1"/>
    <n v="0.18"/>
    <n v="18000"/>
    <n v="0.3"/>
    <n v="20400"/>
    <n v="18360"/>
    <n v="3304.7999999999997"/>
    <n v="21304.799999999999"/>
    <n v="-2944.7999999999993"/>
    <n v="-883.43999999999971"/>
    <n v="-2061.3599999999997"/>
    <n v="-0.10104705882352939"/>
  </r>
  <r>
    <x v="11"/>
    <x v="1"/>
    <s v="August 2014"/>
    <n v="1"/>
    <x v="4"/>
    <x v="4"/>
    <x v="3"/>
    <s v="Worst"/>
    <n v="1200"/>
    <n v="17"/>
    <n v="0.1"/>
    <n v="0.18"/>
    <n v="18000"/>
    <n v="0.3"/>
    <n v="20400"/>
    <n v="18360"/>
    <n v="3304.7999999999997"/>
    <n v="21304.799999999999"/>
    <n v="-2944.7999999999993"/>
    <n v="-883.43999999999971"/>
    <n v="-2061.3599999999997"/>
    <n v="-0.10104705882352939"/>
  </r>
  <r>
    <x v="11"/>
    <x v="1"/>
    <s v="August 2014"/>
    <n v="1"/>
    <x v="4"/>
    <x v="4"/>
    <x v="4"/>
    <s v="Worst"/>
    <n v="1200"/>
    <n v="17"/>
    <n v="0.1"/>
    <n v="0.18"/>
    <n v="18000"/>
    <n v="0.3"/>
    <n v="20400"/>
    <n v="18360"/>
    <n v="3304.7999999999997"/>
    <n v="21304.799999999999"/>
    <n v="-2944.7999999999993"/>
    <n v="-883.43999999999971"/>
    <n v="-2061.3599999999997"/>
    <n v="-0.10104705882352939"/>
  </r>
  <r>
    <x v="0"/>
    <x v="1"/>
    <s v="September 2014"/>
    <n v="1"/>
    <x v="0"/>
    <x v="0"/>
    <x v="0"/>
    <s v="Worst"/>
    <n v="1200"/>
    <n v="17"/>
    <n v="0.1"/>
    <n v="0.18"/>
    <n v="18000"/>
    <n v="0.3"/>
    <n v="20400"/>
    <n v="18360"/>
    <n v="3304.7999999999997"/>
    <n v="21304.799999999999"/>
    <n v="-2944.7999999999993"/>
    <n v="-883.43999999999971"/>
    <n v="-2061.3599999999997"/>
    <n v="-0.10104705882352939"/>
  </r>
  <r>
    <x v="0"/>
    <x v="1"/>
    <s v="September 2014"/>
    <n v="1"/>
    <x v="0"/>
    <x v="0"/>
    <x v="1"/>
    <s v="Worst"/>
    <n v="1200"/>
    <n v="17"/>
    <n v="0.1"/>
    <n v="0.18"/>
    <n v="18000"/>
    <n v="0.3"/>
    <n v="20400"/>
    <n v="18360"/>
    <n v="3304.7999999999997"/>
    <n v="21304.799999999999"/>
    <n v="-2944.7999999999993"/>
    <n v="-883.43999999999971"/>
    <n v="-2061.3599999999997"/>
    <n v="-0.10104705882352939"/>
  </r>
  <r>
    <x v="0"/>
    <x v="1"/>
    <s v="September 2014"/>
    <n v="1"/>
    <x v="0"/>
    <x v="0"/>
    <x v="2"/>
    <s v="Worst"/>
    <n v="1200"/>
    <n v="17"/>
    <n v="0.1"/>
    <n v="0.18"/>
    <n v="18000"/>
    <n v="0.3"/>
    <n v="20400"/>
    <n v="18360"/>
    <n v="3304.7999999999997"/>
    <n v="21304.799999999999"/>
    <n v="-2944.7999999999993"/>
    <n v="-883.43999999999971"/>
    <n v="-2061.3599999999997"/>
    <n v="-0.10104705882352939"/>
  </r>
  <r>
    <x v="0"/>
    <x v="1"/>
    <s v="September 2014"/>
    <n v="1"/>
    <x v="0"/>
    <x v="0"/>
    <x v="3"/>
    <s v="Worst"/>
    <n v="1200"/>
    <n v="17"/>
    <n v="0.1"/>
    <n v="0.18"/>
    <n v="18000"/>
    <n v="0.3"/>
    <n v="20400"/>
    <n v="18360"/>
    <n v="3304.7999999999997"/>
    <n v="21304.799999999999"/>
    <n v="-2944.7999999999993"/>
    <n v="-883.43999999999971"/>
    <n v="-2061.3599999999997"/>
    <n v="-0.10104705882352939"/>
  </r>
  <r>
    <x v="0"/>
    <x v="1"/>
    <s v="September 2014"/>
    <n v="1"/>
    <x v="0"/>
    <x v="0"/>
    <x v="4"/>
    <s v="Worst"/>
    <n v="1200"/>
    <n v="17"/>
    <n v="0.1"/>
    <n v="0.18"/>
    <n v="18000"/>
    <n v="0.3"/>
    <n v="20400"/>
    <n v="18360"/>
    <n v="3304.7999999999997"/>
    <n v="21304.799999999999"/>
    <n v="-2944.7999999999993"/>
    <n v="-883.43999999999971"/>
    <n v="-2061.3599999999997"/>
    <n v="-0.10104705882352939"/>
  </r>
  <r>
    <x v="0"/>
    <x v="1"/>
    <s v="September 2014"/>
    <n v="1"/>
    <x v="0"/>
    <x v="1"/>
    <x v="0"/>
    <s v="Worst"/>
    <n v="1200"/>
    <n v="17"/>
    <n v="0.1"/>
    <n v="0.18"/>
    <n v="18000"/>
    <n v="0.3"/>
    <n v="20400"/>
    <n v="18360"/>
    <n v="3304.7999999999997"/>
    <n v="21304.799999999999"/>
    <n v="-2944.7999999999993"/>
    <n v="-883.43999999999971"/>
    <n v="-2061.3599999999997"/>
    <n v="-0.10104705882352939"/>
  </r>
  <r>
    <x v="0"/>
    <x v="1"/>
    <s v="September 2014"/>
    <n v="1"/>
    <x v="0"/>
    <x v="1"/>
    <x v="1"/>
    <s v="Worst"/>
    <n v="1200"/>
    <n v="17"/>
    <n v="0.1"/>
    <n v="0.18"/>
    <n v="18000"/>
    <n v="0.3"/>
    <n v="20400"/>
    <n v="18360"/>
    <n v="3304.7999999999997"/>
    <n v="21304.799999999999"/>
    <n v="-2944.7999999999993"/>
    <n v="-883.43999999999971"/>
    <n v="-2061.3599999999997"/>
    <n v="-0.10104705882352939"/>
  </r>
  <r>
    <x v="0"/>
    <x v="1"/>
    <s v="September 2014"/>
    <n v="1"/>
    <x v="0"/>
    <x v="1"/>
    <x v="2"/>
    <s v="Worst"/>
    <n v="1200"/>
    <n v="17"/>
    <n v="0.1"/>
    <n v="0.18"/>
    <n v="18000"/>
    <n v="0.3"/>
    <n v="20400"/>
    <n v="18360"/>
    <n v="3304.7999999999997"/>
    <n v="21304.799999999999"/>
    <n v="-2944.7999999999993"/>
    <n v="-883.43999999999971"/>
    <n v="-2061.3599999999997"/>
    <n v="-0.10104705882352939"/>
  </r>
  <r>
    <x v="0"/>
    <x v="1"/>
    <s v="September 2014"/>
    <n v="1"/>
    <x v="0"/>
    <x v="1"/>
    <x v="3"/>
    <s v="Worst"/>
    <n v="1200"/>
    <n v="17"/>
    <n v="0.1"/>
    <n v="0.18"/>
    <n v="18000"/>
    <n v="0.3"/>
    <n v="20400"/>
    <n v="18360"/>
    <n v="3304.7999999999997"/>
    <n v="21304.799999999999"/>
    <n v="-2944.7999999999993"/>
    <n v="-883.43999999999971"/>
    <n v="-2061.3599999999997"/>
    <n v="-0.10104705882352939"/>
  </r>
  <r>
    <x v="0"/>
    <x v="1"/>
    <s v="September 2014"/>
    <n v="1"/>
    <x v="0"/>
    <x v="1"/>
    <x v="4"/>
    <s v="Worst"/>
    <n v="1200"/>
    <n v="17"/>
    <n v="0.1"/>
    <n v="0.18"/>
    <n v="18000"/>
    <n v="0.3"/>
    <n v="20400"/>
    <n v="18360"/>
    <n v="3304.7999999999997"/>
    <n v="21304.799999999999"/>
    <n v="-2944.7999999999993"/>
    <n v="-883.43999999999971"/>
    <n v="-2061.3599999999997"/>
    <n v="-0.10104705882352939"/>
  </r>
  <r>
    <x v="0"/>
    <x v="1"/>
    <s v="September 2014"/>
    <n v="1"/>
    <x v="0"/>
    <x v="2"/>
    <x v="0"/>
    <s v="Worst"/>
    <n v="1200"/>
    <n v="17"/>
    <n v="0.1"/>
    <n v="0.18"/>
    <n v="18000"/>
    <n v="0.3"/>
    <n v="20400"/>
    <n v="18360"/>
    <n v="3304.7999999999997"/>
    <n v="21304.799999999999"/>
    <n v="-2944.7999999999993"/>
    <n v="-883.43999999999971"/>
    <n v="-2061.3599999999997"/>
    <n v="-0.10104705882352939"/>
  </r>
  <r>
    <x v="0"/>
    <x v="1"/>
    <s v="September 2014"/>
    <n v="1"/>
    <x v="0"/>
    <x v="2"/>
    <x v="1"/>
    <s v="Worst"/>
    <n v="1200"/>
    <n v="17"/>
    <n v="0.1"/>
    <n v="0.18"/>
    <n v="18000"/>
    <n v="0.3"/>
    <n v="20400"/>
    <n v="18360"/>
    <n v="3304.7999999999997"/>
    <n v="21304.799999999999"/>
    <n v="-2944.7999999999993"/>
    <n v="-883.43999999999971"/>
    <n v="-2061.3599999999997"/>
    <n v="-0.10104705882352939"/>
  </r>
  <r>
    <x v="0"/>
    <x v="1"/>
    <s v="September 2014"/>
    <n v="1"/>
    <x v="0"/>
    <x v="2"/>
    <x v="2"/>
    <s v="Worst"/>
    <n v="1200"/>
    <n v="17"/>
    <n v="0.1"/>
    <n v="0.18"/>
    <n v="18000"/>
    <n v="0.3"/>
    <n v="20400"/>
    <n v="18360"/>
    <n v="3304.7999999999997"/>
    <n v="21304.799999999999"/>
    <n v="-2944.7999999999993"/>
    <n v="-883.43999999999971"/>
    <n v="-2061.3599999999997"/>
    <n v="-0.10104705882352939"/>
  </r>
  <r>
    <x v="0"/>
    <x v="1"/>
    <s v="September 2014"/>
    <n v="1"/>
    <x v="0"/>
    <x v="2"/>
    <x v="3"/>
    <s v="Worst"/>
    <n v="1200"/>
    <n v="17"/>
    <n v="0.1"/>
    <n v="0.18"/>
    <n v="18000"/>
    <n v="0.3"/>
    <n v="20400"/>
    <n v="18360"/>
    <n v="3304.7999999999997"/>
    <n v="21304.799999999999"/>
    <n v="-2944.7999999999993"/>
    <n v="-883.43999999999971"/>
    <n v="-2061.3599999999997"/>
    <n v="-0.10104705882352939"/>
  </r>
  <r>
    <x v="0"/>
    <x v="1"/>
    <s v="September 2014"/>
    <n v="1"/>
    <x v="0"/>
    <x v="2"/>
    <x v="4"/>
    <s v="Worst"/>
    <n v="1200"/>
    <n v="17"/>
    <n v="0.1"/>
    <n v="0.18"/>
    <n v="18000"/>
    <n v="0.3"/>
    <n v="20400"/>
    <n v="18360"/>
    <n v="3304.7999999999997"/>
    <n v="21304.799999999999"/>
    <n v="-2944.7999999999993"/>
    <n v="-883.43999999999971"/>
    <n v="-2061.3599999999997"/>
    <n v="-0.10104705882352939"/>
  </r>
  <r>
    <x v="0"/>
    <x v="1"/>
    <s v="September 2014"/>
    <n v="1"/>
    <x v="0"/>
    <x v="3"/>
    <x v="0"/>
    <s v="Worst"/>
    <n v="1200"/>
    <n v="17"/>
    <n v="0.1"/>
    <n v="0.18"/>
    <n v="18000"/>
    <n v="0.3"/>
    <n v="20400"/>
    <n v="18360"/>
    <n v="3304.7999999999997"/>
    <n v="21304.799999999999"/>
    <n v="-2944.7999999999993"/>
    <n v="-883.43999999999971"/>
    <n v="-2061.3599999999997"/>
    <n v="-0.10104705882352939"/>
  </r>
  <r>
    <x v="0"/>
    <x v="1"/>
    <s v="September 2014"/>
    <n v="1"/>
    <x v="0"/>
    <x v="3"/>
    <x v="1"/>
    <s v="Worst"/>
    <n v="1200"/>
    <n v="17"/>
    <n v="0.1"/>
    <n v="0.18"/>
    <n v="18000"/>
    <n v="0.3"/>
    <n v="20400"/>
    <n v="18360"/>
    <n v="3304.7999999999997"/>
    <n v="21304.799999999999"/>
    <n v="-2944.7999999999993"/>
    <n v="-883.43999999999971"/>
    <n v="-2061.3599999999997"/>
    <n v="-0.10104705882352939"/>
  </r>
  <r>
    <x v="0"/>
    <x v="1"/>
    <s v="September 2014"/>
    <n v="1"/>
    <x v="0"/>
    <x v="3"/>
    <x v="2"/>
    <s v="Worst"/>
    <n v="1200"/>
    <n v="17"/>
    <n v="0.1"/>
    <n v="0.18"/>
    <n v="18000"/>
    <n v="0.3"/>
    <n v="20400"/>
    <n v="18360"/>
    <n v="3304.7999999999997"/>
    <n v="21304.799999999999"/>
    <n v="-2944.7999999999993"/>
    <n v="-883.43999999999971"/>
    <n v="-2061.3599999999997"/>
    <n v="-0.10104705882352939"/>
  </r>
  <r>
    <x v="0"/>
    <x v="1"/>
    <s v="September 2014"/>
    <n v="1"/>
    <x v="0"/>
    <x v="3"/>
    <x v="3"/>
    <s v="Worst"/>
    <n v="1200"/>
    <n v="17"/>
    <n v="0.1"/>
    <n v="0.18"/>
    <n v="18000"/>
    <n v="0.3"/>
    <n v="20400"/>
    <n v="18360"/>
    <n v="3304.7999999999997"/>
    <n v="21304.799999999999"/>
    <n v="-2944.7999999999993"/>
    <n v="-883.43999999999971"/>
    <n v="-2061.3599999999997"/>
    <n v="-0.10104705882352939"/>
  </r>
  <r>
    <x v="0"/>
    <x v="1"/>
    <s v="September 2014"/>
    <n v="1"/>
    <x v="0"/>
    <x v="3"/>
    <x v="4"/>
    <s v="Worst"/>
    <n v="1200"/>
    <n v="17"/>
    <n v="0.1"/>
    <n v="0.18"/>
    <n v="18000"/>
    <n v="0.3"/>
    <n v="20400"/>
    <n v="18360"/>
    <n v="3304.7999999999997"/>
    <n v="21304.799999999999"/>
    <n v="-2944.7999999999993"/>
    <n v="-883.43999999999971"/>
    <n v="-2061.3599999999997"/>
    <n v="-0.10104705882352939"/>
  </r>
  <r>
    <x v="0"/>
    <x v="1"/>
    <s v="September 2014"/>
    <n v="1"/>
    <x v="0"/>
    <x v="4"/>
    <x v="0"/>
    <s v="Worst"/>
    <n v="1200"/>
    <n v="17"/>
    <n v="0.1"/>
    <n v="0.18"/>
    <n v="18000"/>
    <n v="0.3"/>
    <n v="20400"/>
    <n v="18360"/>
    <n v="3304.7999999999997"/>
    <n v="21304.799999999999"/>
    <n v="-2944.7999999999993"/>
    <n v="-883.43999999999971"/>
    <n v="-2061.3599999999997"/>
    <n v="-0.10104705882352939"/>
  </r>
  <r>
    <x v="0"/>
    <x v="1"/>
    <s v="September 2014"/>
    <n v="1"/>
    <x v="0"/>
    <x v="4"/>
    <x v="1"/>
    <s v="Worst"/>
    <n v="1200"/>
    <n v="17"/>
    <n v="0.1"/>
    <n v="0.18"/>
    <n v="18000"/>
    <n v="0.3"/>
    <n v="20400"/>
    <n v="18360"/>
    <n v="3304.7999999999997"/>
    <n v="21304.799999999999"/>
    <n v="-2944.7999999999993"/>
    <n v="-883.43999999999971"/>
    <n v="-2061.3599999999997"/>
    <n v="-0.10104705882352939"/>
  </r>
  <r>
    <x v="0"/>
    <x v="1"/>
    <s v="September 2014"/>
    <n v="1"/>
    <x v="0"/>
    <x v="4"/>
    <x v="2"/>
    <s v="Worst"/>
    <n v="1200"/>
    <n v="17"/>
    <n v="0.1"/>
    <n v="0.18"/>
    <n v="18000"/>
    <n v="0.3"/>
    <n v="20400"/>
    <n v="18360"/>
    <n v="3304.7999999999997"/>
    <n v="21304.799999999999"/>
    <n v="-2944.7999999999993"/>
    <n v="-883.43999999999971"/>
    <n v="-2061.3599999999997"/>
    <n v="-0.10104705882352939"/>
  </r>
  <r>
    <x v="0"/>
    <x v="1"/>
    <s v="September 2014"/>
    <n v="1"/>
    <x v="0"/>
    <x v="4"/>
    <x v="3"/>
    <s v="Worst"/>
    <n v="1200"/>
    <n v="17"/>
    <n v="0.1"/>
    <n v="0.18"/>
    <n v="18000"/>
    <n v="0.3"/>
    <n v="20400"/>
    <n v="18360"/>
    <n v="3304.7999999999997"/>
    <n v="21304.799999999999"/>
    <n v="-2944.7999999999993"/>
    <n v="-883.43999999999971"/>
    <n v="-2061.3599999999997"/>
    <n v="-0.10104705882352939"/>
  </r>
  <r>
    <x v="0"/>
    <x v="1"/>
    <s v="September 2014"/>
    <n v="1"/>
    <x v="0"/>
    <x v="4"/>
    <x v="4"/>
    <s v="Worst"/>
    <n v="1200"/>
    <n v="17"/>
    <n v="0.1"/>
    <n v="0.18"/>
    <n v="18000"/>
    <n v="0.3"/>
    <n v="20400"/>
    <n v="18360"/>
    <n v="3304.7999999999997"/>
    <n v="21304.799999999999"/>
    <n v="-2944.7999999999993"/>
    <n v="-883.43999999999971"/>
    <n v="-2061.3599999999997"/>
    <n v="-0.10104705882352939"/>
  </r>
  <r>
    <x v="0"/>
    <x v="1"/>
    <s v="September 2014"/>
    <n v="1"/>
    <x v="1"/>
    <x v="0"/>
    <x v="0"/>
    <s v="Worst"/>
    <n v="1200"/>
    <n v="17"/>
    <n v="0.1"/>
    <n v="0.18"/>
    <n v="18000"/>
    <n v="0.3"/>
    <n v="20400"/>
    <n v="18360"/>
    <n v="3304.7999999999997"/>
    <n v="21304.799999999999"/>
    <n v="-2944.7999999999993"/>
    <n v="-883.43999999999971"/>
    <n v="-2061.3599999999997"/>
    <n v="-0.10104705882352939"/>
  </r>
  <r>
    <x v="0"/>
    <x v="1"/>
    <s v="September 2014"/>
    <n v="1"/>
    <x v="1"/>
    <x v="0"/>
    <x v="1"/>
    <s v="Worst"/>
    <n v="1200"/>
    <n v="17"/>
    <n v="0.1"/>
    <n v="0.18"/>
    <n v="18000"/>
    <n v="0.3"/>
    <n v="20400"/>
    <n v="18360"/>
    <n v="3304.7999999999997"/>
    <n v="21304.799999999999"/>
    <n v="-2944.7999999999993"/>
    <n v="-883.43999999999971"/>
    <n v="-2061.3599999999997"/>
    <n v="-0.10104705882352939"/>
  </r>
  <r>
    <x v="0"/>
    <x v="1"/>
    <s v="September 2014"/>
    <n v="1"/>
    <x v="1"/>
    <x v="0"/>
    <x v="2"/>
    <s v="Worst"/>
    <n v="1200"/>
    <n v="17"/>
    <n v="0.1"/>
    <n v="0.18"/>
    <n v="18000"/>
    <n v="0.3"/>
    <n v="20400"/>
    <n v="18360"/>
    <n v="3304.7999999999997"/>
    <n v="21304.799999999999"/>
    <n v="-2944.7999999999993"/>
    <n v="-883.43999999999971"/>
    <n v="-2061.3599999999997"/>
    <n v="-0.10104705882352939"/>
  </r>
  <r>
    <x v="0"/>
    <x v="1"/>
    <s v="September 2014"/>
    <n v="1"/>
    <x v="1"/>
    <x v="0"/>
    <x v="3"/>
    <s v="Worst"/>
    <n v="1200"/>
    <n v="17"/>
    <n v="0.1"/>
    <n v="0.18"/>
    <n v="18000"/>
    <n v="0.3"/>
    <n v="20400"/>
    <n v="18360"/>
    <n v="3304.7999999999997"/>
    <n v="21304.799999999999"/>
    <n v="-2944.7999999999993"/>
    <n v="-883.43999999999971"/>
    <n v="-2061.3599999999997"/>
    <n v="-0.10104705882352939"/>
  </r>
  <r>
    <x v="0"/>
    <x v="1"/>
    <s v="September 2014"/>
    <n v="1"/>
    <x v="1"/>
    <x v="0"/>
    <x v="4"/>
    <s v="Worst"/>
    <n v="1200"/>
    <n v="17"/>
    <n v="0.1"/>
    <n v="0.18"/>
    <n v="18000"/>
    <n v="0.3"/>
    <n v="20400"/>
    <n v="18360"/>
    <n v="3304.7999999999997"/>
    <n v="21304.799999999999"/>
    <n v="-2944.7999999999993"/>
    <n v="-883.43999999999971"/>
    <n v="-2061.3599999999997"/>
    <n v="-0.10104705882352939"/>
  </r>
  <r>
    <x v="0"/>
    <x v="1"/>
    <s v="September 2014"/>
    <n v="1"/>
    <x v="1"/>
    <x v="1"/>
    <x v="0"/>
    <s v="Worst"/>
    <n v="1200"/>
    <n v="17"/>
    <n v="0.1"/>
    <n v="0.18"/>
    <n v="18000"/>
    <n v="0.3"/>
    <n v="20400"/>
    <n v="18360"/>
    <n v="3304.7999999999997"/>
    <n v="21304.799999999999"/>
    <n v="-2944.7999999999993"/>
    <n v="-883.43999999999971"/>
    <n v="-2061.3599999999997"/>
    <n v="-0.10104705882352939"/>
  </r>
  <r>
    <x v="0"/>
    <x v="1"/>
    <s v="September 2014"/>
    <n v="1"/>
    <x v="1"/>
    <x v="1"/>
    <x v="1"/>
    <s v="Worst"/>
    <n v="1200"/>
    <n v="17"/>
    <n v="0.1"/>
    <n v="0.18"/>
    <n v="18000"/>
    <n v="0.3"/>
    <n v="20400"/>
    <n v="18360"/>
    <n v="3304.7999999999997"/>
    <n v="21304.799999999999"/>
    <n v="-2944.7999999999993"/>
    <n v="-883.43999999999971"/>
    <n v="-2061.3599999999997"/>
    <n v="-0.10104705882352939"/>
  </r>
  <r>
    <x v="0"/>
    <x v="1"/>
    <s v="September 2014"/>
    <n v="1"/>
    <x v="1"/>
    <x v="1"/>
    <x v="2"/>
    <s v="Worst"/>
    <n v="1200"/>
    <n v="17"/>
    <n v="0.1"/>
    <n v="0.18"/>
    <n v="18000"/>
    <n v="0.3"/>
    <n v="20400"/>
    <n v="18360"/>
    <n v="3304.7999999999997"/>
    <n v="21304.799999999999"/>
    <n v="-2944.7999999999993"/>
    <n v="-883.43999999999971"/>
    <n v="-2061.3599999999997"/>
    <n v="-0.10104705882352939"/>
  </r>
  <r>
    <x v="0"/>
    <x v="1"/>
    <s v="September 2014"/>
    <n v="1"/>
    <x v="1"/>
    <x v="1"/>
    <x v="3"/>
    <s v="Worst"/>
    <n v="1200"/>
    <n v="17"/>
    <n v="0.1"/>
    <n v="0.18"/>
    <n v="18000"/>
    <n v="0.3"/>
    <n v="20400"/>
    <n v="18360"/>
    <n v="3304.7999999999997"/>
    <n v="21304.799999999999"/>
    <n v="-2944.7999999999993"/>
    <n v="-883.43999999999971"/>
    <n v="-2061.3599999999997"/>
    <n v="-0.10104705882352939"/>
  </r>
  <r>
    <x v="0"/>
    <x v="1"/>
    <s v="September 2014"/>
    <n v="1"/>
    <x v="1"/>
    <x v="1"/>
    <x v="4"/>
    <s v="Worst"/>
    <n v="1200"/>
    <n v="17"/>
    <n v="0.1"/>
    <n v="0.18"/>
    <n v="18000"/>
    <n v="0.3"/>
    <n v="20400"/>
    <n v="18360"/>
    <n v="3304.7999999999997"/>
    <n v="21304.799999999999"/>
    <n v="-2944.7999999999993"/>
    <n v="-883.43999999999971"/>
    <n v="-2061.3599999999997"/>
    <n v="-0.10104705882352939"/>
  </r>
  <r>
    <x v="0"/>
    <x v="1"/>
    <s v="September 2014"/>
    <n v="1"/>
    <x v="1"/>
    <x v="2"/>
    <x v="0"/>
    <s v="Worst"/>
    <n v="1200"/>
    <n v="17"/>
    <n v="0.1"/>
    <n v="0.18"/>
    <n v="18000"/>
    <n v="0.3"/>
    <n v="20400"/>
    <n v="18360"/>
    <n v="3304.7999999999997"/>
    <n v="21304.799999999999"/>
    <n v="-2944.7999999999993"/>
    <n v="-883.43999999999971"/>
    <n v="-2061.3599999999997"/>
    <n v="-0.10104705882352939"/>
  </r>
  <r>
    <x v="0"/>
    <x v="1"/>
    <s v="September 2014"/>
    <n v="1"/>
    <x v="1"/>
    <x v="2"/>
    <x v="1"/>
    <s v="Worst"/>
    <n v="1200"/>
    <n v="17"/>
    <n v="0.1"/>
    <n v="0.18"/>
    <n v="18000"/>
    <n v="0.3"/>
    <n v="20400"/>
    <n v="18360"/>
    <n v="3304.7999999999997"/>
    <n v="21304.799999999999"/>
    <n v="-2944.7999999999993"/>
    <n v="-883.43999999999971"/>
    <n v="-2061.3599999999997"/>
    <n v="-0.10104705882352939"/>
  </r>
  <r>
    <x v="0"/>
    <x v="1"/>
    <s v="September 2014"/>
    <n v="1"/>
    <x v="1"/>
    <x v="2"/>
    <x v="2"/>
    <s v="Worst"/>
    <n v="1200"/>
    <n v="17"/>
    <n v="0.1"/>
    <n v="0.18"/>
    <n v="18000"/>
    <n v="0.3"/>
    <n v="20400"/>
    <n v="18360"/>
    <n v="3304.7999999999997"/>
    <n v="21304.799999999999"/>
    <n v="-2944.7999999999993"/>
    <n v="-883.43999999999971"/>
    <n v="-2061.3599999999997"/>
    <n v="-0.10104705882352939"/>
  </r>
  <r>
    <x v="0"/>
    <x v="1"/>
    <s v="September 2014"/>
    <n v="1"/>
    <x v="1"/>
    <x v="2"/>
    <x v="3"/>
    <s v="Worst"/>
    <n v="1200"/>
    <n v="17"/>
    <n v="0.1"/>
    <n v="0.18"/>
    <n v="18000"/>
    <n v="0.3"/>
    <n v="20400"/>
    <n v="18360"/>
    <n v="3304.7999999999997"/>
    <n v="21304.799999999999"/>
    <n v="-2944.7999999999993"/>
    <n v="-883.43999999999971"/>
    <n v="-2061.3599999999997"/>
    <n v="-0.10104705882352939"/>
  </r>
  <r>
    <x v="0"/>
    <x v="1"/>
    <s v="September 2014"/>
    <n v="1"/>
    <x v="1"/>
    <x v="2"/>
    <x v="4"/>
    <s v="Worst"/>
    <n v="1200"/>
    <n v="17"/>
    <n v="0.1"/>
    <n v="0.18"/>
    <n v="18000"/>
    <n v="0.3"/>
    <n v="20400"/>
    <n v="18360"/>
    <n v="3304.7999999999997"/>
    <n v="21304.799999999999"/>
    <n v="-2944.7999999999993"/>
    <n v="-883.43999999999971"/>
    <n v="-2061.3599999999997"/>
    <n v="-0.10104705882352939"/>
  </r>
  <r>
    <x v="0"/>
    <x v="1"/>
    <s v="September 2014"/>
    <n v="1"/>
    <x v="1"/>
    <x v="3"/>
    <x v="0"/>
    <s v="Worst"/>
    <n v="1200"/>
    <n v="17"/>
    <n v="0.1"/>
    <n v="0.18"/>
    <n v="18000"/>
    <n v="0.3"/>
    <n v="20400"/>
    <n v="18360"/>
    <n v="3304.7999999999997"/>
    <n v="21304.799999999999"/>
    <n v="-2944.7999999999993"/>
    <n v="-883.43999999999971"/>
    <n v="-2061.3599999999997"/>
    <n v="-0.10104705882352939"/>
  </r>
  <r>
    <x v="0"/>
    <x v="1"/>
    <s v="September 2014"/>
    <n v="1"/>
    <x v="1"/>
    <x v="3"/>
    <x v="1"/>
    <s v="Worst"/>
    <n v="1200"/>
    <n v="17"/>
    <n v="0.1"/>
    <n v="0.18"/>
    <n v="18000"/>
    <n v="0.3"/>
    <n v="20400"/>
    <n v="18360"/>
    <n v="3304.7999999999997"/>
    <n v="21304.799999999999"/>
    <n v="-2944.7999999999993"/>
    <n v="-883.43999999999971"/>
    <n v="-2061.3599999999997"/>
    <n v="-0.10104705882352939"/>
  </r>
  <r>
    <x v="0"/>
    <x v="1"/>
    <s v="September 2014"/>
    <n v="1"/>
    <x v="1"/>
    <x v="3"/>
    <x v="2"/>
    <s v="Worst"/>
    <n v="1200"/>
    <n v="17"/>
    <n v="0.1"/>
    <n v="0.18"/>
    <n v="18000"/>
    <n v="0.3"/>
    <n v="20400"/>
    <n v="18360"/>
    <n v="3304.7999999999997"/>
    <n v="21304.799999999999"/>
    <n v="-2944.7999999999993"/>
    <n v="-883.43999999999971"/>
    <n v="-2061.3599999999997"/>
    <n v="-0.10104705882352939"/>
  </r>
  <r>
    <x v="0"/>
    <x v="1"/>
    <s v="September 2014"/>
    <n v="1"/>
    <x v="1"/>
    <x v="3"/>
    <x v="3"/>
    <s v="Worst"/>
    <n v="1200"/>
    <n v="17"/>
    <n v="0.1"/>
    <n v="0.18"/>
    <n v="18000"/>
    <n v="0.3"/>
    <n v="20400"/>
    <n v="18360"/>
    <n v="3304.7999999999997"/>
    <n v="21304.799999999999"/>
    <n v="-2944.7999999999993"/>
    <n v="-883.43999999999971"/>
    <n v="-2061.3599999999997"/>
    <n v="-0.10104705882352939"/>
  </r>
  <r>
    <x v="0"/>
    <x v="1"/>
    <s v="September 2014"/>
    <n v="1"/>
    <x v="1"/>
    <x v="3"/>
    <x v="4"/>
    <s v="Worst"/>
    <n v="1200"/>
    <n v="17"/>
    <n v="0.1"/>
    <n v="0.18"/>
    <n v="18000"/>
    <n v="0.3"/>
    <n v="20400"/>
    <n v="18360"/>
    <n v="3304.7999999999997"/>
    <n v="21304.799999999999"/>
    <n v="-2944.7999999999993"/>
    <n v="-883.43999999999971"/>
    <n v="-2061.3599999999997"/>
    <n v="-0.10104705882352939"/>
  </r>
  <r>
    <x v="0"/>
    <x v="1"/>
    <s v="September 2014"/>
    <n v="1"/>
    <x v="1"/>
    <x v="4"/>
    <x v="0"/>
    <s v="Worst"/>
    <n v="1200"/>
    <n v="17"/>
    <n v="0.1"/>
    <n v="0.18"/>
    <n v="18000"/>
    <n v="0.3"/>
    <n v="20400"/>
    <n v="18360"/>
    <n v="3304.7999999999997"/>
    <n v="21304.799999999999"/>
    <n v="-2944.7999999999993"/>
    <n v="-883.43999999999971"/>
    <n v="-2061.3599999999997"/>
    <n v="-0.10104705882352939"/>
  </r>
  <r>
    <x v="0"/>
    <x v="1"/>
    <s v="September 2014"/>
    <n v="1"/>
    <x v="1"/>
    <x v="4"/>
    <x v="1"/>
    <s v="Worst"/>
    <n v="1200"/>
    <n v="17"/>
    <n v="0.1"/>
    <n v="0.18"/>
    <n v="18000"/>
    <n v="0.3"/>
    <n v="20400"/>
    <n v="18360"/>
    <n v="3304.7999999999997"/>
    <n v="21304.799999999999"/>
    <n v="-2944.7999999999993"/>
    <n v="-883.43999999999971"/>
    <n v="-2061.3599999999997"/>
    <n v="-0.10104705882352939"/>
  </r>
  <r>
    <x v="0"/>
    <x v="1"/>
    <s v="September 2014"/>
    <n v="1"/>
    <x v="1"/>
    <x v="4"/>
    <x v="2"/>
    <s v="Worst"/>
    <n v="1200"/>
    <n v="17"/>
    <n v="0.1"/>
    <n v="0.18"/>
    <n v="18000"/>
    <n v="0.3"/>
    <n v="20400"/>
    <n v="18360"/>
    <n v="3304.7999999999997"/>
    <n v="21304.799999999999"/>
    <n v="-2944.7999999999993"/>
    <n v="-883.43999999999971"/>
    <n v="-2061.3599999999997"/>
    <n v="-0.10104705882352939"/>
  </r>
  <r>
    <x v="0"/>
    <x v="1"/>
    <s v="September 2014"/>
    <n v="1"/>
    <x v="1"/>
    <x v="4"/>
    <x v="3"/>
    <s v="Worst"/>
    <n v="1200"/>
    <n v="17"/>
    <n v="0.1"/>
    <n v="0.18"/>
    <n v="18000"/>
    <n v="0.3"/>
    <n v="20400"/>
    <n v="18360"/>
    <n v="3304.7999999999997"/>
    <n v="21304.799999999999"/>
    <n v="-2944.7999999999993"/>
    <n v="-883.43999999999971"/>
    <n v="-2061.3599999999997"/>
    <n v="-0.10104705882352939"/>
  </r>
  <r>
    <x v="0"/>
    <x v="1"/>
    <s v="September 2014"/>
    <n v="1"/>
    <x v="1"/>
    <x v="4"/>
    <x v="4"/>
    <s v="Worst"/>
    <n v="1200"/>
    <n v="17"/>
    <n v="0.1"/>
    <n v="0.18"/>
    <n v="18000"/>
    <n v="0.3"/>
    <n v="20400"/>
    <n v="18360"/>
    <n v="3304.7999999999997"/>
    <n v="21304.799999999999"/>
    <n v="-2944.7999999999993"/>
    <n v="-883.43999999999971"/>
    <n v="-2061.3599999999997"/>
    <n v="-0.10104705882352939"/>
  </r>
  <r>
    <x v="0"/>
    <x v="1"/>
    <s v="September 2014"/>
    <n v="1"/>
    <x v="2"/>
    <x v="0"/>
    <x v="0"/>
    <s v="Worst"/>
    <n v="1200"/>
    <n v="17"/>
    <n v="0.1"/>
    <n v="0.18"/>
    <n v="18000"/>
    <n v="0.3"/>
    <n v="20400"/>
    <n v="18360"/>
    <n v="3304.7999999999997"/>
    <n v="21304.799999999999"/>
    <n v="-2944.7999999999993"/>
    <n v="-883.43999999999971"/>
    <n v="-2061.3599999999997"/>
    <n v="-0.10104705882352939"/>
  </r>
  <r>
    <x v="0"/>
    <x v="1"/>
    <s v="September 2014"/>
    <n v="1"/>
    <x v="2"/>
    <x v="0"/>
    <x v="1"/>
    <s v="Worst"/>
    <n v="1200"/>
    <n v="17"/>
    <n v="0.1"/>
    <n v="0.18"/>
    <n v="18000"/>
    <n v="0.3"/>
    <n v="20400"/>
    <n v="18360"/>
    <n v="3304.7999999999997"/>
    <n v="21304.799999999999"/>
    <n v="-2944.7999999999993"/>
    <n v="-883.43999999999971"/>
    <n v="-2061.3599999999997"/>
    <n v="-0.10104705882352939"/>
  </r>
  <r>
    <x v="0"/>
    <x v="1"/>
    <s v="September 2014"/>
    <n v="1"/>
    <x v="2"/>
    <x v="0"/>
    <x v="2"/>
    <s v="Worst"/>
    <n v="1200"/>
    <n v="17"/>
    <n v="0.1"/>
    <n v="0.18"/>
    <n v="18000"/>
    <n v="0.3"/>
    <n v="20400"/>
    <n v="18360"/>
    <n v="3304.7999999999997"/>
    <n v="21304.799999999999"/>
    <n v="-2944.7999999999993"/>
    <n v="-883.43999999999971"/>
    <n v="-2061.3599999999997"/>
    <n v="-0.10104705882352939"/>
  </r>
  <r>
    <x v="0"/>
    <x v="1"/>
    <s v="September 2014"/>
    <n v="1"/>
    <x v="2"/>
    <x v="0"/>
    <x v="3"/>
    <s v="Worst"/>
    <n v="1200"/>
    <n v="17"/>
    <n v="0.1"/>
    <n v="0.18"/>
    <n v="18000"/>
    <n v="0.3"/>
    <n v="20400"/>
    <n v="18360"/>
    <n v="3304.7999999999997"/>
    <n v="21304.799999999999"/>
    <n v="-2944.7999999999993"/>
    <n v="-883.43999999999971"/>
    <n v="-2061.3599999999997"/>
    <n v="-0.10104705882352939"/>
  </r>
  <r>
    <x v="0"/>
    <x v="1"/>
    <s v="September 2014"/>
    <n v="1"/>
    <x v="2"/>
    <x v="0"/>
    <x v="4"/>
    <s v="Worst"/>
    <n v="1200"/>
    <n v="17"/>
    <n v="0.1"/>
    <n v="0.18"/>
    <n v="18000"/>
    <n v="0.3"/>
    <n v="20400"/>
    <n v="18360"/>
    <n v="3304.7999999999997"/>
    <n v="21304.799999999999"/>
    <n v="-2944.7999999999993"/>
    <n v="-883.43999999999971"/>
    <n v="-2061.3599999999997"/>
    <n v="-0.10104705882352939"/>
  </r>
  <r>
    <x v="0"/>
    <x v="1"/>
    <s v="September 2014"/>
    <n v="1"/>
    <x v="2"/>
    <x v="1"/>
    <x v="0"/>
    <s v="Worst"/>
    <n v="1200"/>
    <n v="17"/>
    <n v="0.1"/>
    <n v="0.18"/>
    <n v="18000"/>
    <n v="0.3"/>
    <n v="20400"/>
    <n v="18360"/>
    <n v="3304.7999999999997"/>
    <n v="21304.799999999999"/>
    <n v="-2944.7999999999993"/>
    <n v="-883.43999999999971"/>
    <n v="-2061.3599999999997"/>
    <n v="-0.10104705882352939"/>
  </r>
  <r>
    <x v="0"/>
    <x v="1"/>
    <s v="September 2014"/>
    <n v="1"/>
    <x v="2"/>
    <x v="1"/>
    <x v="1"/>
    <s v="Worst"/>
    <n v="1200"/>
    <n v="17"/>
    <n v="0.1"/>
    <n v="0.18"/>
    <n v="18000"/>
    <n v="0.3"/>
    <n v="20400"/>
    <n v="18360"/>
    <n v="3304.7999999999997"/>
    <n v="21304.799999999999"/>
    <n v="-2944.7999999999993"/>
    <n v="-883.43999999999971"/>
    <n v="-2061.3599999999997"/>
    <n v="-0.10104705882352939"/>
  </r>
  <r>
    <x v="0"/>
    <x v="1"/>
    <s v="September 2014"/>
    <n v="1"/>
    <x v="2"/>
    <x v="1"/>
    <x v="2"/>
    <s v="Worst"/>
    <n v="1200"/>
    <n v="17"/>
    <n v="0.1"/>
    <n v="0.18"/>
    <n v="18000"/>
    <n v="0.3"/>
    <n v="20400"/>
    <n v="18360"/>
    <n v="3304.7999999999997"/>
    <n v="21304.799999999999"/>
    <n v="-2944.7999999999993"/>
    <n v="-883.43999999999971"/>
    <n v="-2061.3599999999997"/>
    <n v="-0.10104705882352939"/>
  </r>
  <r>
    <x v="0"/>
    <x v="1"/>
    <s v="September 2014"/>
    <n v="1"/>
    <x v="2"/>
    <x v="1"/>
    <x v="3"/>
    <s v="Worst"/>
    <n v="1200"/>
    <n v="17"/>
    <n v="0.1"/>
    <n v="0.18"/>
    <n v="18000"/>
    <n v="0.3"/>
    <n v="20400"/>
    <n v="18360"/>
    <n v="3304.7999999999997"/>
    <n v="21304.799999999999"/>
    <n v="-2944.7999999999993"/>
    <n v="-883.43999999999971"/>
    <n v="-2061.3599999999997"/>
    <n v="-0.10104705882352939"/>
  </r>
  <r>
    <x v="0"/>
    <x v="1"/>
    <s v="September 2014"/>
    <n v="1"/>
    <x v="2"/>
    <x v="1"/>
    <x v="4"/>
    <s v="Worst"/>
    <n v="1200"/>
    <n v="17"/>
    <n v="0.1"/>
    <n v="0.18"/>
    <n v="18000"/>
    <n v="0.3"/>
    <n v="20400"/>
    <n v="18360"/>
    <n v="3304.7999999999997"/>
    <n v="21304.799999999999"/>
    <n v="-2944.7999999999993"/>
    <n v="-883.43999999999971"/>
    <n v="-2061.3599999999997"/>
    <n v="-0.10104705882352939"/>
  </r>
  <r>
    <x v="0"/>
    <x v="1"/>
    <s v="September 2014"/>
    <n v="1"/>
    <x v="2"/>
    <x v="2"/>
    <x v="0"/>
    <s v="Worst"/>
    <n v="1200"/>
    <n v="17"/>
    <n v="0.1"/>
    <n v="0.18"/>
    <n v="18000"/>
    <n v="0.3"/>
    <n v="20400"/>
    <n v="18360"/>
    <n v="3304.7999999999997"/>
    <n v="21304.799999999999"/>
    <n v="-2944.7999999999993"/>
    <n v="-883.43999999999971"/>
    <n v="-2061.3599999999997"/>
    <n v="-0.10104705882352939"/>
  </r>
  <r>
    <x v="0"/>
    <x v="1"/>
    <s v="September 2014"/>
    <n v="1"/>
    <x v="2"/>
    <x v="2"/>
    <x v="1"/>
    <s v="Worst"/>
    <n v="1200"/>
    <n v="17"/>
    <n v="0.1"/>
    <n v="0.18"/>
    <n v="18000"/>
    <n v="0.3"/>
    <n v="20400"/>
    <n v="18360"/>
    <n v="3304.7999999999997"/>
    <n v="21304.799999999999"/>
    <n v="-2944.7999999999993"/>
    <n v="-883.43999999999971"/>
    <n v="-2061.3599999999997"/>
    <n v="-0.10104705882352939"/>
  </r>
  <r>
    <x v="0"/>
    <x v="1"/>
    <s v="September 2014"/>
    <n v="1"/>
    <x v="2"/>
    <x v="2"/>
    <x v="2"/>
    <s v="Worst"/>
    <n v="1200"/>
    <n v="17"/>
    <n v="0.1"/>
    <n v="0.18"/>
    <n v="18000"/>
    <n v="0.3"/>
    <n v="20400"/>
    <n v="18360"/>
    <n v="3304.7999999999997"/>
    <n v="21304.799999999999"/>
    <n v="-2944.7999999999993"/>
    <n v="-883.43999999999971"/>
    <n v="-2061.3599999999997"/>
    <n v="-0.10104705882352939"/>
  </r>
  <r>
    <x v="0"/>
    <x v="1"/>
    <s v="September 2014"/>
    <n v="1"/>
    <x v="2"/>
    <x v="2"/>
    <x v="3"/>
    <s v="Worst"/>
    <n v="1200"/>
    <n v="17"/>
    <n v="0.1"/>
    <n v="0.18"/>
    <n v="18000"/>
    <n v="0.3"/>
    <n v="20400"/>
    <n v="18360"/>
    <n v="3304.7999999999997"/>
    <n v="21304.799999999999"/>
    <n v="-2944.7999999999993"/>
    <n v="-883.43999999999971"/>
    <n v="-2061.3599999999997"/>
    <n v="-0.10104705882352939"/>
  </r>
  <r>
    <x v="0"/>
    <x v="1"/>
    <s v="September 2014"/>
    <n v="1"/>
    <x v="2"/>
    <x v="2"/>
    <x v="4"/>
    <s v="Worst"/>
    <n v="1200"/>
    <n v="17"/>
    <n v="0.1"/>
    <n v="0.18"/>
    <n v="18000"/>
    <n v="0.3"/>
    <n v="20400"/>
    <n v="18360"/>
    <n v="3304.7999999999997"/>
    <n v="21304.799999999999"/>
    <n v="-2944.7999999999993"/>
    <n v="-883.43999999999971"/>
    <n v="-2061.3599999999997"/>
    <n v="-0.10104705882352939"/>
  </r>
  <r>
    <x v="0"/>
    <x v="1"/>
    <s v="September 2014"/>
    <n v="1"/>
    <x v="2"/>
    <x v="3"/>
    <x v="0"/>
    <s v="Worst"/>
    <n v="1200"/>
    <n v="17"/>
    <n v="0.1"/>
    <n v="0.18"/>
    <n v="18000"/>
    <n v="0.3"/>
    <n v="20400"/>
    <n v="18360"/>
    <n v="3304.7999999999997"/>
    <n v="21304.799999999999"/>
    <n v="-2944.7999999999993"/>
    <n v="-883.43999999999971"/>
    <n v="-2061.3599999999997"/>
    <n v="-0.10104705882352939"/>
  </r>
  <r>
    <x v="0"/>
    <x v="1"/>
    <s v="September 2014"/>
    <n v="1"/>
    <x v="2"/>
    <x v="3"/>
    <x v="1"/>
    <s v="Worst"/>
    <n v="1200"/>
    <n v="17"/>
    <n v="0.1"/>
    <n v="0.18"/>
    <n v="18000"/>
    <n v="0.3"/>
    <n v="20400"/>
    <n v="18360"/>
    <n v="3304.7999999999997"/>
    <n v="21304.799999999999"/>
    <n v="-2944.7999999999993"/>
    <n v="-883.43999999999971"/>
    <n v="-2061.3599999999997"/>
    <n v="-0.10104705882352939"/>
  </r>
  <r>
    <x v="0"/>
    <x v="1"/>
    <s v="September 2014"/>
    <n v="1"/>
    <x v="2"/>
    <x v="3"/>
    <x v="2"/>
    <s v="Worst"/>
    <n v="1200"/>
    <n v="17"/>
    <n v="0.1"/>
    <n v="0.18"/>
    <n v="18000"/>
    <n v="0.3"/>
    <n v="20400"/>
    <n v="18360"/>
    <n v="3304.7999999999997"/>
    <n v="21304.799999999999"/>
    <n v="-2944.7999999999993"/>
    <n v="-883.43999999999971"/>
    <n v="-2061.3599999999997"/>
    <n v="-0.10104705882352939"/>
  </r>
  <r>
    <x v="0"/>
    <x v="1"/>
    <s v="September 2014"/>
    <n v="1"/>
    <x v="2"/>
    <x v="3"/>
    <x v="3"/>
    <s v="Worst"/>
    <n v="1200"/>
    <n v="17"/>
    <n v="0.1"/>
    <n v="0.18"/>
    <n v="18000"/>
    <n v="0.3"/>
    <n v="20400"/>
    <n v="18360"/>
    <n v="3304.7999999999997"/>
    <n v="21304.799999999999"/>
    <n v="-2944.7999999999993"/>
    <n v="-883.43999999999971"/>
    <n v="-2061.3599999999997"/>
    <n v="-0.10104705882352939"/>
  </r>
  <r>
    <x v="0"/>
    <x v="1"/>
    <s v="September 2014"/>
    <n v="1"/>
    <x v="2"/>
    <x v="3"/>
    <x v="4"/>
    <s v="Worst"/>
    <n v="1200"/>
    <n v="17"/>
    <n v="0.1"/>
    <n v="0.18"/>
    <n v="18000"/>
    <n v="0.3"/>
    <n v="20400"/>
    <n v="18360"/>
    <n v="3304.7999999999997"/>
    <n v="21304.799999999999"/>
    <n v="-2944.7999999999993"/>
    <n v="-883.43999999999971"/>
    <n v="-2061.3599999999997"/>
    <n v="-0.10104705882352939"/>
  </r>
  <r>
    <x v="0"/>
    <x v="1"/>
    <s v="September 2014"/>
    <n v="1"/>
    <x v="2"/>
    <x v="4"/>
    <x v="0"/>
    <s v="Worst"/>
    <n v="1200"/>
    <n v="17"/>
    <n v="0.1"/>
    <n v="0.18"/>
    <n v="18000"/>
    <n v="0.3"/>
    <n v="20400"/>
    <n v="18360"/>
    <n v="3304.7999999999997"/>
    <n v="21304.799999999999"/>
    <n v="-2944.7999999999993"/>
    <n v="-883.43999999999971"/>
    <n v="-2061.3599999999997"/>
    <n v="-0.10104705882352939"/>
  </r>
  <r>
    <x v="0"/>
    <x v="1"/>
    <s v="September 2014"/>
    <n v="1"/>
    <x v="2"/>
    <x v="4"/>
    <x v="1"/>
    <s v="Worst"/>
    <n v="1200"/>
    <n v="17"/>
    <n v="0.1"/>
    <n v="0.18"/>
    <n v="18000"/>
    <n v="0.3"/>
    <n v="20400"/>
    <n v="18360"/>
    <n v="3304.7999999999997"/>
    <n v="21304.799999999999"/>
    <n v="-2944.7999999999993"/>
    <n v="-883.43999999999971"/>
    <n v="-2061.3599999999997"/>
    <n v="-0.10104705882352939"/>
  </r>
  <r>
    <x v="0"/>
    <x v="1"/>
    <s v="September 2014"/>
    <n v="1"/>
    <x v="2"/>
    <x v="4"/>
    <x v="2"/>
    <s v="Worst"/>
    <n v="1200"/>
    <n v="17"/>
    <n v="0.1"/>
    <n v="0.18"/>
    <n v="18000"/>
    <n v="0.3"/>
    <n v="20400"/>
    <n v="18360"/>
    <n v="3304.7999999999997"/>
    <n v="21304.799999999999"/>
    <n v="-2944.7999999999993"/>
    <n v="-883.43999999999971"/>
    <n v="-2061.3599999999997"/>
    <n v="-0.10104705882352939"/>
  </r>
  <r>
    <x v="0"/>
    <x v="1"/>
    <s v="September 2014"/>
    <n v="1"/>
    <x v="2"/>
    <x v="4"/>
    <x v="3"/>
    <s v="Worst"/>
    <n v="1200"/>
    <n v="17"/>
    <n v="0.1"/>
    <n v="0.18"/>
    <n v="18000"/>
    <n v="0.3"/>
    <n v="20400"/>
    <n v="18360"/>
    <n v="3304.7999999999997"/>
    <n v="21304.799999999999"/>
    <n v="-2944.7999999999993"/>
    <n v="-883.43999999999971"/>
    <n v="-2061.3599999999997"/>
    <n v="-0.10104705882352939"/>
  </r>
  <r>
    <x v="0"/>
    <x v="1"/>
    <s v="September 2014"/>
    <n v="1"/>
    <x v="2"/>
    <x v="4"/>
    <x v="4"/>
    <s v="Worst"/>
    <n v="1200"/>
    <n v="17"/>
    <n v="0.1"/>
    <n v="0.18"/>
    <n v="18000"/>
    <n v="0.3"/>
    <n v="20400"/>
    <n v="18360"/>
    <n v="3304.7999999999997"/>
    <n v="21304.799999999999"/>
    <n v="-2944.7999999999993"/>
    <n v="-883.43999999999971"/>
    <n v="-2061.3599999999997"/>
    <n v="-0.10104705882352939"/>
  </r>
  <r>
    <x v="0"/>
    <x v="1"/>
    <s v="September 2014"/>
    <n v="1"/>
    <x v="3"/>
    <x v="0"/>
    <x v="0"/>
    <s v="Worst"/>
    <n v="1200"/>
    <n v="17"/>
    <n v="0.1"/>
    <n v="0.18"/>
    <n v="18000"/>
    <n v="0.3"/>
    <n v="20400"/>
    <n v="18360"/>
    <n v="3304.7999999999997"/>
    <n v="21304.799999999999"/>
    <n v="-2944.7999999999993"/>
    <n v="-883.43999999999971"/>
    <n v="-2061.3599999999997"/>
    <n v="-0.10104705882352939"/>
  </r>
  <r>
    <x v="0"/>
    <x v="1"/>
    <s v="September 2014"/>
    <n v="1"/>
    <x v="3"/>
    <x v="0"/>
    <x v="1"/>
    <s v="Worst"/>
    <n v="1200"/>
    <n v="17"/>
    <n v="0.1"/>
    <n v="0.18"/>
    <n v="18000"/>
    <n v="0.3"/>
    <n v="20400"/>
    <n v="18360"/>
    <n v="3304.7999999999997"/>
    <n v="21304.799999999999"/>
    <n v="-2944.7999999999993"/>
    <n v="-883.43999999999971"/>
    <n v="-2061.3599999999997"/>
    <n v="-0.10104705882352939"/>
  </r>
  <r>
    <x v="0"/>
    <x v="1"/>
    <s v="September 2014"/>
    <n v="1"/>
    <x v="3"/>
    <x v="0"/>
    <x v="2"/>
    <s v="Worst"/>
    <n v="1200"/>
    <n v="17"/>
    <n v="0.1"/>
    <n v="0.18"/>
    <n v="18000"/>
    <n v="0.3"/>
    <n v="20400"/>
    <n v="18360"/>
    <n v="3304.7999999999997"/>
    <n v="21304.799999999999"/>
    <n v="-2944.7999999999993"/>
    <n v="-883.43999999999971"/>
    <n v="-2061.3599999999997"/>
    <n v="-0.10104705882352939"/>
  </r>
  <r>
    <x v="0"/>
    <x v="1"/>
    <s v="September 2014"/>
    <n v="1"/>
    <x v="3"/>
    <x v="0"/>
    <x v="3"/>
    <s v="Worst"/>
    <n v="1200"/>
    <n v="17"/>
    <n v="0.1"/>
    <n v="0.18"/>
    <n v="18000"/>
    <n v="0.3"/>
    <n v="20400"/>
    <n v="18360"/>
    <n v="3304.7999999999997"/>
    <n v="21304.799999999999"/>
    <n v="-2944.7999999999993"/>
    <n v="-883.43999999999971"/>
    <n v="-2061.3599999999997"/>
    <n v="-0.10104705882352939"/>
  </r>
  <r>
    <x v="0"/>
    <x v="1"/>
    <s v="September 2014"/>
    <n v="1"/>
    <x v="3"/>
    <x v="0"/>
    <x v="4"/>
    <s v="Worst"/>
    <n v="1200"/>
    <n v="17"/>
    <n v="0.1"/>
    <n v="0.18"/>
    <n v="18000"/>
    <n v="0.3"/>
    <n v="20400"/>
    <n v="18360"/>
    <n v="3304.7999999999997"/>
    <n v="21304.799999999999"/>
    <n v="-2944.7999999999993"/>
    <n v="-883.43999999999971"/>
    <n v="-2061.3599999999997"/>
    <n v="-0.10104705882352939"/>
  </r>
  <r>
    <x v="0"/>
    <x v="1"/>
    <s v="September 2014"/>
    <n v="1"/>
    <x v="3"/>
    <x v="1"/>
    <x v="0"/>
    <s v="Worst"/>
    <n v="1200"/>
    <n v="17"/>
    <n v="0.1"/>
    <n v="0.18"/>
    <n v="18000"/>
    <n v="0.3"/>
    <n v="20400"/>
    <n v="18360"/>
    <n v="3304.7999999999997"/>
    <n v="21304.799999999999"/>
    <n v="-2944.7999999999993"/>
    <n v="-883.43999999999971"/>
    <n v="-2061.3599999999997"/>
    <n v="-0.10104705882352939"/>
  </r>
  <r>
    <x v="0"/>
    <x v="1"/>
    <s v="September 2014"/>
    <n v="1"/>
    <x v="3"/>
    <x v="1"/>
    <x v="1"/>
    <s v="Worst"/>
    <n v="1200"/>
    <n v="17"/>
    <n v="0.1"/>
    <n v="0.18"/>
    <n v="18000"/>
    <n v="0.3"/>
    <n v="20400"/>
    <n v="18360"/>
    <n v="3304.7999999999997"/>
    <n v="21304.799999999999"/>
    <n v="-2944.7999999999993"/>
    <n v="-883.43999999999971"/>
    <n v="-2061.3599999999997"/>
    <n v="-0.10104705882352939"/>
  </r>
  <r>
    <x v="0"/>
    <x v="1"/>
    <s v="September 2014"/>
    <n v="1"/>
    <x v="3"/>
    <x v="1"/>
    <x v="2"/>
    <s v="Worst"/>
    <n v="1200"/>
    <n v="17"/>
    <n v="0.1"/>
    <n v="0.18"/>
    <n v="18000"/>
    <n v="0.3"/>
    <n v="20400"/>
    <n v="18360"/>
    <n v="3304.7999999999997"/>
    <n v="21304.799999999999"/>
    <n v="-2944.7999999999993"/>
    <n v="-883.43999999999971"/>
    <n v="-2061.3599999999997"/>
    <n v="-0.10104705882352939"/>
  </r>
  <r>
    <x v="0"/>
    <x v="1"/>
    <s v="September 2014"/>
    <n v="1"/>
    <x v="3"/>
    <x v="1"/>
    <x v="3"/>
    <s v="Worst"/>
    <n v="1200"/>
    <n v="17"/>
    <n v="0.1"/>
    <n v="0.18"/>
    <n v="18000"/>
    <n v="0.3"/>
    <n v="20400"/>
    <n v="18360"/>
    <n v="3304.7999999999997"/>
    <n v="21304.799999999999"/>
    <n v="-2944.7999999999993"/>
    <n v="-883.43999999999971"/>
    <n v="-2061.3599999999997"/>
    <n v="-0.10104705882352939"/>
  </r>
  <r>
    <x v="0"/>
    <x v="1"/>
    <s v="September 2014"/>
    <n v="1"/>
    <x v="3"/>
    <x v="1"/>
    <x v="4"/>
    <s v="Worst"/>
    <n v="1200"/>
    <n v="17"/>
    <n v="0.1"/>
    <n v="0.18"/>
    <n v="18000"/>
    <n v="0.3"/>
    <n v="20400"/>
    <n v="18360"/>
    <n v="3304.7999999999997"/>
    <n v="21304.799999999999"/>
    <n v="-2944.7999999999993"/>
    <n v="-883.43999999999971"/>
    <n v="-2061.3599999999997"/>
    <n v="-0.10104705882352939"/>
  </r>
  <r>
    <x v="0"/>
    <x v="1"/>
    <s v="September 2014"/>
    <n v="1"/>
    <x v="3"/>
    <x v="2"/>
    <x v="0"/>
    <s v="Worst"/>
    <n v="1200"/>
    <n v="17"/>
    <n v="0.1"/>
    <n v="0.18"/>
    <n v="18000"/>
    <n v="0.3"/>
    <n v="20400"/>
    <n v="18360"/>
    <n v="3304.7999999999997"/>
    <n v="21304.799999999999"/>
    <n v="-2944.7999999999993"/>
    <n v="-883.43999999999971"/>
    <n v="-2061.3599999999997"/>
    <n v="-0.10104705882352939"/>
  </r>
  <r>
    <x v="0"/>
    <x v="1"/>
    <s v="September 2014"/>
    <n v="1"/>
    <x v="3"/>
    <x v="2"/>
    <x v="1"/>
    <s v="Worst"/>
    <n v="1200"/>
    <n v="17"/>
    <n v="0.1"/>
    <n v="0.18"/>
    <n v="18000"/>
    <n v="0.3"/>
    <n v="20400"/>
    <n v="18360"/>
    <n v="3304.7999999999997"/>
    <n v="21304.799999999999"/>
    <n v="-2944.7999999999993"/>
    <n v="-883.43999999999971"/>
    <n v="-2061.3599999999997"/>
    <n v="-0.10104705882352939"/>
  </r>
  <r>
    <x v="0"/>
    <x v="1"/>
    <s v="September 2014"/>
    <n v="1"/>
    <x v="3"/>
    <x v="2"/>
    <x v="2"/>
    <s v="Worst"/>
    <n v="1200"/>
    <n v="17"/>
    <n v="0.1"/>
    <n v="0.18"/>
    <n v="18000"/>
    <n v="0.3"/>
    <n v="20400"/>
    <n v="18360"/>
    <n v="3304.7999999999997"/>
    <n v="21304.799999999999"/>
    <n v="-2944.7999999999993"/>
    <n v="-883.43999999999971"/>
    <n v="-2061.3599999999997"/>
    <n v="-0.10104705882352939"/>
  </r>
  <r>
    <x v="0"/>
    <x v="1"/>
    <s v="September 2014"/>
    <n v="1"/>
    <x v="3"/>
    <x v="2"/>
    <x v="3"/>
    <s v="Worst"/>
    <n v="1200"/>
    <n v="17"/>
    <n v="0.1"/>
    <n v="0.18"/>
    <n v="18000"/>
    <n v="0.3"/>
    <n v="20400"/>
    <n v="18360"/>
    <n v="3304.7999999999997"/>
    <n v="21304.799999999999"/>
    <n v="-2944.7999999999993"/>
    <n v="-883.43999999999971"/>
    <n v="-2061.3599999999997"/>
    <n v="-0.10104705882352939"/>
  </r>
  <r>
    <x v="0"/>
    <x v="1"/>
    <s v="September 2014"/>
    <n v="1"/>
    <x v="3"/>
    <x v="2"/>
    <x v="4"/>
    <s v="Worst"/>
    <n v="1200"/>
    <n v="17"/>
    <n v="0.1"/>
    <n v="0.18"/>
    <n v="18000"/>
    <n v="0.3"/>
    <n v="20400"/>
    <n v="18360"/>
    <n v="3304.7999999999997"/>
    <n v="21304.799999999999"/>
    <n v="-2944.7999999999993"/>
    <n v="-883.43999999999971"/>
    <n v="-2061.3599999999997"/>
    <n v="-0.10104705882352939"/>
  </r>
  <r>
    <x v="0"/>
    <x v="1"/>
    <s v="September 2014"/>
    <n v="1"/>
    <x v="3"/>
    <x v="3"/>
    <x v="0"/>
    <s v="Worst"/>
    <n v="1200"/>
    <n v="17"/>
    <n v="0.1"/>
    <n v="0.18"/>
    <n v="18000"/>
    <n v="0.3"/>
    <n v="20400"/>
    <n v="18360"/>
    <n v="3304.7999999999997"/>
    <n v="21304.799999999999"/>
    <n v="-2944.7999999999993"/>
    <n v="-883.43999999999971"/>
    <n v="-2061.3599999999997"/>
    <n v="-0.10104705882352939"/>
  </r>
  <r>
    <x v="0"/>
    <x v="1"/>
    <s v="September 2014"/>
    <n v="1"/>
    <x v="3"/>
    <x v="3"/>
    <x v="1"/>
    <s v="Worst"/>
    <n v="1200"/>
    <n v="17"/>
    <n v="0.1"/>
    <n v="0.18"/>
    <n v="18000"/>
    <n v="0.3"/>
    <n v="20400"/>
    <n v="18360"/>
    <n v="3304.7999999999997"/>
    <n v="21304.799999999999"/>
    <n v="-2944.7999999999993"/>
    <n v="-883.43999999999971"/>
    <n v="-2061.3599999999997"/>
    <n v="-0.10104705882352939"/>
  </r>
  <r>
    <x v="0"/>
    <x v="1"/>
    <s v="September 2014"/>
    <n v="1"/>
    <x v="3"/>
    <x v="3"/>
    <x v="2"/>
    <s v="Worst"/>
    <n v="1200"/>
    <n v="17"/>
    <n v="0.1"/>
    <n v="0.18"/>
    <n v="18000"/>
    <n v="0.3"/>
    <n v="20400"/>
    <n v="18360"/>
    <n v="3304.7999999999997"/>
    <n v="21304.799999999999"/>
    <n v="-2944.7999999999993"/>
    <n v="-883.43999999999971"/>
    <n v="-2061.3599999999997"/>
    <n v="-0.10104705882352939"/>
  </r>
  <r>
    <x v="0"/>
    <x v="1"/>
    <s v="September 2014"/>
    <n v="1"/>
    <x v="3"/>
    <x v="3"/>
    <x v="3"/>
    <s v="Worst"/>
    <n v="1200"/>
    <n v="17"/>
    <n v="0.1"/>
    <n v="0.18"/>
    <n v="18000"/>
    <n v="0.3"/>
    <n v="20400"/>
    <n v="18360"/>
    <n v="3304.7999999999997"/>
    <n v="21304.799999999999"/>
    <n v="-2944.7999999999993"/>
    <n v="-883.43999999999971"/>
    <n v="-2061.3599999999997"/>
    <n v="-0.10104705882352939"/>
  </r>
  <r>
    <x v="0"/>
    <x v="1"/>
    <s v="September 2014"/>
    <n v="1"/>
    <x v="3"/>
    <x v="3"/>
    <x v="4"/>
    <s v="Worst"/>
    <n v="1200"/>
    <n v="17"/>
    <n v="0.1"/>
    <n v="0.18"/>
    <n v="18000"/>
    <n v="0.3"/>
    <n v="20400"/>
    <n v="18360"/>
    <n v="3304.7999999999997"/>
    <n v="21304.799999999999"/>
    <n v="-2944.7999999999993"/>
    <n v="-883.43999999999971"/>
    <n v="-2061.3599999999997"/>
    <n v="-0.10104705882352939"/>
  </r>
  <r>
    <x v="0"/>
    <x v="1"/>
    <s v="September 2014"/>
    <n v="1"/>
    <x v="3"/>
    <x v="4"/>
    <x v="0"/>
    <s v="Worst"/>
    <n v="1200"/>
    <n v="17"/>
    <n v="0.1"/>
    <n v="0.18"/>
    <n v="18000"/>
    <n v="0.3"/>
    <n v="20400"/>
    <n v="18360"/>
    <n v="3304.7999999999997"/>
    <n v="21304.799999999999"/>
    <n v="-2944.7999999999993"/>
    <n v="-883.43999999999971"/>
    <n v="-2061.3599999999997"/>
    <n v="-0.10104705882352939"/>
  </r>
  <r>
    <x v="0"/>
    <x v="1"/>
    <s v="September 2014"/>
    <n v="1"/>
    <x v="3"/>
    <x v="4"/>
    <x v="1"/>
    <s v="Worst"/>
    <n v="1200"/>
    <n v="17"/>
    <n v="0.1"/>
    <n v="0.18"/>
    <n v="18000"/>
    <n v="0.3"/>
    <n v="20400"/>
    <n v="18360"/>
    <n v="3304.7999999999997"/>
    <n v="21304.799999999999"/>
    <n v="-2944.7999999999993"/>
    <n v="-883.43999999999971"/>
    <n v="-2061.3599999999997"/>
    <n v="-0.10104705882352939"/>
  </r>
  <r>
    <x v="0"/>
    <x v="1"/>
    <s v="September 2014"/>
    <n v="1"/>
    <x v="3"/>
    <x v="4"/>
    <x v="2"/>
    <s v="Worst"/>
    <n v="1200"/>
    <n v="17"/>
    <n v="0.1"/>
    <n v="0.18"/>
    <n v="18000"/>
    <n v="0.3"/>
    <n v="20400"/>
    <n v="18360"/>
    <n v="3304.7999999999997"/>
    <n v="21304.799999999999"/>
    <n v="-2944.7999999999993"/>
    <n v="-883.43999999999971"/>
    <n v="-2061.3599999999997"/>
    <n v="-0.10104705882352939"/>
  </r>
  <r>
    <x v="0"/>
    <x v="1"/>
    <s v="September 2014"/>
    <n v="1"/>
    <x v="3"/>
    <x v="4"/>
    <x v="3"/>
    <s v="Worst"/>
    <n v="1200"/>
    <n v="17"/>
    <n v="0.1"/>
    <n v="0.18"/>
    <n v="18000"/>
    <n v="0.3"/>
    <n v="20400"/>
    <n v="18360"/>
    <n v="3304.7999999999997"/>
    <n v="21304.799999999999"/>
    <n v="-2944.7999999999993"/>
    <n v="-883.43999999999971"/>
    <n v="-2061.3599999999997"/>
    <n v="-0.10104705882352939"/>
  </r>
  <r>
    <x v="0"/>
    <x v="1"/>
    <s v="September 2014"/>
    <n v="1"/>
    <x v="3"/>
    <x v="4"/>
    <x v="4"/>
    <s v="Worst"/>
    <n v="1200"/>
    <n v="17"/>
    <n v="0.1"/>
    <n v="0.18"/>
    <n v="18000"/>
    <n v="0.3"/>
    <n v="20400"/>
    <n v="18360"/>
    <n v="3304.7999999999997"/>
    <n v="21304.799999999999"/>
    <n v="-2944.7999999999993"/>
    <n v="-883.43999999999971"/>
    <n v="-2061.3599999999997"/>
    <n v="-0.10104705882352939"/>
  </r>
  <r>
    <x v="0"/>
    <x v="1"/>
    <s v="September 2014"/>
    <n v="1"/>
    <x v="4"/>
    <x v="0"/>
    <x v="0"/>
    <s v="Worst"/>
    <n v="1200"/>
    <n v="17"/>
    <n v="0.1"/>
    <n v="0.18"/>
    <n v="18000"/>
    <n v="0.3"/>
    <n v="20400"/>
    <n v="18360"/>
    <n v="3304.7999999999997"/>
    <n v="21304.799999999999"/>
    <n v="-2944.7999999999993"/>
    <n v="-883.43999999999971"/>
    <n v="-2061.3599999999997"/>
    <n v="-0.10104705882352939"/>
  </r>
  <r>
    <x v="0"/>
    <x v="1"/>
    <s v="September 2014"/>
    <n v="1"/>
    <x v="4"/>
    <x v="0"/>
    <x v="1"/>
    <s v="Worst"/>
    <n v="1200"/>
    <n v="17"/>
    <n v="0.1"/>
    <n v="0.18"/>
    <n v="18000"/>
    <n v="0.3"/>
    <n v="20400"/>
    <n v="18360"/>
    <n v="3304.7999999999997"/>
    <n v="21304.799999999999"/>
    <n v="-2944.7999999999993"/>
    <n v="-883.43999999999971"/>
    <n v="-2061.3599999999997"/>
    <n v="-0.10104705882352939"/>
  </r>
  <r>
    <x v="0"/>
    <x v="1"/>
    <s v="September 2014"/>
    <n v="1"/>
    <x v="4"/>
    <x v="0"/>
    <x v="2"/>
    <s v="Worst"/>
    <n v="1200"/>
    <n v="17"/>
    <n v="0.1"/>
    <n v="0.18"/>
    <n v="18000"/>
    <n v="0.3"/>
    <n v="20400"/>
    <n v="18360"/>
    <n v="3304.7999999999997"/>
    <n v="21304.799999999999"/>
    <n v="-2944.7999999999993"/>
    <n v="-883.43999999999971"/>
    <n v="-2061.3599999999997"/>
    <n v="-0.10104705882352939"/>
  </r>
  <r>
    <x v="0"/>
    <x v="1"/>
    <s v="September 2014"/>
    <n v="1"/>
    <x v="4"/>
    <x v="0"/>
    <x v="3"/>
    <s v="Worst"/>
    <n v="1200"/>
    <n v="17"/>
    <n v="0.1"/>
    <n v="0.18"/>
    <n v="18000"/>
    <n v="0.3"/>
    <n v="20400"/>
    <n v="18360"/>
    <n v="3304.7999999999997"/>
    <n v="21304.799999999999"/>
    <n v="-2944.7999999999993"/>
    <n v="-883.43999999999971"/>
    <n v="-2061.3599999999997"/>
    <n v="-0.10104705882352939"/>
  </r>
  <r>
    <x v="0"/>
    <x v="1"/>
    <s v="September 2014"/>
    <n v="1"/>
    <x v="4"/>
    <x v="0"/>
    <x v="4"/>
    <s v="Worst"/>
    <n v="1200"/>
    <n v="17"/>
    <n v="0.1"/>
    <n v="0.18"/>
    <n v="18000"/>
    <n v="0.3"/>
    <n v="20400"/>
    <n v="18360"/>
    <n v="3304.7999999999997"/>
    <n v="21304.799999999999"/>
    <n v="-2944.7999999999993"/>
    <n v="-883.43999999999971"/>
    <n v="-2061.3599999999997"/>
    <n v="-0.10104705882352939"/>
  </r>
  <r>
    <x v="0"/>
    <x v="1"/>
    <s v="September 2014"/>
    <n v="1"/>
    <x v="4"/>
    <x v="1"/>
    <x v="0"/>
    <s v="Worst"/>
    <n v="1200"/>
    <n v="17"/>
    <n v="0.1"/>
    <n v="0.18"/>
    <n v="18000"/>
    <n v="0.3"/>
    <n v="20400"/>
    <n v="18360"/>
    <n v="3304.7999999999997"/>
    <n v="21304.799999999999"/>
    <n v="-2944.7999999999993"/>
    <n v="-883.43999999999971"/>
    <n v="-2061.3599999999997"/>
    <n v="-0.10104705882352939"/>
  </r>
  <r>
    <x v="0"/>
    <x v="1"/>
    <s v="September 2014"/>
    <n v="1"/>
    <x v="4"/>
    <x v="1"/>
    <x v="1"/>
    <s v="Worst"/>
    <n v="1200"/>
    <n v="17"/>
    <n v="0.1"/>
    <n v="0.18"/>
    <n v="18000"/>
    <n v="0.3"/>
    <n v="20400"/>
    <n v="18360"/>
    <n v="3304.7999999999997"/>
    <n v="21304.799999999999"/>
    <n v="-2944.7999999999993"/>
    <n v="-883.43999999999971"/>
    <n v="-2061.3599999999997"/>
    <n v="-0.10104705882352939"/>
  </r>
  <r>
    <x v="0"/>
    <x v="1"/>
    <s v="September 2014"/>
    <n v="1"/>
    <x v="4"/>
    <x v="1"/>
    <x v="2"/>
    <s v="Worst"/>
    <n v="1200"/>
    <n v="17"/>
    <n v="0.1"/>
    <n v="0.18"/>
    <n v="18000"/>
    <n v="0.3"/>
    <n v="20400"/>
    <n v="18360"/>
    <n v="3304.7999999999997"/>
    <n v="21304.799999999999"/>
    <n v="-2944.7999999999993"/>
    <n v="-883.43999999999971"/>
    <n v="-2061.3599999999997"/>
    <n v="-0.10104705882352939"/>
  </r>
  <r>
    <x v="0"/>
    <x v="1"/>
    <s v="September 2014"/>
    <n v="1"/>
    <x v="4"/>
    <x v="1"/>
    <x v="3"/>
    <s v="Worst"/>
    <n v="1200"/>
    <n v="17"/>
    <n v="0.1"/>
    <n v="0.18"/>
    <n v="18000"/>
    <n v="0.3"/>
    <n v="20400"/>
    <n v="18360"/>
    <n v="3304.7999999999997"/>
    <n v="21304.799999999999"/>
    <n v="-2944.7999999999993"/>
    <n v="-883.43999999999971"/>
    <n v="-2061.3599999999997"/>
    <n v="-0.10104705882352939"/>
  </r>
  <r>
    <x v="0"/>
    <x v="1"/>
    <s v="September 2014"/>
    <n v="1"/>
    <x v="4"/>
    <x v="1"/>
    <x v="4"/>
    <s v="Worst"/>
    <n v="1200"/>
    <n v="17"/>
    <n v="0.1"/>
    <n v="0.18"/>
    <n v="18000"/>
    <n v="0.3"/>
    <n v="20400"/>
    <n v="18360"/>
    <n v="3304.7999999999997"/>
    <n v="21304.799999999999"/>
    <n v="-2944.7999999999993"/>
    <n v="-883.43999999999971"/>
    <n v="-2061.3599999999997"/>
    <n v="-0.10104705882352939"/>
  </r>
  <r>
    <x v="0"/>
    <x v="1"/>
    <s v="September 2014"/>
    <n v="1"/>
    <x v="4"/>
    <x v="2"/>
    <x v="0"/>
    <s v="Worst"/>
    <n v="1200"/>
    <n v="17"/>
    <n v="0.1"/>
    <n v="0.18"/>
    <n v="18000"/>
    <n v="0.3"/>
    <n v="20400"/>
    <n v="18360"/>
    <n v="3304.7999999999997"/>
    <n v="21304.799999999999"/>
    <n v="-2944.7999999999993"/>
    <n v="-883.43999999999971"/>
    <n v="-2061.3599999999997"/>
    <n v="-0.10104705882352939"/>
  </r>
  <r>
    <x v="0"/>
    <x v="1"/>
    <s v="September 2014"/>
    <n v="1"/>
    <x v="4"/>
    <x v="2"/>
    <x v="1"/>
    <s v="Worst"/>
    <n v="1200"/>
    <n v="17"/>
    <n v="0.1"/>
    <n v="0.18"/>
    <n v="18000"/>
    <n v="0.3"/>
    <n v="20400"/>
    <n v="18360"/>
    <n v="3304.7999999999997"/>
    <n v="21304.799999999999"/>
    <n v="-2944.7999999999993"/>
    <n v="-883.43999999999971"/>
    <n v="-2061.3599999999997"/>
    <n v="-0.10104705882352939"/>
  </r>
  <r>
    <x v="0"/>
    <x v="1"/>
    <s v="September 2014"/>
    <n v="1"/>
    <x v="4"/>
    <x v="2"/>
    <x v="2"/>
    <s v="Worst"/>
    <n v="1200"/>
    <n v="17"/>
    <n v="0.1"/>
    <n v="0.18"/>
    <n v="18000"/>
    <n v="0.3"/>
    <n v="20400"/>
    <n v="18360"/>
    <n v="3304.7999999999997"/>
    <n v="21304.799999999999"/>
    <n v="-2944.7999999999993"/>
    <n v="-883.43999999999971"/>
    <n v="-2061.3599999999997"/>
    <n v="-0.10104705882352939"/>
  </r>
  <r>
    <x v="0"/>
    <x v="1"/>
    <s v="September 2014"/>
    <n v="1"/>
    <x v="4"/>
    <x v="2"/>
    <x v="3"/>
    <s v="Worst"/>
    <n v="1200"/>
    <n v="17"/>
    <n v="0.1"/>
    <n v="0.18"/>
    <n v="18000"/>
    <n v="0.3"/>
    <n v="20400"/>
    <n v="18360"/>
    <n v="3304.7999999999997"/>
    <n v="21304.799999999999"/>
    <n v="-2944.7999999999993"/>
    <n v="-883.43999999999971"/>
    <n v="-2061.3599999999997"/>
    <n v="-0.10104705882352939"/>
  </r>
  <r>
    <x v="0"/>
    <x v="1"/>
    <s v="September 2014"/>
    <n v="1"/>
    <x v="4"/>
    <x v="2"/>
    <x v="4"/>
    <s v="Worst"/>
    <n v="1200"/>
    <n v="17"/>
    <n v="0.1"/>
    <n v="0.18"/>
    <n v="18000"/>
    <n v="0.3"/>
    <n v="20400"/>
    <n v="18360"/>
    <n v="3304.7999999999997"/>
    <n v="21304.799999999999"/>
    <n v="-2944.7999999999993"/>
    <n v="-883.43999999999971"/>
    <n v="-2061.3599999999997"/>
    <n v="-0.10104705882352939"/>
  </r>
  <r>
    <x v="0"/>
    <x v="1"/>
    <s v="September 2014"/>
    <n v="1"/>
    <x v="4"/>
    <x v="3"/>
    <x v="0"/>
    <s v="Worst"/>
    <n v="1200"/>
    <n v="17"/>
    <n v="0.1"/>
    <n v="0.18"/>
    <n v="18000"/>
    <n v="0.3"/>
    <n v="20400"/>
    <n v="18360"/>
    <n v="3304.7999999999997"/>
    <n v="21304.799999999999"/>
    <n v="-2944.7999999999993"/>
    <n v="-883.43999999999971"/>
    <n v="-2061.3599999999997"/>
    <n v="-0.10104705882352939"/>
  </r>
  <r>
    <x v="0"/>
    <x v="1"/>
    <s v="September 2014"/>
    <n v="1"/>
    <x v="4"/>
    <x v="3"/>
    <x v="1"/>
    <s v="Worst"/>
    <n v="1200"/>
    <n v="17"/>
    <n v="0.1"/>
    <n v="0.18"/>
    <n v="18000"/>
    <n v="0.3"/>
    <n v="20400"/>
    <n v="18360"/>
    <n v="3304.7999999999997"/>
    <n v="21304.799999999999"/>
    <n v="-2944.7999999999993"/>
    <n v="-883.43999999999971"/>
    <n v="-2061.3599999999997"/>
    <n v="-0.10104705882352939"/>
  </r>
  <r>
    <x v="0"/>
    <x v="1"/>
    <s v="September 2014"/>
    <n v="1"/>
    <x v="4"/>
    <x v="3"/>
    <x v="2"/>
    <s v="Worst"/>
    <n v="1200"/>
    <n v="17"/>
    <n v="0.1"/>
    <n v="0.18"/>
    <n v="18000"/>
    <n v="0.3"/>
    <n v="20400"/>
    <n v="18360"/>
    <n v="3304.7999999999997"/>
    <n v="21304.799999999999"/>
    <n v="-2944.7999999999993"/>
    <n v="-883.43999999999971"/>
    <n v="-2061.3599999999997"/>
    <n v="-0.10104705882352939"/>
  </r>
  <r>
    <x v="0"/>
    <x v="1"/>
    <s v="September 2014"/>
    <n v="1"/>
    <x v="4"/>
    <x v="3"/>
    <x v="3"/>
    <s v="Worst"/>
    <n v="1200"/>
    <n v="17"/>
    <n v="0.1"/>
    <n v="0.18"/>
    <n v="18000"/>
    <n v="0.3"/>
    <n v="20400"/>
    <n v="18360"/>
    <n v="3304.7999999999997"/>
    <n v="21304.799999999999"/>
    <n v="-2944.7999999999993"/>
    <n v="-883.43999999999971"/>
    <n v="-2061.3599999999997"/>
    <n v="-0.10104705882352939"/>
  </r>
  <r>
    <x v="0"/>
    <x v="1"/>
    <s v="September 2014"/>
    <n v="1"/>
    <x v="4"/>
    <x v="3"/>
    <x v="4"/>
    <s v="Worst"/>
    <n v="1200"/>
    <n v="17"/>
    <n v="0.1"/>
    <n v="0.18"/>
    <n v="18000"/>
    <n v="0.3"/>
    <n v="20400"/>
    <n v="18360"/>
    <n v="3304.7999999999997"/>
    <n v="21304.799999999999"/>
    <n v="-2944.7999999999993"/>
    <n v="-883.43999999999971"/>
    <n v="-2061.3599999999997"/>
    <n v="-0.10104705882352939"/>
  </r>
  <r>
    <x v="0"/>
    <x v="1"/>
    <s v="September 2014"/>
    <n v="1"/>
    <x v="4"/>
    <x v="4"/>
    <x v="0"/>
    <s v="Worst"/>
    <n v="1200"/>
    <n v="17"/>
    <n v="0.1"/>
    <n v="0.18"/>
    <n v="18000"/>
    <n v="0.3"/>
    <n v="20400"/>
    <n v="18360"/>
    <n v="3304.7999999999997"/>
    <n v="21304.799999999999"/>
    <n v="-2944.7999999999993"/>
    <n v="-883.43999999999971"/>
    <n v="-2061.3599999999997"/>
    <n v="-0.10104705882352939"/>
  </r>
  <r>
    <x v="0"/>
    <x v="1"/>
    <s v="September 2014"/>
    <n v="1"/>
    <x v="4"/>
    <x v="4"/>
    <x v="1"/>
    <s v="Worst"/>
    <n v="1200"/>
    <n v="17"/>
    <n v="0.1"/>
    <n v="0.18"/>
    <n v="18000"/>
    <n v="0.3"/>
    <n v="20400"/>
    <n v="18360"/>
    <n v="3304.7999999999997"/>
    <n v="21304.799999999999"/>
    <n v="-2944.7999999999993"/>
    <n v="-883.43999999999971"/>
    <n v="-2061.3599999999997"/>
    <n v="-0.10104705882352939"/>
  </r>
  <r>
    <x v="0"/>
    <x v="1"/>
    <s v="September 2014"/>
    <n v="1"/>
    <x v="4"/>
    <x v="4"/>
    <x v="2"/>
    <s v="Worst"/>
    <n v="1200"/>
    <n v="17"/>
    <n v="0.1"/>
    <n v="0.18"/>
    <n v="18000"/>
    <n v="0.3"/>
    <n v="20400"/>
    <n v="18360"/>
    <n v="3304.7999999999997"/>
    <n v="21304.799999999999"/>
    <n v="-2944.7999999999993"/>
    <n v="-883.43999999999971"/>
    <n v="-2061.3599999999997"/>
    <n v="-0.10104705882352939"/>
  </r>
  <r>
    <x v="0"/>
    <x v="1"/>
    <s v="September 2014"/>
    <n v="1"/>
    <x v="4"/>
    <x v="4"/>
    <x v="3"/>
    <s v="Worst"/>
    <n v="1200"/>
    <n v="17"/>
    <n v="0.1"/>
    <n v="0.18"/>
    <n v="18000"/>
    <n v="0.3"/>
    <n v="20400"/>
    <n v="18360"/>
    <n v="3304.7999999999997"/>
    <n v="21304.799999999999"/>
    <n v="-2944.7999999999993"/>
    <n v="-883.43999999999971"/>
    <n v="-2061.3599999999997"/>
    <n v="-0.10104705882352939"/>
  </r>
  <r>
    <x v="0"/>
    <x v="1"/>
    <s v="September 2014"/>
    <n v="1"/>
    <x v="4"/>
    <x v="4"/>
    <x v="4"/>
    <s v="Worst"/>
    <n v="1200"/>
    <n v="17"/>
    <n v="0.1"/>
    <n v="0.18"/>
    <n v="18000"/>
    <n v="0.3"/>
    <n v="20400"/>
    <n v="18360"/>
    <n v="3304.7999999999997"/>
    <n v="21304.799999999999"/>
    <n v="-2944.7999999999993"/>
    <n v="-883.43999999999971"/>
    <n v="-2061.3599999999997"/>
    <n v="-0.10104705882352939"/>
  </r>
  <r>
    <x v="12"/>
    <x v="1"/>
    <s v="October 2014"/>
    <n v="1"/>
    <x v="0"/>
    <x v="0"/>
    <x v="0"/>
    <s v="Worst"/>
    <n v="1200"/>
    <n v="17"/>
    <n v="0.1"/>
    <n v="0.18"/>
    <n v="18000"/>
    <n v="0.3"/>
    <n v="20400"/>
    <n v="18360"/>
    <n v="3304.7999999999997"/>
    <n v="21304.799999999999"/>
    <n v="-2944.7999999999993"/>
    <n v="-883.43999999999971"/>
    <n v="-2061.3599999999997"/>
    <n v="-0.10104705882352939"/>
  </r>
  <r>
    <x v="12"/>
    <x v="1"/>
    <s v="October 2014"/>
    <n v="1"/>
    <x v="0"/>
    <x v="0"/>
    <x v="1"/>
    <s v="Worst"/>
    <n v="1200"/>
    <n v="17"/>
    <n v="0.1"/>
    <n v="0.18"/>
    <n v="18000"/>
    <n v="0.3"/>
    <n v="20400"/>
    <n v="18360"/>
    <n v="3304.7999999999997"/>
    <n v="21304.799999999999"/>
    <n v="-2944.7999999999993"/>
    <n v="-883.43999999999971"/>
    <n v="-2061.3599999999997"/>
    <n v="-0.10104705882352939"/>
  </r>
  <r>
    <x v="12"/>
    <x v="1"/>
    <s v="October 2014"/>
    <n v="1"/>
    <x v="0"/>
    <x v="0"/>
    <x v="2"/>
    <s v="Worst"/>
    <n v="1200"/>
    <n v="17"/>
    <n v="0.1"/>
    <n v="0.18"/>
    <n v="18000"/>
    <n v="0.3"/>
    <n v="20400"/>
    <n v="18360"/>
    <n v="3304.7999999999997"/>
    <n v="21304.799999999999"/>
    <n v="-2944.7999999999993"/>
    <n v="-883.43999999999971"/>
    <n v="-2061.3599999999997"/>
    <n v="-0.10104705882352939"/>
  </r>
  <r>
    <x v="12"/>
    <x v="1"/>
    <s v="October 2014"/>
    <n v="1"/>
    <x v="0"/>
    <x v="0"/>
    <x v="3"/>
    <s v="Worst"/>
    <n v="1200"/>
    <n v="17"/>
    <n v="0.1"/>
    <n v="0.18"/>
    <n v="18000"/>
    <n v="0.3"/>
    <n v="20400"/>
    <n v="18360"/>
    <n v="3304.7999999999997"/>
    <n v="21304.799999999999"/>
    <n v="-2944.7999999999993"/>
    <n v="-883.43999999999971"/>
    <n v="-2061.3599999999997"/>
    <n v="-0.10104705882352939"/>
  </r>
  <r>
    <x v="12"/>
    <x v="1"/>
    <s v="October 2014"/>
    <n v="1"/>
    <x v="0"/>
    <x v="0"/>
    <x v="4"/>
    <s v="Worst"/>
    <n v="1200"/>
    <n v="17"/>
    <n v="0.1"/>
    <n v="0.18"/>
    <n v="18000"/>
    <n v="0.3"/>
    <n v="20400"/>
    <n v="18360"/>
    <n v="3304.7999999999997"/>
    <n v="21304.799999999999"/>
    <n v="-2944.7999999999993"/>
    <n v="-883.43999999999971"/>
    <n v="-2061.3599999999997"/>
    <n v="-0.10104705882352939"/>
  </r>
  <r>
    <x v="12"/>
    <x v="1"/>
    <s v="October 2014"/>
    <n v="1"/>
    <x v="0"/>
    <x v="1"/>
    <x v="0"/>
    <s v="Worst"/>
    <n v="1200"/>
    <n v="17"/>
    <n v="0.1"/>
    <n v="0.18"/>
    <n v="18000"/>
    <n v="0.3"/>
    <n v="20400"/>
    <n v="18360"/>
    <n v="3304.7999999999997"/>
    <n v="21304.799999999999"/>
    <n v="-2944.7999999999993"/>
    <n v="-883.43999999999971"/>
    <n v="-2061.3599999999997"/>
    <n v="-0.10104705882352939"/>
  </r>
  <r>
    <x v="12"/>
    <x v="1"/>
    <s v="October 2014"/>
    <n v="1"/>
    <x v="0"/>
    <x v="1"/>
    <x v="1"/>
    <s v="Worst"/>
    <n v="1200"/>
    <n v="17"/>
    <n v="0.1"/>
    <n v="0.18"/>
    <n v="18000"/>
    <n v="0.3"/>
    <n v="20400"/>
    <n v="18360"/>
    <n v="3304.7999999999997"/>
    <n v="21304.799999999999"/>
    <n v="-2944.7999999999993"/>
    <n v="-883.43999999999971"/>
    <n v="-2061.3599999999997"/>
    <n v="-0.10104705882352939"/>
  </r>
  <r>
    <x v="12"/>
    <x v="1"/>
    <s v="October 2014"/>
    <n v="1"/>
    <x v="0"/>
    <x v="1"/>
    <x v="2"/>
    <s v="Worst"/>
    <n v="1200"/>
    <n v="17"/>
    <n v="0.1"/>
    <n v="0.18"/>
    <n v="18000"/>
    <n v="0.3"/>
    <n v="20400"/>
    <n v="18360"/>
    <n v="3304.7999999999997"/>
    <n v="21304.799999999999"/>
    <n v="-2944.7999999999993"/>
    <n v="-883.43999999999971"/>
    <n v="-2061.3599999999997"/>
    <n v="-0.10104705882352939"/>
  </r>
  <r>
    <x v="12"/>
    <x v="1"/>
    <s v="October 2014"/>
    <n v="1"/>
    <x v="0"/>
    <x v="1"/>
    <x v="3"/>
    <s v="Worst"/>
    <n v="1200"/>
    <n v="17"/>
    <n v="0.1"/>
    <n v="0.18"/>
    <n v="18000"/>
    <n v="0.3"/>
    <n v="20400"/>
    <n v="18360"/>
    <n v="3304.7999999999997"/>
    <n v="21304.799999999999"/>
    <n v="-2944.7999999999993"/>
    <n v="-883.43999999999971"/>
    <n v="-2061.3599999999997"/>
    <n v="-0.10104705882352939"/>
  </r>
  <r>
    <x v="12"/>
    <x v="1"/>
    <s v="October 2014"/>
    <n v="1"/>
    <x v="0"/>
    <x v="1"/>
    <x v="4"/>
    <s v="Worst"/>
    <n v="1200"/>
    <n v="17"/>
    <n v="0.1"/>
    <n v="0.18"/>
    <n v="18000"/>
    <n v="0.3"/>
    <n v="20400"/>
    <n v="18360"/>
    <n v="3304.7999999999997"/>
    <n v="21304.799999999999"/>
    <n v="-2944.7999999999993"/>
    <n v="-883.43999999999971"/>
    <n v="-2061.3599999999997"/>
    <n v="-0.10104705882352939"/>
  </r>
  <r>
    <x v="12"/>
    <x v="1"/>
    <s v="October 2014"/>
    <n v="1"/>
    <x v="0"/>
    <x v="2"/>
    <x v="0"/>
    <s v="Worst"/>
    <n v="1200"/>
    <n v="17"/>
    <n v="0.1"/>
    <n v="0.18"/>
    <n v="18000"/>
    <n v="0.3"/>
    <n v="20400"/>
    <n v="18360"/>
    <n v="3304.7999999999997"/>
    <n v="21304.799999999999"/>
    <n v="-2944.7999999999993"/>
    <n v="-883.43999999999971"/>
    <n v="-2061.3599999999997"/>
    <n v="-0.10104705882352939"/>
  </r>
  <r>
    <x v="12"/>
    <x v="1"/>
    <s v="October 2014"/>
    <n v="1"/>
    <x v="0"/>
    <x v="2"/>
    <x v="1"/>
    <s v="Worst"/>
    <n v="1200"/>
    <n v="17"/>
    <n v="0.1"/>
    <n v="0.18"/>
    <n v="18000"/>
    <n v="0.3"/>
    <n v="20400"/>
    <n v="18360"/>
    <n v="3304.7999999999997"/>
    <n v="21304.799999999999"/>
    <n v="-2944.7999999999993"/>
    <n v="-883.43999999999971"/>
    <n v="-2061.3599999999997"/>
    <n v="-0.10104705882352939"/>
  </r>
  <r>
    <x v="12"/>
    <x v="1"/>
    <s v="October 2014"/>
    <n v="1"/>
    <x v="0"/>
    <x v="2"/>
    <x v="2"/>
    <s v="Worst"/>
    <n v="1200"/>
    <n v="17"/>
    <n v="0.1"/>
    <n v="0.18"/>
    <n v="18000"/>
    <n v="0.3"/>
    <n v="20400"/>
    <n v="18360"/>
    <n v="3304.7999999999997"/>
    <n v="21304.799999999999"/>
    <n v="-2944.7999999999993"/>
    <n v="-883.43999999999971"/>
    <n v="-2061.3599999999997"/>
    <n v="-0.10104705882352939"/>
  </r>
  <r>
    <x v="12"/>
    <x v="1"/>
    <s v="October 2014"/>
    <n v="1"/>
    <x v="0"/>
    <x v="2"/>
    <x v="3"/>
    <s v="Worst"/>
    <n v="1200"/>
    <n v="17"/>
    <n v="0.1"/>
    <n v="0.18"/>
    <n v="18000"/>
    <n v="0.3"/>
    <n v="20400"/>
    <n v="18360"/>
    <n v="3304.7999999999997"/>
    <n v="21304.799999999999"/>
    <n v="-2944.7999999999993"/>
    <n v="-883.43999999999971"/>
    <n v="-2061.3599999999997"/>
    <n v="-0.10104705882352939"/>
  </r>
  <r>
    <x v="12"/>
    <x v="1"/>
    <s v="October 2014"/>
    <n v="1"/>
    <x v="0"/>
    <x v="2"/>
    <x v="4"/>
    <s v="Worst"/>
    <n v="1200"/>
    <n v="17"/>
    <n v="0.1"/>
    <n v="0.18"/>
    <n v="18000"/>
    <n v="0.3"/>
    <n v="20400"/>
    <n v="18360"/>
    <n v="3304.7999999999997"/>
    <n v="21304.799999999999"/>
    <n v="-2944.7999999999993"/>
    <n v="-883.43999999999971"/>
    <n v="-2061.3599999999997"/>
    <n v="-0.10104705882352939"/>
  </r>
  <r>
    <x v="12"/>
    <x v="1"/>
    <s v="October 2014"/>
    <n v="1"/>
    <x v="0"/>
    <x v="3"/>
    <x v="0"/>
    <s v="Worst"/>
    <n v="1200"/>
    <n v="17"/>
    <n v="0.1"/>
    <n v="0.18"/>
    <n v="18000"/>
    <n v="0.3"/>
    <n v="20400"/>
    <n v="18360"/>
    <n v="3304.7999999999997"/>
    <n v="21304.799999999999"/>
    <n v="-2944.7999999999993"/>
    <n v="-883.43999999999971"/>
    <n v="-2061.3599999999997"/>
    <n v="-0.10104705882352939"/>
  </r>
  <r>
    <x v="12"/>
    <x v="1"/>
    <s v="October 2014"/>
    <n v="1"/>
    <x v="0"/>
    <x v="3"/>
    <x v="1"/>
    <s v="Worst"/>
    <n v="1200"/>
    <n v="17"/>
    <n v="0.1"/>
    <n v="0.18"/>
    <n v="18000"/>
    <n v="0.3"/>
    <n v="20400"/>
    <n v="18360"/>
    <n v="3304.7999999999997"/>
    <n v="21304.799999999999"/>
    <n v="-2944.7999999999993"/>
    <n v="-883.43999999999971"/>
    <n v="-2061.3599999999997"/>
    <n v="-0.10104705882352939"/>
  </r>
  <r>
    <x v="12"/>
    <x v="1"/>
    <s v="October 2014"/>
    <n v="1"/>
    <x v="0"/>
    <x v="3"/>
    <x v="2"/>
    <s v="Worst"/>
    <n v="1200"/>
    <n v="17"/>
    <n v="0.1"/>
    <n v="0.18"/>
    <n v="18000"/>
    <n v="0.3"/>
    <n v="20400"/>
    <n v="18360"/>
    <n v="3304.7999999999997"/>
    <n v="21304.799999999999"/>
    <n v="-2944.7999999999993"/>
    <n v="-883.43999999999971"/>
    <n v="-2061.3599999999997"/>
    <n v="-0.10104705882352939"/>
  </r>
  <r>
    <x v="12"/>
    <x v="1"/>
    <s v="October 2014"/>
    <n v="1"/>
    <x v="0"/>
    <x v="3"/>
    <x v="3"/>
    <s v="Worst"/>
    <n v="1200"/>
    <n v="17"/>
    <n v="0.1"/>
    <n v="0.18"/>
    <n v="18000"/>
    <n v="0.3"/>
    <n v="20400"/>
    <n v="18360"/>
    <n v="3304.7999999999997"/>
    <n v="21304.799999999999"/>
    <n v="-2944.7999999999993"/>
    <n v="-883.43999999999971"/>
    <n v="-2061.3599999999997"/>
    <n v="-0.10104705882352939"/>
  </r>
  <r>
    <x v="12"/>
    <x v="1"/>
    <s v="October 2014"/>
    <n v="1"/>
    <x v="0"/>
    <x v="3"/>
    <x v="4"/>
    <s v="Worst"/>
    <n v="1200"/>
    <n v="17"/>
    <n v="0.1"/>
    <n v="0.18"/>
    <n v="18000"/>
    <n v="0.3"/>
    <n v="20400"/>
    <n v="18360"/>
    <n v="3304.7999999999997"/>
    <n v="21304.799999999999"/>
    <n v="-2944.7999999999993"/>
    <n v="-883.43999999999971"/>
    <n v="-2061.3599999999997"/>
    <n v="-0.10104705882352939"/>
  </r>
  <r>
    <x v="12"/>
    <x v="1"/>
    <s v="October 2014"/>
    <n v="1"/>
    <x v="0"/>
    <x v="4"/>
    <x v="0"/>
    <s v="Worst"/>
    <n v="1200"/>
    <n v="17"/>
    <n v="0.1"/>
    <n v="0.18"/>
    <n v="18000"/>
    <n v="0.3"/>
    <n v="20400"/>
    <n v="18360"/>
    <n v="3304.7999999999997"/>
    <n v="21304.799999999999"/>
    <n v="-2944.7999999999993"/>
    <n v="-883.43999999999971"/>
    <n v="-2061.3599999999997"/>
    <n v="-0.10104705882352939"/>
  </r>
  <r>
    <x v="12"/>
    <x v="1"/>
    <s v="October 2014"/>
    <n v="1"/>
    <x v="0"/>
    <x v="4"/>
    <x v="1"/>
    <s v="Worst"/>
    <n v="1200"/>
    <n v="17"/>
    <n v="0.1"/>
    <n v="0.18"/>
    <n v="18000"/>
    <n v="0.3"/>
    <n v="20400"/>
    <n v="18360"/>
    <n v="3304.7999999999997"/>
    <n v="21304.799999999999"/>
    <n v="-2944.7999999999993"/>
    <n v="-883.43999999999971"/>
    <n v="-2061.3599999999997"/>
    <n v="-0.10104705882352939"/>
  </r>
  <r>
    <x v="12"/>
    <x v="1"/>
    <s v="October 2014"/>
    <n v="1"/>
    <x v="0"/>
    <x v="4"/>
    <x v="2"/>
    <s v="Worst"/>
    <n v="1200"/>
    <n v="17"/>
    <n v="0.1"/>
    <n v="0.18"/>
    <n v="18000"/>
    <n v="0.3"/>
    <n v="20400"/>
    <n v="18360"/>
    <n v="3304.7999999999997"/>
    <n v="21304.799999999999"/>
    <n v="-2944.7999999999993"/>
    <n v="-883.43999999999971"/>
    <n v="-2061.3599999999997"/>
    <n v="-0.10104705882352939"/>
  </r>
  <r>
    <x v="12"/>
    <x v="1"/>
    <s v="October 2014"/>
    <n v="1"/>
    <x v="0"/>
    <x v="4"/>
    <x v="3"/>
    <s v="Worst"/>
    <n v="1200"/>
    <n v="17"/>
    <n v="0.1"/>
    <n v="0.18"/>
    <n v="18000"/>
    <n v="0.3"/>
    <n v="20400"/>
    <n v="18360"/>
    <n v="3304.7999999999997"/>
    <n v="21304.799999999999"/>
    <n v="-2944.7999999999993"/>
    <n v="-883.43999999999971"/>
    <n v="-2061.3599999999997"/>
    <n v="-0.10104705882352939"/>
  </r>
  <r>
    <x v="12"/>
    <x v="1"/>
    <s v="October 2014"/>
    <n v="1"/>
    <x v="0"/>
    <x v="4"/>
    <x v="4"/>
    <s v="Worst"/>
    <n v="1200"/>
    <n v="17"/>
    <n v="0.1"/>
    <n v="0.18"/>
    <n v="18000"/>
    <n v="0.3"/>
    <n v="20400"/>
    <n v="18360"/>
    <n v="3304.7999999999997"/>
    <n v="21304.799999999999"/>
    <n v="-2944.7999999999993"/>
    <n v="-883.43999999999971"/>
    <n v="-2061.3599999999997"/>
    <n v="-0.10104705882352939"/>
  </r>
  <r>
    <x v="12"/>
    <x v="1"/>
    <s v="October 2014"/>
    <n v="1"/>
    <x v="1"/>
    <x v="0"/>
    <x v="0"/>
    <s v="Worst"/>
    <n v="1200"/>
    <n v="17"/>
    <n v="0.1"/>
    <n v="0.18"/>
    <n v="18000"/>
    <n v="0.3"/>
    <n v="20400"/>
    <n v="18360"/>
    <n v="3304.7999999999997"/>
    <n v="21304.799999999999"/>
    <n v="-2944.7999999999993"/>
    <n v="-883.43999999999971"/>
    <n v="-2061.3599999999997"/>
    <n v="-0.10104705882352939"/>
  </r>
  <r>
    <x v="12"/>
    <x v="1"/>
    <s v="October 2014"/>
    <n v="1"/>
    <x v="1"/>
    <x v="0"/>
    <x v="1"/>
    <s v="Worst"/>
    <n v="1200"/>
    <n v="17"/>
    <n v="0.1"/>
    <n v="0.18"/>
    <n v="18000"/>
    <n v="0.3"/>
    <n v="20400"/>
    <n v="18360"/>
    <n v="3304.7999999999997"/>
    <n v="21304.799999999999"/>
    <n v="-2944.7999999999993"/>
    <n v="-883.43999999999971"/>
    <n v="-2061.3599999999997"/>
    <n v="-0.10104705882352939"/>
  </r>
  <r>
    <x v="12"/>
    <x v="1"/>
    <s v="October 2014"/>
    <n v="1"/>
    <x v="1"/>
    <x v="0"/>
    <x v="2"/>
    <s v="Worst"/>
    <n v="1200"/>
    <n v="17"/>
    <n v="0.1"/>
    <n v="0.18"/>
    <n v="18000"/>
    <n v="0.3"/>
    <n v="20400"/>
    <n v="18360"/>
    <n v="3304.7999999999997"/>
    <n v="21304.799999999999"/>
    <n v="-2944.7999999999993"/>
    <n v="-883.43999999999971"/>
    <n v="-2061.3599999999997"/>
    <n v="-0.10104705882352939"/>
  </r>
  <r>
    <x v="12"/>
    <x v="1"/>
    <s v="October 2014"/>
    <n v="1"/>
    <x v="1"/>
    <x v="0"/>
    <x v="3"/>
    <s v="Worst"/>
    <n v="1200"/>
    <n v="17"/>
    <n v="0.1"/>
    <n v="0.18"/>
    <n v="18000"/>
    <n v="0.3"/>
    <n v="20400"/>
    <n v="18360"/>
    <n v="3304.7999999999997"/>
    <n v="21304.799999999999"/>
    <n v="-2944.7999999999993"/>
    <n v="-883.43999999999971"/>
    <n v="-2061.3599999999997"/>
    <n v="-0.10104705882352939"/>
  </r>
  <r>
    <x v="12"/>
    <x v="1"/>
    <s v="October 2014"/>
    <n v="1"/>
    <x v="1"/>
    <x v="0"/>
    <x v="4"/>
    <s v="Worst"/>
    <n v="1200"/>
    <n v="17"/>
    <n v="0.1"/>
    <n v="0.18"/>
    <n v="18000"/>
    <n v="0.3"/>
    <n v="20400"/>
    <n v="18360"/>
    <n v="3304.7999999999997"/>
    <n v="21304.799999999999"/>
    <n v="-2944.7999999999993"/>
    <n v="-883.43999999999971"/>
    <n v="-2061.3599999999997"/>
    <n v="-0.10104705882352939"/>
  </r>
  <r>
    <x v="12"/>
    <x v="1"/>
    <s v="October 2014"/>
    <n v="1"/>
    <x v="1"/>
    <x v="1"/>
    <x v="0"/>
    <s v="Worst"/>
    <n v="1200"/>
    <n v="17"/>
    <n v="0.1"/>
    <n v="0.18"/>
    <n v="18000"/>
    <n v="0.3"/>
    <n v="20400"/>
    <n v="18360"/>
    <n v="3304.7999999999997"/>
    <n v="21304.799999999999"/>
    <n v="-2944.7999999999993"/>
    <n v="-883.43999999999971"/>
    <n v="-2061.3599999999997"/>
    <n v="-0.10104705882352939"/>
  </r>
  <r>
    <x v="12"/>
    <x v="1"/>
    <s v="October 2014"/>
    <n v="1"/>
    <x v="1"/>
    <x v="1"/>
    <x v="1"/>
    <s v="Worst"/>
    <n v="1200"/>
    <n v="17"/>
    <n v="0.1"/>
    <n v="0.18"/>
    <n v="18000"/>
    <n v="0.3"/>
    <n v="20400"/>
    <n v="18360"/>
    <n v="3304.7999999999997"/>
    <n v="21304.799999999999"/>
    <n v="-2944.7999999999993"/>
    <n v="-883.43999999999971"/>
    <n v="-2061.3599999999997"/>
    <n v="-0.10104705882352939"/>
  </r>
  <r>
    <x v="12"/>
    <x v="1"/>
    <s v="October 2014"/>
    <n v="1"/>
    <x v="1"/>
    <x v="1"/>
    <x v="2"/>
    <s v="Worst"/>
    <n v="1200"/>
    <n v="17"/>
    <n v="0.1"/>
    <n v="0.18"/>
    <n v="18000"/>
    <n v="0.3"/>
    <n v="20400"/>
    <n v="18360"/>
    <n v="3304.7999999999997"/>
    <n v="21304.799999999999"/>
    <n v="-2944.7999999999993"/>
    <n v="-883.43999999999971"/>
    <n v="-2061.3599999999997"/>
    <n v="-0.10104705882352939"/>
  </r>
  <r>
    <x v="12"/>
    <x v="1"/>
    <s v="October 2014"/>
    <n v="1"/>
    <x v="1"/>
    <x v="1"/>
    <x v="3"/>
    <s v="Worst"/>
    <n v="1200"/>
    <n v="17"/>
    <n v="0.1"/>
    <n v="0.18"/>
    <n v="18000"/>
    <n v="0.3"/>
    <n v="20400"/>
    <n v="18360"/>
    <n v="3304.7999999999997"/>
    <n v="21304.799999999999"/>
    <n v="-2944.7999999999993"/>
    <n v="-883.43999999999971"/>
    <n v="-2061.3599999999997"/>
    <n v="-0.10104705882352939"/>
  </r>
  <r>
    <x v="12"/>
    <x v="1"/>
    <s v="October 2014"/>
    <n v="1"/>
    <x v="1"/>
    <x v="1"/>
    <x v="4"/>
    <s v="Worst"/>
    <n v="1200"/>
    <n v="17"/>
    <n v="0.1"/>
    <n v="0.18"/>
    <n v="18000"/>
    <n v="0.3"/>
    <n v="20400"/>
    <n v="18360"/>
    <n v="3304.7999999999997"/>
    <n v="21304.799999999999"/>
    <n v="-2944.7999999999993"/>
    <n v="-883.43999999999971"/>
    <n v="-2061.3599999999997"/>
    <n v="-0.10104705882352939"/>
  </r>
  <r>
    <x v="12"/>
    <x v="1"/>
    <s v="October 2014"/>
    <n v="1"/>
    <x v="1"/>
    <x v="2"/>
    <x v="0"/>
    <s v="Worst"/>
    <n v="1200"/>
    <n v="17"/>
    <n v="0.1"/>
    <n v="0.18"/>
    <n v="18000"/>
    <n v="0.3"/>
    <n v="20400"/>
    <n v="18360"/>
    <n v="3304.7999999999997"/>
    <n v="21304.799999999999"/>
    <n v="-2944.7999999999993"/>
    <n v="-883.43999999999971"/>
    <n v="-2061.3599999999997"/>
    <n v="-0.10104705882352939"/>
  </r>
  <r>
    <x v="12"/>
    <x v="1"/>
    <s v="October 2014"/>
    <n v="1"/>
    <x v="1"/>
    <x v="2"/>
    <x v="1"/>
    <s v="Worst"/>
    <n v="1200"/>
    <n v="17"/>
    <n v="0.1"/>
    <n v="0.18"/>
    <n v="18000"/>
    <n v="0.3"/>
    <n v="20400"/>
    <n v="18360"/>
    <n v="3304.7999999999997"/>
    <n v="21304.799999999999"/>
    <n v="-2944.7999999999993"/>
    <n v="-883.43999999999971"/>
    <n v="-2061.3599999999997"/>
    <n v="-0.10104705882352939"/>
  </r>
  <r>
    <x v="12"/>
    <x v="1"/>
    <s v="October 2014"/>
    <n v="1"/>
    <x v="1"/>
    <x v="2"/>
    <x v="2"/>
    <s v="Worst"/>
    <n v="1200"/>
    <n v="17"/>
    <n v="0.1"/>
    <n v="0.18"/>
    <n v="18000"/>
    <n v="0.3"/>
    <n v="20400"/>
    <n v="18360"/>
    <n v="3304.7999999999997"/>
    <n v="21304.799999999999"/>
    <n v="-2944.7999999999993"/>
    <n v="-883.43999999999971"/>
    <n v="-2061.3599999999997"/>
    <n v="-0.10104705882352939"/>
  </r>
  <r>
    <x v="12"/>
    <x v="1"/>
    <s v="October 2014"/>
    <n v="1"/>
    <x v="1"/>
    <x v="2"/>
    <x v="3"/>
    <s v="Worst"/>
    <n v="1200"/>
    <n v="17"/>
    <n v="0.1"/>
    <n v="0.18"/>
    <n v="18000"/>
    <n v="0.3"/>
    <n v="20400"/>
    <n v="18360"/>
    <n v="3304.7999999999997"/>
    <n v="21304.799999999999"/>
    <n v="-2944.7999999999993"/>
    <n v="-883.43999999999971"/>
    <n v="-2061.3599999999997"/>
    <n v="-0.10104705882352939"/>
  </r>
  <r>
    <x v="12"/>
    <x v="1"/>
    <s v="October 2014"/>
    <n v="1"/>
    <x v="1"/>
    <x v="2"/>
    <x v="4"/>
    <s v="Worst"/>
    <n v="1200"/>
    <n v="17"/>
    <n v="0.1"/>
    <n v="0.18"/>
    <n v="18000"/>
    <n v="0.3"/>
    <n v="20400"/>
    <n v="18360"/>
    <n v="3304.7999999999997"/>
    <n v="21304.799999999999"/>
    <n v="-2944.7999999999993"/>
    <n v="-883.43999999999971"/>
    <n v="-2061.3599999999997"/>
    <n v="-0.10104705882352939"/>
  </r>
  <r>
    <x v="12"/>
    <x v="1"/>
    <s v="October 2014"/>
    <n v="1"/>
    <x v="1"/>
    <x v="3"/>
    <x v="0"/>
    <s v="Worst"/>
    <n v="1200"/>
    <n v="17"/>
    <n v="0.1"/>
    <n v="0.18"/>
    <n v="18000"/>
    <n v="0.3"/>
    <n v="20400"/>
    <n v="18360"/>
    <n v="3304.7999999999997"/>
    <n v="21304.799999999999"/>
    <n v="-2944.7999999999993"/>
    <n v="-883.43999999999971"/>
    <n v="-2061.3599999999997"/>
    <n v="-0.10104705882352939"/>
  </r>
  <r>
    <x v="12"/>
    <x v="1"/>
    <s v="October 2014"/>
    <n v="1"/>
    <x v="1"/>
    <x v="3"/>
    <x v="1"/>
    <s v="Worst"/>
    <n v="1200"/>
    <n v="17"/>
    <n v="0.1"/>
    <n v="0.18"/>
    <n v="18000"/>
    <n v="0.3"/>
    <n v="20400"/>
    <n v="18360"/>
    <n v="3304.7999999999997"/>
    <n v="21304.799999999999"/>
    <n v="-2944.7999999999993"/>
    <n v="-883.43999999999971"/>
    <n v="-2061.3599999999997"/>
    <n v="-0.10104705882352939"/>
  </r>
  <r>
    <x v="12"/>
    <x v="1"/>
    <s v="October 2014"/>
    <n v="1"/>
    <x v="1"/>
    <x v="3"/>
    <x v="2"/>
    <s v="Worst"/>
    <n v="1200"/>
    <n v="17"/>
    <n v="0.1"/>
    <n v="0.18"/>
    <n v="18000"/>
    <n v="0.3"/>
    <n v="20400"/>
    <n v="18360"/>
    <n v="3304.7999999999997"/>
    <n v="21304.799999999999"/>
    <n v="-2944.7999999999993"/>
    <n v="-883.43999999999971"/>
    <n v="-2061.3599999999997"/>
    <n v="-0.10104705882352939"/>
  </r>
  <r>
    <x v="12"/>
    <x v="1"/>
    <s v="October 2014"/>
    <n v="1"/>
    <x v="1"/>
    <x v="3"/>
    <x v="3"/>
    <s v="Worst"/>
    <n v="1200"/>
    <n v="17"/>
    <n v="0.1"/>
    <n v="0.18"/>
    <n v="18000"/>
    <n v="0.3"/>
    <n v="20400"/>
    <n v="18360"/>
    <n v="3304.7999999999997"/>
    <n v="21304.799999999999"/>
    <n v="-2944.7999999999993"/>
    <n v="-883.43999999999971"/>
    <n v="-2061.3599999999997"/>
    <n v="-0.10104705882352939"/>
  </r>
  <r>
    <x v="12"/>
    <x v="1"/>
    <s v="October 2014"/>
    <n v="1"/>
    <x v="1"/>
    <x v="3"/>
    <x v="4"/>
    <s v="Worst"/>
    <n v="1200"/>
    <n v="17"/>
    <n v="0.1"/>
    <n v="0.18"/>
    <n v="18000"/>
    <n v="0.3"/>
    <n v="20400"/>
    <n v="18360"/>
    <n v="3304.7999999999997"/>
    <n v="21304.799999999999"/>
    <n v="-2944.7999999999993"/>
    <n v="-883.43999999999971"/>
    <n v="-2061.3599999999997"/>
    <n v="-0.10104705882352939"/>
  </r>
  <r>
    <x v="12"/>
    <x v="1"/>
    <s v="October 2014"/>
    <n v="1"/>
    <x v="1"/>
    <x v="4"/>
    <x v="0"/>
    <s v="Worst"/>
    <n v="1200"/>
    <n v="17"/>
    <n v="0.1"/>
    <n v="0.18"/>
    <n v="18000"/>
    <n v="0.3"/>
    <n v="20400"/>
    <n v="18360"/>
    <n v="3304.7999999999997"/>
    <n v="21304.799999999999"/>
    <n v="-2944.7999999999993"/>
    <n v="-883.43999999999971"/>
    <n v="-2061.3599999999997"/>
    <n v="-0.10104705882352939"/>
  </r>
  <r>
    <x v="12"/>
    <x v="1"/>
    <s v="October 2014"/>
    <n v="1"/>
    <x v="1"/>
    <x v="4"/>
    <x v="1"/>
    <s v="Worst"/>
    <n v="1200"/>
    <n v="17"/>
    <n v="0.1"/>
    <n v="0.18"/>
    <n v="18000"/>
    <n v="0.3"/>
    <n v="20400"/>
    <n v="18360"/>
    <n v="3304.7999999999997"/>
    <n v="21304.799999999999"/>
    <n v="-2944.7999999999993"/>
    <n v="-883.43999999999971"/>
    <n v="-2061.3599999999997"/>
    <n v="-0.10104705882352939"/>
  </r>
  <r>
    <x v="12"/>
    <x v="1"/>
    <s v="October 2014"/>
    <n v="1"/>
    <x v="1"/>
    <x v="4"/>
    <x v="2"/>
    <s v="Worst"/>
    <n v="1200"/>
    <n v="17"/>
    <n v="0.1"/>
    <n v="0.18"/>
    <n v="18000"/>
    <n v="0.3"/>
    <n v="20400"/>
    <n v="18360"/>
    <n v="3304.7999999999997"/>
    <n v="21304.799999999999"/>
    <n v="-2944.7999999999993"/>
    <n v="-883.43999999999971"/>
    <n v="-2061.3599999999997"/>
    <n v="-0.10104705882352939"/>
  </r>
  <r>
    <x v="12"/>
    <x v="1"/>
    <s v="October 2014"/>
    <n v="1"/>
    <x v="1"/>
    <x v="4"/>
    <x v="3"/>
    <s v="Worst"/>
    <n v="1200"/>
    <n v="17"/>
    <n v="0.1"/>
    <n v="0.18"/>
    <n v="18000"/>
    <n v="0.3"/>
    <n v="20400"/>
    <n v="18360"/>
    <n v="3304.7999999999997"/>
    <n v="21304.799999999999"/>
    <n v="-2944.7999999999993"/>
    <n v="-883.43999999999971"/>
    <n v="-2061.3599999999997"/>
    <n v="-0.10104705882352939"/>
  </r>
  <r>
    <x v="12"/>
    <x v="1"/>
    <s v="October 2014"/>
    <n v="1"/>
    <x v="1"/>
    <x v="4"/>
    <x v="4"/>
    <s v="Worst"/>
    <n v="1200"/>
    <n v="17"/>
    <n v="0.1"/>
    <n v="0.18"/>
    <n v="18000"/>
    <n v="0.3"/>
    <n v="20400"/>
    <n v="18360"/>
    <n v="3304.7999999999997"/>
    <n v="21304.799999999999"/>
    <n v="-2944.7999999999993"/>
    <n v="-883.43999999999971"/>
    <n v="-2061.3599999999997"/>
    <n v="-0.10104705882352939"/>
  </r>
  <r>
    <x v="12"/>
    <x v="1"/>
    <s v="October 2014"/>
    <n v="1"/>
    <x v="2"/>
    <x v="0"/>
    <x v="0"/>
    <s v="Worst"/>
    <n v="1200"/>
    <n v="17"/>
    <n v="0.1"/>
    <n v="0.18"/>
    <n v="18000"/>
    <n v="0.3"/>
    <n v="20400"/>
    <n v="18360"/>
    <n v="3304.7999999999997"/>
    <n v="21304.799999999999"/>
    <n v="-2944.7999999999993"/>
    <n v="-883.43999999999971"/>
    <n v="-2061.3599999999997"/>
    <n v="-0.10104705882352939"/>
  </r>
  <r>
    <x v="12"/>
    <x v="1"/>
    <s v="October 2014"/>
    <n v="1"/>
    <x v="2"/>
    <x v="0"/>
    <x v="1"/>
    <s v="Worst"/>
    <n v="1200"/>
    <n v="17"/>
    <n v="0.1"/>
    <n v="0.18"/>
    <n v="18000"/>
    <n v="0.3"/>
    <n v="20400"/>
    <n v="18360"/>
    <n v="3304.7999999999997"/>
    <n v="21304.799999999999"/>
    <n v="-2944.7999999999993"/>
    <n v="-883.43999999999971"/>
    <n v="-2061.3599999999997"/>
    <n v="-0.10104705882352939"/>
  </r>
  <r>
    <x v="12"/>
    <x v="1"/>
    <s v="October 2014"/>
    <n v="1"/>
    <x v="2"/>
    <x v="0"/>
    <x v="2"/>
    <s v="Worst"/>
    <n v="1200"/>
    <n v="17"/>
    <n v="0.1"/>
    <n v="0.18"/>
    <n v="18000"/>
    <n v="0.3"/>
    <n v="20400"/>
    <n v="18360"/>
    <n v="3304.7999999999997"/>
    <n v="21304.799999999999"/>
    <n v="-2944.7999999999993"/>
    <n v="-883.43999999999971"/>
    <n v="-2061.3599999999997"/>
    <n v="-0.10104705882352939"/>
  </r>
  <r>
    <x v="12"/>
    <x v="1"/>
    <s v="October 2014"/>
    <n v="1"/>
    <x v="2"/>
    <x v="0"/>
    <x v="3"/>
    <s v="Worst"/>
    <n v="1200"/>
    <n v="17"/>
    <n v="0.1"/>
    <n v="0.18"/>
    <n v="18000"/>
    <n v="0.3"/>
    <n v="20400"/>
    <n v="18360"/>
    <n v="3304.7999999999997"/>
    <n v="21304.799999999999"/>
    <n v="-2944.7999999999993"/>
    <n v="-883.43999999999971"/>
    <n v="-2061.3599999999997"/>
    <n v="-0.10104705882352939"/>
  </r>
  <r>
    <x v="12"/>
    <x v="1"/>
    <s v="October 2014"/>
    <n v="1"/>
    <x v="2"/>
    <x v="0"/>
    <x v="4"/>
    <s v="Worst"/>
    <n v="1200"/>
    <n v="17"/>
    <n v="0.1"/>
    <n v="0.18"/>
    <n v="18000"/>
    <n v="0.3"/>
    <n v="20400"/>
    <n v="18360"/>
    <n v="3304.7999999999997"/>
    <n v="21304.799999999999"/>
    <n v="-2944.7999999999993"/>
    <n v="-883.43999999999971"/>
    <n v="-2061.3599999999997"/>
    <n v="-0.10104705882352939"/>
  </r>
  <r>
    <x v="12"/>
    <x v="1"/>
    <s v="October 2014"/>
    <n v="1"/>
    <x v="2"/>
    <x v="1"/>
    <x v="0"/>
    <s v="Worst"/>
    <n v="1200"/>
    <n v="17"/>
    <n v="0.1"/>
    <n v="0.18"/>
    <n v="18000"/>
    <n v="0.3"/>
    <n v="20400"/>
    <n v="18360"/>
    <n v="3304.7999999999997"/>
    <n v="21304.799999999999"/>
    <n v="-2944.7999999999993"/>
    <n v="-883.43999999999971"/>
    <n v="-2061.3599999999997"/>
    <n v="-0.10104705882352939"/>
  </r>
  <r>
    <x v="12"/>
    <x v="1"/>
    <s v="October 2014"/>
    <n v="1"/>
    <x v="2"/>
    <x v="1"/>
    <x v="1"/>
    <s v="Worst"/>
    <n v="1200"/>
    <n v="17"/>
    <n v="0.1"/>
    <n v="0.18"/>
    <n v="18000"/>
    <n v="0.3"/>
    <n v="20400"/>
    <n v="18360"/>
    <n v="3304.7999999999997"/>
    <n v="21304.799999999999"/>
    <n v="-2944.7999999999993"/>
    <n v="-883.43999999999971"/>
    <n v="-2061.3599999999997"/>
    <n v="-0.10104705882352939"/>
  </r>
  <r>
    <x v="12"/>
    <x v="1"/>
    <s v="October 2014"/>
    <n v="1"/>
    <x v="2"/>
    <x v="1"/>
    <x v="2"/>
    <s v="Worst"/>
    <n v="1200"/>
    <n v="17"/>
    <n v="0.1"/>
    <n v="0.18"/>
    <n v="18000"/>
    <n v="0.3"/>
    <n v="20400"/>
    <n v="18360"/>
    <n v="3304.7999999999997"/>
    <n v="21304.799999999999"/>
    <n v="-2944.7999999999993"/>
    <n v="-883.43999999999971"/>
    <n v="-2061.3599999999997"/>
    <n v="-0.10104705882352939"/>
  </r>
  <r>
    <x v="12"/>
    <x v="1"/>
    <s v="October 2014"/>
    <n v="1"/>
    <x v="2"/>
    <x v="1"/>
    <x v="3"/>
    <s v="Worst"/>
    <n v="1200"/>
    <n v="17"/>
    <n v="0.1"/>
    <n v="0.18"/>
    <n v="18000"/>
    <n v="0.3"/>
    <n v="20400"/>
    <n v="18360"/>
    <n v="3304.7999999999997"/>
    <n v="21304.799999999999"/>
    <n v="-2944.7999999999993"/>
    <n v="-883.43999999999971"/>
    <n v="-2061.3599999999997"/>
    <n v="-0.10104705882352939"/>
  </r>
  <r>
    <x v="12"/>
    <x v="1"/>
    <s v="October 2014"/>
    <n v="1"/>
    <x v="2"/>
    <x v="1"/>
    <x v="4"/>
    <s v="Worst"/>
    <n v="1200"/>
    <n v="17"/>
    <n v="0.1"/>
    <n v="0.18"/>
    <n v="18000"/>
    <n v="0.3"/>
    <n v="20400"/>
    <n v="18360"/>
    <n v="3304.7999999999997"/>
    <n v="21304.799999999999"/>
    <n v="-2944.7999999999993"/>
    <n v="-883.43999999999971"/>
    <n v="-2061.3599999999997"/>
    <n v="-0.10104705882352939"/>
  </r>
  <r>
    <x v="12"/>
    <x v="1"/>
    <s v="October 2014"/>
    <n v="1"/>
    <x v="2"/>
    <x v="2"/>
    <x v="0"/>
    <s v="Worst"/>
    <n v="1200"/>
    <n v="17"/>
    <n v="0.1"/>
    <n v="0.18"/>
    <n v="18000"/>
    <n v="0.3"/>
    <n v="20400"/>
    <n v="18360"/>
    <n v="3304.7999999999997"/>
    <n v="21304.799999999999"/>
    <n v="-2944.7999999999993"/>
    <n v="-883.43999999999971"/>
    <n v="-2061.3599999999997"/>
    <n v="-0.10104705882352939"/>
  </r>
  <r>
    <x v="12"/>
    <x v="1"/>
    <s v="October 2014"/>
    <n v="1"/>
    <x v="2"/>
    <x v="2"/>
    <x v="1"/>
    <s v="Worst"/>
    <n v="1200"/>
    <n v="17"/>
    <n v="0.1"/>
    <n v="0.18"/>
    <n v="18000"/>
    <n v="0.3"/>
    <n v="20400"/>
    <n v="18360"/>
    <n v="3304.7999999999997"/>
    <n v="21304.799999999999"/>
    <n v="-2944.7999999999993"/>
    <n v="-883.43999999999971"/>
    <n v="-2061.3599999999997"/>
    <n v="-0.10104705882352939"/>
  </r>
  <r>
    <x v="12"/>
    <x v="1"/>
    <s v="October 2014"/>
    <n v="1"/>
    <x v="2"/>
    <x v="2"/>
    <x v="2"/>
    <s v="Worst"/>
    <n v="1200"/>
    <n v="17"/>
    <n v="0.1"/>
    <n v="0.18"/>
    <n v="18000"/>
    <n v="0.3"/>
    <n v="20400"/>
    <n v="18360"/>
    <n v="3304.7999999999997"/>
    <n v="21304.799999999999"/>
    <n v="-2944.7999999999993"/>
    <n v="-883.43999999999971"/>
    <n v="-2061.3599999999997"/>
    <n v="-0.10104705882352939"/>
  </r>
  <r>
    <x v="12"/>
    <x v="1"/>
    <s v="October 2014"/>
    <n v="1"/>
    <x v="2"/>
    <x v="2"/>
    <x v="3"/>
    <s v="Worst"/>
    <n v="1200"/>
    <n v="17"/>
    <n v="0.1"/>
    <n v="0.18"/>
    <n v="18000"/>
    <n v="0.3"/>
    <n v="20400"/>
    <n v="18360"/>
    <n v="3304.7999999999997"/>
    <n v="21304.799999999999"/>
    <n v="-2944.7999999999993"/>
    <n v="-883.43999999999971"/>
    <n v="-2061.3599999999997"/>
    <n v="-0.10104705882352939"/>
  </r>
  <r>
    <x v="12"/>
    <x v="1"/>
    <s v="October 2014"/>
    <n v="1"/>
    <x v="2"/>
    <x v="2"/>
    <x v="4"/>
    <s v="Worst"/>
    <n v="1200"/>
    <n v="17"/>
    <n v="0.1"/>
    <n v="0.18"/>
    <n v="18000"/>
    <n v="0.3"/>
    <n v="20400"/>
    <n v="18360"/>
    <n v="3304.7999999999997"/>
    <n v="21304.799999999999"/>
    <n v="-2944.7999999999993"/>
    <n v="-883.43999999999971"/>
    <n v="-2061.3599999999997"/>
    <n v="-0.10104705882352939"/>
  </r>
  <r>
    <x v="12"/>
    <x v="1"/>
    <s v="October 2014"/>
    <n v="1"/>
    <x v="2"/>
    <x v="3"/>
    <x v="0"/>
    <s v="Worst"/>
    <n v="1200"/>
    <n v="17"/>
    <n v="0.1"/>
    <n v="0.18"/>
    <n v="18000"/>
    <n v="0.3"/>
    <n v="20400"/>
    <n v="18360"/>
    <n v="3304.7999999999997"/>
    <n v="21304.799999999999"/>
    <n v="-2944.7999999999993"/>
    <n v="-883.43999999999971"/>
    <n v="-2061.3599999999997"/>
    <n v="-0.10104705882352939"/>
  </r>
  <r>
    <x v="12"/>
    <x v="1"/>
    <s v="October 2014"/>
    <n v="1"/>
    <x v="2"/>
    <x v="3"/>
    <x v="1"/>
    <s v="Worst"/>
    <n v="1200"/>
    <n v="17"/>
    <n v="0.1"/>
    <n v="0.18"/>
    <n v="18000"/>
    <n v="0.3"/>
    <n v="20400"/>
    <n v="18360"/>
    <n v="3304.7999999999997"/>
    <n v="21304.799999999999"/>
    <n v="-2944.7999999999993"/>
    <n v="-883.43999999999971"/>
    <n v="-2061.3599999999997"/>
    <n v="-0.10104705882352939"/>
  </r>
  <r>
    <x v="12"/>
    <x v="1"/>
    <s v="October 2014"/>
    <n v="1"/>
    <x v="2"/>
    <x v="3"/>
    <x v="2"/>
    <s v="Worst"/>
    <n v="1200"/>
    <n v="17"/>
    <n v="0.1"/>
    <n v="0.18"/>
    <n v="18000"/>
    <n v="0.3"/>
    <n v="20400"/>
    <n v="18360"/>
    <n v="3304.7999999999997"/>
    <n v="21304.799999999999"/>
    <n v="-2944.7999999999993"/>
    <n v="-883.43999999999971"/>
    <n v="-2061.3599999999997"/>
    <n v="-0.10104705882352939"/>
  </r>
  <r>
    <x v="12"/>
    <x v="1"/>
    <s v="October 2014"/>
    <n v="1"/>
    <x v="2"/>
    <x v="3"/>
    <x v="3"/>
    <s v="Worst"/>
    <n v="1200"/>
    <n v="17"/>
    <n v="0.1"/>
    <n v="0.18"/>
    <n v="18000"/>
    <n v="0.3"/>
    <n v="20400"/>
    <n v="18360"/>
    <n v="3304.7999999999997"/>
    <n v="21304.799999999999"/>
    <n v="-2944.7999999999993"/>
    <n v="-883.43999999999971"/>
    <n v="-2061.3599999999997"/>
    <n v="-0.10104705882352939"/>
  </r>
  <r>
    <x v="12"/>
    <x v="1"/>
    <s v="October 2014"/>
    <n v="1"/>
    <x v="2"/>
    <x v="3"/>
    <x v="4"/>
    <s v="Worst"/>
    <n v="1200"/>
    <n v="17"/>
    <n v="0.1"/>
    <n v="0.18"/>
    <n v="18000"/>
    <n v="0.3"/>
    <n v="20400"/>
    <n v="18360"/>
    <n v="3304.7999999999997"/>
    <n v="21304.799999999999"/>
    <n v="-2944.7999999999993"/>
    <n v="-883.43999999999971"/>
    <n v="-2061.3599999999997"/>
    <n v="-0.10104705882352939"/>
  </r>
  <r>
    <x v="12"/>
    <x v="1"/>
    <s v="October 2014"/>
    <n v="1"/>
    <x v="2"/>
    <x v="4"/>
    <x v="0"/>
    <s v="Worst"/>
    <n v="1200"/>
    <n v="17"/>
    <n v="0.1"/>
    <n v="0.18"/>
    <n v="18000"/>
    <n v="0.3"/>
    <n v="20400"/>
    <n v="18360"/>
    <n v="3304.7999999999997"/>
    <n v="21304.799999999999"/>
    <n v="-2944.7999999999993"/>
    <n v="-883.43999999999971"/>
    <n v="-2061.3599999999997"/>
    <n v="-0.10104705882352939"/>
  </r>
  <r>
    <x v="12"/>
    <x v="1"/>
    <s v="October 2014"/>
    <n v="1"/>
    <x v="2"/>
    <x v="4"/>
    <x v="1"/>
    <s v="Worst"/>
    <n v="1200"/>
    <n v="17"/>
    <n v="0.1"/>
    <n v="0.18"/>
    <n v="18000"/>
    <n v="0.3"/>
    <n v="20400"/>
    <n v="18360"/>
    <n v="3304.7999999999997"/>
    <n v="21304.799999999999"/>
    <n v="-2944.7999999999993"/>
    <n v="-883.43999999999971"/>
    <n v="-2061.3599999999997"/>
    <n v="-0.10104705882352939"/>
  </r>
  <r>
    <x v="12"/>
    <x v="1"/>
    <s v="October 2014"/>
    <n v="1"/>
    <x v="2"/>
    <x v="4"/>
    <x v="2"/>
    <s v="Worst"/>
    <n v="1200"/>
    <n v="17"/>
    <n v="0.1"/>
    <n v="0.18"/>
    <n v="18000"/>
    <n v="0.3"/>
    <n v="20400"/>
    <n v="18360"/>
    <n v="3304.7999999999997"/>
    <n v="21304.799999999999"/>
    <n v="-2944.7999999999993"/>
    <n v="-883.43999999999971"/>
    <n v="-2061.3599999999997"/>
    <n v="-0.10104705882352939"/>
  </r>
  <r>
    <x v="12"/>
    <x v="1"/>
    <s v="October 2014"/>
    <n v="1"/>
    <x v="2"/>
    <x v="4"/>
    <x v="3"/>
    <s v="Worst"/>
    <n v="1200"/>
    <n v="17"/>
    <n v="0.1"/>
    <n v="0.18"/>
    <n v="18000"/>
    <n v="0.3"/>
    <n v="20400"/>
    <n v="18360"/>
    <n v="3304.7999999999997"/>
    <n v="21304.799999999999"/>
    <n v="-2944.7999999999993"/>
    <n v="-883.43999999999971"/>
    <n v="-2061.3599999999997"/>
    <n v="-0.10104705882352939"/>
  </r>
  <r>
    <x v="12"/>
    <x v="1"/>
    <s v="October 2014"/>
    <n v="1"/>
    <x v="2"/>
    <x v="4"/>
    <x v="4"/>
    <s v="Worst"/>
    <n v="1200"/>
    <n v="17"/>
    <n v="0.1"/>
    <n v="0.18"/>
    <n v="18000"/>
    <n v="0.3"/>
    <n v="20400"/>
    <n v="18360"/>
    <n v="3304.7999999999997"/>
    <n v="21304.799999999999"/>
    <n v="-2944.7999999999993"/>
    <n v="-883.43999999999971"/>
    <n v="-2061.3599999999997"/>
    <n v="-0.10104705882352939"/>
  </r>
  <r>
    <x v="12"/>
    <x v="1"/>
    <s v="October 2014"/>
    <n v="1"/>
    <x v="3"/>
    <x v="0"/>
    <x v="0"/>
    <s v="Worst"/>
    <n v="1200"/>
    <n v="17"/>
    <n v="0.1"/>
    <n v="0.18"/>
    <n v="18000"/>
    <n v="0.3"/>
    <n v="20400"/>
    <n v="18360"/>
    <n v="3304.7999999999997"/>
    <n v="21304.799999999999"/>
    <n v="-2944.7999999999993"/>
    <n v="-883.43999999999971"/>
    <n v="-2061.3599999999997"/>
    <n v="-0.10104705882352939"/>
  </r>
  <r>
    <x v="12"/>
    <x v="1"/>
    <s v="October 2014"/>
    <n v="1"/>
    <x v="3"/>
    <x v="0"/>
    <x v="1"/>
    <s v="Worst"/>
    <n v="1200"/>
    <n v="17"/>
    <n v="0.1"/>
    <n v="0.18"/>
    <n v="18000"/>
    <n v="0.3"/>
    <n v="20400"/>
    <n v="18360"/>
    <n v="3304.7999999999997"/>
    <n v="21304.799999999999"/>
    <n v="-2944.7999999999993"/>
    <n v="-883.43999999999971"/>
    <n v="-2061.3599999999997"/>
    <n v="-0.10104705882352939"/>
  </r>
  <r>
    <x v="12"/>
    <x v="1"/>
    <s v="October 2014"/>
    <n v="1"/>
    <x v="3"/>
    <x v="0"/>
    <x v="2"/>
    <s v="Worst"/>
    <n v="1200"/>
    <n v="17"/>
    <n v="0.1"/>
    <n v="0.18"/>
    <n v="18000"/>
    <n v="0.3"/>
    <n v="20400"/>
    <n v="18360"/>
    <n v="3304.7999999999997"/>
    <n v="21304.799999999999"/>
    <n v="-2944.7999999999993"/>
    <n v="-883.43999999999971"/>
    <n v="-2061.3599999999997"/>
    <n v="-0.10104705882352939"/>
  </r>
  <r>
    <x v="12"/>
    <x v="1"/>
    <s v="October 2014"/>
    <n v="1"/>
    <x v="3"/>
    <x v="0"/>
    <x v="3"/>
    <s v="Worst"/>
    <n v="1200"/>
    <n v="17"/>
    <n v="0.1"/>
    <n v="0.18"/>
    <n v="18000"/>
    <n v="0.3"/>
    <n v="20400"/>
    <n v="18360"/>
    <n v="3304.7999999999997"/>
    <n v="21304.799999999999"/>
    <n v="-2944.7999999999993"/>
    <n v="-883.43999999999971"/>
    <n v="-2061.3599999999997"/>
    <n v="-0.10104705882352939"/>
  </r>
  <r>
    <x v="12"/>
    <x v="1"/>
    <s v="October 2014"/>
    <n v="1"/>
    <x v="3"/>
    <x v="0"/>
    <x v="4"/>
    <s v="Worst"/>
    <n v="1200"/>
    <n v="17"/>
    <n v="0.1"/>
    <n v="0.18"/>
    <n v="18000"/>
    <n v="0.3"/>
    <n v="20400"/>
    <n v="18360"/>
    <n v="3304.7999999999997"/>
    <n v="21304.799999999999"/>
    <n v="-2944.7999999999993"/>
    <n v="-883.43999999999971"/>
    <n v="-2061.3599999999997"/>
    <n v="-0.10104705882352939"/>
  </r>
  <r>
    <x v="12"/>
    <x v="1"/>
    <s v="October 2014"/>
    <n v="1"/>
    <x v="3"/>
    <x v="1"/>
    <x v="0"/>
    <s v="Worst"/>
    <n v="1200"/>
    <n v="17"/>
    <n v="0.1"/>
    <n v="0.18"/>
    <n v="18000"/>
    <n v="0.3"/>
    <n v="20400"/>
    <n v="18360"/>
    <n v="3304.7999999999997"/>
    <n v="21304.799999999999"/>
    <n v="-2944.7999999999993"/>
    <n v="-883.43999999999971"/>
    <n v="-2061.3599999999997"/>
    <n v="-0.10104705882352939"/>
  </r>
  <r>
    <x v="12"/>
    <x v="1"/>
    <s v="October 2014"/>
    <n v="1"/>
    <x v="3"/>
    <x v="1"/>
    <x v="1"/>
    <s v="Worst"/>
    <n v="1200"/>
    <n v="17"/>
    <n v="0.1"/>
    <n v="0.18"/>
    <n v="18000"/>
    <n v="0.3"/>
    <n v="20400"/>
    <n v="18360"/>
    <n v="3304.7999999999997"/>
    <n v="21304.799999999999"/>
    <n v="-2944.7999999999993"/>
    <n v="-883.43999999999971"/>
    <n v="-2061.3599999999997"/>
    <n v="-0.10104705882352939"/>
  </r>
  <r>
    <x v="12"/>
    <x v="1"/>
    <s v="October 2014"/>
    <n v="1"/>
    <x v="3"/>
    <x v="1"/>
    <x v="2"/>
    <s v="Worst"/>
    <n v="1200"/>
    <n v="17"/>
    <n v="0.1"/>
    <n v="0.18"/>
    <n v="18000"/>
    <n v="0.3"/>
    <n v="20400"/>
    <n v="18360"/>
    <n v="3304.7999999999997"/>
    <n v="21304.799999999999"/>
    <n v="-2944.7999999999993"/>
    <n v="-883.43999999999971"/>
    <n v="-2061.3599999999997"/>
    <n v="-0.10104705882352939"/>
  </r>
  <r>
    <x v="12"/>
    <x v="1"/>
    <s v="October 2014"/>
    <n v="1"/>
    <x v="3"/>
    <x v="1"/>
    <x v="3"/>
    <s v="Worst"/>
    <n v="1200"/>
    <n v="17"/>
    <n v="0.1"/>
    <n v="0.18"/>
    <n v="18000"/>
    <n v="0.3"/>
    <n v="20400"/>
    <n v="18360"/>
    <n v="3304.7999999999997"/>
    <n v="21304.799999999999"/>
    <n v="-2944.7999999999993"/>
    <n v="-883.43999999999971"/>
    <n v="-2061.3599999999997"/>
    <n v="-0.10104705882352939"/>
  </r>
  <r>
    <x v="12"/>
    <x v="1"/>
    <s v="October 2014"/>
    <n v="1"/>
    <x v="3"/>
    <x v="1"/>
    <x v="4"/>
    <s v="Worst"/>
    <n v="1200"/>
    <n v="17"/>
    <n v="0.1"/>
    <n v="0.18"/>
    <n v="18000"/>
    <n v="0.3"/>
    <n v="20400"/>
    <n v="18360"/>
    <n v="3304.7999999999997"/>
    <n v="21304.799999999999"/>
    <n v="-2944.7999999999993"/>
    <n v="-883.43999999999971"/>
    <n v="-2061.3599999999997"/>
    <n v="-0.10104705882352939"/>
  </r>
  <r>
    <x v="12"/>
    <x v="1"/>
    <s v="October 2014"/>
    <n v="1"/>
    <x v="3"/>
    <x v="2"/>
    <x v="0"/>
    <s v="Worst"/>
    <n v="1200"/>
    <n v="17"/>
    <n v="0.1"/>
    <n v="0.18"/>
    <n v="18000"/>
    <n v="0.3"/>
    <n v="20400"/>
    <n v="18360"/>
    <n v="3304.7999999999997"/>
    <n v="21304.799999999999"/>
    <n v="-2944.7999999999993"/>
    <n v="-883.43999999999971"/>
    <n v="-2061.3599999999997"/>
    <n v="-0.10104705882352939"/>
  </r>
  <r>
    <x v="12"/>
    <x v="1"/>
    <s v="October 2014"/>
    <n v="1"/>
    <x v="3"/>
    <x v="2"/>
    <x v="1"/>
    <s v="Worst"/>
    <n v="1200"/>
    <n v="17"/>
    <n v="0.1"/>
    <n v="0.18"/>
    <n v="18000"/>
    <n v="0.3"/>
    <n v="20400"/>
    <n v="18360"/>
    <n v="3304.7999999999997"/>
    <n v="21304.799999999999"/>
    <n v="-2944.7999999999993"/>
    <n v="-883.43999999999971"/>
    <n v="-2061.3599999999997"/>
    <n v="-0.10104705882352939"/>
  </r>
  <r>
    <x v="12"/>
    <x v="1"/>
    <s v="October 2014"/>
    <n v="1"/>
    <x v="3"/>
    <x v="2"/>
    <x v="2"/>
    <s v="Worst"/>
    <n v="1200"/>
    <n v="17"/>
    <n v="0.1"/>
    <n v="0.18"/>
    <n v="18000"/>
    <n v="0.3"/>
    <n v="20400"/>
    <n v="18360"/>
    <n v="3304.7999999999997"/>
    <n v="21304.799999999999"/>
    <n v="-2944.7999999999993"/>
    <n v="-883.43999999999971"/>
    <n v="-2061.3599999999997"/>
    <n v="-0.10104705882352939"/>
  </r>
  <r>
    <x v="12"/>
    <x v="1"/>
    <s v="October 2014"/>
    <n v="1"/>
    <x v="3"/>
    <x v="2"/>
    <x v="3"/>
    <s v="Worst"/>
    <n v="1200"/>
    <n v="17"/>
    <n v="0.1"/>
    <n v="0.18"/>
    <n v="18000"/>
    <n v="0.3"/>
    <n v="20400"/>
    <n v="18360"/>
    <n v="3304.7999999999997"/>
    <n v="21304.799999999999"/>
    <n v="-2944.7999999999993"/>
    <n v="-883.43999999999971"/>
    <n v="-2061.3599999999997"/>
    <n v="-0.10104705882352939"/>
  </r>
  <r>
    <x v="12"/>
    <x v="1"/>
    <s v="October 2014"/>
    <n v="1"/>
    <x v="3"/>
    <x v="2"/>
    <x v="4"/>
    <s v="Worst"/>
    <n v="1200"/>
    <n v="17"/>
    <n v="0.1"/>
    <n v="0.18"/>
    <n v="18000"/>
    <n v="0.3"/>
    <n v="20400"/>
    <n v="18360"/>
    <n v="3304.7999999999997"/>
    <n v="21304.799999999999"/>
    <n v="-2944.7999999999993"/>
    <n v="-883.43999999999971"/>
    <n v="-2061.3599999999997"/>
    <n v="-0.10104705882352939"/>
  </r>
  <r>
    <x v="12"/>
    <x v="1"/>
    <s v="October 2014"/>
    <n v="1"/>
    <x v="3"/>
    <x v="3"/>
    <x v="0"/>
    <s v="Worst"/>
    <n v="1200"/>
    <n v="17"/>
    <n v="0.1"/>
    <n v="0.18"/>
    <n v="18000"/>
    <n v="0.3"/>
    <n v="20400"/>
    <n v="18360"/>
    <n v="3304.7999999999997"/>
    <n v="21304.799999999999"/>
    <n v="-2944.7999999999993"/>
    <n v="-883.43999999999971"/>
    <n v="-2061.3599999999997"/>
    <n v="-0.10104705882352939"/>
  </r>
  <r>
    <x v="12"/>
    <x v="1"/>
    <s v="October 2014"/>
    <n v="1"/>
    <x v="3"/>
    <x v="3"/>
    <x v="1"/>
    <s v="Worst"/>
    <n v="1200"/>
    <n v="17"/>
    <n v="0.1"/>
    <n v="0.18"/>
    <n v="18000"/>
    <n v="0.3"/>
    <n v="20400"/>
    <n v="18360"/>
    <n v="3304.7999999999997"/>
    <n v="21304.799999999999"/>
    <n v="-2944.7999999999993"/>
    <n v="-883.43999999999971"/>
    <n v="-2061.3599999999997"/>
    <n v="-0.10104705882352939"/>
  </r>
  <r>
    <x v="12"/>
    <x v="1"/>
    <s v="October 2014"/>
    <n v="1"/>
    <x v="3"/>
    <x v="3"/>
    <x v="2"/>
    <s v="Worst"/>
    <n v="1200"/>
    <n v="17"/>
    <n v="0.1"/>
    <n v="0.18"/>
    <n v="18000"/>
    <n v="0.3"/>
    <n v="20400"/>
    <n v="18360"/>
    <n v="3304.7999999999997"/>
    <n v="21304.799999999999"/>
    <n v="-2944.7999999999993"/>
    <n v="-883.43999999999971"/>
    <n v="-2061.3599999999997"/>
    <n v="-0.10104705882352939"/>
  </r>
  <r>
    <x v="12"/>
    <x v="1"/>
    <s v="October 2014"/>
    <n v="1"/>
    <x v="3"/>
    <x v="3"/>
    <x v="3"/>
    <s v="Worst"/>
    <n v="1200"/>
    <n v="17"/>
    <n v="0.1"/>
    <n v="0.18"/>
    <n v="18000"/>
    <n v="0.3"/>
    <n v="20400"/>
    <n v="18360"/>
    <n v="3304.7999999999997"/>
    <n v="21304.799999999999"/>
    <n v="-2944.7999999999993"/>
    <n v="-883.43999999999971"/>
    <n v="-2061.3599999999997"/>
    <n v="-0.10104705882352939"/>
  </r>
  <r>
    <x v="12"/>
    <x v="1"/>
    <s v="October 2014"/>
    <n v="1"/>
    <x v="3"/>
    <x v="3"/>
    <x v="4"/>
    <s v="Worst"/>
    <n v="1200"/>
    <n v="17"/>
    <n v="0.1"/>
    <n v="0.18"/>
    <n v="18000"/>
    <n v="0.3"/>
    <n v="20400"/>
    <n v="18360"/>
    <n v="3304.7999999999997"/>
    <n v="21304.799999999999"/>
    <n v="-2944.7999999999993"/>
    <n v="-883.43999999999971"/>
    <n v="-2061.3599999999997"/>
    <n v="-0.10104705882352939"/>
  </r>
  <r>
    <x v="12"/>
    <x v="1"/>
    <s v="October 2014"/>
    <n v="1"/>
    <x v="3"/>
    <x v="4"/>
    <x v="0"/>
    <s v="Worst"/>
    <n v="1200"/>
    <n v="17"/>
    <n v="0.1"/>
    <n v="0.18"/>
    <n v="18000"/>
    <n v="0.3"/>
    <n v="20400"/>
    <n v="18360"/>
    <n v="3304.7999999999997"/>
    <n v="21304.799999999999"/>
    <n v="-2944.7999999999993"/>
    <n v="-883.43999999999971"/>
    <n v="-2061.3599999999997"/>
    <n v="-0.10104705882352939"/>
  </r>
  <r>
    <x v="12"/>
    <x v="1"/>
    <s v="October 2014"/>
    <n v="1"/>
    <x v="3"/>
    <x v="4"/>
    <x v="1"/>
    <s v="Worst"/>
    <n v="1200"/>
    <n v="17"/>
    <n v="0.1"/>
    <n v="0.18"/>
    <n v="18000"/>
    <n v="0.3"/>
    <n v="20400"/>
    <n v="18360"/>
    <n v="3304.7999999999997"/>
    <n v="21304.799999999999"/>
    <n v="-2944.7999999999993"/>
    <n v="-883.43999999999971"/>
    <n v="-2061.3599999999997"/>
    <n v="-0.10104705882352939"/>
  </r>
  <r>
    <x v="12"/>
    <x v="1"/>
    <s v="October 2014"/>
    <n v="1"/>
    <x v="3"/>
    <x v="4"/>
    <x v="2"/>
    <s v="Worst"/>
    <n v="1200"/>
    <n v="17"/>
    <n v="0.1"/>
    <n v="0.18"/>
    <n v="18000"/>
    <n v="0.3"/>
    <n v="20400"/>
    <n v="18360"/>
    <n v="3304.7999999999997"/>
    <n v="21304.799999999999"/>
    <n v="-2944.7999999999993"/>
    <n v="-883.43999999999971"/>
    <n v="-2061.3599999999997"/>
    <n v="-0.10104705882352939"/>
  </r>
  <r>
    <x v="12"/>
    <x v="1"/>
    <s v="October 2014"/>
    <n v="1"/>
    <x v="3"/>
    <x v="4"/>
    <x v="3"/>
    <s v="Worst"/>
    <n v="1200"/>
    <n v="17"/>
    <n v="0.1"/>
    <n v="0.18"/>
    <n v="18000"/>
    <n v="0.3"/>
    <n v="20400"/>
    <n v="18360"/>
    <n v="3304.7999999999997"/>
    <n v="21304.799999999999"/>
    <n v="-2944.7999999999993"/>
    <n v="-883.43999999999971"/>
    <n v="-2061.3599999999997"/>
    <n v="-0.10104705882352939"/>
  </r>
  <r>
    <x v="12"/>
    <x v="1"/>
    <s v="October 2014"/>
    <n v="1"/>
    <x v="3"/>
    <x v="4"/>
    <x v="4"/>
    <s v="Worst"/>
    <n v="1200"/>
    <n v="17"/>
    <n v="0.1"/>
    <n v="0.18"/>
    <n v="18000"/>
    <n v="0.3"/>
    <n v="20400"/>
    <n v="18360"/>
    <n v="3304.7999999999997"/>
    <n v="21304.799999999999"/>
    <n v="-2944.7999999999993"/>
    <n v="-883.43999999999971"/>
    <n v="-2061.3599999999997"/>
    <n v="-0.10104705882352939"/>
  </r>
  <r>
    <x v="12"/>
    <x v="1"/>
    <s v="October 2014"/>
    <n v="1"/>
    <x v="4"/>
    <x v="0"/>
    <x v="0"/>
    <s v="Worst"/>
    <n v="1200"/>
    <n v="17"/>
    <n v="0.1"/>
    <n v="0.18"/>
    <n v="18000"/>
    <n v="0.3"/>
    <n v="20400"/>
    <n v="18360"/>
    <n v="3304.7999999999997"/>
    <n v="21304.799999999999"/>
    <n v="-2944.7999999999993"/>
    <n v="-883.43999999999971"/>
    <n v="-2061.3599999999997"/>
    <n v="-0.10104705882352939"/>
  </r>
  <r>
    <x v="12"/>
    <x v="1"/>
    <s v="October 2014"/>
    <n v="1"/>
    <x v="4"/>
    <x v="0"/>
    <x v="1"/>
    <s v="Worst"/>
    <n v="1200"/>
    <n v="17"/>
    <n v="0.1"/>
    <n v="0.18"/>
    <n v="18000"/>
    <n v="0.3"/>
    <n v="20400"/>
    <n v="18360"/>
    <n v="3304.7999999999997"/>
    <n v="21304.799999999999"/>
    <n v="-2944.7999999999993"/>
    <n v="-883.43999999999971"/>
    <n v="-2061.3599999999997"/>
    <n v="-0.10104705882352939"/>
  </r>
  <r>
    <x v="12"/>
    <x v="1"/>
    <s v="October 2014"/>
    <n v="1"/>
    <x v="4"/>
    <x v="0"/>
    <x v="2"/>
    <s v="Worst"/>
    <n v="1200"/>
    <n v="17"/>
    <n v="0.1"/>
    <n v="0.18"/>
    <n v="18000"/>
    <n v="0.3"/>
    <n v="20400"/>
    <n v="18360"/>
    <n v="3304.7999999999997"/>
    <n v="21304.799999999999"/>
    <n v="-2944.7999999999993"/>
    <n v="-883.43999999999971"/>
    <n v="-2061.3599999999997"/>
    <n v="-0.10104705882352939"/>
  </r>
  <r>
    <x v="12"/>
    <x v="1"/>
    <s v="October 2014"/>
    <n v="1"/>
    <x v="4"/>
    <x v="0"/>
    <x v="3"/>
    <s v="Worst"/>
    <n v="1200"/>
    <n v="17"/>
    <n v="0.1"/>
    <n v="0.18"/>
    <n v="18000"/>
    <n v="0.3"/>
    <n v="20400"/>
    <n v="18360"/>
    <n v="3304.7999999999997"/>
    <n v="21304.799999999999"/>
    <n v="-2944.7999999999993"/>
    <n v="-883.43999999999971"/>
    <n v="-2061.3599999999997"/>
    <n v="-0.10104705882352939"/>
  </r>
  <r>
    <x v="12"/>
    <x v="1"/>
    <s v="October 2014"/>
    <n v="1"/>
    <x v="4"/>
    <x v="0"/>
    <x v="4"/>
    <s v="Worst"/>
    <n v="1200"/>
    <n v="17"/>
    <n v="0.1"/>
    <n v="0.18"/>
    <n v="18000"/>
    <n v="0.3"/>
    <n v="20400"/>
    <n v="18360"/>
    <n v="3304.7999999999997"/>
    <n v="21304.799999999999"/>
    <n v="-2944.7999999999993"/>
    <n v="-883.43999999999971"/>
    <n v="-2061.3599999999997"/>
    <n v="-0.10104705882352939"/>
  </r>
  <r>
    <x v="12"/>
    <x v="1"/>
    <s v="October 2014"/>
    <n v="1"/>
    <x v="4"/>
    <x v="1"/>
    <x v="0"/>
    <s v="Worst"/>
    <n v="1200"/>
    <n v="17"/>
    <n v="0.1"/>
    <n v="0.18"/>
    <n v="18000"/>
    <n v="0.3"/>
    <n v="20400"/>
    <n v="18360"/>
    <n v="3304.7999999999997"/>
    <n v="21304.799999999999"/>
    <n v="-2944.7999999999993"/>
    <n v="-883.43999999999971"/>
    <n v="-2061.3599999999997"/>
    <n v="-0.10104705882352939"/>
  </r>
  <r>
    <x v="12"/>
    <x v="1"/>
    <s v="October 2014"/>
    <n v="1"/>
    <x v="4"/>
    <x v="1"/>
    <x v="1"/>
    <s v="Worst"/>
    <n v="1200"/>
    <n v="17"/>
    <n v="0.1"/>
    <n v="0.18"/>
    <n v="18000"/>
    <n v="0.3"/>
    <n v="20400"/>
    <n v="18360"/>
    <n v="3304.7999999999997"/>
    <n v="21304.799999999999"/>
    <n v="-2944.7999999999993"/>
    <n v="-883.43999999999971"/>
    <n v="-2061.3599999999997"/>
    <n v="-0.10104705882352939"/>
  </r>
  <r>
    <x v="12"/>
    <x v="1"/>
    <s v="October 2014"/>
    <n v="1"/>
    <x v="4"/>
    <x v="1"/>
    <x v="2"/>
    <s v="Worst"/>
    <n v="1200"/>
    <n v="17"/>
    <n v="0.1"/>
    <n v="0.18"/>
    <n v="18000"/>
    <n v="0.3"/>
    <n v="20400"/>
    <n v="18360"/>
    <n v="3304.7999999999997"/>
    <n v="21304.799999999999"/>
    <n v="-2944.7999999999993"/>
    <n v="-883.43999999999971"/>
    <n v="-2061.3599999999997"/>
    <n v="-0.10104705882352939"/>
  </r>
  <r>
    <x v="12"/>
    <x v="1"/>
    <s v="October 2014"/>
    <n v="1"/>
    <x v="4"/>
    <x v="1"/>
    <x v="3"/>
    <s v="Worst"/>
    <n v="1200"/>
    <n v="17"/>
    <n v="0.1"/>
    <n v="0.18"/>
    <n v="18000"/>
    <n v="0.3"/>
    <n v="20400"/>
    <n v="18360"/>
    <n v="3304.7999999999997"/>
    <n v="21304.799999999999"/>
    <n v="-2944.7999999999993"/>
    <n v="-883.43999999999971"/>
    <n v="-2061.3599999999997"/>
    <n v="-0.10104705882352939"/>
  </r>
  <r>
    <x v="12"/>
    <x v="1"/>
    <s v="October 2014"/>
    <n v="1"/>
    <x v="4"/>
    <x v="1"/>
    <x v="4"/>
    <s v="Worst"/>
    <n v="1200"/>
    <n v="17"/>
    <n v="0.1"/>
    <n v="0.18"/>
    <n v="18000"/>
    <n v="0.3"/>
    <n v="20400"/>
    <n v="18360"/>
    <n v="3304.7999999999997"/>
    <n v="21304.799999999999"/>
    <n v="-2944.7999999999993"/>
    <n v="-883.43999999999971"/>
    <n v="-2061.3599999999997"/>
    <n v="-0.10104705882352939"/>
  </r>
  <r>
    <x v="12"/>
    <x v="1"/>
    <s v="October 2014"/>
    <n v="1"/>
    <x v="4"/>
    <x v="2"/>
    <x v="0"/>
    <s v="Worst"/>
    <n v="1200"/>
    <n v="17"/>
    <n v="0.1"/>
    <n v="0.18"/>
    <n v="18000"/>
    <n v="0.3"/>
    <n v="20400"/>
    <n v="18360"/>
    <n v="3304.7999999999997"/>
    <n v="21304.799999999999"/>
    <n v="-2944.7999999999993"/>
    <n v="-883.43999999999971"/>
    <n v="-2061.3599999999997"/>
    <n v="-0.10104705882352939"/>
  </r>
  <r>
    <x v="12"/>
    <x v="1"/>
    <s v="October 2014"/>
    <n v="1"/>
    <x v="4"/>
    <x v="2"/>
    <x v="1"/>
    <s v="Worst"/>
    <n v="1200"/>
    <n v="17"/>
    <n v="0.1"/>
    <n v="0.18"/>
    <n v="18000"/>
    <n v="0.3"/>
    <n v="20400"/>
    <n v="18360"/>
    <n v="3304.7999999999997"/>
    <n v="21304.799999999999"/>
    <n v="-2944.7999999999993"/>
    <n v="-883.43999999999971"/>
    <n v="-2061.3599999999997"/>
    <n v="-0.10104705882352939"/>
  </r>
  <r>
    <x v="12"/>
    <x v="1"/>
    <s v="October 2014"/>
    <n v="1"/>
    <x v="4"/>
    <x v="2"/>
    <x v="2"/>
    <s v="Worst"/>
    <n v="1200"/>
    <n v="17"/>
    <n v="0.1"/>
    <n v="0.18"/>
    <n v="18000"/>
    <n v="0.3"/>
    <n v="20400"/>
    <n v="18360"/>
    <n v="3304.7999999999997"/>
    <n v="21304.799999999999"/>
    <n v="-2944.7999999999993"/>
    <n v="-883.43999999999971"/>
    <n v="-2061.3599999999997"/>
    <n v="-0.10104705882352939"/>
  </r>
  <r>
    <x v="12"/>
    <x v="1"/>
    <s v="October 2014"/>
    <n v="1"/>
    <x v="4"/>
    <x v="2"/>
    <x v="3"/>
    <s v="Worst"/>
    <n v="1200"/>
    <n v="17"/>
    <n v="0.1"/>
    <n v="0.18"/>
    <n v="18000"/>
    <n v="0.3"/>
    <n v="20400"/>
    <n v="18360"/>
    <n v="3304.7999999999997"/>
    <n v="21304.799999999999"/>
    <n v="-2944.7999999999993"/>
    <n v="-883.43999999999971"/>
    <n v="-2061.3599999999997"/>
    <n v="-0.10104705882352939"/>
  </r>
  <r>
    <x v="12"/>
    <x v="1"/>
    <s v="October 2014"/>
    <n v="1"/>
    <x v="4"/>
    <x v="2"/>
    <x v="4"/>
    <s v="Worst"/>
    <n v="1200"/>
    <n v="17"/>
    <n v="0.1"/>
    <n v="0.18"/>
    <n v="18000"/>
    <n v="0.3"/>
    <n v="20400"/>
    <n v="18360"/>
    <n v="3304.7999999999997"/>
    <n v="21304.799999999999"/>
    <n v="-2944.7999999999993"/>
    <n v="-883.43999999999971"/>
    <n v="-2061.3599999999997"/>
    <n v="-0.10104705882352939"/>
  </r>
  <r>
    <x v="12"/>
    <x v="1"/>
    <s v="October 2014"/>
    <n v="1"/>
    <x v="4"/>
    <x v="3"/>
    <x v="0"/>
    <s v="Worst"/>
    <n v="1200"/>
    <n v="17"/>
    <n v="0.1"/>
    <n v="0.18"/>
    <n v="18000"/>
    <n v="0.3"/>
    <n v="20400"/>
    <n v="18360"/>
    <n v="3304.7999999999997"/>
    <n v="21304.799999999999"/>
    <n v="-2944.7999999999993"/>
    <n v="-883.43999999999971"/>
    <n v="-2061.3599999999997"/>
    <n v="-0.10104705882352939"/>
  </r>
  <r>
    <x v="12"/>
    <x v="1"/>
    <s v="October 2014"/>
    <n v="1"/>
    <x v="4"/>
    <x v="3"/>
    <x v="1"/>
    <s v="Worst"/>
    <n v="1200"/>
    <n v="17"/>
    <n v="0.1"/>
    <n v="0.18"/>
    <n v="18000"/>
    <n v="0.3"/>
    <n v="20400"/>
    <n v="18360"/>
    <n v="3304.7999999999997"/>
    <n v="21304.799999999999"/>
    <n v="-2944.7999999999993"/>
    <n v="-883.43999999999971"/>
    <n v="-2061.3599999999997"/>
    <n v="-0.10104705882352939"/>
  </r>
  <r>
    <x v="12"/>
    <x v="1"/>
    <s v="October 2014"/>
    <n v="1"/>
    <x v="4"/>
    <x v="3"/>
    <x v="2"/>
    <s v="Worst"/>
    <n v="1200"/>
    <n v="17"/>
    <n v="0.1"/>
    <n v="0.18"/>
    <n v="18000"/>
    <n v="0.3"/>
    <n v="20400"/>
    <n v="18360"/>
    <n v="3304.7999999999997"/>
    <n v="21304.799999999999"/>
    <n v="-2944.7999999999993"/>
    <n v="-883.43999999999971"/>
    <n v="-2061.3599999999997"/>
    <n v="-0.10104705882352939"/>
  </r>
  <r>
    <x v="12"/>
    <x v="1"/>
    <s v="October 2014"/>
    <n v="1"/>
    <x v="4"/>
    <x v="3"/>
    <x v="3"/>
    <s v="Worst"/>
    <n v="1200"/>
    <n v="17"/>
    <n v="0.1"/>
    <n v="0.18"/>
    <n v="18000"/>
    <n v="0.3"/>
    <n v="20400"/>
    <n v="18360"/>
    <n v="3304.7999999999997"/>
    <n v="21304.799999999999"/>
    <n v="-2944.7999999999993"/>
    <n v="-883.43999999999971"/>
    <n v="-2061.3599999999997"/>
    <n v="-0.10104705882352939"/>
  </r>
  <r>
    <x v="12"/>
    <x v="1"/>
    <s v="October 2014"/>
    <n v="1"/>
    <x v="4"/>
    <x v="3"/>
    <x v="4"/>
    <s v="Worst"/>
    <n v="1200"/>
    <n v="17"/>
    <n v="0.1"/>
    <n v="0.18"/>
    <n v="18000"/>
    <n v="0.3"/>
    <n v="20400"/>
    <n v="18360"/>
    <n v="3304.7999999999997"/>
    <n v="21304.799999999999"/>
    <n v="-2944.7999999999993"/>
    <n v="-883.43999999999971"/>
    <n v="-2061.3599999999997"/>
    <n v="-0.10104705882352939"/>
  </r>
  <r>
    <x v="12"/>
    <x v="1"/>
    <s v="October 2014"/>
    <n v="1"/>
    <x v="4"/>
    <x v="4"/>
    <x v="0"/>
    <s v="Worst"/>
    <n v="1200"/>
    <n v="17"/>
    <n v="0.1"/>
    <n v="0.18"/>
    <n v="18000"/>
    <n v="0.3"/>
    <n v="20400"/>
    <n v="18360"/>
    <n v="3304.7999999999997"/>
    <n v="21304.799999999999"/>
    <n v="-2944.7999999999993"/>
    <n v="-883.43999999999971"/>
    <n v="-2061.3599999999997"/>
    <n v="-0.10104705882352939"/>
  </r>
  <r>
    <x v="12"/>
    <x v="1"/>
    <s v="October 2014"/>
    <n v="1"/>
    <x v="4"/>
    <x v="4"/>
    <x v="1"/>
    <s v="Worst"/>
    <n v="1200"/>
    <n v="17"/>
    <n v="0.1"/>
    <n v="0.18"/>
    <n v="18000"/>
    <n v="0.3"/>
    <n v="20400"/>
    <n v="18360"/>
    <n v="3304.7999999999997"/>
    <n v="21304.799999999999"/>
    <n v="-2944.7999999999993"/>
    <n v="-883.43999999999971"/>
    <n v="-2061.3599999999997"/>
    <n v="-0.10104705882352939"/>
  </r>
  <r>
    <x v="12"/>
    <x v="1"/>
    <s v="October 2014"/>
    <n v="1"/>
    <x v="4"/>
    <x v="4"/>
    <x v="2"/>
    <s v="Worst"/>
    <n v="1200"/>
    <n v="17"/>
    <n v="0.1"/>
    <n v="0.18"/>
    <n v="18000"/>
    <n v="0.3"/>
    <n v="20400"/>
    <n v="18360"/>
    <n v="3304.7999999999997"/>
    <n v="21304.799999999999"/>
    <n v="-2944.7999999999993"/>
    <n v="-883.43999999999971"/>
    <n v="-2061.3599999999997"/>
    <n v="-0.10104705882352939"/>
  </r>
  <r>
    <x v="12"/>
    <x v="1"/>
    <s v="October 2014"/>
    <n v="1"/>
    <x v="4"/>
    <x v="4"/>
    <x v="3"/>
    <s v="Worst"/>
    <n v="1200"/>
    <n v="17"/>
    <n v="0.1"/>
    <n v="0.18"/>
    <n v="18000"/>
    <n v="0.3"/>
    <n v="20400"/>
    <n v="18360"/>
    <n v="3304.7999999999997"/>
    <n v="21304.799999999999"/>
    <n v="-2944.7999999999993"/>
    <n v="-883.43999999999971"/>
    <n v="-2061.3599999999997"/>
    <n v="-0.10104705882352939"/>
  </r>
  <r>
    <x v="12"/>
    <x v="1"/>
    <s v="October 2014"/>
    <n v="1"/>
    <x v="4"/>
    <x v="4"/>
    <x v="4"/>
    <s v="Worst"/>
    <n v="1200"/>
    <n v="17"/>
    <n v="0.1"/>
    <n v="0.18"/>
    <n v="18000"/>
    <n v="0.3"/>
    <n v="20400"/>
    <n v="18360"/>
    <n v="3304.7999999999997"/>
    <n v="21304.799999999999"/>
    <n v="-2944.7999999999993"/>
    <n v="-883.43999999999971"/>
    <n v="-2061.3599999999997"/>
    <n v="-0.10104705882352939"/>
  </r>
  <r>
    <x v="2"/>
    <x v="1"/>
    <s v="November 2014"/>
    <n v="1"/>
    <x v="0"/>
    <x v="0"/>
    <x v="0"/>
    <s v="Worst"/>
    <n v="1200"/>
    <n v="17"/>
    <n v="0.1"/>
    <n v="0.18"/>
    <n v="18000"/>
    <n v="0.3"/>
    <n v="20400"/>
    <n v="18360"/>
    <n v="3304.7999999999997"/>
    <n v="21304.799999999999"/>
    <n v="-2944.7999999999993"/>
    <n v="-883.43999999999971"/>
    <n v="-2061.3599999999997"/>
    <n v="-0.10104705882352939"/>
  </r>
  <r>
    <x v="2"/>
    <x v="1"/>
    <s v="November 2014"/>
    <n v="1"/>
    <x v="0"/>
    <x v="0"/>
    <x v="1"/>
    <s v="Worst"/>
    <n v="1200"/>
    <n v="17"/>
    <n v="0.1"/>
    <n v="0.18"/>
    <n v="18000"/>
    <n v="0.3"/>
    <n v="20400"/>
    <n v="18360"/>
    <n v="3304.7999999999997"/>
    <n v="21304.799999999999"/>
    <n v="-2944.7999999999993"/>
    <n v="-883.43999999999971"/>
    <n v="-2061.3599999999997"/>
    <n v="-0.10104705882352939"/>
  </r>
  <r>
    <x v="2"/>
    <x v="1"/>
    <s v="November 2014"/>
    <n v="1"/>
    <x v="0"/>
    <x v="0"/>
    <x v="2"/>
    <s v="Worst"/>
    <n v="1200"/>
    <n v="17"/>
    <n v="0.1"/>
    <n v="0.18"/>
    <n v="18000"/>
    <n v="0.3"/>
    <n v="20400"/>
    <n v="18360"/>
    <n v="3304.7999999999997"/>
    <n v="21304.799999999999"/>
    <n v="-2944.7999999999993"/>
    <n v="-883.43999999999971"/>
    <n v="-2061.3599999999997"/>
    <n v="-0.10104705882352939"/>
  </r>
  <r>
    <x v="2"/>
    <x v="1"/>
    <s v="November 2014"/>
    <n v="1"/>
    <x v="0"/>
    <x v="0"/>
    <x v="3"/>
    <s v="Worst"/>
    <n v="1200"/>
    <n v="17"/>
    <n v="0.1"/>
    <n v="0.18"/>
    <n v="18000"/>
    <n v="0.3"/>
    <n v="20400"/>
    <n v="18360"/>
    <n v="3304.7999999999997"/>
    <n v="21304.799999999999"/>
    <n v="-2944.7999999999993"/>
    <n v="-883.43999999999971"/>
    <n v="-2061.3599999999997"/>
    <n v="-0.10104705882352939"/>
  </r>
  <r>
    <x v="2"/>
    <x v="1"/>
    <s v="November 2014"/>
    <n v="1"/>
    <x v="0"/>
    <x v="0"/>
    <x v="4"/>
    <s v="Worst"/>
    <n v="1200"/>
    <n v="17"/>
    <n v="0.1"/>
    <n v="0.18"/>
    <n v="18000"/>
    <n v="0.3"/>
    <n v="20400"/>
    <n v="18360"/>
    <n v="3304.7999999999997"/>
    <n v="21304.799999999999"/>
    <n v="-2944.7999999999993"/>
    <n v="-883.43999999999971"/>
    <n v="-2061.3599999999997"/>
    <n v="-0.10104705882352939"/>
  </r>
  <r>
    <x v="2"/>
    <x v="1"/>
    <s v="November 2014"/>
    <n v="1"/>
    <x v="0"/>
    <x v="1"/>
    <x v="0"/>
    <s v="Worst"/>
    <n v="1200"/>
    <n v="17"/>
    <n v="0.1"/>
    <n v="0.18"/>
    <n v="18000"/>
    <n v="0.3"/>
    <n v="20400"/>
    <n v="18360"/>
    <n v="3304.7999999999997"/>
    <n v="21304.799999999999"/>
    <n v="-2944.7999999999993"/>
    <n v="-883.43999999999971"/>
    <n v="-2061.3599999999997"/>
    <n v="-0.10104705882352939"/>
  </r>
  <r>
    <x v="2"/>
    <x v="1"/>
    <s v="November 2014"/>
    <n v="1"/>
    <x v="0"/>
    <x v="1"/>
    <x v="1"/>
    <s v="Worst"/>
    <n v="1200"/>
    <n v="17"/>
    <n v="0.1"/>
    <n v="0.18"/>
    <n v="18000"/>
    <n v="0.3"/>
    <n v="20400"/>
    <n v="18360"/>
    <n v="3304.7999999999997"/>
    <n v="21304.799999999999"/>
    <n v="-2944.7999999999993"/>
    <n v="-883.43999999999971"/>
    <n v="-2061.3599999999997"/>
    <n v="-0.10104705882352939"/>
  </r>
  <r>
    <x v="2"/>
    <x v="1"/>
    <s v="November 2014"/>
    <n v="1"/>
    <x v="0"/>
    <x v="1"/>
    <x v="2"/>
    <s v="Worst"/>
    <n v="1200"/>
    <n v="17"/>
    <n v="0.1"/>
    <n v="0.18"/>
    <n v="18000"/>
    <n v="0.3"/>
    <n v="20400"/>
    <n v="18360"/>
    <n v="3304.7999999999997"/>
    <n v="21304.799999999999"/>
    <n v="-2944.7999999999993"/>
    <n v="-883.43999999999971"/>
    <n v="-2061.3599999999997"/>
    <n v="-0.10104705882352939"/>
  </r>
  <r>
    <x v="2"/>
    <x v="1"/>
    <s v="November 2014"/>
    <n v="1"/>
    <x v="0"/>
    <x v="1"/>
    <x v="3"/>
    <s v="Worst"/>
    <n v="1200"/>
    <n v="17"/>
    <n v="0.1"/>
    <n v="0.18"/>
    <n v="18000"/>
    <n v="0.3"/>
    <n v="20400"/>
    <n v="18360"/>
    <n v="3304.7999999999997"/>
    <n v="21304.799999999999"/>
    <n v="-2944.7999999999993"/>
    <n v="-883.43999999999971"/>
    <n v="-2061.3599999999997"/>
    <n v="-0.10104705882352939"/>
  </r>
  <r>
    <x v="2"/>
    <x v="1"/>
    <s v="November 2014"/>
    <n v="1"/>
    <x v="0"/>
    <x v="1"/>
    <x v="4"/>
    <s v="Worst"/>
    <n v="1200"/>
    <n v="17"/>
    <n v="0.1"/>
    <n v="0.18"/>
    <n v="18000"/>
    <n v="0.3"/>
    <n v="20400"/>
    <n v="18360"/>
    <n v="3304.7999999999997"/>
    <n v="21304.799999999999"/>
    <n v="-2944.7999999999993"/>
    <n v="-883.43999999999971"/>
    <n v="-2061.3599999999997"/>
    <n v="-0.10104705882352939"/>
  </r>
  <r>
    <x v="2"/>
    <x v="1"/>
    <s v="November 2014"/>
    <n v="1"/>
    <x v="0"/>
    <x v="2"/>
    <x v="0"/>
    <s v="Worst"/>
    <n v="1200"/>
    <n v="17"/>
    <n v="0.1"/>
    <n v="0.18"/>
    <n v="18000"/>
    <n v="0.3"/>
    <n v="20400"/>
    <n v="18360"/>
    <n v="3304.7999999999997"/>
    <n v="21304.799999999999"/>
    <n v="-2944.7999999999993"/>
    <n v="-883.43999999999971"/>
    <n v="-2061.3599999999997"/>
    <n v="-0.10104705882352939"/>
  </r>
  <r>
    <x v="2"/>
    <x v="1"/>
    <s v="November 2014"/>
    <n v="1"/>
    <x v="0"/>
    <x v="2"/>
    <x v="1"/>
    <s v="Worst"/>
    <n v="1200"/>
    <n v="17"/>
    <n v="0.1"/>
    <n v="0.18"/>
    <n v="18000"/>
    <n v="0.3"/>
    <n v="20400"/>
    <n v="18360"/>
    <n v="3304.7999999999997"/>
    <n v="21304.799999999999"/>
    <n v="-2944.7999999999993"/>
    <n v="-883.43999999999971"/>
    <n v="-2061.3599999999997"/>
    <n v="-0.10104705882352939"/>
  </r>
  <r>
    <x v="2"/>
    <x v="1"/>
    <s v="November 2014"/>
    <n v="1"/>
    <x v="0"/>
    <x v="2"/>
    <x v="2"/>
    <s v="Worst"/>
    <n v="1200"/>
    <n v="17"/>
    <n v="0.1"/>
    <n v="0.18"/>
    <n v="18000"/>
    <n v="0.3"/>
    <n v="20400"/>
    <n v="18360"/>
    <n v="3304.7999999999997"/>
    <n v="21304.799999999999"/>
    <n v="-2944.7999999999993"/>
    <n v="-883.43999999999971"/>
    <n v="-2061.3599999999997"/>
    <n v="-0.10104705882352939"/>
  </r>
  <r>
    <x v="2"/>
    <x v="1"/>
    <s v="November 2014"/>
    <n v="1"/>
    <x v="0"/>
    <x v="2"/>
    <x v="3"/>
    <s v="Worst"/>
    <n v="1200"/>
    <n v="17"/>
    <n v="0.1"/>
    <n v="0.18"/>
    <n v="18000"/>
    <n v="0.3"/>
    <n v="20400"/>
    <n v="18360"/>
    <n v="3304.7999999999997"/>
    <n v="21304.799999999999"/>
    <n v="-2944.7999999999993"/>
    <n v="-883.43999999999971"/>
    <n v="-2061.3599999999997"/>
    <n v="-0.10104705882352939"/>
  </r>
  <r>
    <x v="2"/>
    <x v="1"/>
    <s v="November 2014"/>
    <n v="1"/>
    <x v="0"/>
    <x v="2"/>
    <x v="4"/>
    <s v="Worst"/>
    <n v="1200"/>
    <n v="17"/>
    <n v="0.1"/>
    <n v="0.18"/>
    <n v="18000"/>
    <n v="0.3"/>
    <n v="20400"/>
    <n v="18360"/>
    <n v="3304.7999999999997"/>
    <n v="21304.799999999999"/>
    <n v="-2944.7999999999993"/>
    <n v="-883.43999999999971"/>
    <n v="-2061.3599999999997"/>
    <n v="-0.10104705882352939"/>
  </r>
  <r>
    <x v="2"/>
    <x v="1"/>
    <s v="November 2014"/>
    <n v="1"/>
    <x v="0"/>
    <x v="3"/>
    <x v="0"/>
    <s v="Worst"/>
    <n v="1200"/>
    <n v="17"/>
    <n v="0.1"/>
    <n v="0.18"/>
    <n v="18000"/>
    <n v="0.3"/>
    <n v="20400"/>
    <n v="18360"/>
    <n v="3304.7999999999997"/>
    <n v="21304.799999999999"/>
    <n v="-2944.7999999999993"/>
    <n v="-883.43999999999971"/>
    <n v="-2061.3599999999997"/>
    <n v="-0.10104705882352939"/>
  </r>
  <r>
    <x v="2"/>
    <x v="1"/>
    <s v="November 2014"/>
    <n v="1"/>
    <x v="0"/>
    <x v="3"/>
    <x v="1"/>
    <s v="Worst"/>
    <n v="1200"/>
    <n v="17"/>
    <n v="0.1"/>
    <n v="0.18"/>
    <n v="18000"/>
    <n v="0.3"/>
    <n v="20400"/>
    <n v="18360"/>
    <n v="3304.7999999999997"/>
    <n v="21304.799999999999"/>
    <n v="-2944.7999999999993"/>
    <n v="-883.43999999999971"/>
    <n v="-2061.3599999999997"/>
    <n v="-0.10104705882352939"/>
  </r>
  <r>
    <x v="2"/>
    <x v="1"/>
    <s v="November 2014"/>
    <n v="1"/>
    <x v="0"/>
    <x v="3"/>
    <x v="2"/>
    <s v="Worst"/>
    <n v="1200"/>
    <n v="17"/>
    <n v="0.1"/>
    <n v="0.18"/>
    <n v="18000"/>
    <n v="0.3"/>
    <n v="20400"/>
    <n v="18360"/>
    <n v="3304.7999999999997"/>
    <n v="21304.799999999999"/>
    <n v="-2944.7999999999993"/>
    <n v="-883.43999999999971"/>
    <n v="-2061.3599999999997"/>
    <n v="-0.10104705882352939"/>
  </r>
  <r>
    <x v="2"/>
    <x v="1"/>
    <s v="November 2014"/>
    <n v="1"/>
    <x v="0"/>
    <x v="3"/>
    <x v="3"/>
    <s v="Worst"/>
    <n v="1200"/>
    <n v="17"/>
    <n v="0.1"/>
    <n v="0.18"/>
    <n v="18000"/>
    <n v="0.3"/>
    <n v="20400"/>
    <n v="18360"/>
    <n v="3304.7999999999997"/>
    <n v="21304.799999999999"/>
    <n v="-2944.7999999999993"/>
    <n v="-883.43999999999971"/>
    <n v="-2061.3599999999997"/>
    <n v="-0.10104705882352939"/>
  </r>
  <r>
    <x v="2"/>
    <x v="1"/>
    <s v="November 2014"/>
    <n v="1"/>
    <x v="0"/>
    <x v="3"/>
    <x v="4"/>
    <s v="Worst"/>
    <n v="1200"/>
    <n v="17"/>
    <n v="0.1"/>
    <n v="0.18"/>
    <n v="18000"/>
    <n v="0.3"/>
    <n v="20400"/>
    <n v="18360"/>
    <n v="3304.7999999999997"/>
    <n v="21304.799999999999"/>
    <n v="-2944.7999999999993"/>
    <n v="-883.43999999999971"/>
    <n v="-2061.3599999999997"/>
    <n v="-0.10104705882352939"/>
  </r>
  <r>
    <x v="2"/>
    <x v="1"/>
    <s v="November 2014"/>
    <n v="1"/>
    <x v="0"/>
    <x v="4"/>
    <x v="0"/>
    <s v="Worst"/>
    <n v="1200"/>
    <n v="17"/>
    <n v="0.1"/>
    <n v="0.18"/>
    <n v="18000"/>
    <n v="0.3"/>
    <n v="20400"/>
    <n v="18360"/>
    <n v="3304.7999999999997"/>
    <n v="21304.799999999999"/>
    <n v="-2944.7999999999993"/>
    <n v="-883.43999999999971"/>
    <n v="-2061.3599999999997"/>
    <n v="-0.10104705882352939"/>
  </r>
  <r>
    <x v="2"/>
    <x v="1"/>
    <s v="November 2014"/>
    <n v="1"/>
    <x v="0"/>
    <x v="4"/>
    <x v="1"/>
    <s v="Worst"/>
    <n v="1200"/>
    <n v="17"/>
    <n v="0.1"/>
    <n v="0.18"/>
    <n v="18000"/>
    <n v="0.3"/>
    <n v="20400"/>
    <n v="18360"/>
    <n v="3304.7999999999997"/>
    <n v="21304.799999999999"/>
    <n v="-2944.7999999999993"/>
    <n v="-883.43999999999971"/>
    <n v="-2061.3599999999997"/>
    <n v="-0.10104705882352939"/>
  </r>
  <r>
    <x v="2"/>
    <x v="1"/>
    <s v="November 2014"/>
    <n v="1"/>
    <x v="0"/>
    <x v="4"/>
    <x v="2"/>
    <s v="Worst"/>
    <n v="1200"/>
    <n v="17"/>
    <n v="0.1"/>
    <n v="0.18"/>
    <n v="18000"/>
    <n v="0.3"/>
    <n v="20400"/>
    <n v="18360"/>
    <n v="3304.7999999999997"/>
    <n v="21304.799999999999"/>
    <n v="-2944.7999999999993"/>
    <n v="-883.43999999999971"/>
    <n v="-2061.3599999999997"/>
    <n v="-0.10104705882352939"/>
  </r>
  <r>
    <x v="2"/>
    <x v="1"/>
    <s v="November 2014"/>
    <n v="1"/>
    <x v="0"/>
    <x v="4"/>
    <x v="3"/>
    <s v="Worst"/>
    <n v="1200"/>
    <n v="17"/>
    <n v="0.1"/>
    <n v="0.18"/>
    <n v="18000"/>
    <n v="0.3"/>
    <n v="20400"/>
    <n v="18360"/>
    <n v="3304.7999999999997"/>
    <n v="21304.799999999999"/>
    <n v="-2944.7999999999993"/>
    <n v="-883.43999999999971"/>
    <n v="-2061.3599999999997"/>
    <n v="-0.10104705882352939"/>
  </r>
  <r>
    <x v="2"/>
    <x v="1"/>
    <s v="November 2014"/>
    <n v="1"/>
    <x v="0"/>
    <x v="4"/>
    <x v="4"/>
    <s v="Worst"/>
    <n v="1200"/>
    <n v="17"/>
    <n v="0.1"/>
    <n v="0.18"/>
    <n v="18000"/>
    <n v="0.3"/>
    <n v="20400"/>
    <n v="18360"/>
    <n v="3304.7999999999997"/>
    <n v="21304.799999999999"/>
    <n v="-2944.7999999999993"/>
    <n v="-883.43999999999971"/>
    <n v="-2061.3599999999997"/>
    <n v="-0.10104705882352939"/>
  </r>
  <r>
    <x v="2"/>
    <x v="1"/>
    <s v="November 2014"/>
    <n v="1"/>
    <x v="1"/>
    <x v="0"/>
    <x v="0"/>
    <s v="Worst"/>
    <n v="1200"/>
    <n v="17"/>
    <n v="0.1"/>
    <n v="0.18"/>
    <n v="18000"/>
    <n v="0.3"/>
    <n v="20400"/>
    <n v="18360"/>
    <n v="3304.7999999999997"/>
    <n v="21304.799999999999"/>
    <n v="-2944.7999999999993"/>
    <n v="-883.43999999999971"/>
    <n v="-2061.3599999999997"/>
    <n v="-0.10104705882352939"/>
  </r>
  <r>
    <x v="2"/>
    <x v="1"/>
    <s v="November 2014"/>
    <n v="1"/>
    <x v="1"/>
    <x v="0"/>
    <x v="1"/>
    <s v="Worst"/>
    <n v="1200"/>
    <n v="17"/>
    <n v="0.1"/>
    <n v="0.18"/>
    <n v="18000"/>
    <n v="0.3"/>
    <n v="20400"/>
    <n v="18360"/>
    <n v="3304.7999999999997"/>
    <n v="21304.799999999999"/>
    <n v="-2944.7999999999993"/>
    <n v="-883.43999999999971"/>
    <n v="-2061.3599999999997"/>
    <n v="-0.10104705882352939"/>
  </r>
  <r>
    <x v="2"/>
    <x v="1"/>
    <s v="November 2014"/>
    <n v="1"/>
    <x v="1"/>
    <x v="0"/>
    <x v="2"/>
    <s v="Worst"/>
    <n v="1200"/>
    <n v="17"/>
    <n v="0.1"/>
    <n v="0.18"/>
    <n v="18000"/>
    <n v="0.3"/>
    <n v="20400"/>
    <n v="18360"/>
    <n v="3304.7999999999997"/>
    <n v="21304.799999999999"/>
    <n v="-2944.7999999999993"/>
    <n v="-883.43999999999971"/>
    <n v="-2061.3599999999997"/>
    <n v="-0.10104705882352939"/>
  </r>
  <r>
    <x v="2"/>
    <x v="1"/>
    <s v="November 2014"/>
    <n v="1"/>
    <x v="1"/>
    <x v="0"/>
    <x v="3"/>
    <s v="Worst"/>
    <n v="1200"/>
    <n v="17"/>
    <n v="0.1"/>
    <n v="0.18"/>
    <n v="18000"/>
    <n v="0.3"/>
    <n v="20400"/>
    <n v="18360"/>
    <n v="3304.7999999999997"/>
    <n v="21304.799999999999"/>
    <n v="-2944.7999999999993"/>
    <n v="-883.43999999999971"/>
    <n v="-2061.3599999999997"/>
    <n v="-0.10104705882352939"/>
  </r>
  <r>
    <x v="2"/>
    <x v="1"/>
    <s v="November 2014"/>
    <n v="1"/>
    <x v="1"/>
    <x v="0"/>
    <x v="4"/>
    <s v="Worst"/>
    <n v="1200"/>
    <n v="17"/>
    <n v="0.1"/>
    <n v="0.18"/>
    <n v="18000"/>
    <n v="0.3"/>
    <n v="20400"/>
    <n v="18360"/>
    <n v="3304.7999999999997"/>
    <n v="21304.799999999999"/>
    <n v="-2944.7999999999993"/>
    <n v="-883.43999999999971"/>
    <n v="-2061.3599999999997"/>
    <n v="-0.10104705882352939"/>
  </r>
  <r>
    <x v="2"/>
    <x v="1"/>
    <s v="November 2014"/>
    <n v="1"/>
    <x v="1"/>
    <x v="1"/>
    <x v="0"/>
    <s v="Worst"/>
    <n v="1200"/>
    <n v="17"/>
    <n v="0.1"/>
    <n v="0.18"/>
    <n v="18000"/>
    <n v="0.3"/>
    <n v="20400"/>
    <n v="18360"/>
    <n v="3304.7999999999997"/>
    <n v="21304.799999999999"/>
    <n v="-2944.7999999999993"/>
    <n v="-883.43999999999971"/>
    <n v="-2061.3599999999997"/>
    <n v="-0.10104705882352939"/>
  </r>
  <r>
    <x v="2"/>
    <x v="1"/>
    <s v="November 2014"/>
    <n v="1"/>
    <x v="1"/>
    <x v="1"/>
    <x v="1"/>
    <s v="Worst"/>
    <n v="1200"/>
    <n v="17"/>
    <n v="0.1"/>
    <n v="0.18"/>
    <n v="18000"/>
    <n v="0.3"/>
    <n v="20400"/>
    <n v="18360"/>
    <n v="3304.7999999999997"/>
    <n v="21304.799999999999"/>
    <n v="-2944.7999999999993"/>
    <n v="-883.43999999999971"/>
    <n v="-2061.3599999999997"/>
    <n v="-0.10104705882352939"/>
  </r>
  <r>
    <x v="2"/>
    <x v="1"/>
    <s v="November 2014"/>
    <n v="1"/>
    <x v="1"/>
    <x v="1"/>
    <x v="2"/>
    <s v="Worst"/>
    <n v="1200"/>
    <n v="17"/>
    <n v="0.1"/>
    <n v="0.18"/>
    <n v="18000"/>
    <n v="0.3"/>
    <n v="20400"/>
    <n v="18360"/>
    <n v="3304.7999999999997"/>
    <n v="21304.799999999999"/>
    <n v="-2944.7999999999993"/>
    <n v="-883.43999999999971"/>
    <n v="-2061.3599999999997"/>
    <n v="-0.10104705882352939"/>
  </r>
  <r>
    <x v="2"/>
    <x v="1"/>
    <s v="November 2014"/>
    <n v="1"/>
    <x v="1"/>
    <x v="1"/>
    <x v="3"/>
    <s v="Worst"/>
    <n v="1200"/>
    <n v="17"/>
    <n v="0.1"/>
    <n v="0.18"/>
    <n v="18000"/>
    <n v="0.3"/>
    <n v="20400"/>
    <n v="18360"/>
    <n v="3304.7999999999997"/>
    <n v="21304.799999999999"/>
    <n v="-2944.7999999999993"/>
    <n v="-883.43999999999971"/>
    <n v="-2061.3599999999997"/>
    <n v="-0.10104705882352939"/>
  </r>
  <r>
    <x v="2"/>
    <x v="1"/>
    <s v="November 2014"/>
    <n v="1"/>
    <x v="1"/>
    <x v="1"/>
    <x v="4"/>
    <s v="Worst"/>
    <n v="1200"/>
    <n v="17"/>
    <n v="0.1"/>
    <n v="0.18"/>
    <n v="18000"/>
    <n v="0.3"/>
    <n v="20400"/>
    <n v="18360"/>
    <n v="3304.7999999999997"/>
    <n v="21304.799999999999"/>
    <n v="-2944.7999999999993"/>
    <n v="-883.43999999999971"/>
    <n v="-2061.3599999999997"/>
    <n v="-0.10104705882352939"/>
  </r>
  <r>
    <x v="2"/>
    <x v="1"/>
    <s v="November 2014"/>
    <n v="1"/>
    <x v="1"/>
    <x v="2"/>
    <x v="0"/>
    <s v="Worst"/>
    <n v="1200"/>
    <n v="17"/>
    <n v="0.1"/>
    <n v="0.18"/>
    <n v="18000"/>
    <n v="0.3"/>
    <n v="20400"/>
    <n v="18360"/>
    <n v="3304.7999999999997"/>
    <n v="21304.799999999999"/>
    <n v="-2944.7999999999993"/>
    <n v="-883.43999999999971"/>
    <n v="-2061.3599999999997"/>
    <n v="-0.10104705882352939"/>
  </r>
  <r>
    <x v="2"/>
    <x v="1"/>
    <s v="November 2014"/>
    <n v="1"/>
    <x v="1"/>
    <x v="2"/>
    <x v="1"/>
    <s v="Worst"/>
    <n v="1200"/>
    <n v="17"/>
    <n v="0.1"/>
    <n v="0.18"/>
    <n v="18000"/>
    <n v="0.3"/>
    <n v="20400"/>
    <n v="18360"/>
    <n v="3304.7999999999997"/>
    <n v="21304.799999999999"/>
    <n v="-2944.7999999999993"/>
    <n v="-883.43999999999971"/>
    <n v="-2061.3599999999997"/>
    <n v="-0.10104705882352939"/>
  </r>
  <r>
    <x v="2"/>
    <x v="1"/>
    <s v="November 2014"/>
    <n v="1"/>
    <x v="1"/>
    <x v="2"/>
    <x v="2"/>
    <s v="Worst"/>
    <n v="1200"/>
    <n v="17"/>
    <n v="0.1"/>
    <n v="0.18"/>
    <n v="18000"/>
    <n v="0.3"/>
    <n v="20400"/>
    <n v="18360"/>
    <n v="3304.7999999999997"/>
    <n v="21304.799999999999"/>
    <n v="-2944.7999999999993"/>
    <n v="-883.43999999999971"/>
    <n v="-2061.3599999999997"/>
    <n v="-0.10104705882352939"/>
  </r>
  <r>
    <x v="2"/>
    <x v="1"/>
    <s v="November 2014"/>
    <n v="1"/>
    <x v="1"/>
    <x v="2"/>
    <x v="3"/>
    <s v="Worst"/>
    <n v="1200"/>
    <n v="17"/>
    <n v="0.1"/>
    <n v="0.18"/>
    <n v="18000"/>
    <n v="0.3"/>
    <n v="20400"/>
    <n v="18360"/>
    <n v="3304.7999999999997"/>
    <n v="21304.799999999999"/>
    <n v="-2944.7999999999993"/>
    <n v="-883.43999999999971"/>
    <n v="-2061.3599999999997"/>
    <n v="-0.10104705882352939"/>
  </r>
  <r>
    <x v="2"/>
    <x v="1"/>
    <s v="November 2014"/>
    <n v="1"/>
    <x v="1"/>
    <x v="2"/>
    <x v="4"/>
    <s v="Worst"/>
    <n v="1200"/>
    <n v="17"/>
    <n v="0.1"/>
    <n v="0.18"/>
    <n v="18000"/>
    <n v="0.3"/>
    <n v="20400"/>
    <n v="18360"/>
    <n v="3304.7999999999997"/>
    <n v="21304.799999999999"/>
    <n v="-2944.7999999999993"/>
    <n v="-883.43999999999971"/>
    <n v="-2061.3599999999997"/>
    <n v="-0.10104705882352939"/>
  </r>
  <r>
    <x v="2"/>
    <x v="1"/>
    <s v="November 2014"/>
    <n v="1"/>
    <x v="1"/>
    <x v="3"/>
    <x v="0"/>
    <s v="Worst"/>
    <n v="1200"/>
    <n v="17"/>
    <n v="0.1"/>
    <n v="0.18"/>
    <n v="18000"/>
    <n v="0.3"/>
    <n v="20400"/>
    <n v="18360"/>
    <n v="3304.7999999999997"/>
    <n v="21304.799999999999"/>
    <n v="-2944.7999999999993"/>
    <n v="-883.43999999999971"/>
    <n v="-2061.3599999999997"/>
    <n v="-0.10104705882352939"/>
  </r>
  <r>
    <x v="2"/>
    <x v="1"/>
    <s v="November 2014"/>
    <n v="1"/>
    <x v="1"/>
    <x v="3"/>
    <x v="1"/>
    <s v="Worst"/>
    <n v="1200"/>
    <n v="17"/>
    <n v="0.1"/>
    <n v="0.18"/>
    <n v="18000"/>
    <n v="0.3"/>
    <n v="20400"/>
    <n v="18360"/>
    <n v="3304.7999999999997"/>
    <n v="21304.799999999999"/>
    <n v="-2944.7999999999993"/>
    <n v="-883.43999999999971"/>
    <n v="-2061.3599999999997"/>
    <n v="-0.10104705882352939"/>
  </r>
  <r>
    <x v="2"/>
    <x v="1"/>
    <s v="November 2014"/>
    <n v="1"/>
    <x v="1"/>
    <x v="3"/>
    <x v="2"/>
    <s v="Worst"/>
    <n v="1200"/>
    <n v="17"/>
    <n v="0.1"/>
    <n v="0.18"/>
    <n v="18000"/>
    <n v="0.3"/>
    <n v="20400"/>
    <n v="18360"/>
    <n v="3304.7999999999997"/>
    <n v="21304.799999999999"/>
    <n v="-2944.7999999999993"/>
    <n v="-883.43999999999971"/>
    <n v="-2061.3599999999997"/>
    <n v="-0.10104705882352939"/>
  </r>
  <r>
    <x v="2"/>
    <x v="1"/>
    <s v="November 2014"/>
    <n v="1"/>
    <x v="1"/>
    <x v="3"/>
    <x v="3"/>
    <s v="Worst"/>
    <n v="1200"/>
    <n v="17"/>
    <n v="0.1"/>
    <n v="0.18"/>
    <n v="18000"/>
    <n v="0.3"/>
    <n v="20400"/>
    <n v="18360"/>
    <n v="3304.7999999999997"/>
    <n v="21304.799999999999"/>
    <n v="-2944.7999999999993"/>
    <n v="-883.43999999999971"/>
    <n v="-2061.3599999999997"/>
    <n v="-0.10104705882352939"/>
  </r>
  <r>
    <x v="2"/>
    <x v="1"/>
    <s v="November 2014"/>
    <n v="1"/>
    <x v="1"/>
    <x v="3"/>
    <x v="4"/>
    <s v="Worst"/>
    <n v="1200"/>
    <n v="17"/>
    <n v="0.1"/>
    <n v="0.18"/>
    <n v="18000"/>
    <n v="0.3"/>
    <n v="20400"/>
    <n v="18360"/>
    <n v="3304.7999999999997"/>
    <n v="21304.799999999999"/>
    <n v="-2944.7999999999993"/>
    <n v="-883.43999999999971"/>
    <n v="-2061.3599999999997"/>
    <n v="-0.10104705882352939"/>
  </r>
  <r>
    <x v="2"/>
    <x v="1"/>
    <s v="November 2014"/>
    <n v="1"/>
    <x v="1"/>
    <x v="4"/>
    <x v="0"/>
    <s v="Worst"/>
    <n v="1200"/>
    <n v="17"/>
    <n v="0.1"/>
    <n v="0.18"/>
    <n v="18000"/>
    <n v="0.3"/>
    <n v="20400"/>
    <n v="18360"/>
    <n v="3304.7999999999997"/>
    <n v="21304.799999999999"/>
    <n v="-2944.7999999999993"/>
    <n v="-883.43999999999971"/>
    <n v="-2061.3599999999997"/>
    <n v="-0.10104705882352939"/>
  </r>
  <r>
    <x v="2"/>
    <x v="1"/>
    <s v="November 2014"/>
    <n v="1"/>
    <x v="1"/>
    <x v="4"/>
    <x v="1"/>
    <s v="Worst"/>
    <n v="1200"/>
    <n v="17"/>
    <n v="0.1"/>
    <n v="0.18"/>
    <n v="18000"/>
    <n v="0.3"/>
    <n v="20400"/>
    <n v="18360"/>
    <n v="3304.7999999999997"/>
    <n v="21304.799999999999"/>
    <n v="-2944.7999999999993"/>
    <n v="-883.43999999999971"/>
    <n v="-2061.3599999999997"/>
    <n v="-0.10104705882352939"/>
  </r>
  <r>
    <x v="2"/>
    <x v="1"/>
    <s v="November 2014"/>
    <n v="1"/>
    <x v="1"/>
    <x v="4"/>
    <x v="2"/>
    <s v="Worst"/>
    <n v="1200"/>
    <n v="17"/>
    <n v="0.1"/>
    <n v="0.18"/>
    <n v="18000"/>
    <n v="0.3"/>
    <n v="20400"/>
    <n v="18360"/>
    <n v="3304.7999999999997"/>
    <n v="21304.799999999999"/>
    <n v="-2944.7999999999993"/>
    <n v="-883.43999999999971"/>
    <n v="-2061.3599999999997"/>
    <n v="-0.10104705882352939"/>
  </r>
  <r>
    <x v="2"/>
    <x v="1"/>
    <s v="November 2014"/>
    <n v="1"/>
    <x v="1"/>
    <x v="4"/>
    <x v="3"/>
    <s v="Worst"/>
    <n v="1200"/>
    <n v="17"/>
    <n v="0.1"/>
    <n v="0.18"/>
    <n v="18000"/>
    <n v="0.3"/>
    <n v="20400"/>
    <n v="18360"/>
    <n v="3304.7999999999997"/>
    <n v="21304.799999999999"/>
    <n v="-2944.7999999999993"/>
    <n v="-883.43999999999971"/>
    <n v="-2061.3599999999997"/>
    <n v="-0.10104705882352939"/>
  </r>
  <r>
    <x v="2"/>
    <x v="1"/>
    <s v="November 2014"/>
    <n v="1"/>
    <x v="1"/>
    <x v="4"/>
    <x v="4"/>
    <s v="Worst"/>
    <n v="1200"/>
    <n v="17"/>
    <n v="0.1"/>
    <n v="0.18"/>
    <n v="18000"/>
    <n v="0.3"/>
    <n v="20400"/>
    <n v="18360"/>
    <n v="3304.7999999999997"/>
    <n v="21304.799999999999"/>
    <n v="-2944.7999999999993"/>
    <n v="-883.43999999999971"/>
    <n v="-2061.3599999999997"/>
    <n v="-0.10104705882352939"/>
  </r>
  <r>
    <x v="2"/>
    <x v="1"/>
    <s v="November 2014"/>
    <n v="1"/>
    <x v="2"/>
    <x v="0"/>
    <x v="0"/>
    <s v="Worst"/>
    <n v="1200"/>
    <n v="17"/>
    <n v="0.1"/>
    <n v="0.18"/>
    <n v="18000"/>
    <n v="0.3"/>
    <n v="20400"/>
    <n v="18360"/>
    <n v="3304.7999999999997"/>
    <n v="21304.799999999999"/>
    <n v="-2944.7999999999993"/>
    <n v="-883.43999999999971"/>
    <n v="-2061.3599999999997"/>
    <n v="-0.10104705882352939"/>
  </r>
  <r>
    <x v="2"/>
    <x v="1"/>
    <s v="November 2014"/>
    <n v="1"/>
    <x v="2"/>
    <x v="0"/>
    <x v="1"/>
    <s v="Worst"/>
    <n v="1200"/>
    <n v="17"/>
    <n v="0.1"/>
    <n v="0.18"/>
    <n v="18000"/>
    <n v="0.3"/>
    <n v="20400"/>
    <n v="18360"/>
    <n v="3304.7999999999997"/>
    <n v="21304.799999999999"/>
    <n v="-2944.7999999999993"/>
    <n v="-883.43999999999971"/>
    <n v="-2061.3599999999997"/>
    <n v="-0.10104705882352939"/>
  </r>
  <r>
    <x v="2"/>
    <x v="1"/>
    <s v="November 2014"/>
    <n v="1"/>
    <x v="2"/>
    <x v="0"/>
    <x v="2"/>
    <s v="Worst"/>
    <n v="1200"/>
    <n v="17"/>
    <n v="0.1"/>
    <n v="0.18"/>
    <n v="18000"/>
    <n v="0.3"/>
    <n v="20400"/>
    <n v="18360"/>
    <n v="3304.7999999999997"/>
    <n v="21304.799999999999"/>
    <n v="-2944.7999999999993"/>
    <n v="-883.43999999999971"/>
    <n v="-2061.3599999999997"/>
    <n v="-0.10104705882352939"/>
  </r>
  <r>
    <x v="2"/>
    <x v="1"/>
    <s v="November 2014"/>
    <n v="1"/>
    <x v="2"/>
    <x v="0"/>
    <x v="3"/>
    <s v="Worst"/>
    <n v="1200"/>
    <n v="17"/>
    <n v="0.1"/>
    <n v="0.18"/>
    <n v="18000"/>
    <n v="0.3"/>
    <n v="20400"/>
    <n v="18360"/>
    <n v="3304.7999999999997"/>
    <n v="21304.799999999999"/>
    <n v="-2944.7999999999993"/>
    <n v="-883.43999999999971"/>
    <n v="-2061.3599999999997"/>
    <n v="-0.10104705882352939"/>
  </r>
  <r>
    <x v="2"/>
    <x v="1"/>
    <s v="November 2014"/>
    <n v="1"/>
    <x v="2"/>
    <x v="0"/>
    <x v="4"/>
    <s v="Worst"/>
    <n v="1200"/>
    <n v="17"/>
    <n v="0.1"/>
    <n v="0.18"/>
    <n v="18000"/>
    <n v="0.3"/>
    <n v="20400"/>
    <n v="18360"/>
    <n v="3304.7999999999997"/>
    <n v="21304.799999999999"/>
    <n v="-2944.7999999999993"/>
    <n v="-883.43999999999971"/>
    <n v="-2061.3599999999997"/>
    <n v="-0.10104705882352939"/>
  </r>
  <r>
    <x v="2"/>
    <x v="1"/>
    <s v="November 2014"/>
    <n v="1"/>
    <x v="2"/>
    <x v="1"/>
    <x v="0"/>
    <s v="Worst"/>
    <n v="1200"/>
    <n v="17"/>
    <n v="0.1"/>
    <n v="0.18"/>
    <n v="18000"/>
    <n v="0.3"/>
    <n v="20400"/>
    <n v="18360"/>
    <n v="3304.7999999999997"/>
    <n v="21304.799999999999"/>
    <n v="-2944.7999999999993"/>
    <n v="-883.43999999999971"/>
    <n v="-2061.3599999999997"/>
    <n v="-0.10104705882352939"/>
  </r>
  <r>
    <x v="2"/>
    <x v="1"/>
    <s v="November 2014"/>
    <n v="1"/>
    <x v="2"/>
    <x v="1"/>
    <x v="1"/>
    <s v="Worst"/>
    <n v="1200"/>
    <n v="17"/>
    <n v="0.1"/>
    <n v="0.18"/>
    <n v="18000"/>
    <n v="0.3"/>
    <n v="20400"/>
    <n v="18360"/>
    <n v="3304.7999999999997"/>
    <n v="21304.799999999999"/>
    <n v="-2944.7999999999993"/>
    <n v="-883.43999999999971"/>
    <n v="-2061.3599999999997"/>
    <n v="-0.10104705882352939"/>
  </r>
  <r>
    <x v="2"/>
    <x v="1"/>
    <s v="November 2014"/>
    <n v="1"/>
    <x v="2"/>
    <x v="1"/>
    <x v="2"/>
    <s v="Worst"/>
    <n v="1200"/>
    <n v="17"/>
    <n v="0.1"/>
    <n v="0.18"/>
    <n v="18000"/>
    <n v="0.3"/>
    <n v="20400"/>
    <n v="18360"/>
    <n v="3304.7999999999997"/>
    <n v="21304.799999999999"/>
    <n v="-2944.7999999999993"/>
    <n v="-883.43999999999971"/>
    <n v="-2061.3599999999997"/>
    <n v="-0.10104705882352939"/>
  </r>
  <r>
    <x v="2"/>
    <x v="1"/>
    <s v="November 2014"/>
    <n v="1"/>
    <x v="2"/>
    <x v="1"/>
    <x v="3"/>
    <s v="Worst"/>
    <n v="1200"/>
    <n v="17"/>
    <n v="0.1"/>
    <n v="0.18"/>
    <n v="18000"/>
    <n v="0.3"/>
    <n v="20400"/>
    <n v="18360"/>
    <n v="3304.7999999999997"/>
    <n v="21304.799999999999"/>
    <n v="-2944.7999999999993"/>
    <n v="-883.43999999999971"/>
    <n v="-2061.3599999999997"/>
    <n v="-0.10104705882352939"/>
  </r>
  <r>
    <x v="2"/>
    <x v="1"/>
    <s v="November 2014"/>
    <n v="1"/>
    <x v="2"/>
    <x v="1"/>
    <x v="4"/>
    <s v="Worst"/>
    <n v="1200"/>
    <n v="17"/>
    <n v="0.1"/>
    <n v="0.18"/>
    <n v="18000"/>
    <n v="0.3"/>
    <n v="20400"/>
    <n v="18360"/>
    <n v="3304.7999999999997"/>
    <n v="21304.799999999999"/>
    <n v="-2944.7999999999993"/>
    <n v="-883.43999999999971"/>
    <n v="-2061.3599999999997"/>
    <n v="-0.10104705882352939"/>
  </r>
  <r>
    <x v="2"/>
    <x v="1"/>
    <s v="November 2014"/>
    <n v="1"/>
    <x v="2"/>
    <x v="2"/>
    <x v="0"/>
    <s v="Worst"/>
    <n v="1200"/>
    <n v="17"/>
    <n v="0.1"/>
    <n v="0.18"/>
    <n v="18000"/>
    <n v="0.3"/>
    <n v="20400"/>
    <n v="18360"/>
    <n v="3304.7999999999997"/>
    <n v="21304.799999999999"/>
    <n v="-2944.7999999999993"/>
    <n v="-883.43999999999971"/>
    <n v="-2061.3599999999997"/>
    <n v="-0.10104705882352939"/>
  </r>
  <r>
    <x v="2"/>
    <x v="1"/>
    <s v="November 2014"/>
    <n v="1"/>
    <x v="2"/>
    <x v="2"/>
    <x v="1"/>
    <s v="Worst"/>
    <n v="1200"/>
    <n v="17"/>
    <n v="0.1"/>
    <n v="0.18"/>
    <n v="18000"/>
    <n v="0.3"/>
    <n v="20400"/>
    <n v="18360"/>
    <n v="3304.7999999999997"/>
    <n v="21304.799999999999"/>
    <n v="-2944.7999999999993"/>
    <n v="-883.43999999999971"/>
    <n v="-2061.3599999999997"/>
    <n v="-0.10104705882352939"/>
  </r>
  <r>
    <x v="2"/>
    <x v="1"/>
    <s v="November 2014"/>
    <n v="1"/>
    <x v="2"/>
    <x v="2"/>
    <x v="2"/>
    <s v="Worst"/>
    <n v="1200"/>
    <n v="17"/>
    <n v="0.1"/>
    <n v="0.18"/>
    <n v="18000"/>
    <n v="0.3"/>
    <n v="20400"/>
    <n v="18360"/>
    <n v="3304.7999999999997"/>
    <n v="21304.799999999999"/>
    <n v="-2944.7999999999993"/>
    <n v="-883.43999999999971"/>
    <n v="-2061.3599999999997"/>
    <n v="-0.10104705882352939"/>
  </r>
  <r>
    <x v="2"/>
    <x v="1"/>
    <s v="November 2014"/>
    <n v="1"/>
    <x v="2"/>
    <x v="2"/>
    <x v="3"/>
    <s v="Worst"/>
    <n v="1200"/>
    <n v="17"/>
    <n v="0.1"/>
    <n v="0.18"/>
    <n v="18000"/>
    <n v="0.3"/>
    <n v="20400"/>
    <n v="18360"/>
    <n v="3304.7999999999997"/>
    <n v="21304.799999999999"/>
    <n v="-2944.7999999999993"/>
    <n v="-883.43999999999971"/>
    <n v="-2061.3599999999997"/>
    <n v="-0.10104705882352939"/>
  </r>
  <r>
    <x v="2"/>
    <x v="1"/>
    <s v="November 2014"/>
    <n v="1"/>
    <x v="2"/>
    <x v="2"/>
    <x v="4"/>
    <s v="Worst"/>
    <n v="1200"/>
    <n v="17"/>
    <n v="0.1"/>
    <n v="0.18"/>
    <n v="18000"/>
    <n v="0.3"/>
    <n v="20400"/>
    <n v="18360"/>
    <n v="3304.7999999999997"/>
    <n v="21304.799999999999"/>
    <n v="-2944.7999999999993"/>
    <n v="-883.43999999999971"/>
    <n v="-2061.3599999999997"/>
    <n v="-0.10104705882352939"/>
  </r>
  <r>
    <x v="2"/>
    <x v="1"/>
    <s v="November 2014"/>
    <n v="1"/>
    <x v="2"/>
    <x v="3"/>
    <x v="0"/>
    <s v="Worst"/>
    <n v="1200"/>
    <n v="17"/>
    <n v="0.1"/>
    <n v="0.18"/>
    <n v="18000"/>
    <n v="0.3"/>
    <n v="20400"/>
    <n v="18360"/>
    <n v="3304.7999999999997"/>
    <n v="21304.799999999999"/>
    <n v="-2944.7999999999993"/>
    <n v="-883.43999999999971"/>
    <n v="-2061.3599999999997"/>
    <n v="-0.10104705882352939"/>
  </r>
  <r>
    <x v="2"/>
    <x v="1"/>
    <s v="November 2014"/>
    <n v="1"/>
    <x v="2"/>
    <x v="3"/>
    <x v="1"/>
    <s v="Worst"/>
    <n v="1200"/>
    <n v="17"/>
    <n v="0.1"/>
    <n v="0.18"/>
    <n v="18000"/>
    <n v="0.3"/>
    <n v="20400"/>
    <n v="18360"/>
    <n v="3304.7999999999997"/>
    <n v="21304.799999999999"/>
    <n v="-2944.7999999999993"/>
    <n v="-883.43999999999971"/>
    <n v="-2061.3599999999997"/>
    <n v="-0.10104705882352939"/>
  </r>
  <r>
    <x v="2"/>
    <x v="1"/>
    <s v="November 2014"/>
    <n v="1"/>
    <x v="2"/>
    <x v="3"/>
    <x v="2"/>
    <s v="Worst"/>
    <n v="1200"/>
    <n v="17"/>
    <n v="0.1"/>
    <n v="0.18"/>
    <n v="18000"/>
    <n v="0.3"/>
    <n v="20400"/>
    <n v="18360"/>
    <n v="3304.7999999999997"/>
    <n v="21304.799999999999"/>
    <n v="-2944.7999999999993"/>
    <n v="-883.43999999999971"/>
    <n v="-2061.3599999999997"/>
    <n v="-0.10104705882352939"/>
  </r>
  <r>
    <x v="2"/>
    <x v="1"/>
    <s v="November 2014"/>
    <n v="1"/>
    <x v="2"/>
    <x v="3"/>
    <x v="3"/>
    <s v="Worst"/>
    <n v="1200"/>
    <n v="17"/>
    <n v="0.1"/>
    <n v="0.18"/>
    <n v="18000"/>
    <n v="0.3"/>
    <n v="20400"/>
    <n v="18360"/>
    <n v="3304.7999999999997"/>
    <n v="21304.799999999999"/>
    <n v="-2944.7999999999993"/>
    <n v="-883.43999999999971"/>
    <n v="-2061.3599999999997"/>
    <n v="-0.10104705882352939"/>
  </r>
  <r>
    <x v="2"/>
    <x v="1"/>
    <s v="November 2014"/>
    <n v="1"/>
    <x v="2"/>
    <x v="3"/>
    <x v="4"/>
    <s v="Worst"/>
    <n v="1200"/>
    <n v="17"/>
    <n v="0.1"/>
    <n v="0.18"/>
    <n v="18000"/>
    <n v="0.3"/>
    <n v="20400"/>
    <n v="18360"/>
    <n v="3304.7999999999997"/>
    <n v="21304.799999999999"/>
    <n v="-2944.7999999999993"/>
    <n v="-883.43999999999971"/>
    <n v="-2061.3599999999997"/>
    <n v="-0.10104705882352939"/>
  </r>
  <r>
    <x v="2"/>
    <x v="1"/>
    <s v="November 2014"/>
    <n v="1"/>
    <x v="2"/>
    <x v="4"/>
    <x v="0"/>
    <s v="Worst"/>
    <n v="1200"/>
    <n v="17"/>
    <n v="0.1"/>
    <n v="0.18"/>
    <n v="18000"/>
    <n v="0.3"/>
    <n v="20400"/>
    <n v="18360"/>
    <n v="3304.7999999999997"/>
    <n v="21304.799999999999"/>
    <n v="-2944.7999999999993"/>
    <n v="-883.43999999999971"/>
    <n v="-2061.3599999999997"/>
    <n v="-0.10104705882352939"/>
  </r>
  <r>
    <x v="2"/>
    <x v="1"/>
    <s v="November 2014"/>
    <n v="1"/>
    <x v="2"/>
    <x v="4"/>
    <x v="1"/>
    <s v="Worst"/>
    <n v="1200"/>
    <n v="17"/>
    <n v="0.1"/>
    <n v="0.18"/>
    <n v="18000"/>
    <n v="0.3"/>
    <n v="20400"/>
    <n v="18360"/>
    <n v="3304.7999999999997"/>
    <n v="21304.799999999999"/>
    <n v="-2944.7999999999993"/>
    <n v="-883.43999999999971"/>
    <n v="-2061.3599999999997"/>
    <n v="-0.10104705882352939"/>
  </r>
  <r>
    <x v="2"/>
    <x v="1"/>
    <s v="November 2014"/>
    <n v="1"/>
    <x v="2"/>
    <x v="4"/>
    <x v="2"/>
    <s v="Worst"/>
    <n v="1200"/>
    <n v="17"/>
    <n v="0.1"/>
    <n v="0.18"/>
    <n v="18000"/>
    <n v="0.3"/>
    <n v="20400"/>
    <n v="18360"/>
    <n v="3304.7999999999997"/>
    <n v="21304.799999999999"/>
    <n v="-2944.7999999999993"/>
    <n v="-883.43999999999971"/>
    <n v="-2061.3599999999997"/>
    <n v="-0.10104705882352939"/>
  </r>
  <r>
    <x v="2"/>
    <x v="1"/>
    <s v="November 2014"/>
    <n v="1"/>
    <x v="2"/>
    <x v="4"/>
    <x v="3"/>
    <s v="Worst"/>
    <n v="1200"/>
    <n v="17"/>
    <n v="0.1"/>
    <n v="0.18"/>
    <n v="18000"/>
    <n v="0.3"/>
    <n v="20400"/>
    <n v="18360"/>
    <n v="3304.7999999999997"/>
    <n v="21304.799999999999"/>
    <n v="-2944.7999999999993"/>
    <n v="-883.43999999999971"/>
    <n v="-2061.3599999999997"/>
    <n v="-0.10104705882352939"/>
  </r>
  <r>
    <x v="2"/>
    <x v="1"/>
    <s v="November 2014"/>
    <n v="1"/>
    <x v="2"/>
    <x v="4"/>
    <x v="4"/>
    <s v="Worst"/>
    <n v="1200"/>
    <n v="17"/>
    <n v="0.1"/>
    <n v="0.18"/>
    <n v="18000"/>
    <n v="0.3"/>
    <n v="20400"/>
    <n v="18360"/>
    <n v="3304.7999999999997"/>
    <n v="21304.799999999999"/>
    <n v="-2944.7999999999993"/>
    <n v="-883.43999999999971"/>
    <n v="-2061.3599999999997"/>
    <n v="-0.10104705882352939"/>
  </r>
  <r>
    <x v="2"/>
    <x v="1"/>
    <s v="November 2014"/>
    <n v="1"/>
    <x v="3"/>
    <x v="0"/>
    <x v="0"/>
    <s v="Worst"/>
    <n v="1200"/>
    <n v="17"/>
    <n v="0.1"/>
    <n v="0.18"/>
    <n v="18000"/>
    <n v="0.3"/>
    <n v="20400"/>
    <n v="18360"/>
    <n v="3304.7999999999997"/>
    <n v="21304.799999999999"/>
    <n v="-2944.7999999999993"/>
    <n v="-883.43999999999971"/>
    <n v="-2061.3599999999997"/>
    <n v="-0.10104705882352939"/>
  </r>
  <r>
    <x v="2"/>
    <x v="1"/>
    <s v="November 2014"/>
    <n v="1"/>
    <x v="3"/>
    <x v="0"/>
    <x v="1"/>
    <s v="Worst"/>
    <n v="1200"/>
    <n v="17"/>
    <n v="0.1"/>
    <n v="0.18"/>
    <n v="18000"/>
    <n v="0.3"/>
    <n v="20400"/>
    <n v="18360"/>
    <n v="3304.7999999999997"/>
    <n v="21304.799999999999"/>
    <n v="-2944.7999999999993"/>
    <n v="-883.43999999999971"/>
    <n v="-2061.3599999999997"/>
    <n v="-0.10104705882352939"/>
  </r>
  <r>
    <x v="2"/>
    <x v="1"/>
    <s v="November 2014"/>
    <n v="1"/>
    <x v="3"/>
    <x v="0"/>
    <x v="2"/>
    <s v="Worst"/>
    <n v="1200"/>
    <n v="17"/>
    <n v="0.1"/>
    <n v="0.18"/>
    <n v="18000"/>
    <n v="0.3"/>
    <n v="20400"/>
    <n v="18360"/>
    <n v="3304.7999999999997"/>
    <n v="21304.799999999999"/>
    <n v="-2944.7999999999993"/>
    <n v="-883.43999999999971"/>
    <n v="-2061.3599999999997"/>
    <n v="-0.10104705882352939"/>
  </r>
  <r>
    <x v="2"/>
    <x v="1"/>
    <s v="November 2014"/>
    <n v="1"/>
    <x v="3"/>
    <x v="0"/>
    <x v="3"/>
    <s v="Worst"/>
    <n v="1200"/>
    <n v="17"/>
    <n v="0.1"/>
    <n v="0.18"/>
    <n v="18000"/>
    <n v="0.3"/>
    <n v="20400"/>
    <n v="18360"/>
    <n v="3304.7999999999997"/>
    <n v="21304.799999999999"/>
    <n v="-2944.7999999999993"/>
    <n v="-883.43999999999971"/>
    <n v="-2061.3599999999997"/>
    <n v="-0.10104705882352939"/>
  </r>
  <r>
    <x v="2"/>
    <x v="1"/>
    <s v="November 2014"/>
    <n v="1"/>
    <x v="3"/>
    <x v="0"/>
    <x v="4"/>
    <s v="Worst"/>
    <n v="1200"/>
    <n v="17"/>
    <n v="0.1"/>
    <n v="0.18"/>
    <n v="18000"/>
    <n v="0.3"/>
    <n v="20400"/>
    <n v="18360"/>
    <n v="3304.7999999999997"/>
    <n v="21304.799999999999"/>
    <n v="-2944.7999999999993"/>
    <n v="-883.43999999999971"/>
    <n v="-2061.3599999999997"/>
    <n v="-0.10104705882352939"/>
  </r>
  <r>
    <x v="2"/>
    <x v="1"/>
    <s v="November 2014"/>
    <n v="1"/>
    <x v="3"/>
    <x v="1"/>
    <x v="0"/>
    <s v="Worst"/>
    <n v="1200"/>
    <n v="17"/>
    <n v="0.1"/>
    <n v="0.18"/>
    <n v="18000"/>
    <n v="0.3"/>
    <n v="20400"/>
    <n v="18360"/>
    <n v="3304.7999999999997"/>
    <n v="21304.799999999999"/>
    <n v="-2944.7999999999993"/>
    <n v="-883.43999999999971"/>
    <n v="-2061.3599999999997"/>
    <n v="-0.10104705882352939"/>
  </r>
  <r>
    <x v="2"/>
    <x v="1"/>
    <s v="November 2014"/>
    <n v="1"/>
    <x v="3"/>
    <x v="1"/>
    <x v="1"/>
    <s v="Worst"/>
    <n v="1200"/>
    <n v="17"/>
    <n v="0.1"/>
    <n v="0.18"/>
    <n v="18000"/>
    <n v="0.3"/>
    <n v="20400"/>
    <n v="18360"/>
    <n v="3304.7999999999997"/>
    <n v="21304.799999999999"/>
    <n v="-2944.7999999999993"/>
    <n v="-883.43999999999971"/>
    <n v="-2061.3599999999997"/>
    <n v="-0.10104705882352939"/>
  </r>
  <r>
    <x v="2"/>
    <x v="1"/>
    <s v="November 2014"/>
    <n v="1"/>
    <x v="3"/>
    <x v="1"/>
    <x v="2"/>
    <s v="Worst"/>
    <n v="1200"/>
    <n v="17"/>
    <n v="0.1"/>
    <n v="0.18"/>
    <n v="18000"/>
    <n v="0.3"/>
    <n v="20400"/>
    <n v="18360"/>
    <n v="3304.7999999999997"/>
    <n v="21304.799999999999"/>
    <n v="-2944.7999999999993"/>
    <n v="-883.43999999999971"/>
    <n v="-2061.3599999999997"/>
    <n v="-0.10104705882352939"/>
  </r>
  <r>
    <x v="2"/>
    <x v="1"/>
    <s v="November 2014"/>
    <n v="1"/>
    <x v="3"/>
    <x v="1"/>
    <x v="3"/>
    <s v="Worst"/>
    <n v="1200"/>
    <n v="17"/>
    <n v="0.1"/>
    <n v="0.18"/>
    <n v="18000"/>
    <n v="0.3"/>
    <n v="20400"/>
    <n v="18360"/>
    <n v="3304.7999999999997"/>
    <n v="21304.799999999999"/>
    <n v="-2944.7999999999993"/>
    <n v="-883.43999999999971"/>
    <n v="-2061.3599999999997"/>
    <n v="-0.10104705882352939"/>
  </r>
  <r>
    <x v="2"/>
    <x v="1"/>
    <s v="November 2014"/>
    <n v="1"/>
    <x v="3"/>
    <x v="1"/>
    <x v="4"/>
    <s v="Worst"/>
    <n v="1200"/>
    <n v="17"/>
    <n v="0.1"/>
    <n v="0.18"/>
    <n v="18000"/>
    <n v="0.3"/>
    <n v="20400"/>
    <n v="18360"/>
    <n v="3304.7999999999997"/>
    <n v="21304.799999999999"/>
    <n v="-2944.7999999999993"/>
    <n v="-883.43999999999971"/>
    <n v="-2061.3599999999997"/>
    <n v="-0.10104705882352939"/>
  </r>
  <r>
    <x v="2"/>
    <x v="1"/>
    <s v="November 2014"/>
    <n v="1"/>
    <x v="3"/>
    <x v="2"/>
    <x v="0"/>
    <s v="Worst"/>
    <n v="1200"/>
    <n v="17"/>
    <n v="0.1"/>
    <n v="0.18"/>
    <n v="18000"/>
    <n v="0.3"/>
    <n v="20400"/>
    <n v="18360"/>
    <n v="3304.7999999999997"/>
    <n v="21304.799999999999"/>
    <n v="-2944.7999999999993"/>
    <n v="-883.43999999999971"/>
    <n v="-2061.3599999999997"/>
    <n v="-0.10104705882352939"/>
  </r>
  <r>
    <x v="2"/>
    <x v="1"/>
    <s v="November 2014"/>
    <n v="1"/>
    <x v="3"/>
    <x v="2"/>
    <x v="1"/>
    <s v="Worst"/>
    <n v="1200"/>
    <n v="17"/>
    <n v="0.1"/>
    <n v="0.18"/>
    <n v="18000"/>
    <n v="0.3"/>
    <n v="20400"/>
    <n v="18360"/>
    <n v="3304.7999999999997"/>
    <n v="21304.799999999999"/>
    <n v="-2944.7999999999993"/>
    <n v="-883.43999999999971"/>
    <n v="-2061.3599999999997"/>
    <n v="-0.10104705882352939"/>
  </r>
  <r>
    <x v="2"/>
    <x v="1"/>
    <s v="November 2014"/>
    <n v="1"/>
    <x v="3"/>
    <x v="2"/>
    <x v="2"/>
    <s v="Worst"/>
    <n v="1200"/>
    <n v="17"/>
    <n v="0.1"/>
    <n v="0.18"/>
    <n v="18000"/>
    <n v="0.3"/>
    <n v="20400"/>
    <n v="18360"/>
    <n v="3304.7999999999997"/>
    <n v="21304.799999999999"/>
    <n v="-2944.7999999999993"/>
    <n v="-883.43999999999971"/>
    <n v="-2061.3599999999997"/>
    <n v="-0.10104705882352939"/>
  </r>
  <r>
    <x v="2"/>
    <x v="1"/>
    <s v="November 2014"/>
    <n v="1"/>
    <x v="3"/>
    <x v="2"/>
    <x v="3"/>
    <s v="Worst"/>
    <n v="1200"/>
    <n v="17"/>
    <n v="0.1"/>
    <n v="0.18"/>
    <n v="18000"/>
    <n v="0.3"/>
    <n v="20400"/>
    <n v="18360"/>
    <n v="3304.7999999999997"/>
    <n v="21304.799999999999"/>
    <n v="-2944.7999999999993"/>
    <n v="-883.43999999999971"/>
    <n v="-2061.3599999999997"/>
    <n v="-0.10104705882352939"/>
  </r>
  <r>
    <x v="2"/>
    <x v="1"/>
    <s v="November 2014"/>
    <n v="1"/>
    <x v="3"/>
    <x v="2"/>
    <x v="4"/>
    <s v="Worst"/>
    <n v="1200"/>
    <n v="17"/>
    <n v="0.1"/>
    <n v="0.18"/>
    <n v="18000"/>
    <n v="0.3"/>
    <n v="20400"/>
    <n v="18360"/>
    <n v="3304.7999999999997"/>
    <n v="21304.799999999999"/>
    <n v="-2944.7999999999993"/>
    <n v="-883.43999999999971"/>
    <n v="-2061.3599999999997"/>
    <n v="-0.10104705882352939"/>
  </r>
  <r>
    <x v="2"/>
    <x v="1"/>
    <s v="November 2014"/>
    <n v="1"/>
    <x v="3"/>
    <x v="3"/>
    <x v="0"/>
    <s v="Worst"/>
    <n v="1200"/>
    <n v="17"/>
    <n v="0.1"/>
    <n v="0.18"/>
    <n v="18000"/>
    <n v="0.3"/>
    <n v="20400"/>
    <n v="18360"/>
    <n v="3304.7999999999997"/>
    <n v="21304.799999999999"/>
    <n v="-2944.7999999999993"/>
    <n v="-883.43999999999971"/>
    <n v="-2061.3599999999997"/>
    <n v="-0.10104705882352939"/>
  </r>
  <r>
    <x v="2"/>
    <x v="1"/>
    <s v="November 2014"/>
    <n v="1"/>
    <x v="3"/>
    <x v="3"/>
    <x v="1"/>
    <s v="Worst"/>
    <n v="1200"/>
    <n v="17"/>
    <n v="0.1"/>
    <n v="0.18"/>
    <n v="18000"/>
    <n v="0.3"/>
    <n v="20400"/>
    <n v="18360"/>
    <n v="3304.7999999999997"/>
    <n v="21304.799999999999"/>
    <n v="-2944.7999999999993"/>
    <n v="-883.43999999999971"/>
    <n v="-2061.3599999999997"/>
    <n v="-0.10104705882352939"/>
  </r>
  <r>
    <x v="2"/>
    <x v="1"/>
    <s v="November 2014"/>
    <n v="1"/>
    <x v="3"/>
    <x v="3"/>
    <x v="2"/>
    <s v="Worst"/>
    <n v="1200"/>
    <n v="17"/>
    <n v="0.1"/>
    <n v="0.18"/>
    <n v="18000"/>
    <n v="0.3"/>
    <n v="20400"/>
    <n v="18360"/>
    <n v="3304.7999999999997"/>
    <n v="21304.799999999999"/>
    <n v="-2944.7999999999993"/>
    <n v="-883.43999999999971"/>
    <n v="-2061.3599999999997"/>
    <n v="-0.10104705882352939"/>
  </r>
  <r>
    <x v="2"/>
    <x v="1"/>
    <s v="November 2014"/>
    <n v="1"/>
    <x v="3"/>
    <x v="3"/>
    <x v="3"/>
    <s v="Worst"/>
    <n v="1200"/>
    <n v="17"/>
    <n v="0.1"/>
    <n v="0.18"/>
    <n v="18000"/>
    <n v="0.3"/>
    <n v="20400"/>
    <n v="18360"/>
    <n v="3304.7999999999997"/>
    <n v="21304.799999999999"/>
    <n v="-2944.7999999999993"/>
    <n v="-883.43999999999971"/>
    <n v="-2061.3599999999997"/>
    <n v="-0.10104705882352939"/>
  </r>
  <r>
    <x v="2"/>
    <x v="1"/>
    <s v="November 2014"/>
    <n v="1"/>
    <x v="3"/>
    <x v="3"/>
    <x v="4"/>
    <s v="Worst"/>
    <n v="1200"/>
    <n v="17"/>
    <n v="0.1"/>
    <n v="0.18"/>
    <n v="18000"/>
    <n v="0.3"/>
    <n v="20400"/>
    <n v="18360"/>
    <n v="3304.7999999999997"/>
    <n v="21304.799999999999"/>
    <n v="-2944.7999999999993"/>
    <n v="-883.43999999999971"/>
    <n v="-2061.3599999999997"/>
    <n v="-0.10104705882352939"/>
  </r>
  <r>
    <x v="2"/>
    <x v="1"/>
    <s v="November 2014"/>
    <n v="1"/>
    <x v="3"/>
    <x v="4"/>
    <x v="0"/>
    <s v="Worst"/>
    <n v="1200"/>
    <n v="17"/>
    <n v="0.1"/>
    <n v="0.18"/>
    <n v="18000"/>
    <n v="0.3"/>
    <n v="20400"/>
    <n v="18360"/>
    <n v="3304.7999999999997"/>
    <n v="21304.799999999999"/>
    <n v="-2944.7999999999993"/>
    <n v="-883.43999999999971"/>
    <n v="-2061.3599999999997"/>
    <n v="-0.10104705882352939"/>
  </r>
  <r>
    <x v="2"/>
    <x v="1"/>
    <s v="November 2014"/>
    <n v="1"/>
    <x v="3"/>
    <x v="4"/>
    <x v="1"/>
    <s v="Worst"/>
    <n v="1200"/>
    <n v="17"/>
    <n v="0.1"/>
    <n v="0.18"/>
    <n v="18000"/>
    <n v="0.3"/>
    <n v="20400"/>
    <n v="18360"/>
    <n v="3304.7999999999997"/>
    <n v="21304.799999999999"/>
    <n v="-2944.7999999999993"/>
    <n v="-883.43999999999971"/>
    <n v="-2061.3599999999997"/>
    <n v="-0.10104705882352939"/>
  </r>
  <r>
    <x v="2"/>
    <x v="1"/>
    <s v="November 2014"/>
    <n v="1"/>
    <x v="3"/>
    <x v="4"/>
    <x v="2"/>
    <s v="Worst"/>
    <n v="1200"/>
    <n v="17"/>
    <n v="0.1"/>
    <n v="0.18"/>
    <n v="18000"/>
    <n v="0.3"/>
    <n v="20400"/>
    <n v="18360"/>
    <n v="3304.7999999999997"/>
    <n v="21304.799999999999"/>
    <n v="-2944.7999999999993"/>
    <n v="-883.43999999999971"/>
    <n v="-2061.3599999999997"/>
    <n v="-0.10104705882352939"/>
  </r>
  <r>
    <x v="2"/>
    <x v="1"/>
    <s v="November 2014"/>
    <n v="1"/>
    <x v="3"/>
    <x v="4"/>
    <x v="3"/>
    <s v="Worst"/>
    <n v="1200"/>
    <n v="17"/>
    <n v="0.1"/>
    <n v="0.18"/>
    <n v="18000"/>
    <n v="0.3"/>
    <n v="20400"/>
    <n v="18360"/>
    <n v="3304.7999999999997"/>
    <n v="21304.799999999999"/>
    <n v="-2944.7999999999993"/>
    <n v="-883.43999999999971"/>
    <n v="-2061.3599999999997"/>
    <n v="-0.10104705882352939"/>
  </r>
  <r>
    <x v="2"/>
    <x v="1"/>
    <s v="November 2014"/>
    <n v="1"/>
    <x v="3"/>
    <x v="4"/>
    <x v="4"/>
    <s v="Worst"/>
    <n v="1200"/>
    <n v="17"/>
    <n v="0.1"/>
    <n v="0.18"/>
    <n v="18000"/>
    <n v="0.3"/>
    <n v="20400"/>
    <n v="18360"/>
    <n v="3304.7999999999997"/>
    <n v="21304.799999999999"/>
    <n v="-2944.7999999999993"/>
    <n v="-883.43999999999971"/>
    <n v="-2061.3599999999997"/>
    <n v="-0.10104705882352939"/>
  </r>
  <r>
    <x v="2"/>
    <x v="1"/>
    <s v="November 2014"/>
    <n v="1"/>
    <x v="4"/>
    <x v="0"/>
    <x v="0"/>
    <s v="Worst"/>
    <n v="1200"/>
    <n v="17"/>
    <n v="0.1"/>
    <n v="0.18"/>
    <n v="18000"/>
    <n v="0.3"/>
    <n v="20400"/>
    <n v="18360"/>
    <n v="3304.7999999999997"/>
    <n v="21304.799999999999"/>
    <n v="-2944.7999999999993"/>
    <n v="-883.43999999999971"/>
    <n v="-2061.3599999999997"/>
    <n v="-0.10104705882352939"/>
  </r>
  <r>
    <x v="2"/>
    <x v="1"/>
    <s v="November 2014"/>
    <n v="1"/>
    <x v="4"/>
    <x v="0"/>
    <x v="1"/>
    <s v="Worst"/>
    <n v="1200"/>
    <n v="17"/>
    <n v="0.1"/>
    <n v="0.18"/>
    <n v="18000"/>
    <n v="0.3"/>
    <n v="20400"/>
    <n v="18360"/>
    <n v="3304.7999999999997"/>
    <n v="21304.799999999999"/>
    <n v="-2944.7999999999993"/>
    <n v="-883.43999999999971"/>
    <n v="-2061.3599999999997"/>
    <n v="-0.10104705882352939"/>
  </r>
  <r>
    <x v="2"/>
    <x v="1"/>
    <s v="November 2014"/>
    <n v="1"/>
    <x v="4"/>
    <x v="0"/>
    <x v="2"/>
    <s v="Worst"/>
    <n v="1200"/>
    <n v="17"/>
    <n v="0.1"/>
    <n v="0.18"/>
    <n v="18000"/>
    <n v="0.3"/>
    <n v="20400"/>
    <n v="18360"/>
    <n v="3304.7999999999997"/>
    <n v="21304.799999999999"/>
    <n v="-2944.7999999999993"/>
    <n v="-883.43999999999971"/>
    <n v="-2061.3599999999997"/>
    <n v="-0.10104705882352939"/>
  </r>
  <r>
    <x v="2"/>
    <x v="1"/>
    <s v="November 2014"/>
    <n v="1"/>
    <x v="4"/>
    <x v="0"/>
    <x v="3"/>
    <s v="Worst"/>
    <n v="1200"/>
    <n v="17"/>
    <n v="0.1"/>
    <n v="0.18"/>
    <n v="18000"/>
    <n v="0.3"/>
    <n v="20400"/>
    <n v="18360"/>
    <n v="3304.7999999999997"/>
    <n v="21304.799999999999"/>
    <n v="-2944.7999999999993"/>
    <n v="-883.43999999999971"/>
    <n v="-2061.3599999999997"/>
    <n v="-0.10104705882352939"/>
  </r>
  <r>
    <x v="2"/>
    <x v="1"/>
    <s v="November 2014"/>
    <n v="1"/>
    <x v="4"/>
    <x v="0"/>
    <x v="4"/>
    <s v="Worst"/>
    <n v="1200"/>
    <n v="17"/>
    <n v="0.1"/>
    <n v="0.18"/>
    <n v="18000"/>
    <n v="0.3"/>
    <n v="20400"/>
    <n v="18360"/>
    <n v="3304.7999999999997"/>
    <n v="21304.799999999999"/>
    <n v="-2944.7999999999993"/>
    <n v="-883.43999999999971"/>
    <n v="-2061.3599999999997"/>
    <n v="-0.10104705882352939"/>
  </r>
  <r>
    <x v="2"/>
    <x v="1"/>
    <s v="November 2014"/>
    <n v="1"/>
    <x v="4"/>
    <x v="1"/>
    <x v="0"/>
    <s v="Worst"/>
    <n v="1200"/>
    <n v="17"/>
    <n v="0.1"/>
    <n v="0.18"/>
    <n v="18000"/>
    <n v="0.3"/>
    <n v="20400"/>
    <n v="18360"/>
    <n v="3304.7999999999997"/>
    <n v="21304.799999999999"/>
    <n v="-2944.7999999999993"/>
    <n v="-883.43999999999971"/>
    <n v="-2061.3599999999997"/>
    <n v="-0.10104705882352939"/>
  </r>
  <r>
    <x v="2"/>
    <x v="1"/>
    <s v="November 2014"/>
    <n v="1"/>
    <x v="4"/>
    <x v="1"/>
    <x v="1"/>
    <s v="Worst"/>
    <n v="1200"/>
    <n v="17"/>
    <n v="0.1"/>
    <n v="0.18"/>
    <n v="18000"/>
    <n v="0.3"/>
    <n v="20400"/>
    <n v="18360"/>
    <n v="3304.7999999999997"/>
    <n v="21304.799999999999"/>
    <n v="-2944.7999999999993"/>
    <n v="-883.43999999999971"/>
    <n v="-2061.3599999999997"/>
    <n v="-0.10104705882352939"/>
  </r>
  <r>
    <x v="2"/>
    <x v="1"/>
    <s v="November 2014"/>
    <n v="1"/>
    <x v="4"/>
    <x v="1"/>
    <x v="2"/>
    <s v="Worst"/>
    <n v="1200"/>
    <n v="17"/>
    <n v="0.1"/>
    <n v="0.18"/>
    <n v="18000"/>
    <n v="0.3"/>
    <n v="20400"/>
    <n v="18360"/>
    <n v="3304.7999999999997"/>
    <n v="21304.799999999999"/>
    <n v="-2944.7999999999993"/>
    <n v="-883.43999999999971"/>
    <n v="-2061.3599999999997"/>
    <n v="-0.10104705882352939"/>
  </r>
  <r>
    <x v="2"/>
    <x v="1"/>
    <s v="November 2014"/>
    <n v="1"/>
    <x v="4"/>
    <x v="1"/>
    <x v="3"/>
    <s v="Worst"/>
    <n v="1200"/>
    <n v="17"/>
    <n v="0.1"/>
    <n v="0.18"/>
    <n v="18000"/>
    <n v="0.3"/>
    <n v="20400"/>
    <n v="18360"/>
    <n v="3304.7999999999997"/>
    <n v="21304.799999999999"/>
    <n v="-2944.7999999999993"/>
    <n v="-883.43999999999971"/>
    <n v="-2061.3599999999997"/>
    <n v="-0.10104705882352939"/>
  </r>
  <r>
    <x v="2"/>
    <x v="1"/>
    <s v="November 2014"/>
    <n v="1"/>
    <x v="4"/>
    <x v="1"/>
    <x v="4"/>
    <s v="Worst"/>
    <n v="1200"/>
    <n v="17"/>
    <n v="0.1"/>
    <n v="0.18"/>
    <n v="18000"/>
    <n v="0.3"/>
    <n v="20400"/>
    <n v="18360"/>
    <n v="3304.7999999999997"/>
    <n v="21304.799999999999"/>
    <n v="-2944.7999999999993"/>
    <n v="-883.43999999999971"/>
    <n v="-2061.3599999999997"/>
    <n v="-0.10104705882352939"/>
  </r>
  <r>
    <x v="2"/>
    <x v="1"/>
    <s v="November 2014"/>
    <n v="1"/>
    <x v="4"/>
    <x v="2"/>
    <x v="0"/>
    <s v="Worst"/>
    <n v="1200"/>
    <n v="17"/>
    <n v="0.1"/>
    <n v="0.18"/>
    <n v="18000"/>
    <n v="0.3"/>
    <n v="20400"/>
    <n v="18360"/>
    <n v="3304.7999999999997"/>
    <n v="21304.799999999999"/>
    <n v="-2944.7999999999993"/>
    <n v="-883.43999999999971"/>
    <n v="-2061.3599999999997"/>
    <n v="-0.10104705882352939"/>
  </r>
  <r>
    <x v="2"/>
    <x v="1"/>
    <s v="November 2014"/>
    <n v="1"/>
    <x v="4"/>
    <x v="2"/>
    <x v="1"/>
    <s v="Worst"/>
    <n v="1200"/>
    <n v="17"/>
    <n v="0.1"/>
    <n v="0.18"/>
    <n v="18000"/>
    <n v="0.3"/>
    <n v="20400"/>
    <n v="18360"/>
    <n v="3304.7999999999997"/>
    <n v="21304.799999999999"/>
    <n v="-2944.7999999999993"/>
    <n v="-883.43999999999971"/>
    <n v="-2061.3599999999997"/>
    <n v="-0.10104705882352939"/>
  </r>
  <r>
    <x v="2"/>
    <x v="1"/>
    <s v="November 2014"/>
    <n v="1"/>
    <x v="4"/>
    <x v="2"/>
    <x v="2"/>
    <s v="Worst"/>
    <n v="1200"/>
    <n v="17"/>
    <n v="0.1"/>
    <n v="0.18"/>
    <n v="18000"/>
    <n v="0.3"/>
    <n v="20400"/>
    <n v="18360"/>
    <n v="3304.7999999999997"/>
    <n v="21304.799999999999"/>
    <n v="-2944.7999999999993"/>
    <n v="-883.43999999999971"/>
    <n v="-2061.3599999999997"/>
    <n v="-0.10104705882352939"/>
  </r>
  <r>
    <x v="2"/>
    <x v="1"/>
    <s v="November 2014"/>
    <n v="1"/>
    <x v="4"/>
    <x v="2"/>
    <x v="3"/>
    <s v="Worst"/>
    <n v="1200"/>
    <n v="17"/>
    <n v="0.1"/>
    <n v="0.18"/>
    <n v="18000"/>
    <n v="0.3"/>
    <n v="20400"/>
    <n v="18360"/>
    <n v="3304.7999999999997"/>
    <n v="21304.799999999999"/>
    <n v="-2944.7999999999993"/>
    <n v="-883.43999999999971"/>
    <n v="-2061.3599999999997"/>
    <n v="-0.10104705882352939"/>
  </r>
  <r>
    <x v="2"/>
    <x v="1"/>
    <s v="November 2014"/>
    <n v="1"/>
    <x v="4"/>
    <x v="2"/>
    <x v="4"/>
    <s v="Worst"/>
    <n v="1200"/>
    <n v="17"/>
    <n v="0.1"/>
    <n v="0.18"/>
    <n v="18000"/>
    <n v="0.3"/>
    <n v="20400"/>
    <n v="18360"/>
    <n v="3304.7999999999997"/>
    <n v="21304.799999999999"/>
    <n v="-2944.7999999999993"/>
    <n v="-883.43999999999971"/>
    <n v="-2061.3599999999997"/>
    <n v="-0.10104705882352939"/>
  </r>
  <r>
    <x v="2"/>
    <x v="1"/>
    <s v="November 2014"/>
    <n v="1"/>
    <x v="4"/>
    <x v="3"/>
    <x v="0"/>
    <s v="Worst"/>
    <n v="1200"/>
    <n v="17"/>
    <n v="0.1"/>
    <n v="0.18"/>
    <n v="18000"/>
    <n v="0.3"/>
    <n v="20400"/>
    <n v="18360"/>
    <n v="3304.7999999999997"/>
    <n v="21304.799999999999"/>
    <n v="-2944.7999999999993"/>
    <n v="-883.43999999999971"/>
    <n v="-2061.3599999999997"/>
    <n v="-0.10104705882352939"/>
  </r>
  <r>
    <x v="2"/>
    <x v="1"/>
    <s v="November 2014"/>
    <n v="1"/>
    <x v="4"/>
    <x v="3"/>
    <x v="1"/>
    <s v="Worst"/>
    <n v="1200"/>
    <n v="17"/>
    <n v="0.1"/>
    <n v="0.18"/>
    <n v="18000"/>
    <n v="0.3"/>
    <n v="20400"/>
    <n v="18360"/>
    <n v="3304.7999999999997"/>
    <n v="21304.799999999999"/>
    <n v="-2944.7999999999993"/>
    <n v="-883.43999999999971"/>
    <n v="-2061.3599999999997"/>
    <n v="-0.10104705882352939"/>
  </r>
  <r>
    <x v="2"/>
    <x v="1"/>
    <s v="November 2014"/>
    <n v="1"/>
    <x v="4"/>
    <x v="3"/>
    <x v="2"/>
    <s v="Worst"/>
    <n v="1200"/>
    <n v="17"/>
    <n v="0.1"/>
    <n v="0.18"/>
    <n v="18000"/>
    <n v="0.3"/>
    <n v="20400"/>
    <n v="18360"/>
    <n v="3304.7999999999997"/>
    <n v="21304.799999999999"/>
    <n v="-2944.7999999999993"/>
    <n v="-883.43999999999971"/>
    <n v="-2061.3599999999997"/>
    <n v="-0.10104705882352939"/>
  </r>
  <r>
    <x v="2"/>
    <x v="1"/>
    <s v="November 2014"/>
    <n v="1"/>
    <x v="4"/>
    <x v="3"/>
    <x v="3"/>
    <s v="Worst"/>
    <n v="1200"/>
    <n v="17"/>
    <n v="0.1"/>
    <n v="0.18"/>
    <n v="18000"/>
    <n v="0.3"/>
    <n v="20400"/>
    <n v="18360"/>
    <n v="3304.7999999999997"/>
    <n v="21304.799999999999"/>
    <n v="-2944.7999999999993"/>
    <n v="-883.43999999999971"/>
    <n v="-2061.3599999999997"/>
    <n v="-0.10104705882352939"/>
  </r>
  <r>
    <x v="2"/>
    <x v="1"/>
    <s v="November 2014"/>
    <n v="1"/>
    <x v="4"/>
    <x v="3"/>
    <x v="4"/>
    <s v="Worst"/>
    <n v="1200"/>
    <n v="17"/>
    <n v="0.1"/>
    <n v="0.18"/>
    <n v="18000"/>
    <n v="0.3"/>
    <n v="20400"/>
    <n v="18360"/>
    <n v="3304.7999999999997"/>
    <n v="21304.799999999999"/>
    <n v="-2944.7999999999993"/>
    <n v="-883.43999999999971"/>
    <n v="-2061.3599999999997"/>
    <n v="-0.10104705882352939"/>
  </r>
  <r>
    <x v="2"/>
    <x v="1"/>
    <s v="November 2014"/>
    <n v="1"/>
    <x v="4"/>
    <x v="4"/>
    <x v="0"/>
    <s v="Worst"/>
    <n v="1200"/>
    <n v="17"/>
    <n v="0.1"/>
    <n v="0.18"/>
    <n v="18000"/>
    <n v="0.3"/>
    <n v="20400"/>
    <n v="18360"/>
    <n v="3304.7999999999997"/>
    <n v="21304.799999999999"/>
    <n v="-2944.7999999999993"/>
    <n v="-883.43999999999971"/>
    <n v="-2061.3599999999997"/>
    <n v="-0.10104705882352939"/>
  </r>
  <r>
    <x v="2"/>
    <x v="1"/>
    <s v="November 2014"/>
    <n v="1"/>
    <x v="4"/>
    <x v="4"/>
    <x v="1"/>
    <s v="Worst"/>
    <n v="1200"/>
    <n v="17"/>
    <n v="0.1"/>
    <n v="0.18"/>
    <n v="18000"/>
    <n v="0.3"/>
    <n v="20400"/>
    <n v="18360"/>
    <n v="3304.7999999999997"/>
    <n v="21304.799999999999"/>
    <n v="-2944.7999999999993"/>
    <n v="-883.43999999999971"/>
    <n v="-2061.3599999999997"/>
    <n v="-0.10104705882352939"/>
  </r>
  <r>
    <x v="2"/>
    <x v="1"/>
    <s v="November 2014"/>
    <n v="1"/>
    <x v="4"/>
    <x v="4"/>
    <x v="2"/>
    <s v="Worst"/>
    <n v="1200"/>
    <n v="17"/>
    <n v="0.1"/>
    <n v="0.18"/>
    <n v="18000"/>
    <n v="0.3"/>
    <n v="20400"/>
    <n v="18360"/>
    <n v="3304.7999999999997"/>
    <n v="21304.799999999999"/>
    <n v="-2944.7999999999993"/>
    <n v="-883.43999999999971"/>
    <n v="-2061.3599999999997"/>
    <n v="-0.10104705882352939"/>
  </r>
  <r>
    <x v="2"/>
    <x v="1"/>
    <s v="November 2014"/>
    <n v="1"/>
    <x v="4"/>
    <x v="4"/>
    <x v="3"/>
    <s v="Worst"/>
    <n v="1200"/>
    <n v="17"/>
    <n v="0.1"/>
    <n v="0.18"/>
    <n v="18000"/>
    <n v="0.3"/>
    <n v="20400"/>
    <n v="18360"/>
    <n v="3304.7999999999997"/>
    <n v="21304.799999999999"/>
    <n v="-2944.7999999999993"/>
    <n v="-883.43999999999971"/>
    <n v="-2061.3599999999997"/>
    <n v="-0.10104705882352939"/>
  </r>
  <r>
    <x v="2"/>
    <x v="1"/>
    <s v="November 2014"/>
    <n v="1"/>
    <x v="4"/>
    <x v="4"/>
    <x v="4"/>
    <s v="Worst"/>
    <n v="1200"/>
    <n v="17"/>
    <n v="0.1"/>
    <n v="0.18"/>
    <n v="18000"/>
    <n v="0.3"/>
    <n v="20400"/>
    <n v="18360"/>
    <n v="3304.7999999999997"/>
    <n v="21304.799999999999"/>
    <n v="-2944.7999999999993"/>
    <n v="-883.43999999999971"/>
    <n v="-2061.3599999999997"/>
    <n v="-0.10104705882352939"/>
  </r>
  <r>
    <x v="3"/>
    <x v="1"/>
    <s v="December 2014"/>
    <n v="1"/>
    <x v="0"/>
    <x v="0"/>
    <x v="0"/>
    <s v="Worst"/>
    <n v="1200"/>
    <n v="17"/>
    <n v="0.1"/>
    <n v="0.18"/>
    <n v="18000"/>
    <n v="0.3"/>
    <n v="20400"/>
    <n v="18360"/>
    <n v="3304.7999999999997"/>
    <n v="21304.799999999999"/>
    <n v="-2944.7999999999993"/>
    <n v="-883.43999999999971"/>
    <n v="-2061.3599999999997"/>
    <n v="-0.10104705882352939"/>
  </r>
  <r>
    <x v="3"/>
    <x v="1"/>
    <s v="December 2014"/>
    <n v="1"/>
    <x v="0"/>
    <x v="0"/>
    <x v="1"/>
    <s v="Worst"/>
    <n v="1200"/>
    <n v="17"/>
    <n v="0.1"/>
    <n v="0.18"/>
    <n v="18000"/>
    <n v="0.3"/>
    <n v="20400"/>
    <n v="18360"/>
    <n v="3304.7999999999997"/>
    <n v="21304.799999999999"/>
    <n v="-2944.7999999999993"/>
    <n v="-883.43999999999971"/>
    <n v="-2061.3599999999997"/>
    <n v="-0.10104705882352939"/>
  </r>
  <r>
    <x v="3"/>
    <x v="1"/>
    <s v="December 2014"/>
    <n v="1"/>
    <x v="0"/>
    <x v="0"/>
    <x v="2"/>
    <s v="Worst"/>
    <n v="1200"/>
    <n v="17"/>
    <n v="0.1"/>
    <n v="0.18"/>
    <n v="18000"/>
    <n v="0.3"/>
    <n v="20400"/>
    <n v="18360"/>
    <n v="3304.7999999999997"/>
    <n v="21304.799999999999"/>
    <n v="-2944.7999999999993"/>
    <n v="-883.43999999999971"/>
    <n v="-2061.3599999999997"/>
    <n v="-0.10104705882352939"/>
  </r>
  <r>
    <x v="3"/>
    <x v="1"/>
    <s v="December 2014"/>
    <n v="1"/>
    <x v="0"/>
    <x v="0"/>
    <x v="3"/>
    <s v="Worst"/>
    <n v="1200"/>
    <n v="17"/>
    <n v="0.1"/>
    <n v="0.18"/>
    <n v="18000"/>
    <n v="0.3"/>
    <n v="20400"/>
    <n v="18360"/>
    <n v="3304.7999999999997"/>
    <n v="21304.799999999999"/>
    <n v="-2944.7999999999993"/>
    <n v="-883.43999999999971"/>
    <n v="-2061.3599999999997"/>
    <n v="-0.10104705882352939"/>
  </r>
  <r>
    <x v="3"/>
    <x v="1"/>
    <s v="December 2014"/>
    <n v="1"/>
    <x v="0"/>
    <x v="0"/>
    <x v="4"/>
    <s v="Worst"/>
    <n v="1200"/>
    <n v="17"/>
    <n v="0.1"/>
    <n v="0.18"/>
    <n v="18000"/>
    <n v="0.3"/>
    <n v="20400"/>
    <n v="18360"/>
    <n v="3304.7999999999997"/>
    <n v="21304.799999999999"/>
    <n v="-2944.7999999999993"/>
    <n v="-883.43999999999971"/>
    <n v="-2061.3599999999997"/>
    <n v="-0.10104705882352939"/>
  </r>
  <r>
    <x v="3"/>
    <x v="1"/>
    <s v="December 2014"/>
    <n v="1"/>
    <x v="0"/>
    <x v="1"/>
    <x v="0"/>
    <s v="Worst"/>
    <n v="1200"/>
    <n v="17"/>
    <n v="0.1"/>
    <n v="0.18"/>
    <n v="18000"/>
    <n v="0.3"/>
    <n v="20400"/>
    <n v="18360"/>
    <n v="3304.7999999999997"/>
    <n v="21304.799999999999"/>
    <n v="-2944.7999999999993"/>
    <n v="-883.43999999999971"/>
    <n v="-2061.3599999999997"/>
    <n v="-0.10104705882352939"/>
  </r>
  <r>
    <x v="3"/>
    <x v="1"/>
    <s v="December 2014"/>
    <n v="1"/>
    <x v="0"/>
    <x v="1"/>
    <x v="1"/>
    <s v="Worst"/>
    <n v="1200"/>
    <n v="17"/>
    <n v="0.1"/>
    <n v="0.18"/>
    <n v="18000"/>
    <n v="0.3"/>
    <n v="20400"/>
    <n v="18360"/>
    <n v="3304.7999999999997"/>
    <n v="21304.799999999999"/>
    <n v="-2944.7999999999993"/>
    <n v="-883.43999999999971"/>
    <n v="-2061.3599999999997"/>
    <n v="-0.10104705882352939"/>
  </r>
  <r>
    <x v="3"/>
    <x v="1"/>
    <s v="December 2014"/>
    <n v="1"/>
    <x v="0"/>
    <x v="1"/>
    <x v="2"/>
    <s v="Worst"/>
    <n v="1200"/>
    <n v="17"/>
    <n v="0.1"/>
    <n v="0.18"/>
    <n v="18000"/>
    <n v="0.3"/>
    <n v="20400"/>
    <n v="18360"/>
    <n v="3304.7999999999997"/>
    <n v="21304.799999999999"/>
    <n v="-2944.7999999999993"/>
    <n v="-883.43999999999971"/>
    <n v="-2061.3599999999997"/>
    <n v="-0.10104705882352939"/>
  </r>
  <r>
    <x v="3"/>
    <x v="1"/>
    <s v="December 2014"/>
    <n v="1"/>
    <x v="0"/>
    <x v="1"/>
    <x v="3"/>
    <s v="Worst"/>
    <n v="1200"/>
    <n v="17"/>
    <n v="0.1"/>
    <n v="0.18"/>
    <n v="18000"/>
    <n v="0.3"/>
    <n v="20400"/>
    <n v="18360"/>
    <n v="3304.7999999999997"/>
    <n v="21304.799999999999"/>
    <n v="-2944.7999999999993"/>
    <n v="-883.43999999999971"/>
    <n v="-2061.3599999999997"/>
    <n v="-0.10104705882352939"/>
  </r>
  <r>
    <x v="3"/>
    <x v="1"/>
    <s v="December 2014"/>
    <n v="1"/>
    <x v="0"/>
    <x v="1"/>
    <x v="4"/>
    <s v="Worst"/>
    <n v="1200"/>
    <n v="17"/>
    <n v="0.1"/>
    <n v="0.18"/>
    <n v="18000"/>
    <n v="0.3"/>
    <n v="20400"/>
    <n v="18360"/>
    <n v="3304.7999999999997"/>
    <n v="21304.799999999999"/>
    <n v="-2944.7999999999993"/>
    <n v="-883.43999999999971"/>
    <n v="-2061.3599999999997"/>
    <n v="-0.10104705882352939"/>
  </r>
  <r>
    <x v="3"/>
    <x v="1"/>
    <s v="December 2014"/>
    <n v="1"/>
    <x v="0"/>
    <x v="2"/>
    <x v="0"/>
    <s v="Worst"/>
    <n v="1200"/>
    <n v="17"/>
    <n v="0.1"/>
    <n v="0.18"/>
    <n v="18000"/>
    <n v="0.3"/>
    <n v="20400"/>
    <n v="18360"/>
    <n v="3304.7999999999997"/>
    <n v="21304.799999999999"/>
    <n v="-2944.7999999999993"/>
    <n v="-883.43999999999971"/>
    <n v="-2061.3599999999997"/>
    <n v="-0.10104705882352939"/>
  </r>
  <r>
    <x v="3"/>
    <x v="1"/>
    <s v="December 2014"/>
    <n v="1"/>
    <x v="0"/>
    <x v="2"/>
    <x v="1"/>
    <s v="Worst"/>
    <n v="1200"/>
    <n v="17"/>
    <n v="0.1"/>
    <n v="0.18"/>
    <n v="18000"/>
    <n v="0.3"/>
    <n v="20400"/>
    <n v="18360"/>
    <n v="3304.7999999999997"/>
    <n v="21304.799999999999"/>
    <n v="-2944.7999999999993"/>
    <n v="-883.43999999999971"/>
    <n v="-2061.3599999999997"/>
    <n v="-0.10104705882352939"/>
  </r>
  <r>
    <x v="3"/>
    <x v="1"/>
    <s v="December 2014"/>
    <n v="1"/>
    <x v="0"/>
    <x v="2"/>
    <x v="2"/>
    <s v="Worst"/>
    <n v="1200"/>
    <n v="17"/>
    <n v="0.1"/>
    <n v="0.18"/>
    <n v="18000"/>
    <n v="0.3"/>
    <n v="20400"/>
    <n v="18360"/>
    <n v="3304.7999999999997"/>
    <n v="21304.799999999999"/>
    <n v="-2944.7999999999993"/>
    <n v="-883.43999999999971"/>
    <n v="-2061.3599999999997"/>
    <n v="-0.10104705882352939"/>
  </r>
  <r>
    <x v="3"/>
    <x v="1"/>
    <s v="December 2014"/>
    <n v="1"/>
    <x v="0"/>
    <x v="2"/>
    <x v="3"/>
    <s v="Worst"/>
    <n v="1200"/>
    <n v="17"/>
    <n v="0.1"/>
    <n v="0.18"/>
    <n v="18000"/>
    <n v="0.3"/>
    <n v="20400"/>
    <n v="18360"/>
    <n v="3304.7999999999997"/>
    <n v="21304.799999999999"/>
    <n v="-2944.7999999999993"/>
    <n v="-883.43999999999971"/>
    <n v="-2061.3599999999997"/>
    <n v="-0.10104705882352939"/>
  </r>
  <r>
    <x v="3"/>
    <x v="1"/>
    <s v="December 2014"/>
    <n v="1"/>
    <x v="0"/>
    <x v="2"/>
    <x v="4"/>
    <s v="Worst"/>
    <n v="1200"/>
    <n v="17"/>
    <n v="0.1"/>
    <n v="0.18"/>
    <n v="18000"/>
    <n v="0.3"/>
    <n v="20400"/>
    <n v="18360"/>
    <n v="3304.7999999999997"/>
    <n v="21304.799999999999"/>
    <n v="-2944.7999999999993"/>
    <n v="-883.43999999999971"/>
    <n v="-2061.3599999999997"/>
    <n v="-0.10104705882352939"/>
  </r>
  <r>
    <x v="3"/>
    <x v="1"/>
    <s v="December 2014"/>
    <n v="1"/>
    <x v="0"/>
    <x v="3"/>
    <x v="0"/>
    <s v="Worst"/>
    <n v="1200"/>
    <n v="17"/>
    <n v="0.1"/>
    <n v="0.18"/>
    <n v="18000"/>
    <n v="0.3"/>
    <n v="20400"/>
    <n v="18360"/>
    <n v="3304.7999999999997"/>
    <n v="21304.799999999999"/>
    <n v="-2944.7999999999993"/>
    <n v="-883.43999999999971"/>
    <n v="-2061.3599999999997"/>
    <n v="-0.10104705882352939"/>
  </r>
  <r>
    <x v="3"/>
    <x v="1"/>
    <s v="December 2014"/>
    <n v="1"/>
    <x v="0"/>
    <x v="3"/>
    <x v="1"/>
    <s v="Worst"/>
    <n v="1200"/>
    <n v="17"/>
    <n v="0.1"/>
    <n v="0.18"/>
    <n v="18000"/>
    <n v="0.3"/>
    <n v="20400"/>
    <n v="18360"/>
    <n v="3304.7999999999997"/>
    <n v="21304.799999999999"/>
    <n v="-2944.7999999999993"/>
    <n v="-883.43999999999971"/>
    <n v="-2061.3599999999997"/>
    <n v="-0.10104705882352939"/>
  </r>
  <r>
    <x v="3"/>
    <x v="1"/>
    <s v="December 2014"/>
    <n v="1"/>
    <x v="0"/>
    <x v="3"/>
    <x v="2"/>
    <s v="Worst"/>
    <n v="1200"/>
    <n v="17"/>
    <n v="0.1"/>
    <n v="0.18"/>
    <n v="18000"/>
    <n v="0.3"/>
    <n v="20400"/>
    <n v="18360"/>
    <n v="3304.7999999999997"/>
    <n v="21304.799999999999"/>
    <n v="-2944.7999999999993"/>
    <n v="-883.43999999999971"/>
    <n v="-2061.3599999999997"/>
    <n v="-0.10104705882352939"/>
  </r>
  <r>
    <x v="3"/>
    <x v="1"/>
    <s v="December 2014"/>
    <n v="1"/>
    <x v="0"/>
    <x v="3"/>
    <x v="3"/>
    <s v="Worst"/>
    <n v="1200"/>
    <n v="17"/>
    <n v="0.1"/>
    <n v="0.18"/>
    <n v="18000"/>
    <n v="0.3"/>
    <n v="20400"/>
    <n v="18360"/>
    <n v="3304.7999999999997"/>
    <n v="21304.799999999999"/>
    <n v="-2944.7999999999993"/>
    <n v="-883.43999999999971"/>
    <n v="-2061.3599999999997"/>
    <n v="-0.10104705882352939"/>
  </r>
  <r>
    <x v="3"/>
    <x v="1"/>
    <s v="December 2014"/>
    <n v="1"/>
    <x v="0"/>
    <x v="3"/>
    <x v="4"/>
    <s v="Worst"/>
    <n v="1200"/>
    <n v="17"/>
    <n v="0.1"/>
    <n v="0.18"/>
    <n v="18000"/>
    <n v="0.3"/>
    <n v="20400"/>
    <n v="18360"/>
    <n v="3304.7999999999997"/>
    <n v="21304.799999999999"/>
    <n v="-2944.7999999999993"/>
    <n v="-883.43999999999971"/>
    <n v="-2061.3599999999997"/>
    <n v="-0.10104705882352939"/>
  </r>
  <r>
    <x v="3"/>
    <x v="1"/>
    <s v="December 2014"/>
    <n v="1"/>
    <x v="0"/>
    <x v="4"/>
    <x v="0"/>
    <s v="Worst"/>
    <n v="1200"/>
    <n v="17"/>
    <n v="0.1"/>
    <n v="0.18"/>
    <n v="18000"/>
    <n v="0.3"/>
    <n v="20400"/>
    <n v="18360"/>
    <n v="3304.7999999999997"/>
    <n v="21304.799999999999"/>
    <n v="-2944.7999999999993"/>
    <n v="-883.43999999999971"/>
    <n v="-2061.3599999999997"/>
    <n v="-0.10104705882352939"/>
  </r>
  <r>
    <x v="3"/>
    <x v="1"/>
    <s v="December 2014"/>
    <n v="1"/>
    <x v="0"/>
    <x v="4"/>
    <x v="1"/>
    <s v="Worst"/>
    <n v="1200"/>
    <n v="17"/>
    <n v="0.1"/>
    <n v="0.18"/>
    <n v="18000"/>
    <n v="0.3"/>
    <n v="20400"/>
    <n v="18360"/>
    <n v="3304.7999999999997"/>
    <n v="21304.799999999999"/>
    <n v="-2944.7999999999993"/>
    <n v="-883.43999999999971"/>
    <n v="-2061.3599999999997"/>
    <n v="-0.10104705882352939"/>
  </r>
  <r>
    <x v="3"/>
    <x v="1"/>
    <s v="December 2014"/>
    <n v="1"/>
    <x v="0"/>
    <x v="4"/>
    <x v="2"/>
    <s v="Worst"/>
    <n v="1200"/>
    <n v="17"/>
    <n v="0.1"/>
    <n v="0.18"/>
    <n v="18000"/>
    <n v="0.3"/>
    <n v="20400"/>
    <n v="18360"/>
    <n v="3304.7999999999997"/>
    <n v="21304.799999999999"/>
    <n v="-2944.7999999999993"/>
    <n v="-883.43999999999971"/>
    <n v="-2061.3599999999997"/>
    <n v="-0.10104705882352939"/>
  </r>
  <r>
    <x v="3"/>
    <x v="1"/>
    <s v="December 2014"/>
    <n v="1"/>
    <x v="0"/>
    <x v="4"/>
    <x v="3"/>
    <s v="Worst"/>
    <n v="1200"/>
    <n v="17"/>
    <n v="0.1"/>
    <n v="0.18"/>
    <n v="18000"/>
    <n v="0.3"/>
    <n v="20400"/>
    <n v="18360"/>
    <n v="3304.7999999999997"/>
    <n v="21304.799999999999"/>
    <n v="-2944.7999999999993"/>
    <n v="-883.43999999999971"/>
    <n v="-2061.3599999999997"/>
    <n v="-0.10104705882352939"/>
  </r>
  <r>
    <x v="3"/>
    <x v="1"/>
    <s v="December 2014"/>
    <n v="1"/>
    <x v="0"/>
    <x v="4"/>
    <x v="4"/>
    <s v="Worst"/>
    <n v="1200"/>
    <n v="17"/>
    <n v="0.1"/>
    <n v="0.18"/>
    <n v="18000"/>
    <n v="0.3"/>
    <n v="20400"/>
    <n v="18360"/>
    <n v="3304.7999999999997"/>
    <n v="21304.799999999999"/>
    <n v="-2944.7999999999993"/>
    <n v="-883.43999999999971"/>
    <n v="-2061.3599999999997"/>
    <n v="-0.10104705882352939"/>
  </r>
  <r>
    <x v="3"/>
    <x v="1"/>
    <s v="December 2014"/>
    <n v="1"/>
    <x v="1"/>
    <x v="0"/>
    <x v="0"/>
    <s v="Worst"/>
    <n v="1200"/>
    <n v="17"/>
    <n v="0.1"/>
    <n v="0.18"/>
    <n v="18000"/>
    <n v="0.3"/>
    <n v="20400"/>
    <n v="18360"/>
    <n v="3304.7999999999997"/>
    <n v="21304.799999999999"/>
    <n v="-2944.7999999999993"/>
    <n v="-883.43999999999971"/>
    <n v="-2061.3599999999997"/>
    <n v="-0.10104705882352939"/>
  </r>
  <r>
    <x v="3"/>
    <x v="1"/>
    <s v="December 2014"/>
    <n v="1"/>
    <x v="1"/>
    <x v="0"/>
    <x v="1"/>
    <s v="Worst"/>
    <n v="1200"/>
    <n v="17"/>
    <n v="0.1"/>
    <n v="0.18"/>
    <n v="18000"/>
    <n v="0.3"/>
    <n v="20400"/>
    <n v="18360"/>
    <n v="3304.7999999999997"/>
    <n v="21304.799999999999"/>
    <n v="-2944.7999999999993"/>
    <n v="-883.43999999999971"/>
    <n v="-2061.3599999999997"/>
    <n v="-0.10104705882352939"/>
  </r>
  <r>
    <x v="3"/>
    <x v="1"/>
    <s v="December 2014"/>
    <n v="1"/>
    <x v="1"/>
    <x v="0"/>
    <x v="2"/>
    <s v="Worst"/>
    <n v="1200"/>
    <n v="17"/>
    <n v="0.1"/>
    <n v="0.18"/>
    <n v="18000"/>
    <n v="0.3"/>
    <n v="20400"/>
    <n v="18360"/>
    <n v="3304.7999999999997"/>
    <n v="21304.799999999999"/>
    <n v="-2944.7999999999993"/>
    <n v="-883.43999999999971"/>
    <n v="-2061.3599999999997"/>
    <n v="-0.10104705882352939"/>
  </r>
  <r>
    <x v="3"/>
    <x v="1"/>
    <s v="December 2014"/>
    <n v="1"/>
    <x v="1"/>
    <x v="0"/>
    <x v="3"/>
    <s v="Worst"/>
    <n v="1200"/>
    <n v="17"/>
    <n v="0.1"/>
    <n v="0.18"/>
    <n v="18000"/>
    <n v="0.3"/>
    <n v="20400"/>
    <n v="18360"/>
    <n v="3304.7999999999997"/>
    <n v="21304.799999999999"/>
    <n v="-2944.7999999999993"/>
    <n v="-883.43999999999971"/>
    <n v="-2061.3599999999997"/>
    <n v="-0.10104705882352939"/>
  </r>
  <r>
    <x v="3"/>
    <x v="1"/>
    <s v="December 2014"/>
    <n v="1"/>
    <x v="1"/>
    <x v="0"/>
    <x v="4"/>
    <s v="Worst"/>
    <n v="1200"/>
    <n v="17"/>
    <n v="0.1"/>
    <n v="0.18"/>
    <n v="18000"/>
    <n v="0.3"/>
    <n v="20400"/>
    <n v="18360"/>
    <n v="3304.7999999999997"/>
    <n v="21304.799999999999"/>
    <n v="-2944.7999999999993"/>
    <n v="-883.43999999999971"/>
    <n v="-2061.3599999999997"/>
    <n v="-0.10104705882352939"/>
  </r>
  <r>
    <x v="3"/>
    <x v="1"/>
    <s v="December 2014"/>
    <n v="1"/>
    <x v="1"/>
    <x v="1"/>
    <x v="0"/>
    <s v="Worst"/>
    <n v="1200"/>
    <n v="17"/>
    <n v="0.1"/>
    <n v="0.18"/>
    <n v="18000"/>
    <n v="0.3"/>
    <n v="20400"/>
    <n v="18360"/>
    <n v="3304.7999999999997"/>
    <n v="21304.799999999999"/>
    <n v="-2944.7999999999993"/>
    <n v="-883.43999999999971"/>
    <n v="-2061.3599999999997"/>
    <n v="-0.10104705882352939"/>
  </r>
  <r>
    <x v="3"/>
    <x v="1"/>
    <s v="December 2014"/>
    <n v="1"/>
    <x v="1"/>
    <x v="1"/>
    <x v="1"/>
    <s v="Worst"/>
    <n v="1200"/>
    <n v="17"/>
    <n v="0.1"/>
    <n v="0.18"/>
    <n v="18000"/>
    <n v="0.3"/>
    <n v="20400"/>
    <n v="18360"/>
    <n v="3304.7999999999997"/>
    <n v="21304.799999999999"/>
    <n v="-2944.7999999999993"/>
    <n v="-883.43999999999971"/>
    <n v="-2061.3599999999997"/>
    <n v="-0.10104705882352939"/>
  </r>
  <r>
    <x v="3"/>
    <x v="1"/>
    <s v="December 2014"/>
    <n v="1"/>
    <x v="1"/>
    <x v="1"/>
    <x v="2"/>
    <s v="Worst"/>
    <n v="1200"/>
    <n v="17"/>
    <n v="0.1"/>
    <n v="0.18"/>
    <n v="18000"/>
    <n v="0.3"/>
    <n v="20400"/>
    <n v="18360"/>
    <n v="3304.7999999999997"/>
    <n v="21304.799999999999"/>
    <n v="-2944.7999999999993"/>
    <n v="-883.43999999999971"/>
    <n v="-2061.3599999999997"/>
    <n v="-0.10104705882352939"/>
  </r>
  <r>
    <x v="3"/>
    <x v="1"/>
    <s v="December 2014"/>
    <n v="1"/>
    <x v="1"/>
    <x v="1"/>
    <x v="3"/>
    <s v="Worst"/>
    <n v="1200"/>
    <n v="17"/>
    <n v="0.1"/>
    <n v="0.18"/>
    <n v="18000"/>
    <n v="0.3"/>
    <n v="20400"/>
    <n v="18360"/>
    <n v="3304.7999999999997"/>
    <n v="21304.799999999999"/>
    <n v="-2944.7999999999993"/>
    <n v="-883.43999999999971"/>
    <n v="-2061.3599999999997"/>
    <n v="-0.10104705882352939"/>
  </r>
  <r>
    <x v="3"/>
    <x v="1"/>
    <s v="December 2014"/>
    <n v="1"/>
    <x v="1"/>
    <x v="1"/>
    <x v="4"/>
    <s v="Worst"/>
    <n v="1200"/>
    <n v="17"/>
    <n v="0.1"/>
    <n v="0.18"/>
    <n v="18000"/>
    <n v="0.3"/>
    <n v="20400"/>
    <n v="18360"/>
    <n v="3304.7999999999997"/>
    <n v="21304.799999999999"/>
    <n v="-2944.7999999999993"/>
    <n v="-883.43999999999971"/>
    <n v="-2061.3599999999997"/>
    <n v="-0.10104705882352939"/>
  </r>
  <r>
    <x v="3"/>
    <x v="1"/>
    <s v="December 2014"/>
    <n v="1"/>
    <x v="1"/>
    <x v="2"/>
    <x v="0"/>
    <s v="Worst"/>
    <n v="1200"/>
    <n v="17"/>
    <n v="0.1"/>
    <n v="0.18"/>
    <n v="18000"/>
    <n v="0.3"/>
    <n v="20400"/>
    <n v="18360"/>
    <n v="3304.7999999999997"/>
    <n v="21304.799999999999"/>
    <n v="-2944.7999999999993"/>
    <n v="-883.43999999999971"/>
    <n v="-2061.3599999999997"/>
    <n v="-0.10104705882352939"/>
  </r>
  <r>
    <x v="3"/>
    <x v="1"/>
    <s v="December 2014"/>
    <n v="1"/>
    <x v="1"/>
    <x v="2"/>
    <x v="1"/>
    <s v="Worst"/>
    <n v="1200"/>
    <n v="17"/>
    <n v="0.1"/>
    <n v="0.18"/>
    <n v="18000"/>
    <n v="0.3"/>
    <n v="20400"/>
    <n v="18360"/>
    <n v="3304.7999999999997"/>
    <n v="21304.799999999999"/>
    <n v="-2944.7999999999993"/>
    <n v="-883.43999999999971"/>
    <n v="-2061.3599999999997"/>
    <n v="-0.10104705882352939"/>
  </r>
  <r>
    <x v="3"/>
    <x v="1"/>
    <s v="December 2014"/>
    <n v="1"/>
    <x v="1"/>
    <x v="2"/>
    <x v="2"/>
    <s v="Worst"/>
    <n v="1200"/>
    <n v="17"/>
    <n v="0.1"/>
    <n v="0.18"/>
    <n v="18000"/>
    <n v="0.3"/>
    <n v="20400"/>
    <n v="18360"/>
    <n v="3304.7999999999997"/>
    <n v="21304.799999999999"/>
    <n v="-2944.7999999999993"/>
    <n v="-883.43999999999971"/>
    <n v="-2061.3599999999997"/>
    <n v="-0.10104705882352939"/>
  </r>
  <r>
    <x v="3"/>
    <x v="1"/>
    <s v="December 2014"/>
    <n v="1"/>
    <x v="1"/>
    <x v="2"/>
    <x v="3"/>
    <s v="Worst"/>
    <n v="1200"/>
    <n v="17"/>
    <n v="0.1"/>
    <n v="0.18"/>
    <n v="18000"/>
    <n v="0.3"/>
    <n v="20400"/>
    <n v="18360"/>
    <n v="3304.7999999999997"/>
    <n v="21304.799999999999"/>
    <n v="-2944.7999999999993"/>
    <n v="-883.43999999999971"/>
    <n v="-2061.3599999999997"/>
    <n v="-0.10104705882352939"/>
  </r>
  <r>
    <x v="3"/>
    <x v="1"/>
    <s v="December 2014"/>
    <n v="1"/>
    <x v="1"/>
    <x v="2"/>
    <x v="4"/>
    <s v="Worst"/>
    <n v="1200"/>
    <n v="17"/>
    <n v="0.1"/>
    <n v="0.18"/>
    <n v="18000"/>
    <n v="0.3"/>
    <n v="20400"/>
    <n v="18360"/>
    <n v="3304.7999999999997"/>
    <n v="21304.799999999999"/>
    <n v="-2944.7999999999993"/>
    <n v="-883.43999999999971"/>
    <n v="-2061.3599999999997"/>
    <n v="-0.10104705882352939"/>
  </r>
  <r>
    <x v="3"/>
    <x v="1"/>
    <s v="December 2014"/>
    <n v="1"/>
    <x v="1"/>
    <x v="3"/>
    <x v="0"/>
    <s v="Worst"/>
    <n v="1200"/>
    <n v="17"/>
    <n v="0.1"/>
    <n v="0.18"/>
    <n v="18000"/>
    <n v="0.3"/>
    <n v="20400"/>
    <n v="18360"/>
    <n v="3304.7999999999997"/>
    <n v="21304.799999999999"/>
    <n v="-2944.7999999999993"/>
    <n v="-883.43999999999971"/>
    <n v="-2061.3599999999997"/>
    <n v="-0.10104705882352939"/>
  </r>
  <r>
    <x v="3"/>
    <x v="1"/>
    <s v="December 2014"/>
    <n v="1"/>
    <x v="1"/>
    <x v="3"/>
    <x v="1"/>
    <s v="Worst"/>
    <n v="1200"/>
    <n v="17"/>
    <n v="0.1"/>
    <n v="0.18"/>
    <n v="18000"/>
    <n v="0.3"/>
    <n v="20400"/>
    <n v="18360"/>
    <n v="3304.7999999999997"/>
    <n v="21304.799999999999"/>
    <n v="-2944.7999999999993"/>
    <n v="-883.43999999999971"/>
    <n v="-2061.3599999999997"/>
    <n v="-0.10104705882352939"/>
  </r>
  <r>
    <x v="3"/>
    <x v="1"/>
    <s v="December 2014"/>
    <n v="1"/>
    <x v="1"/>
    <x v="3"/>
    <x v="2"/>
    <s v="Worst"/>
    <n v="1200"/>
    <n v="17"/>
    <n v="0.1"/>
    <n v="0.18"/>
    <n v="18000"/>
    <n v="0.3"/>
    <n v="20400"/>
    <n v="18360"/>
    <n v="3304.7999999999997"/>
    <n v="21304.799999999999"/>
    <n v="-2944.7999999999993"/>
    <n v="-883.43999999999971"/>
    <n v="-2061.3599999999997"/>
    <n v="-0.10104705882352939"/>
  </r>
  <r>
    <x v="3"/>
    <x v="1"/>
    <s v="December 2014"/>
    <n v="1"/>
    <x v="1"/>
    <x v="3"/>
    <x v="3"/>
    <s v="Worst"/>
    <n v="1200"/>
    <n v="17"/>
    <n v="0.1"/>
    <n v="0.18"/>
    <n v="18000"/>
    <n v="0.3"/>
    <n v="20400"/>
    <n v="18360"/>
    <n v="3304.7999999999997"/>
    <n v="21304.799999999999"/>
    <n v="-2944.7999999999993"/>
    <n v="-883.43999999999971"/>
    <n v="-2061.3599999999997"/>
    <n v="-0.10104705882352939"/>
  </r>
  <r>
    <x v="3"/>
    <x v="1"/>
    <s v="December 2014"/>
    <n v="1"/>
    <x v="1"/>
    <x v="3"/>
    <x v="4"/>
    <s v="Worst"/>
    <n v="1200"/>
    <n v="17"/>
    <n v="0.1"/>
    <n v="0.18"/>
    <n v="18000"/>
    <n v="0.3"/>
    <n v="20400"/>
    <n v="18360"/>
    <n v="3304.7999999999997"/>
    <n v="21304.799999999999"/>
    <n v="-2944.7999999999993"/>
    <n v="-883.43999999999971"/>
    <n v="-2061.3599999999997"/>
    <n v="-0.10104705882352939"/>
  </r>
  <r>
    <x v="3"/>
    <x v="1"/>
    <s v="December 2014"/>
    <n v="1"/>
    <x v="1"/>
    <x v="4"/>
    <x v="0"/>
    <s v="Worst"/>
    <n v="1200"/>
    <n v="17"/>
    <n v="0.1"/>
    <n v="0.18"/>
    <n v="18000"/>
    <n v="0.3"/>
    <n v="20400"/>
    <n v="18360"/>
    <n v="3304.7999999999997"/>
    <n v="21304.799999999999"/>
    <n v="-2944.7999999999993"/>
    <n v="-883.43999999999971"/>
    <n v="-2061.3599999999997"/>
    <n v="-0.10104705882352939"/>
  </r>
  <r>
    <x v="3"/>
    <x v="1"/>
    <s v="December 2014"/>
    <n v="1"/>
    <x v="1"/>
    <x v="4"/>
    <x v="1"/>
    <s v="Worst"/>
    <n v="1200"/>
    <n v="17"/>
    <n v="0.1"/>
    <n v="0.18"/>
    <n v="18000"/>
    <n v="0.3"/>
    <n v="20400"/>
    <n v="18360"/>
    <n v="3304.7999999999997"/>
    <n v="21304.799999999999"/>
    <n v="-2944.7999999999993"/>
    <n v="-883.43999999999971"/>
    <n v="-2061.3599999999997"/>
    <n v="-0.10104705882352939"/>
  </r>
  <r>
    <x v="3"/>
    <x v="1"/>
    <s v="December 2014"/>
    <n v="1"/>
    <x v="1"/>
    <x v="4"/>
    <x v="2"/>
    <s v="Worst"/>
    <n v="1200"/>
    <n v="17"/>
    <n v="0.1"/>
    <n v="0.18"/>
    <n v="18000"/>
    <n v="0.3"/>
    <n v="20400"/>
    <n v="18360"/>
    <n v="3304.7999999999997"/>
    <n v="21304.799999999999"/>
    <n v="-2944.7999999999993"/>
    <n v="-883.43999999999971"/>
    <n v="-2061.3599999999997"/>
    <n v="-0.10104705882352939"/>
  </r>
  <r>
    <x v="3"/>
    <x v="1"/>
    <s v="December 2014"/>
    <n v="1"/>
    <x v="1"/>
    <x v="4"/>
    <x v="3"/>
    <s v="Worst"/>
    <n v="1200"/>
    <n v="17"/>
    <n v="0.1"/>
    <n v="0.18"/>
    <n v="18000"/>
    <n v="0.3"/>
    <n v="20400"/>
    <n v="18360"/>
    <n v="3304.7999999999997"/>
    <n v="21304.799999999999"/>
    <n v="-2944.7999999999993"/>
    <n v="-883.43999999999971"/>
    <n v="-2061.3599999999997"/>
    <n v="-0.10104705882352939"/>
  </r>
  <r>
    <x v="3"/>
    <x v="1"/>
    <s v="December 2014"/>
    <n v="1"/>
    <x v="1"/>
    <x v="4"/>
    <x v="4"/>
    <s v="Worst"/>
    <n v="1200"/>
    <n v="17"/>
    <n v="0.1"/>
    <n v="0.18"/>
    <n v="18000"/>
    <n v="0.3"/>
    <n v="20400"/>
    <n v="18360"/>
    <n v="3304.7999999999997"/>
    <n v="21304.799999999999"/>
    <n v="-2944.7999999999993"/>
    <n v="-883.43999999999971"/>
    <n v="-2061.3599999999997"/>
    <n v="-0.10104705882352939"/>
  </r>
  <r>
    <x v="3"/>
    <x v="1"/>
    <s v="December 2014"/>
    <n v="1"/>
    <x v="2"/>
    <x v="0"/>
    <x v="0"/>
    <s v="Worst"/>
    <n v="1200"/>
    <n v="17"/>
    <n v="0.1"/>
    <n v="0.18"/>
    <n v="18000"/>
    <n v="0.3"/>
    <n v="20400"/>
    <n v="18360"/>
    <n v="3304.7999999999997"/>
    <n v="21304.799999999999"/>
    <n v="-2944.7999999999993"/>
    <n v="-883.43999999999971"/>
    <n v="-2061.3599999999997"/>
    <n v="-0.10104705882352939"/>
  </r>
  <r>
    <x v="3"/>
    <x v="1"/>
    <s v="December 2014"/>
    <n v="1"/>
    <x v="2"/>
    <x v="0"/>
    <x v="1"/>
    <s v="Worst"/>
    <n v="1200"/>
    <n v="17"/>
    <n v="0.1"/>
    <n v="0.18"/>
    <n v="18000"/>
    <n v="0.3"/>
    <n v="20400"/>
    <n v="18360"/>
    <n v="3304.7999999999997"/>
    <n v="21304.799999999999"/>
    <n v="-2944.7999999999993"/>
    <n v="-883.43999999999971"/>
    <n v="-2061.3599999999997"/>
    <n v="-0.10104705882352939"/>
  </r>
  <r>
    <x v="3"/>
    <x v="1"/>
    <s v="December 2014"/>
    <n v="1"/>
    <x v="2"/>
    <x v="0"/>
    <x v="2"/>
    <s v="Worst"/>
    <n v="1200"/>
    <n v="17"/>
    <n v="0.1"/>
    <n v="0.18"/>
    <n v="18000"/>
    <n v="0.3"/>
    <n v="20400"/>
    <n v="18360"/>
    <n v="3304.7999999999997"/>
    <n v="21304.799999999999"/>
    <n v="-2944.7999999999993"/>
    <n v="-883.43999999999971"/>
    <n v="-2061.3599999999997"/>
    <n v="-0.10104705882352939"/>
  </r>
  <r>
    <x v="3"/>
    <x v="1"/>
    <s v="December 2014"/>
    <n v="1"/>
    <x v="2"/>
    <x v="0"/>
    <x v="3"/>
    <s v="Worst"/>
    <n v="1200"/>
    <n v="17"/>
    <n v="0.1"/>
    <n v="0.18"/>
    <n v="18000"/>
    <n v="0.3"/>
    <n v="20400"/>
    <n v="18360"/>
    <n v="3304.7999999999997"/>
    <n v="21304.799999999999"/>
    <n v="-2944.7999999999993"/>
    <n v="-883.43999999999971"/>
    <n v="-2061.3599999999997"/>
    <n v="-0.10104705882352939"/>
  </r>
  <r>
    <x v="3"/>
    <x v="1"/>
    <s v="December 2014"/>
    <n v="1"/>
    <x v="2"/>
    <x v="0"/>
    <x v="4"/>
    <s v="Worst"/>
    <n v="1200"/>
    <n v="17"/>
    <n v="0.1"/>
    <n v="0.18"/>
    <n v="18000"/>
    <n v="0.3"/>
    <n v="20400"/>
    <n v="18360"/>
    <n v="3304.7999999999997"/>
    <n v="21304.799999999999"/>
    <n v="-2944.7999999999993"/>
    <n v="-883.43999999999971"/>
    <n v="-2061.3599999999997"/>
    <n v="-0.10104705882352939"/>
  </r>
  <r>
    <x v="3"/>
    <x v="1"/>
    <s v="December 2014"/>
    <n v="1"/>
    <x v="2"/>
    <x v="1"/>
    <x v="0"/>
    <s v="Worst"/>
    <n v="1200"/>
    <n v="17"/>
    <n v="0.1"/>
    <n v="0.18"/>
    <n v="18000"/>
    <n v="0.3"/>
    <n v="20400"/>
    <n v="18360"/>
    <n v="3304.7999999999997"/>
    <n v="21304.799999999999"/>
    <n v="-2944.7999999999993"/>
    <n v="-883.43999999999971"/>
    <n v="-2061.3599999999997"/>
    <n v="-0.10104705882352939"/>
  </r>
  <r>
    <x v="3"/>
    <x v="1"/>
    <s v="December 2014"/>
    <n v="1"/>
    <x v="2"/>
    <x v="1"/>
    <x v="1"/>
    <s v="Worst"/>
    <n v="1200"/>
    <n v="17"/>
    <n v="0.1"/>
    <n v="0.18"/>
    <n v="18000"/>
    <n v="0.3"/>
    <n v="20400"/>
    <n v="18360"/>
    <n v="3304.7999999999997"/>
    <n v="21304.799999999999"/>
    <n v="-2944.7999999999993"/>
    <n v="-883.43999999999971"/>
    <n v="-2061.3599999999997"/>
    <n v="-0.10104705882352939"/>
  </r>
  <r>
    <x v="3"/>
    <x v="1"/>
    <s v="December 2014"/>
    <n v="1"/>
    <x v="2"/>
    <x v="1"/>
    <x v="2"/>
    <s v="Worst"/>
    <n v="1200"/>
    <n v="17"/>
    <n v="0.1"/>
    <n v="0.18"/>
    <n v="18000"/>
    <n v="0.3"/>
    <n v="20400"/>
    <n v="18360"/>
    <n v="3304.7999999999997"/>
    <n v="21304.799999999999"/>
    <n v="-2944.7999999999993"/>
    <n v="-883.43999999999971"/>
    <n v="-2061.3599999999997"/>
    <n v="-0.10104705882352939"/>
  </r>
  <r>
    <x v="3"/>
    <x v="1"/>
    <s v="December 2014"/>
    <n v="1"/>
    <x v="2"/>
    <x v="1"/>
    <x v="3"/>
    <s v="Worst"/>
    <n v="1200"/>
    <n v="17"/>
    <n v="0.1"/>
    <n v="0.18"/>
    <n v="18000"/>
    <n v="0.3"/>
    <n v="20400"/>
    <n v="18360"/>
    <n v="3304.7999999999997"/>
    <n v="21304.799999999999"/>
    <n v="-2944.7999999999993"/>
    <n v="-883.43999999999971"/>
    <n v="-2061.3599999999997"/>
    <n v="-0.10104705882352939"/>
  </r>
  <r>
    <x v="3"/>
    <x v="1"/>
    <s v="December 2014"/>
    <n v="1"/>
    <x v="2"/>
    <x v="1"/>
    <x v="4"/>
    <s v="Worst"/>
    <n v="1200"/>
    <n v="17"/>
    <n v="0.1"/>
    <n v="0.18"/>
    <n v="18000"/>
    <n v="0.3"/>
    <n v="20400"/>
    <n v="18360"/>
    <n v="3304.7999999999997"/>
    <n v="21304.799999999999"/>
    <n v="-2944.7999999999993"/>
    <n v="-883.43999999999971"/>
    <n v="-2061.3599999999997"/>
    <n v="-0.10104705882352939"/>
  </r>
  <r>
    <x v="3"/>
    <x v="1"/>
    <s v="December 2014"/>
    <n v="1"/>
    <x v="2"/>
    <x v="2"/>
    <x v="0"/>
    <s v="Worst"/>
    <n v="1200"/>
    <n v="17"/>
    <n v="0.1"/>
    <n v="0.18"/>
    <n v="18000"/>
    <n v="0.3"/>
    <n v="20400"/>
    <n v="18360"/>
    <n v="3304.7999999999997"/>
    <n v="21304.799999999999"/>
    <n v="-2944.7999999999993"/>
    <n v="-883.43999999999971"/>
    <n v="-2061.3599999999997"/>
    <n v="-0.10104705882352939"/>
  </r>
  <r>
    <x v="3"/>
    <x v="1"/>
    <s v="December 2014"/>
    <n v="1"/>
    <x v="2"/>
    <x v="2"/>
    <x v="1"/>
    <s v="Worst"/>
    <n v="1200"/>
    <n v="17"/>
    <n v="0.1"/>
    <n v="0.18"/>
    <n v="18000"/>
    <n v="0.3"/>
    <n v="20400"/>
    <n v="18360"/>
    <n v="3304.7999999999997"/>
    <n v="21304.799999999999"/>
    <n v="-2944.7999999999993"/>
    <n v="-883.43999999999971"/>
    <n v="-2061.3599999999997"/>
    <n v="-0.10104705882352939"/>
  </r>
  <r>
    <x v="3"/>
    <x v="1"/>
    <s v="December 2014"/>
    <n v="1"/>
    <x v="2"/>
    <x v="2"/>
    <x v="2"/>
    <s v="Worst"/>
    <n v="1200"/>
    <n v="17"/>
    <n v="0.1"/>
    <n v="0.18"/>
    <n v="18000"/>
    <n v="0.3"/>
    <n v="20400"/>
    <n v="18360"/>
    <n v="3304.7999999999997"/>
    <n v="21304.799999999999"/>
    <n v="-2944.7999999999993"/>
    <n v="-883.43999999999971"/>
    <n v="-2061.3599999999997"/>
    <n v="-0.10104705882352939"/>
  </r>
  <r>
    <x v="3"/>
    <x v="1"/>
    <s v="December 2014"/>
    <n v="1"/>
    <x v="2"/>
    <x v="2"/>
    <x v="3"/>
    <s v="Worst"/>
    <n v="1200"/>
    <n v="17"/>
    <n v="0.1"/>
    <n v="0.18"/>
    <n v="18000"/>
    <n v="0.3"/>
    <n v="20400"/>
    <n v="18360"/>
    <n v="3304.7999999999997"/>
    <n v="21304.799999999999"/>
    <n v="-2944.7999999999993"/>
    <n v="-883.43999999999971"/>
    <n v="-2061.3599999999997"/>
    <n v="-0.10104705882352939"/>
  </r>
  <r>
    <x v="3"/>
    <x v="1"/>
    <s v="December 2014"/>
    <n v="1"/>
    <x v="2"/>
    <x v="2"/>
    <x v="4"/>
    <s v="Worst"/>
    <n v="1200"/>
    <n v="17"/>
    <n v="0.1"/>
    <n v="0.18"/>
    <n v="18000"/>
    <n v="0.3"/>
    <n v="20400"/>
    <n v="18360"/>
    <n v="3304.7999999999997"/>
    <n v="21304.799999999999"/>
    <n v="-2944.7999999999993"/>
    <n v="-883.43999999999971"/>
    <n v="-2061.3599999999997"/>
    <n v="-0.10104705882352939"/>
  </r>
  <r>
    <x v="3"/>
    <x v="1"/>
    <s v="December 2014"/>
    <n v="1"/>
    <x v="2"/>
    <x v="3"/>
    <x v="0"/>
    <s v="Worst"/>
    <n v="1200"/>
    <n v="17"/>
    <n v="0.1"/>
    <n v="0.18"/>
    <n v="18000"/>
    <n v="0.3"/>
    <n v="20400"/>
    <n v="18360"/>
    <n v="3304.7999999999997"/>
    <n v="21304.799999999999"/>
    <n v="-2944.7999999999993"/>
    <n v="-883.43999999999971"/>
    <n v="-2061.3599999999997"/>
    <n v="-0.10104705882352939"/>
  </r>
  <r>
    <x v="3"/>
    <x v="1"/>
    <s v="December 2014"/>
    <n v="1"/>
    <x v="2"/>
    <x v="3"/>
    <x v="1"/>
    <s v="Worst"/>
    <n v="1200"/>
    <n v="17"/>
    <n v="0.1"/>
    <n v="0.18"/>
    <n v="18000"/>
    <n v="0.3"/>
    <n v="20400"/>
    <n v="18360"/>
    <n v="3304.7999999999997"/>
    <n v="21304.799999999999"/>
    <n v="-2944.7999999999993"/>
    <n v="-883.43999999999971"/>
    <n v="-2061.3599999999997"/>
    <n v="-0.10104705882352939"/>
  </r>
  <r>
    <x v="3"/>
    <x v="1"/>
    <s v="December 2014"/>
    <n v="1"/>
    <x v="2"/>
    <x v="3"/>
    <x v="2"/>
    <s v="Worst"/>
    <n v="1200"/>
    <n v="17"/>
    <n v="0.1"/>
    <n v="0.18"/>
    <n v="18000"/>
    <n v="0.3"/>
    <n v="20400"/>
    <n v="18360"/>
    <n v="3304.7999999999997"/>
    <n v="21304.799999999999"/>
    <n v="-2944.7999999999993"/>
    <n v="-883.43999999999971"/>
    <n v="-2061.3599999999997"/>
    <n v="-0.10104705882352939"/>
  </r>
  <r>
    <x v="3"/>
    <x v="1"/>
    <s v="December 2014"/>
    <n v="1"/>
    <x v="2"/>
    <x v="3"/>
    <x v="3"/>
    <s v="Worst"/>
    <n v="1200"/>
    <n v="17"/>
    <n v="0.1"/>
    <n v="0.18"/>
    <n v="18000"/>
    <n v="0.3"/>
    <n v="20400"/>
    <n v="18360"/>
    <n v="3304.7999999999997"/>
    <n v="21304.799999999999"/>
    <n v="-2944.7999999999993"/>
    <n v="-883.43999999999971"/>
    <n v="-2061.3599999999997"/>
    <n v="-0.10104705882352939"/>
  </r>
  <r>
    <x v="3"/>
    <x v="1"/>
    <s v="December 2014"/>
    <n v="1"/>
    <x v="2"/>
    <x v="3"/>
    <x v="4"/>
    <s v="Worst"/>
    <n v="1200"/>
    <n v="17"/>
    <n v="0.1"/>
    <n v="0.18"/>
    <n v="18000"/>
    <n v="0.3"/>
    <n v="20400"/>
    <n v="18360"/>
    <n v="3304.7999999999997"/>
    <n v="21304.799999999999"/>
    <n v="-2944.7999999999993"/>
    <n v="-883.43999999999971"/>
    <n v="-2061.3599999999997"/>
    <n v="-0.10104705882352939"/>
  </r>
  <r>
    <x v="3"/>
    <x v="1"/>
    <s v="December 2014"/>
    <n v="1"/>
    <x v="2"/>
    <x v="4"/>
    <x v="0"/>
    <s v="Worst"/>
    <n v="1200"/>
    <n v="17"/>
    <n v="0.1"/>
    <n v="0.18"/>
    <n v="18000"/>
    <n v="0.3"/>
    <n v="20400"/>
    <n v="18360"/>
    <n v="3304.7999999999997"/>
    <n v="21304.799999999999"/>
    <n v="-2944.7999999999993"/>
    <n v="-883.43999999999971"/>
    <n v="-2061.3599999999997"/>
    <n v="-0.10104705882352939"/>
  </r>
  <r>
    <x v="3"/>
    <x v="1"/>
    <s v="December 2014"/>
    <n v="1"/>
    <x v="2"/>
    <x v="4"/>
    <x v="1"/>
    <s v="Worst"/>
    <n v="1200"/>
    <n v="17"/>
    <n v="0.1"/>
    <n v="0.18"/>
    <n v="18000"/>
    <n v="0.3"/>
    <n v="20400"/>
    <n v="18360"/>
    <n v="3304.7999999999997"/>
    <n v="21304.799999999999"/>
    <n v="-2944.7999999999993"/>
    <n v="-883.43999999999971"/>
    <n v="-2061.3599999999997"/>
    <n v="-0.10104705882352939"/>
  </r>
  <r>
    <x v="3"/>
    <x v="1"/>
    <s v="December 2014"/>
    <n v="1"/>
    <x v="2"/>
    <x v="4"/>
    <x v="2"/>
    <s v="Worst"/>
    <n v="1200"/>
    <n v="17"/>
    <n v="0.1"/>
    <n v="0.18"/>
    <n v="18000"/>
    <n v="0.3"/>
    <n v="20400"/>
    <n v="18360"/>
    <n v="3304.7999999999997"/>
    <n v="21304.799999999999"/>
    <n v="-2944.7999999999993"/>
    <n v="-883.43999999999971"/>
    <n v="-2061.3599999999997"/>
    <n v="-0.10104705882352939"/>
  </r>
  <r>
    <x v="3"/>
    <x v="1"/>
    <s v="December 2014"/>
    <n v="1"/>
    <x v="2"/>
    <x v="4"/>
    <x v="3"/>
    <s v="Worst"/>
    <n v="1200"/>
    <n v="17"/>
    <n v="0.1"/>
    <n v="0.18"/>
    <n v="18000"/>
    <n v="0.3"/>
    <n v="20400"/>
    <n v="18360"/>
    <n v="3304.7999999999997"/>
    <n v="21304.799999999999"/>
    <n v="-2944.7999999999993"/>
    <n v="-883.43999999999971"/>
    <n v="-2061.3599999999997"/>
    <n v="-0.10104705882352939"/>
  </r>
  <r>
    <x v="3"/>
    <x v="1"/>
    <s v="December 2014"/>
    <n v="1"/>
    <x v="2"/>
    <x v="4"/>
    <x v="4"/>
    <s v="Worst"/>
    <n v="1200"/>
    <n v="17"/>
    <n v="0.1"/>
    <n v="0.18"/>
    <n v="18000"/>
    <n v="0.3"/>
    <n v="20400"/>
    <n v="18360"/>
    <n v="3304.7999999999997"/>
    <n v="21304.799999999999"/>
    <n v="-2944.7999999999993"/>
    <n v="-883.43999999999971"/>
    <n v="-2061.3599999999997"/>
    <n v="-0.10104705882352939"/>
  </r>
  <r>
    <x v="3"/>
    <x v="1"/>
    <s v="December 2014"/>
    <n v="1"/>
    <x v="3"/>
    <x v="0"/>
    <x v="0"/>
    <s v="Worst"/>
    <n v="1200"/>
    <n v="17"/>
    <n v="0.1"/>
    <n v="0.18"/>
    <n v="18000"/>
    <n v="0.3"/>
    <n v="20400"/>
    <n v="18360"/>
    <n v="3304.7999999999997"/>
    <n v="21304.799999999999"/>
    <n v="-2944.7999999999993"/>
    <n v="-883.43999999999971"/>
    <n v="-2061.3599999999997"/>
    <n v="-0.10104705882352939"/>
  </r>
  <r>
    <x v="3"/>
    <x v="1"/>
    <s v="December 2014"/>
    <n v="1"/>
    <x v="3"/>
    <x v="0"/>
    <x v="1"/>
    <s v="Worst"/>
    <n v="1200"/>
    <n v="17"/>
    <n v="0.1"/>
    <n v="0.18"/>
    <n v="18000"/>
    <n v="0.3"/>
    <n v="20400"/>
    <n v="18360"/>
    <n v="3304.7999999999997"/>
    <n v="21304.799999999999"/>
    <n v="-2944.7999999999993"/>
    <n v="-883.43999999999971"/>
    <n v="-2061.3599999999997"/>
    <n v="-0.10104705882352939"/>
  </r>
  <r>
    <x v="3"/>
    <x v="1"/>
    <s v="December 2014"/>
    <n v="1"/>
    <x v="3"/>
    <x v="0"/>
    <x v="2"/>
    <s v="Worst"/>
    <n v="1200"/>
    <n v="17"/>
    <n v="0.1"/>
    <n v="0.18"/>
    <n v="18000"/>
    <n v="0.3"/>
    <n v="20400"/>
    <n v="18360"/>
    <n v="3304.7999999999997"/>
    <n v="21304.799999999999"/>
    <n v="-2944.7999999999993"/>
    <n v="-883.43999999999971"/>
    <n v="-2061.3599999999997"/>
    <n v="-0.10104705882352939"/>
  </r>
  <r>
    <x v="3"/>
    <x v="1"/>
    <s v="December 2014"/>
    <n v="1"/>
    <x v="3"/>
    <x v="0"/>
    <x v="3"/>
    <s v="Worst"/>
    <n v="1200"/>
    <n v="17"/>
    <n v="0.1"/>
    <n v="0.18"/>
    <n v="18000"/>
    <n v="0.3"/>
    <n v="20400"/>
    <n v="18360"/>
    <n v="3304.7999999999997"/>
    <n v="21304.799999999999"/>
    <n v="-2944.7999999999993"/>
    <n v="-883.43999999999971"/>
    <n v="-2061.3599999999997"/>
    <n v="-0.10104705882352939"/>
  </r>
  <r>
    <x v="3"/>
    <x v="1"/>
    <s v="December 2014"/>
    <n v="1"/>
    <x v="3"/>
    <x v="0"/>
    <x v="4"/>
    <s v="Worst"/>
    <n v="1200"/>
    <n v="17"/>
    <n v="0.1"/>
    <n v="0.18"/>
    <n v="18000"/>
    <n v="0.3"/>
    <n v="20400"/>
    <n v="18360"/>
    <n v="3304.7999999999997"/>
    <n v="21304.799999999999"/>
    <n v="-2944.7999999999993"/>
    <n v="-883.43999999999971"/>
    <n v="-2061.3599999999997"/>
    <n v="-0.10104705882352939"/>
  </r>
  <r>
    <x v="3"/>
    <x v="1"/>
    <s v="December 2014"/>
    <n v="1"/>
    <x v="3"/>
    <x v="1"/>
    <x v="0"/>
    <s v="Worst"/>
    <n v="1200"/>
    <n v="17"/>
    <n v="0.1"/>
    <n v="0.18"/>
    <n v="18000"/>
    <n v="0.3"/>
    <n v="20400"/>
    <n v="18360"/>
    <n v="3304.7999999999997"/>
    <n v="21304.799999999999"/>
    <n v="-2944.7999999999993"/>
    <n v="-883.43999999999971"/>
    <n v="-2061.3599999999997"/>
    <n v="-0.10104705882352939"/>
  </r>
  <r>
    <x v="3"/>
    <x v="1"/>
    <s v="December 2014"/>
    <n v="1"/>
    <x v="3"/>
    <x v="1"/>
    <x v="1"/>
    <s v="Worst"/>
    <n v="1200"/>
    <n v="17"/>
    <n v="0.1"/>
    <n v="0.18"/>
    <n v="18000"/>
    <n v="0.3"/>
    <n v="20400"/>
    <n v="18360"/>
    <n v="3304.7999999999997"/>
    <n v="21304.799999999999"/>
    <n v="-2944.7999999999993"/>
    <n v="-883.43999999999971"/>
    <n v="-2061.3599999999997"/>
    <n v="-0.10104705882352939"/>
  </r>
  <r>
    <x v="3"/>
    <x v="1"/>
    <s v="December 2014"/>
    <n v="1"/>
    <x v="3"/>
    <x v="1"/>
    <x v="2"/>
    <s v="Worst"/>
    <n v="1200"/>
    <n v="17"/>
    <n v="0.1"/>
    <n v="0.18"/>
    <n v="18000"/>
    <n v="0.3"/>
    <n v="20400"/>
    <n v="18360"/>
    <n v="3304.7999999999997"/>
    <n v="21304.799999999999"/>
    <n v="-2944.7999999999993"/>
    <n v="-883.43999999999971"/>
    <n v="-2061.3599999999997"/>
    <n v="-0.10104705882352939"/>
  </r>
  <r>
    <x v="3"/>
    <x v="1"/>
    <s v="December 2014"/>
    <n v="1"/>
    <x v="3"/>
    <x v="1"/>
    <x v="3"/>
    <s v="Worst"/>
    <n v="1200"/>
    <n v="17"/>
    <n v="0.1"/>
    <n v="0.18"/>
    <n v="18000"/>
    <n v="0.3"/>
    <n v="20400"/>
    <n v="18360"/>
    <n v="3304.7999999999997"/>
    <n v="21304.799999999999"/>
    <n v="-2944.7999999999993"/>
    <n v="-883.43999999999971"/>
    <n v="-2061.3599999999997"/>
    <n v="-0.10104705882352939"/>
  </r>
  <r>
    <x v="3"/>
    <x v="1"/>
    <s v="December 2014"/>
    <n v="1"/>
    <x v="3"/>
    <x v="1"/>
    <x v="4"/>
    <s v="Worst"/>
    <n v="1200"/>
    <n v="17"/>
    <n v="0.1"/>
    <n v="0.18"/>
    <n v="18000"/>
    <n v="0.3"/>
    <n v="20400"/>
    <n v="18360"/>
    <n v="3304.7999999999997"/>
    <n v="21304.799999999999"/>
    <n v="-2944.7999999999993"/>
    <n v="-883.43999999999971"/>
    <n v="-2061.3599999999997"/>
    <n v="-0.10104705882352939"/>
  </r>
  <r>
    <x v="3"/>
    <x v="1"/>
    <s v="December 2014"/>
    <n v="1"/>
    <x v="3"/>
    <x v="2"/>
    <x v="0"/>
    <s v="Worst"/>
    <n v="1200"/>
    <n v="17"/>
    <n v="0.1"/>
    <n v="0.18"/>
    <n v="18000"/>
    <n v="0.3"/>
    <n v="20400"/>
    <n v="18360"/>
    <n v="3304.7999999999997"/>
    <n v="21304.799999999999"/>
    <n v="-2944.7999999999993"/>
    <n v="-883.43999999999971"/>
    <n v="-2061.3599999999997"/>
    <n v="-0.10104705882352939"/>
  </r>
  <r>
    <x v="3"/>
    <x v="1"/>
    <s v="December 2014"/>
    <n v="1"/>
    <x v="3"/>
    <x v="2"/>
    <x v="1"/>
    <s v="Worst"/>
    <n v="1200"/>
    <n v="17"/>
    <n v="0.1"/>
    <n v="0.18"/>
    <n v="18000"/>
    <n v="0.3"/>
    <n v="20400"/>
    <n v="18360"/>
    <n v="3304.7999999999997"/>
    <n v="21304.799999999999"/>
    <n v="-2944.7999999999993"/>
    <n v="-883.43999999999971"/>
    <n v="-2061.3599999999997"/>
    <n v="-0.10104705882352939"/>
  </r>
  <r>
    <x v="3"/>
    <x v="1"/>
    <s v="December 2014"/>
    <n v="1"/>
    <x v="3"/>
    <x v="2"/>
    <x v="2"/>
    <s v="Worst"/>
    <n v="1200"/>
    <n v="17"/>
    <n v="0.1"/>
    <n v="0.18"/>
    <n v="18000"/>
    <n v="0.3"/>
    <n v="20400"/>
    <n v="18360"/>
    <n v="3304.7999999999997"/>
    <n v="21304.799999999999"/>
    <n v="-2944.7999999999993"/>
    <n v="-883.43999999999971"/>
    <n v="-2061.3599999999997"/>
    <n v="-0.10104705882352939"/>
  </r>
  <r>
    <x v="3"/>
    <x v="1"/>
    <s v="December 2014"/>
    <n v="1"/>
    <x v="3"/>
    <x v="2"/>
    <x v="3"/>
    <s v="Worst"/>
    <n v="1200"/>
    <n v="17"/>
    <n v="0.1"/>
    <n v="0.18"/>
    <n v="18000"/>
    <n v="0.3"/>
    <n v="20400"/>
    <n v="18360"/>
    <n v="3304.7999999999997"/>
    <n v="21304.799999999999"/>
    <n v="-2944.7999999999993"/>
    <n v="-883.43999999999971"/>
    <n v="-2061.3599999999997"/>
    <n v="-0.10104705882352939"/>
  </r>
  <r>
    <x v="3"/>
    <x v="1"/>
    <s v="December 2014"/>
    <n v="1"/>
    <x v="3"/>
    <x v="2"/>
    <x v="4"/>
    <s v="Worst"/>
    <n v="1200"/>
    <n v="17"/>
    <n v="0.1"/>
    <n v="0.18"/>
    <n v="18000"/>
    <n v="0.3"/>
    <n v="20400"/>
    <n v="18360"/>
    <n v="3304.7999999999997"/>
    <n v="21304.799999999999"/>
    <n v="-2944.7999999999993"/>
    <n v="-883.43999999999971"/>
    <n v="-2061.3599999999997"/>
    <n v="-0.10104705882352939"/>
  </r>
  <r>
    <x v="3"/>
    <x v="1"/>
    <s v="December 2014"/>
    <n v="1"/>
    <x v="3"/>
    <x v="3"/>
    <x v="0"/>
    <s v="Worst"/>
    <n v="1200"/>
    <n v="17"/>
    <n v="0.1"/>
    <n v="0.18"/>
    <n v="18000"/>
    <n v="0.3"/>
    <n v="20400"/>
    <n v="18360"/>
    <n v="3304.7999999999997"/>
    <n v="21304.799999999999"/>
    <n v="-2944.7999999999993"/>
    <n v="-883.43999999999971"/>
    <n v="-2061.3599999999997"/>
    <n v="-0.10104705882352939"/>
  </r>
  <r>
    <x v="3"/>
    <x v="1"/>
    <s v="December 2014"/>
    <n v="1"/>
    <x v="3"/>
    <x v="3"/>
    <x v="1"/>
    <s v="Worst"/>
    <n v="1200"/>
    <n v="17"/>
    <n v="0.1"/>
    <n v="0.18"/>
    <n v="18000"/>
    <n v="0.3"/>
    <n v="20400"/>
    <n v="18360"/>
    <n v="3304.7999999999997"/>
    <n v="21304.799999999999"/>
    <n v="-2944.7999999999993"/>
    <n v="-883.43999999999971"/>
    <n v="-2061.3599999999997"/>
    <n v="-0.10104705882352939"/>
  </r>
  <r>
    <x v="3"/>
    <x v="1"/>
    <s v="December 2014"/>
    <n v="1"/>
    <x v="3"/>
    <x v="3"/>
    <x v="2"/>
    <s v="Worst"/>
    <n v="1200"/>
    <n v="17"/>
    <n v="0.1"/>
    <n v="0.18"/>
    <n v="18000"/>
    <n v="0.3"/>
    <n v="20400"/>
    <n v="18360"/>
    <n v="3304.7999999999997"/>
    <n v="21304.799999999999"/>
    <n v="-2944.7999999999993"/>
    <n v="-883.43999999999971"/>
    <n v="-2061.3599999999997"/>
    <n v="-0.10104705882352939"/>
  </r>
  <r>
    <x v="3"/>
    <x v="1"/>
    <s v="December 2014"/>
    <n v="1"/>
    <x v="3"/>
    <x v="3"/>
    <x v="3"/>
    <s v="Worst"/>
    <n v="1200"/>
    <n v="17"/>
    <n v="0.1"/>
    <n v="0.18"/>
    <n v="18000"/>
    <n v="0.3"/>
    <n v="20400"/>
    <n v="18360"/>
    <n v="3304.7999999999997"/>
    <n v="21304.799999999999"/>
    <n v="-2944.7999999999993"/>
    <n v="-883.43999999999971"/>
    <n v="-2061.3599999999997"/>
    <n v="-0.10104705882352939"/>
  </r>
  <r>
    <x v="3"/>
    <x v="1"/>
    <s v="December 2014"/>
    <n v="1"/>
    <x v="3"/>
    <x v="3"/>
    <x v="4"/>
    <s v="Worst"/>
    <n v="1200"/>
    <n v="17"/>
    <n v="0.1"/>
    <n v="0.18"/>
    <n v="18000"/>
    <n v="0.3"/>
    <n v="20400"/>
    <n v="18360"/>
    <n v="3304.7999999999997"/>
    <n v="21304.799999999999"/>
    <n v="-2944.7999999999993"/>
    <n v="-883.43999999999971"/>
    <n v="-2061.3599999999997"/>
    <n v="-0.10104705882352939"/>
  </r>
  <r>
    <x v="3"/>
    <x v="1"/>
    <s v="December 2014"/>
    <n v="1"/>
    <x v="3"/>
    <x v="4"/>
    <x v="0"/>
    <s v="Worst"/>
    <n v="1200"/>
    <n v="17"/>
    <n v="0.1"/>
    <n v="0.18"/>
    <n v="18000"/>
    <n v="0.3"/>
    <n v="20400"/>
    <n v="18360"/>
    <n v="3304.7999999999997"/>
    <n v="21304.799999999999"/>
    <n v="-2944.7999999999993"/>
    <n v="-883.43999999999971"/>
    <n v="-2061.3599999999997"/>
    <n v="-0.10104705882352939"/>
  </r>
  <r>
    <x v="3"/>
    <x v="1"/>
    <s v="December 2014"/>
    <n v="1"/>
    <x v="3"/>
    <x v="4"/>
    <x v="1"/>
    <s v="Worst"/>
    <n v="1200"/>
    <n v="17"/>
    <n v="0.1"/>
    <n v="0.18"/>
    <n v="18000"/>
    <n v="0.3"/>
    <n v="20400"/>
    <n v="18360"/>
    <n v="3304.7999999999997"/>
    <n v="21304.799999999999"/>
    <n v="-2944.7999999999993"/>
    <n v="-883.43999999999971"/>
    <n v="-2061.3599999999997"/>
    <n v="-0.10104705882352939"/>
  </r>
  <r>
    <x v="3"/>
    <x v="1"/>
    <s v="December 2014"/>
    <n v="1"/>
    <x v="3"/>
    <x v="4"/>
    <x v="2"/>
    <s v="Worst"/>
    <n v="1200"/>
    <n v="17"/>
    <n v="0.1"/>
    <n v="0.18"/>
    <n v="18000"/>
    <n v="0.3"/>
    <n v="20400"/>
    <n v="18360"/>
    <n v="3304.7999999999997"/>
    <n v="21304.799999999999"/>
    <n v="-2944.7999999999993"/>
    <n v="-883.43999999999971"/>
    <n v="-2061.3599999999997"/>
    <n v="-0.10104705882352939"/>
  </r>
  <r>
    <x v="3"/>
    <x v="1"/>
    <s v="December 2014"/>
    <n v="1"/>
    <x v="3"/>
    <x v="4"/>
    <x v="3"/>
    <s v="Worst"/>
    <n v="1200"/>
    <n v="17"/>
    <n v="0.1"/>
    <n v="0.18"/>
    <n v="18000"/>
    <n v="0.3"/>
    <n v="20400"/>
    <n v="18360"/>
    <n v="3304.7999999999997"/>
    <n v="21304.799999999999"/>
    <n v="-2944.7999999999993"/>
    <n v="-883.43999999999971"/>
    <n v="-2061.3599999999997"/>
    <n v="-0.10104705882352939"/>
  </r>
  <r>
    <x v="3"/>
    <x v="1"/>
    <s v="December 2014"/>
    <n v="1"/>
    <x v="3"/>
    <x v="4"/>
    <x v="4"/>
    <s v="Worst"/>
    <n v="1200"/>
    <n v="17"/>
    <n v="0.1"/>
    <n v="0.18"/>
    <n v="18000"/>
    <n v="0.3"/>
    <n v="20400"/>
    <n v="18360"/>
    <n v="3304.7999999999997"/>
    <n v="21304.799999999999"/>
    <n v="-2944.7999999999993"/>
    <n v="-883.43999999999971"/>
    <n v="-2061.3599999999997"/>
    <n v="-0.10104705882352939"/>
  </r>
  <r>
    <x v="3"/>
    <x v="1"/>
    <s v="December 2014"/>
    <n v="1"/>
    <x v="4"/>
    <x v="0"/>
    <x v="0"/>
    <s v="Worst"/>
    <n v="1200"/>
    <n v="17"/>
    <n v="0.1"/>
    <n v="0.18"/>
    <n v="18000"/>
    <n v="0.3"/>
    <n v="20400"/>
    <n v="18360"/>
    <n v="3304.7999999999997"/>
    <n v="21304.799999999999"/>
    <n v="-2944.7999999999993"/>
    <n v="-883.43999999999971"/>
    <n v="-2061.3599999999997"/>
    <n v="-0.10104705882352939"/>
  </r>
  <r>
    <x v="3"/>
    <x v="1"/>
    <s v="December 2014"/>
    <n v="1"/>
    <x v="4"/>
    <x v="0"/>
    <x v="1"/>
    <s v="Worst"/>
    <n v="1200"/>
    <n v="17"/>
    <n v="0.1"/>
    <n v="0.18"/>
    <n v="18000"/>
    <n v="0.3"/>
    <n v="20400"/>
    <n v="18360"/>
    <n v="3304.7999999999997"/>
    <n v="21304.799999999999"/>
    <n v="-2944.7999999999993"/>
    <n v="-883.43999999999971"/>
    <n v="-2061.3599999999997"/>
    <n v="-0.10104705882352939"/>
  </r>
  <r>
    <x v="3"/>
    <x v="1"/>
    <s v="December 2014"/>
    <n v="1"/>
    <x v="4"/>
    <x v="0"/>
    <x v="2"/>
    <s v="Worst"/>
    <n v="1200"/>
    <n v="17"/>
    <n v="0.1"/>
    <n v="0.18"/>
    <n v="18000"/>
    <n v="0.3"/>
    <n v="20400"/>
    <n v="18360"/>
    <n v="3304.7999999999997"/>
    <n v="21304.799999999999"/>
    <n v="-2944.7999999999993"/>
    <n v="-883.43999999999971"/>
    <n v="-2061.3599999999997"/>
    <n v="-0.10104705882352939"/>
  </r>
  <r>
    <x v="3"/>
    <x v="1"/>
    <s v="December 2014"/>
    <n v="1"/>
    <x v="4"/>
    <x v="0"/>
    <x v="3"/>
    <s v="Worst"/>
    <n v="1200"/>
    <n v="17"/>
    <n v="0.1"/>
    <n v="0.18"/>
    <n v="18000"/>
    <n v="0.3"/>
    <n v="20400"/>
    <n v="18360"/>
    <n v="3304.7999999999997"/>
    <n v="21304.799999999999"/>
    <n v="-2944.7999999999993"/>
    <n v="-883.43999999999971"/>
    <n v="-2061.3599999999997"/>
    <n v="-0.10104705882352939"/>
  </r>
  <r>
    <x v="3"/>
    <x v="1"/>
    <s v="December 2014"/>
    <n v="1"/>
    <x v="4"/>
    <x v="0"/>
    <x v="4"/>
    <s v="Worst"/>
    <n v="1200"/>
    <n v="17"/>
    <n v="0.1"/>
    <n v="0.18"/>
    <n v="18000"/>
    <n v="0.3"/>
    <n v="20400"/>
    <n v="18360"/>
    <n v="3304.7999999999997"/>
    <n v="21304.799999999999"/>
    <n v="-2944.7999999999993"/>
    <n v="-883.43999999999971"/>
    <n v="-2061.3599999999997"/>
    <n v="-0.10104705882352939"/>
  </r>
  <r>
    <x v="3"/>
    <x v="1"/>
    <s v="December 2014"/>
    <n v="1"/>
    <x v="4"/>
    <x v="1"/>
    <x v="0"/>
    <s v="Worst"/>
    <n v="1200"/>
    <n v="17"/>
    <n v="0.1"/>
    <n v="0.18"/>
    <n v="18000"/>
    <n v="0.3"/>
    <n v="20400"/>
    <n v="18360"/>
    <n v="3304.7999999999997"/>
    <n v="21304.799999999999"/>
    <n v="-2944.7999999999993"/>
    <n v="-883.43999999999971"/>
    <n v="-2061.3599999999997"/>
    <n v="-0.10104705882352939"/>
  </r>
  <r>
    <x v="3"/>
    <x v="1"/>
    <s v="December 2014"/>
    <n v="1"/>
    <x v="4"/>
    <x v="1"/>
    <x v="1"/>
    <s v="Worst"/>
    <n v="1200"/>
    <n v="17"/>
    <n v="0.1"/>
    <n v="0.18"/>
    <n v="18000"/>
    <n v="0.3"/>
    <n v="20400"/>
    <n v="18360"/>
    <n v="3304.7999999999997"/>
    <n v="21304.799999999999"/>
    <n v="-2944.7999999999993"/>
    <n v="-883.43999999999971"/>
    <n v="-2061.3599999999997"/>
    <n v="-0.10104705882352939"/>
  </r>
  <r>
    <x v="3"/>
    <x v="1"/>
    <s v="December 2014"/>
    <n v="1"/>
    <x v="4"/>
    <x v="1"/>
    <x v="2"/>
    <s v="Worst"/>
    <n v="1200"/>
    <n v="17"/>
    <n v="0.1"/>
    <n v="0.18"/>
    <n v="18000"/>
    <n v="0.3"/>
    <n v="20400"/>
    <n v="18360"/>
    <n v="3304.7999999999997"/>
    <n v="21304.799999999999"/>
    <n v="-2944.7999999999993"/>
    <n v="-883.43999999999971"/>
    <n v="-2061.3599999999997"/>
    <n v="-0.10104705882352939"/>
  </r>
  <r>
    <x v="3"/>
    <x v="1"/>
    <s v="December 2014"/>
    <n v="1"/>
    <x v="4"/>
    <x v="1"/>
    <x v="3"/>
    <s v="Worst"/>
    <n v="1200"/>
    <n v="17"/>
    <n v="0.1"/>
    <n v="0.18"/>
    <n v="18000"/>
    <n v="0.3"/>
    <n v="20400"/>
    <n v="18360"/>
    <n v="3304.7999999999997"/>
    <n v="21304.799999999999"/>
    <n v="-2944.7999999999993"/>
    <n v="-883.43999999999971"/>
    <n v="-2061.3599999999997"/>
    <n v="-0.10104705882352939"/>
  </r>
  <r>
    <x v="3"/>
    <x v="1"/>
    <s v="December 2014"/>
    <n v="1"/>
    <x v="4"/>
    <x v="1"/>
    <x v="4"/>
    <s v="Worst"/>
    <n v="1200"/>
    <n v="17"/>
    <n v="0.1"/>
    <n v="0.18"/>
    <n v="18000"/>
    <n v="0.3"/>
    <n v="20400"/>
    <n v="18360"/>
    <n v="3304.7999999999997"/>
    <n v="21304.799999999999"/>
    <n v="-2944.7999999999993"/>
    <n v="-883.43999999999971"/>
    <n v="-2061.3599999999997"/>
    <n v="-0.10104705882352939"/>
  </r>
  <r>
    <x v="3"/>
    <x v="1"/>
    <s v="December 2014"/>
    <n v="1"/>
    <x v="4"/>
    <x v="2"/>
    <x v="0"/>
    <s v="Worst"/>
    <n v="1200"/>
    <n v="17"/>
    <n v="0.1"/>
    <n v="0.18"/>
    <n v="18000"/>
    <n v="0.3"/>
    <n v="20400"/>
    <n v="18360"/>
    <n v="3304.7999999999997"/>
    <n v="21304.799999999999"/>
    <n v="-2944.7999999999993"/>
    <n v="-883.43999999999971"/>
    <n v="-2061.3599999999997"/>
    <n v="-0.10104705882352939"/>
  </r>
  <r>
    <x v="3"/>
    <x v="1"/>
    <s v="December 2014"/>
    <n v="1"/>
    <x v="4"/>
    <x v="2"/>
    <x v="1"/>
    <s v="Worst"/>
    <n v="1200"/>
    <n v="17"/>
    <n v="0.1"/>
    <n v="0.18"/>
    <n v="18000"/>
    <n v="0.3"/>
    <n v="20400"/>
    <n v="18360"/>
    <n v="3304.7999999999997"/>
    <n v="21304.799999999999"/>
    <n v="-2944.7999999999993"/>
    <n v="-883.43999999999971"/>
    <n v="-2061.3599999999997"/>
    <n v="-0.10104705882352939"/>
  </r>
  <r>
    <x v="3"/>
    <x v="1"/>
    <s v="December 2014"/>
    <n v="1"/>
    <x v="4"/>
    <x v="2"/>
    <x v="2"/>
    <s v="Worst"/>
    <n v="1200"/>
    <n v="17"/>
    <n v="0.1"/>
    <n v="0.18"/>
    <n v="18000"/>
    <n v="0.3"/>
    <n v="20400"/>
    <n v="18360"/>
    <n v="3304.7999999999997"/>
    <n v="21304.799999999999"/>
    <n v="-2944.7999999999993"/>
    <n v="-883.43999999999971"/>
    <n v="-2061.3599999999997"/>
    <n v="-0.10104705882352939"/>
  </r>
  <r>
    <x v="3"/>
    <x v="1"/>
    <s v="December 2014"/>
    <n v="1"/>
    <x v="4"/>
    <x v="2"/>
    <x v="3"/>
    <s v="Worst"/>
    <n v="1200"/>
    <n v="17"/>
    <n v="0.1"/>
    <n v="0.18"/>
    <n v="18000"/>
    <n v="0.3"/>
    <n v="20400"/>
    <n v="18360"/>
    <n v="3304.7999999999997"/>
    <n v="21304.799999999999"/>
    <n v="-2944.7999999999993"/>
    <n v="-883.43999999999971"/>
    <n v="-2061.3599999999997"/>
    <n v="-0.10104705882352939"/>
  </r>
  <r>
    <x v="3"/>
    <x v="1"/>
    <s v="December 2014"/>
    <n v="1"/>
    <x v="4"/>
    <x v="2"/>
    <x v="4"/>
    <s v="Worst"/>
    <n v="1200"/>
    <n v="17"/>
    <n v="0.1"/>
    <n v="0.18"/>
    <n v="18000"/>
    <n v="0.3"/>
    <n v="20400"/>
    <n v="18360"/>
    <n v="3304.7999999999997"/>
    <n v="21304.799999999999"/>
    <n v="-2944.7999999999993"/>
    <n v="-883.43999999999971"/>
    <n v="-2061.3599999999997"/>
    <n v="-0.10104705882352939"/>
  </r>
  <r>
    <x v="3"/>
    <x v="1"/>
    <s v="December 2014"/>
    <n v="1"/>
    <x v="4"/>
    <x v="3"/>
    <x v="0"/>
    <s v="Worst"/>
    <n v="1200"/>
    <n v="17"/>
    <n v="0.1"/>
    <n v="0.18"/>
    <n v="18000"/>
    <n v="0.3"/>
    <n v="20400"/>
    <n v="18360"/>
    <n v="3304.7999999999997"/>
    <n v="21304.799999999999"/>
    <n v="-2944.7999999999993"/>
    <n v="-883.43999999999971"/>
    <n v="-2061.3599999999997"/>
    <n v="-0.10104705882352939"/>
  </r>
  <r>
    <x v="3"/>
    <x v="1"/>
    <s v="December 2014"/>
    <n v="1"/>
    <x v="4"/>
    <x v="3"/>
    <x v="1"/>
    <s v="Worst"/>
    <n v="1200"/>
    <n v="17"/>
    <n v="0.1"/>
    <n v="0.18"/>
    <n v="18000"/>
    <n v="0.3"/>
    <n v="20400"/>
    <n v="18360"/>
    <n v="3304.7999999999997"/>
    <n v="21304.799999999999"/>
    <n v="-2944.7999999999993"/>
    <n v="-883.43999999999971"/>
    <n v="-2061.3599999999997"/>
    <n v="-0.10104705882352939"/>
  </r>
  <r>
    <x v="3"/>
    <x v="1"/>
    <s v="December 2014"/>
    <n v="1"/>
    <x v="4"/>
    <x v="3"/>
    <x v="2"/>
    <s v="Worst"/>
    <n v="1200"/>
    <n v="17"/>
    <n v="0.1"/>
    <n v="0.18"/>
    <n v="18000"/>
    <n v="0.3"/>
    <n v="20400"/>
    <n v="18360"/>
    <n v="3304.7999999999997"/>
    <n v="21304.799999999999"/>
    <n v="-2944.7999999999993"/>
    <n v="-883.43999999999971"/>
    <n v="-2061.3599999999997"/>
    <n v="-0.10104705882352939"/>
  </r>
  <r>
    <x v="3"/>
    <x v="1"/>
    <s v="December 2014"/>
    <n v="1"/>
    <x v="4"/>
    <x v="3"/>
    <x v="3"/>
    <s v="Worst"/>
    <n v="1200"/>
    <n v="17"/>
    <n v="0.1"/>
    <n v="0.18"/>
    <n v="18000"/>
    <n v="0.3"/>
    <n v="20400"/>
    <n v="18360"/>
    <n v="3304.7999999999997"/>
    <n v="21304.799999999999"/>
    <n v="-2944.7999999999993"/>
    <n v="-883.43999999999971"/>
    <n v="-2061.3599999999997"/>
    <n v="-0.10104705882352939"/>
  </r>
  <r>
    <x v="3"/>
    <x v="1"/>
    <s v="December 2014"/>
    <n v="1"/>
    <x v="4"/>
    <x v="3"/>
    <x v="4"/>
    <s v="Worst"/>
    <n v="1200"/>
    <n v="17"/>
    <n v="0.1"/>
    <n v="0.18"/>
    <n v="18000"/>
    <n v="0.3"/>
    <n v="20400"/>
    <n v="18360"/>
    <n v="3304.7999999999997"/>
    <n v="21304.799999999999"/>
    <n v="-2944.7999999999993"/>
    <n v="-883.43999999999971"/>
    <n v="-2061.3599999999997"/>
    <n v="-0.10104705882352939"/>
  </r>
  <r>
    <x v="3"/>
    <x v="1"/>
    <s v="December 2014"/>
    <n v="1"/>
    <x v="4"/>
    <x v="4"/>
    <x v="0"/>
    <s v="Worst"/>
    <n v="1200"/>
    <n v="17"/>
    <n v="0.1"/>
    <n v="0.18"/>
    <n v="18000"/>
    <n v="0.3"/>
    <n v="20400"/>
    <n v="18360"/>
    <n v="3304.7999999999997"/>
    <n v="21304.799999999999"/>
    <n v="-2944.7999999999993"/>
    <n v="-883.43999999999971"/>
    <n v="-2061.3599999999997"/>
    <n v="-0.10104705882352939"/>
  </r>
  <r>
    <x v="3"/>
    <x v="1"/>
    <s v="December 2014"/>
    <n v="1"/>
    <x v="4"/>
    <x v="4"/>
    <x v="1"/>
    <s v="Worst"/>
    <n v="1200"/>
    <n v="17"/>
    <n v="0.1"/>
    <n v="0.18"/>
    <n v="18000"/>
    <n v="0.3"/>
    <n v="20400"/>
    <n v="18360"/>
    <n v="3304.7999999999997"/>
    <n v="21304.799999999999"/>
    <n v="-2944.7999999999993"/>
    <n v="-883.43999999999971"/>
    <n v="-2061.3599999999997"/>
    <n v="-0.10104705882352939"/>
  </r>
  <r>
    <x v="3"/>
    <x v="1"/>
    <s v="December 2014"/>
    <n v="1"/>
    <x v="4"/>
    <x v="4"/>
    <x v="2"/>
    <s v="Worst"/>
    <n v="1200"/>
    <n v="17"/>
    <n v="0.1"/>
    <n v="0.18"/>
    <n v="18000"/>
    <n v="0.3"/>
    <n v="20400"/>
    <n v="18360"/>
    <n v="3304.7999999999997"/>
    <n v="21304.799999999999"/>
    <n v="-2944.7999999999993"/>
    <n v="-883.43999999999971"/>
    <n v="-2061.3599999999997"/>
    <n v="-0.10104705882352939"/>
  </r>
  <r>
    <x v="3"/>
    <x v="1"/>
    <s v="December 2014"/>
    <n v="1"/>
    <x v="4"/>
    <x v="4"/>
    <x v="3"/>
    <s v="Worst"/>
    <n v="1200"/>
    <n v="17"/>
    <n v="0.1"/>
    <n v="0.18"/>
    <n v="18000"/>
    <n v="0.3"/>
    <n v="20400"/>
    <n v="18360"/>
    <n v="3304.7999999999997"/>
    <n v="21304.799999999999"/>
    <n v="-2944.7999999999993"/>
    <n v="-883.43999999999971"/>
    <n v="-2061.3599999999997"/>
    <n v="-0.10104705882352939"/>
  </r>
  <r>
    <x v="3"/>
    <x v="1"/>
    <s v="December 2014"/>
    <n v="1"/>
    <x v="4"/>
    <x v="4"/>
    <x v="4"/>
    <s v="Worst"/>
    <n v="1200"/>
    <n v="17"/>
    <n v="0.1"/>
    <n v="0.18"/>
    <n v="18000"/>
    <n v="0.3"/>
    <n v="20400"/>
    <n v="18360"/>
    <n v="3304.7999999999997"/>
    <n v="21304.799999999999"/>
    <n v="-2944.7999999999993"/>
    <n v="-883.43999999999971"/>
    <n v="-2061.3599999999997"/>
    <n v="-0.101047058823529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74C633-949F-4CBB-8C4E-B5639E12605A}" name="PivotTable49" cacheId="21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chartFormat="8">
  <location ref="A17:C22" firstHeaderRow="0" firstDataRow="1" firstDataCol="1"/>
  <pivotFields count="22">
    <pivotField compact="0" outline="0" showAll="0" defaultSubtotal="0">
      <items count="13">
        <item x="4"/>
        <item x="5"/>
        <item x="6"/>
        <item x="7"/>
        <item x="8"/>
        <item x="9"/>
        <item x="10"/>
        <item x="11"/>
        <item x="0"/>
        <item x="12"/>
        <item x="2"/>
        <item x="3"/>
        <item x="1"/>
      </items>
    </pivotField>
    <pivotField compact="0" outline="0" showAll="0" defaultSubtotal="0">
      <items count="2">
        <item x="0"/>
        <item x="1"/>
      </items>
    </pivotField>
    <pivotField compact="0" outline="0" showAll="0" defaultSubtotal="0"/>
    <pivotField compact="0" outline="0" showAll="0" defaultSubtotal="0"/>
    <pivotField compact="0" outline="0" showAll="0" defaultSubtotal="0"/>
    <pivotField axis="axisRow" compact="0" outline="0" showAll="0" defaultSubtotal="0">
      <items count="5">
        <item x="2"/>
        <item x="3"/>
        <item x="4"/>
        <item x="0"/>
        <item x="1"/>
      </items>
    </pivotField>
    <pivotField compact="0" outline="0" showAll="0" defaultSubtotal="0"/>
    <pivotField compact="0" outline="0" showAll="0" defaultSubtotal="0"/>
    <pivotField compact="0" outline="0" showAll="0" defaultSubtotal="0"/>
    <pivotField compact="0" outline="0" showAll="0" defaultSubtotal="0"/>
    <pivotField compact="0" numFmtId="9" outline="0" showAll="0" defaultSubtotal="0"/>
    <pivotField compact="0" numFmtId="9" outline="0" showAll="0" defaultSubtotal="0"/>
    <pivotField compact="0" outline="0" showAll="0" defaultSubtotal="0"/>
    <pivotField compact="0" numFmtId="9" outline="0" showAll="0" defaultSubtotal="0"/>
    <pivotField dataField="1" compact="0" numFmtId="2" outline="0" showAll="0" defaultSubtotal="0"/>
    <pivotField dataField="1" compact="0" numFmtId="2" outline="0" showAll="0" defaultSubtotal="0"/>
    <pivotField compact="0" outline="0" showAll="0" defaultSubtotal="0"/>
    <pivotField compact="0" outline="0" showAll="0" defaultSubtotal="0"/>
    <pivotField compact="0" numFmtId="2" outline="0" showAll="0" defaultSubtotal="0"/>
    <pivotField compact="0" outline="0" showAll="0" defaultSubtotal="0"/>
    <pivotField compact="0" numFmtId="2" outline="0" showAll="0" defaultSubtotal="0"/>
    <pivotField compact="0" numFmtId="9" outline="0" showAll="0" defaultSubtotal="0"/>
  </pivotFields>
  <rowFields count="1">
    <field x="5"/>
  </rowFields>
  <rowItems count="5">
    <i>
      <x/>
    </i>
    <i>
      <x v="1"/>
    </i>
    <i>
      <x v="2"/>
    </i>
    <i>
      <x v="3"/>
    </i>
    <i>
      <x v="4"/>
    </i>
  </rowItems>
  <colFields count="1">
    <field x="-2"/>
  </colFields>
  <colItems count="2">
    <i>
      <x/>
    </i>
    <i i="1">
      <x v="1"/>
    </i>
  </colItems>
  <dataFields count="2">
    <dataField name="Sum of Gross Revenue" fld="14" baseField="0" baseItem="0" numFmtId="2"/>
    <dataField name="Sum of Net Revenue" fld="15"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063234-42C3-4031-A0E8-5AF4F07CEC4C}" name="PivotTable48" cacheId="2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22">
    <pivotField showAll="0"/>
    <pivotField showAll="0">
      <items count="3">
        <item h="1" x="0"/>
        <item x="1"/>
        <item t="default"/>
      </items>
    </pivotField>
    <pivotField showAll="0"/>
    <pivotField showAll="0"/>
    <pivotField showAll="0">
      <items count="6">
        <item x="1"/>
        <item h="1" x="0"/>
        <item h="1" x="3"/>
        <item h="1" x="2"/>
        <item h="1" x="4"/>
        <item t="default"/>
      </items>
    </pivotField>
    <pivotField showAll="0">
      <items count="6">
        <item h="1" x="2"/>
        <item h="1" x="3"/>
        <item x="4"/>
        <item x="0"/>
        <item h="1" x="1"/>
        <item t="default"/>
      </items>
    </pivotField>
    <pivotField showAll="0">
      <items count="6">
        <item h="1" x="4"/>
        <item x="1"/>
        <item x="2"/>
        <item x="3"/>
        <item x="0"/>
        <item t="default"/>
      </items>
    </pivotField>
    <pivotField showAll="0"/>
    <pivotField showAll="0"/>
    <pivotField showAll="0"/>
    <pivotField numFmtId="9" showAll="0"/>
    <pivotField numFmtId="9" showAll="0"/>
    <pivotField showAll="0"/>
    <pivotField numFmtId="9" showAll="0"/>
    <pivotField numFmtId="2" showAll="0"/>
    <pivotField numFmtId="2" showAll="0"/>
    <pivotField showAll="0"/>
    <pivotField showAll="0"/>
    <pivotField numFmtId="2" showAll="0"/>
    <pivotField showAll="0"/>
    <pivotField numFmtId="2" showAll="0"/>
    <pivotField dataField="1" numFmtId="9" showAll="0"/>
  </pivotFields>
  <rowItems count="1">
    <i/>
  </rowItems>
  <colItems count="1">
    <i/>
  </colItems>
  <dataFields count="1">
    <dataField name="Average of Net Profit margin" fld="21"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544CF0-E63D-4C60-B7DF-58B1FBE810BD}" name="PivotTable47" cacheId="2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22">
    <pivotField showAll="0"/>
    <pivotField showAll="0">
      <items count="3">
        <item h="1" x="0"/>
        <item x="1"/>
        <item t="default"/>
      </items>
    </pivotField>
    <pivotField showAll="0"/>
    <pivotField showAll="0"/>
    <pivotField showAll="0">
      <items count="6">
        <item x="1"/>
        <item h="1" x="0"/>
        <item h="1" x="3"/>
        <item h="1" x="2"/>
        <item h="1" x="4"/>
        <item t="default"/>
      </items>
    </pivotField>
    <pivotField showAll="0">
      <items count="6">
        <item h="1" x="2"/>
        <item h="1" x="3"/>
        <item x="4"/>
        <item x="0"/>
        <item h="1" x="1"/>
        <item t="default"/>
      </items>
    </pivotField>
    <pivotField showAll="0">
      <items count="6">
        <item h="1" x="4"/>
        <item x="1"/>
        <item x="2"/>
        <item x="3"/>
        <item x="0"/>
        <item t="default"/>
      </items>
    </pivotField>
    <pivotField showAll="0"/>
    <pivotField showAll="0"/>
    <pivotField showAll="0"/>
    <pivotField numFmtId="9" showAll="0"/>
    <pivotField numFmtId="9" showAll="0"/>
    <pivotField showAll="0"/>
    <pivotField numFmtId="9" showAll="0"/>
    <pivotField numFmtId="2" showAll="0"/>
    <pivotField numFmtId="2" showAll="0"/>
    <pivotField showAll="0"/>
    <pivotField showAll="0"/>
    <pivotField numFmtId="2" showAll="0"/>
    <pivotField showAll="0"/>
    <pivotField dataField="1" numFmtId="2" showAll="0"/>
    <pivotField numFmtId="9" showAll="0"/>
  </pivotFields>
  <rowItems count="1">
    <i/>
  </rowItems>
  <colItems count="1">
    <i/>
  </colItems>
  <dataFields count="1">
    <dataField name="Sum of Net Profit" fld="20"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661A6B-EE9C-4096-B095-F857D331D9B4}" name="PivotTable46" cacheId="2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2">
    <pivotField showAll="0"/>
    <pivotField showAll="0">
      <items count="3">
        <item h="1" x="0"/>
        <item x="1"/>
        <item t="default"/>
      </items>
    </pivotField>
    <pivotField showAll="0"/>
    <pivotField showAll="0"/>
    <pivotField showAll="0">
      <items count="6">
        <item x="1"/>
        <item h="1" x="0"/>
        <item h="1" x="3"/>
        <item h="1" x="2"/>
        <item h="1" x="4"/>
        <item t="default"/>
      </items>
    </pivotField>
    <pivotField showAll="0">
      <items count="6">
        <item h="1" x="2"/>
        <item h="1" x="3"/>
        <item x="4"/>
        <item x="0"/>
        <item h="1" x="1"/>
        <item t="default"/>
      </items>
    </pivotField>
    <pivotField showAll="0">
      <items count="6">
        <item h="1" x="4"/>
        <item x="1"/>
        <item x="2"/>
        <item x="3"/>
        <item x="0"/>
        <item t="default"/>
      </items>
    </pivotField>
    <pivotField showAll="0"/>
    <pivotField showAll="0"/>
    <pivotField showAll="0"/>
    <pivotField numFmtId="9" showAll="0"/>
    <pivotField numFmtId="9" showAll="0"/>
    <pivotField showAll="0"/>
    <pivotField numFmtId="9" showAll="0"/>
    <pivotField numFmtId="2" showAll="0"/>
    <pivotField dataField="1" numFmtId="2" showAll="0"/>
    <pivotField showAll="0"/>
    <pivotField showAll="0"/>
    <pivotField numFmtId="2" showAll="0"/>
    <pivotField showAll="0"/>
    <pivotField numFmtId="2" showAll="0"/>
    <pivotField numFmtId="9" showAll="0"/>
  </pivotFields>
  <rowItems count="1">
    <i/>
  </rowItems>
  <colItems count="1">
    <i/>
  </colItems>
  <dataFields count="1">
    <dataField name="Sum of Net Revenue" fld="15"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367671-6A3A-408F-98AF-5BF0F1C51AD6}" name="PivotTable45" cacheId="2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22">
    <pivotField showAll="0"/>
    <pivotField showAll="0">
      <items count="3">
        <item h="1" x="0"/>
        <item x="1"/>
        <item t="default"/>
      </items>
    </pivotField>
    <pivotField showAll="0"/>
    <pivotField showAll="0"/>
    <pivotField showAll="0">
      <items count="6">
        <item x="1"/>
        <item h="1" x="0"/>
        <item h="1" x="3"/>
        <item h="1" x="2"/>
        <item h="1" x="4"/>
        <item t="default"/>
      </items>
    </pivotField>
    <pivotField showAll="0">
      <items count="6">
        <item h="1" x="2"/>
        <item h="1" x="3"/>
        <item x="4"/>
        <item x="0"/>
        <item h="1" x="1"/>
        <item t="default"/>
      </items>
    </pivotField>
    <pivotField showAll="0">
      <items count="6">
        <item h="1" x="4"/>
        <item x="1"/>
        <item x="2"/>
        <item x="3"/>
        <item x="0"/>
        <item t="default"/>
      </items>
    </pivotField>
    <pivotField showAll="0"/>
    <pivotField showAll="0"/>
    <pivotField showAll="0"/>
    <pivotField numFmtId="9" showAll="0"/>
    <pivotField numFmtId="9" showAll="0"/>
    <pivotField showAll="0"/>
    <pivotField numFmtId="9" showAll="0"/>
    <pivotField dataField="1" numFmtId="2" showAll="0"/>
    <pivotField numFmtId="2" showAll="0"/>
    <pivotField showAll="0"/>
    <pivotField showAll="0"/>
    <pivotField numFmtId="2" showAll="0"/>
    <pivotField showAll="0"/>
    <pivotField numFmtId="2" showAll="0"/>
    <pivotField numFmtId="9" showAll="0"/>
  </pivotFields>
  <rowItems count="1">
    <i/>
  </rowItems>
  <colItems count="1">
    <i/>
  </colItems>
  <dataFields count="1">
    <dataField name="Sum of Gross Revenue" fld="14"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2" xr16:uid="{0015B647-3AAD-44D6-9DBD-FA63E4DC9EBF}" autoFormatId="16" applyNumberFormats="0" applyBorderFormats="0" applyFontFormats="0" applyPatternFormats="0" applyAlignmentFormats="0" applyWidthHeightFormats="0">
  <queryTableRefresh nextId="24" unboundColumnsRight="15">
    <queryTableFields count="22">
      <queryTableField id="1" name="Month" tableColumnId="1"/>
      <queryTableField id="2" name="Year" tableColumnId="2"/>
      <queryTableField id="3" name="Month-Year" tableColumnId="3"/>
      <queryTableField id="4" name="Key" tableColumnId="4"/>
      <queryTableField id="5" name="Segment" tableColumnId="5"/>
      <queryTableField id="6" name="Product" tableColumnId="6"/>
      <queryTableField id="7" name="Country" tableColumnId="7"/>
      <queryTableField id="8" dataBound="0" tableColumnId="8"/>
      <queryTableField id="9" dataBound="0" tableColumnId="9"/>
      <queryTableField id="10" dataBound="0" tableColumnId="10"/>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6CE5E432-AAA2-4075-8143-B04117410338}" autoFormatId="16" applyNumberFormats="0" applyBorderFormats="0" applyFontFormats="0" applyPatternFormats="0" applyAlignmentFormats="0" applyWidthHeightFormats="0">
  <queryTableRefresh nextId="7">
    <queryTableFields count="6">
      <queryTableField id="1" name="Month" tableColumnId="1"/>
      <queryTableField id="2" name="Year" tableColumnId="2"/>
      <queryTableField id="3" name="Month-Year" tableColumnId="3"/>
      <queryTableField id="4" name="Key" tableColumnId="4"/>
      <queryTableField id="5" name="Segment" tableColumnId="5"/>
      <queryTableField id="6" name="Product"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30EDB11D-8B35-4952-9934-B733BBD5046D}" autoFormatId="16" applyNumberFormats="0" applyBorderFormats="0" applyFontFormats="0" applyPatternFormats="0" applyAlignmentFormats="0" applyWidthHeightFormats="0">
  <queryTableRefresh nextId="6">
    <queryTableFields count="5">
      <queryTableField id="1" name="Month" tableColumnId="1"/>
      <queryTableField id="2" name="Year" tableColumnId="2"/>
      <queryTableField id="3" name="Month-Year" tableColumnId="3"/>
      <queryTableField id="4" name="Key" tableColumnId="4"/>
      <queryTableField id="5" name="Segment"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E70F1D3-1661-482A-A7AD-CBDF8D28FF0E}" autoFormatId="16" applyNumberFormats="0" applyBorderFormats="0" applyFontFormats="0" applyPatternFormats="0" applyAlignmentFormats="0" applyWidthHeightFormats="0">
  <queryTableRefresh nextId="5">
    <queryTableFields count="4">
      <queryTableField id="1" name="Month" tableColumnId="1"/>
      <queryTableField id="2" name="Year" tableColumnId="2"/>
      <queryTableField id="3" name="Month-Year" tableColumnId="3"/>
      <queryTableField id="4" name="Ke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AF7EDAC3-7800-4CD7-8832-9FF25E6D34E4}" autoFormatId="16" applyNumberFormats="0" applyBorderFormats="0" applyFontFormats="0" applyPatternFormats="0" applyAlignmentFormats="0" applyWidthHeightFormats="0">
  <queryTableRefresh nextId="3">
    <queryTableFields count="2">
      <queryTableField id="1" name="Country" tableColumnId="1"/>
      <queryTableField id="2" name="Key"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B2711AE5-DEEE-4636-BB31-3CE911F39F34}" autoFormatId="16" applyNumberFormats="0" applyBorderFormats="0" applyFontFormats="0" applyPatternFormats="0" applyAlignmentFormats="0" applyWidthHeightFormats="0">
  <queryTableRefresh nextId="3">
    <queryTableFields count="2">
      <queryTableField id="1" name="Segment" tableColumnId="1"/>
      <queryTableField id="2" name="Key"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F7CC7501-9468-49F7-BAF4-FCD01F787170}" autoFormatId="16" applyNumberFormats="0" applyBorderFormats="0" applyFontFormats="0" applyPatternFormats="0" applyAlignmentFormats="0" applyWidthHeightFormats="0">
  <queryTableRefresh nextId="3">
    <queryTableFields count="2">
      <queryTableField id="1" name="Product" tableColumnId="1"/>
      <queryTableField id="2" name="Key"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69D33C9-704C-4997-AB40-E545E2F00F19}" sourceName="Year">
  <pivotTables>
    <pivotTable tabId="22" name="PivotTable45"/>
    <pivotTable tabId="22" name="PivotTable46"/>
    <pivotTable tabId="22" name="PivotTable47"/>
    <pivotTable tabId="22" name="PivotTable48"/>
  </pivotTables>
  <data>
    <tabular pivotCacheId="166398217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D3BFE7C1-9FE2-457E-98A2-C5EE90282CFC}" sourceName="Segment">
  <pivotTables>
    <pivotTable tabId="22" name="PivotTable45"/>
    <pivotTable tabId="22" name="PivotTable46"/>
    <pivotTable tabId="22" name="PivotTable47"/>
    <pivotTable tabId="22" name="PivotTable48"/>
  </pivotTables>
  <data>
    <tabular pivotCacheId="1663982171">
      <items count="5">
        <i x="1" s="1"/>
        <i x="0"/>
        <i x="3"/>
        <i x="2"/>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203FEDD-94DB-43ED-9141-91090BEE5AC8}" sourceName="Product">
  <pivotTables>
    <pivotTable tabId="22" name="PivotTable45"/>
    <pivotTable tabId="22" name="PivotTable46"/>
    <pivotTable tabId="22" name="PivotTable47"/>
    <pivotTable tabId="22" name="PivotTable48"/>
  </pivotTables>
  <data>
    <tabular pivotCacheId="1663982171">
      <items count="5">
        <i x="2"/>
        <i x="3"/>
        <i x="4" s="1"/>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7E120A6-6510-404A-A7B5-A424D9A37D33}" sourceName="Country">
  <pivotTables>
    <pivotTable tabId="22" name="PivotTable45"/>
    <pivotTable tabId="22" name="PivotTable46"/>
    <pivotTable tabId="22" name="PivotTable47"/>
    <pivotTable tabId="22" name="PivotTable48"/>
  </pivotTables>
  <data>
    <tabular pivotCacheId="1663982171">
      <items count="5">
        <i x="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78004D5-53DA-4069-895E-AB16A291D395}" cache="Slicer_Year" caption="Year" rowHeight="247650"/>
  <slicer name="Segment" xr10:uid="{7C5FE2DD-1C5B-42EE-9775-7F7FC9270B4E}" cache="Slicer_Segment" caption="Segment" rowHeight="247650"/>
  <slicer name="Product" xr10:uid="{31E0D03F-BEBC-41ED-9333-3168AE7162C3}" cache="Slicer_Product" caption="Product" rowHeight="247650"/>
  <slicer name="Country" xr10:uid="{BB82B2A6-24B4-43CA-BDC2-E6BF58965D27}" cache="Slicer_Country" caption="Country" rowHeight="2476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EC5C86-9C5D-4F01-93E0-D6D766C577AD}" name="Table1" displayName="Table1" ref="A1:P701" totalsRowShown="0">
  <autoFilter ref="A1:P701" xr:uid="{1CEC5C86-9C5D-4F01-93E0-D6D766C577AD}">
    <filterColumn colId="2">
      <filters>
        <filter val="VTT"/>
      </filters>
    </filterColumn>
    <filterColumn colId="15">
      <filters>
        <filter val="2014"/>
      </filters>
    </filterColumn>
  </autoFilter>
  <tableColumns count="16">
    <tableColumn id="1" xr3:uid="{92A608DF-330D-45B1-810B-71A7D7197068}" name="Segment"/>
    <tableColumn id="2" xr3:uid="{60341DFF-91C2-4246-B645-6CD5D63FB4CA}" name="Country"/>
    <tableColumn id="3" xr3:uid="{6EB7B74C-6577-4F39-B2D9-1F7ECDF6CC14}" name=" Product "/>
    <tableColumn id="4" xr3:uid="{29D328B7-59ED-46F4-AC3B-9B980045E9EC}" name=" Discount Band "/>
    <tableColumn id="5" xr3:uid="{A78BF380-3969-466B-8AB8-025200D14AD8}" name=" Units Sold " dataDxfId="39"/>
    <tableColumn id="6" xr3:uid="{1E26F543-D8D9-46BE-8402-228F4E925AC7}" name=" Manufacturing Price "/>
    <tableColumn id="7" xr3:uid="{5907D341-0BD1-433A-9A11-E3FABD639CAC}" name=" Sale Price "/>
    <tableColumn id="8" xr3:uid="{EEA789F6-7D5A-44D0-957E-AE4D16A8EBEE}" name=" Gross Sales " dataDxfId="38"/>
    <tableColumn id="9" xr3:uid="{521A5477-6BA9-459F-AA1E-1C0E267A976E}" name=" Discounts " dataDxfId="37"/>
    <tableColumn id="10" xr3:uid="{7FA62AA5-F3DF-4B5F-8E3C-7909D202905D}" name="  Sales " dataDxfId="36"/>
    <tableColumn id="11" xr3:uid="{9AFFD75C-80C9-44AD-9326-88C0065B01DB}" name=" COGS " dataDxfId="35"/>
    <tableColumn id="12" xr3:uid="{258A0F34-ED96-4F9D-BA5A-6E935F44E67B}" name=" Profit " dataDxfId="34"/>
    <tableColumn id="13" xr3:uid="{24E400E1-A627-4B8D-A873-620C3F82D4D1}" name="Date" dataDxfId="33"/>
    <tableColumn id="14" xr3:uid="{788A839A-4BB0-4B7B-8531-875F2F20D421}" name="Month Number"/>
    <tableColumn id="15" xr3:uid="{941182FB-1D82-44F3-8BDB-ACC0F1697097}" name=" Month Name "/>
    <tableColumn id="16" xr3:uid="{E28B849E-3D07-4328-A97E-0FDE839E3CD7}" name="Yea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67E6E38-0D7A-46BC-9F39-9D95DCEDECF6}" name="Final_Table" displayName="Final_Table" ref="A1:V2001" tableType="queryTable" totalsRowShown="0">
  <autoFilter ref="A1:V2001" xr:uid="{E67E6E38-0D7A-46BC-9F39-9D95DCEDECF6}"/>
  <tableColumns count="22">
    <tableColumn id="1" xr3:uid="{08151709-8EFF-4043-8775-9B700AE11126}" uniqueName="1" name="Month" queryTableFieldId="1" dataDxfId="14"/>
    <tableColumn id="2" xr3:uid="{E96D9B14-BA0B-4500-949A-EBAA7FE9AF99}" uniqueName="2" name="Year" queryTableFieldId="2"/>
    <tableColumn id="3" xr3:uid="{3372D5F4-51EA-43F0-AFEC-5977231F7DF4}" uniqueName="3" name="Month-Year" queryTableFieldId="3"/>
    <tableColumn id="4" xr3:uid="{09EC6FB5-64F6-4F6B-B28A-0050F575B561}" uniqueName="4" name="Key" queryTableFieldId="4"/>
    <tableColumn id="5" xr3:uid="{245B2410-6934-499A-855A-E01707A70DFC}" uniqueName="5" name="Segment" queryTableFieldId="5" dataDxfId="13"/>
    <tableColumn id="6" xr3:uid="{D682699D-468C-45F3-BAF0-17702622759B}" uniqueName="6" name="Product" queryTableFieldId="6" dataDxfId="12"/>
    <tableColumn id="7" xr3:uid="{158B6C3E-3970-4FC4-B58A-4FCBF0ADDE48}" uniqueName="7" name="Country" queryTableFieldId="7" dataDxfId="11"/>
    <tableColumn id="8" xr3:uid="{46F118CF-F380-4353-A623-4FAA77EC57CF}" uniqueName="8" name="Scenario" queryTableFieldId="8" dataDxfId="10">
      <calculatedColumnFormula>Assumptions!$B$2</calculatedColumnFormula>
    </tableColumn>
    <tableColumn id="9" xr3:uid="{F6C17E3D-FE90-4EC2-9DE4-72FC4C1EDCF0}" uniqueName="9" name="Units Sold" queryTableFieldId="9" dataDxfId="9">
      <calculatedColumnFormula>_xlfn.XLOOKUP(Assumptions!$B$2,Assumptions!$F$4:$H$4,Assumptions!$F$5:$H$5)</calculatedColumnFormula>
    </tableColumn>
    <tableColumn id="10" xr3:uid="{8420F172-7DB7-4A15-8DE4-42F833FD63A7}" uniqueName="10" name="Sale Price" queryTableFieldId="10" dataDxfId="8">
      <calculatedColumnFormula>_xlfn.XLOOKUP(Assumptions!$B$2,Assumptions!$F$4:$H$4,Assumptions!$F$6:$H$6)</calculatedColumnFormula>
    </tableColumn>
    <tableColumn id="12" xr3:uid="{215EB3E5-93A6-4798-A216-FB1721B4B7AB}" uniqueName="12" name="Discount %" queryTableFieldId="12" dataCellStyle="Percent">
      <calculatedColumnFormula>_xlfn.XLOOKUP(Assumptions!$B$2,Assumptions!$F$4:$H$4,Assumptions!$F$8:$H$8)</calculatedColumnFormula>
    </tableColumn>
    <tableColumn id="13" xr3:uid="{C13C7FA8-602F-464B-8440-D972830B42E4}" uniqueName="13" name="Variable Cost %" queryTableFieldId="13" dataCellStyle="Percent">
      <calculatedColumnFormula>_xlfn.XLOOKUP(Assumptions!$B$2,Assumptions!$F$4:$H$4,Assumptions!$F$9:$H$9)</calculatedColumnFormula>
    </tableColumn>
    <tableColumn id="14" xr3:uid="{CFF36F34-2254-449A-A8CF-E997C0DD67A3}" uniqueName="14" name="Fixed Monthly Cost" queryTableFieldId="14" dataDxfId="7">
      <calculatedColumnFormula>_xlfn.XLOOKUP(Assumptions!$B$2,Assumptions!$F$4:$H$4,Assumptions!$F$10:$H$10)</calculatedColumnFormula>
    </tableColumn>
    <tableColumn id="15" xr3:uid="{748071F1-FC82-4015-AB15-F1C670A51FA7}" uniqueName="15" name="Tax Rate" queryTableFieldId="15" dataCellStyle="Percent">
      <calculatedColumnFormula>_xlfn.XLOOKUP(Assumptions!$B$2,Assumptions!$F$4:$H$4,Assumptions!$F$11:$H$11)</calculatedColumnFormula>
    </tableColumn>
    <tableColumn id="16" xr3:uid="{4E0C1DD8-46D4-43F0-AFD3-3C555F6819A7}" uniqueName="16" name="Gross Revenue" queryTableFieldId="16" dataDxfId="6" dataCellStyle="Percent">
      <calculatedColumnFormula>Final_Table[[#This Row],[Units Sold]]*Final_Table[[#This Row],[Sale Price]]</calculatedColumnFormula>
    </tableColumn>
    <tableColumn id="17" xr3:uid="{3F192A9C-9A4B-4481-925A-286E86B8D583}" uniqueName="17" name="Net Revenue" queryTableFieldId="17" dataDxfId="5" dataCellStyle="Percent">
      <calculatedColumnFormula>Final_Table[[#This Row],[Gross Revenue]]*(1-Final_Table[[#This Row],[Discount %]])</calculatedColumnFormula>
    </tableColumn>
    <tableColumn id="18" xr3:uid="{FB92D3A0-FDEE-4B0D-9966-6444BC5158B0}" uniqueName="18" name="Variable Cost" queryTableFieldId="18" dataDxfId="4">
      <calculatedColumnFormula>Final_Table[[#This Row],[Net Revenue]]*Final_Table[[#This Row],[Variable Cost %]]</calculatedColumnFormula>
    </tableColumn>
    <tableColumn id="19" xr3:uid="{D73A84E2-56D9-4B71-B0C2-DF9CD40C4201}" uniqueName="19" name="Total Cost (COGS)" queryTableFieldId="19" dataDxfId="3">
      <calculatedColumnFormula>Final_Table[[#This Row],[Variable Cost]]+Final_Table[[#This Row],[Fixed Monthly Cost]]</calculatedColumnFormula>
    </tableColumn>
    <tableColumn id="20" xr3:uid="{2A7F648D-D85A-462A-9FB1-023DE542CBC7}" uniqueName="20" name="Gross Profit" queryTableFieldId="20" dataDxfId="2">
      <calculatedColumnFormula>Final_Table[[#This Row],[Net Revenue]]-Final_Table[[#This Row],[Total Cost (COGS)]]</calculatedColumnFormula>
    </tableColumn>
    <tableColumn id="21" xr3:uid="{356FBBB7-459E-4005-9785-EAED3DBC1D03}" uniqueName="21" name="Tax" queryTableFieldId="21" dataDxfId="1">
      <calculatedColumnFormula>Final_Table[[#This Row],[Gross Profit]]*Final_Table[[#This Row],[Tax Rate]]</calculatedColumnFormula>
    </tableColumn>
    <tableColumn id="22" xr3:uid="{4432BE8E-9400-4F95-8C86-CBC45E59CA11}" uniqueName="22" name="Net Profit" queryTableFieldId="22" dataDxfId="0">
      <calculatedColumnFormula>Final_Table[[#This Row],[Gross Profit]]-Final_Table[[#This Row],[Tax]]</calculatedColumnFormula>
    </tableColumn>
    <tableColumn id="23" xr3:uid="{DC5148EA-6996-47E1-AED9-A49BB757E67A}" uniqueName="23" name="Net Profit margin" queryTableFieldId="23" dataCellStyle="Percent">
      <calculatedColumnFormula>Final_Table[[#This Row],[Net Profit]]/Final_Table[[#This Row],[Gross Revenue]]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96466C1-04FC-4573-B0E7-F34856AC0B27}" name="Month_Year_Segment_Product" displayName="Month_Year_Segment_Product" ref="A1:F401" tableType="queryTable" totalsRowShown="0">
  <autoFilter ref="A1:F401" xr:uid="{896466C1-04FC-4573-B0E7-F34856AC0B27}"/>
  <tableColumns count="6">
    <tableColumn id="1" xr3:uid="{AB0DA778-433C-4352-AF79-286DF3831451}" uniqueName="1" name="Month" queryTableFieldId="1" dataDxfId="17"/>
    <tableColumn id="2" xr3:uid="{32BA1718-B5E1-4092-AADD-D9C3CCEFF416}" uniqueName="2" name="Year" queryTableFieldId="2"/>
    <tableColumn id="3" xr3:uid="{F0FAA433-E6B1-484B-B73D-7BFB5CEFA291}" uniqueName="3" name="Month-Year" queryTableFieldId="3"/>
    <tableColumn id="4" xr3:uid="{42A92A28-67D5-4229-B737-0225734F7E9E}" uniqueName="4" name="Key" queryTableFieldId="4"/>
    <tableColumn id="5" xr3:uid="{E999A68B-B0E3-4FF8-9DC0-12A16FE15D02}" uniqueName="5" name="Segment" queryTableFieldId="5" dataDxfId="16"/>
    <tableColumn id="6" xr3:uid="{D8DAEC3E-48FD-4F98-9481-0FE4759FEB7F}" uniqueName="6" name="Product" queryTableFieldId="6" dataDxfId="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4055B4C-992E-4950-AD1A-4F617D3EC06F}" name="Month_Year_Segment" displayName="Month_Year_Segment" ref="A1:E81" tableType="queryTable" totalsRowShown="0">
  <autoFilter ref="A1:E81" xr:uid="{E4055B4C-992E-4950-AD1A-4F617D3EC06F}"/>
  <tableColumns count="5">
    <tableColumn id="1" xr3:uid="{3AA0C54B-6734-4025-A4B9-BFD4A689944C}" uniqueName="1" name="Month" queryTableFieldId="1" dataDxfId="19"/>
    <tableColumn id="2" xr3:uid="{177ED07A-2F58-436D-B9B5-4D15130A2D03}" uniqueName="2" name="Year" queryTableFieldId="2"/>
    <tableColumn id="3" xr3:uid="{E8073829-A532-454A-B549-0164398FA330}" uniqueName="3" name="Month-Year" queryTableFieldId="3"/>
    <tableColumn id="4" xr3:uid="{E1D19287-91F3-4518-B771-04717C5BBCC6}" uniqueName="4" name="Key" queryTableFieldId="4"/>
    <tableColumn id="5" xr3:uid="{7D1C6DFB-88E3-415D-BEBB-D1AF5626523B}" uniqueName="5" name="Segment" queryTableFieldId="5" dataDxfId="1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65DCDF8-86A4-48BC-A912-4C9E26B0D010}" name="MonthYearTable" displayName="MonthYearTable" ref="A1:D17" tableType="queryTable" totalsRowShown="0">
  <autoFilter ref="A1:D17" xr:uid="{965DCDF8-86A4-48BC-A912-4C9E26B0D010}"/>
  <tableColumns count="4">
    <tableColumn id="1" xr3:uid="{900DCC9B-D672-43AD-B4F1-E58EA4B589BD}" uniqueName="1" name="Month" queryTableFieldId="1" dataDxfId="29"/>
    <tableColumn id="2" xr3:uid="{1BBAFDF5-BBD9-432A-B07B-0AF24B23D7C6}" uniqueName="2" name="Year" queryTableFieldId="2"/>
    <tableColumn id="3" xr3:uid="{70A85EE8-9053-4632-8590-39C4A01F0CC6}" uniqueName="3" name="Month-Year" queryTableFieldId="3"/>
    <tableColumn id="4" xr3:uid="{B1E67D8C-3016-441E-B6B9-4BACB30C2866}" uniqueName="4" name="Key" queryTableField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95163BE-CE42-4B8D-8EEE-8A90790EFA93}" name="CountryTable" displayName="CountryTable" ref="A1:B6" tableType="queryTable" totalsRowShown="0">
  <autoFilter ref="A1:B6" xr:uid="{095163BE-CE42-4B8D-8EEE-8A90790EFA93}"/>
  <tableColumns count="2">
    <tableColumn id="1" xr3:uid="{B5931901-AEA9-4C6E-9B90-19D55AAD5FAD}" uniqueName="1" name="Country" queryTableFieldId="1" dataDxfId="25"/>
    <tableColumn id="2" xr3:uid="{FAFD21E6-6B1B-4A56-BD35-78E0E07A9746}" uniqueName="2" name="Key" queryTableField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BAACEE-7752-4BF7-8825-B7046BB1F6EF}" name="SegmentTable" displayName="SegmentTable" ref="A1:B6" tableType="queryTable" totalsRowShown="0">
  <autoFilter ref="A1:B6" xr:uid="{72BAACEE-7752-4BF7-8825-B7046BB1F6EF}"/>
  <tableColumns count="2">
    <tableColumn id="1" xr3:uid="{5D048557-8EB1-4DBF-8DED-ED1721BA8235}" uniqueName="1" name="Segment" queryTableFieldId="1" dataDxfId="21"/>
    <tableColumn id="2" xr3:uid="{1ACF3F76-E9E1-4800-A413-B6C3F2D94F36}" uniqueName="2" name="Key" queryTableField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433B974-A524-4BA3-B717-22C56AC6745D}" name="ProductTable" displayName="ProductTable" ref="A1:B6" tableType="queryTable" totalsRowShown="0">
  <autoFilter ref="A1:B6" xr:uid="{D433B974-A524-4BA3-B717-22C56AC6745D}"/>
  <tableColumns count="2">
    <tableColumn id="1" xr3:uid="{DDC6C7C9-74AC-4E25-952C-8D383CFF86D8}" uniqueName="1" name="Product" queryTableFieldId="1" dataDxfId="20"/>
    <tableColumn id="2" xr3:uid="{3FDAE47A-8B22-4D6E-8D21-0CF57E79E319}" uniqueName="2" name="Key" queryTableFieldId="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79618A-D3C0-4DF1-B01C-00445FCAD59E}" name="Table3" displayName="Table3" ref="A1:B17" totalsRowShown="0">
  <autoFilter ref="A1:B17" xr:uid="{E979618A-D3C0-4DF1-B01C-00445FCAD59E}"/>
  <tableColumns count="2">
    <tableColumn id="1" xr3:uid="{F95C40A8-3ADF-42ED-BB3B-AA1E5B1105EE}" name="Month"/>
    <tableColumn id="2" xr3:uid="{772E9C17-5B0B-46AA-9703-5D64E145AFAF}" name="Year" dataDxfId="3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C0A132-DC95-44BE-87D3-4A3824979D14}" name="Table5" displayName="Table5" ref="C1:C6" totalsRowShown="0" headerRowDxfId="26" dataDxfId="27">
  <autoFilter ref="C1:C6" xr:uid="{D5C0A132-DC95-44BE-87D3-4A3824979D14}"/>
  <tableColumns count="1">
    <tableColumn id="1" xr3:uid="{A83AAF5E-4184-437B-8A00-1F458B35D872}" name="Country" dataDxfId="2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4FE90DA-75EC-4976-B798-01FFDA5FE5EE}" name="Table7" displayName="Table7" ref="D1:D6" totalsRowShown="0" headerRowDxfId="22" dataDxfId="23">
  <autoFilter ref="D1:D6" xr:uid="{E4FE90DA-75EC-4976-B798-01FFDA5FE5EE}"/>
  <tableColumns count="1">
    <tableColumn id="1" xr3:uid="{06BC3A2E-4452-4D1B-89E7-2CD84AB9B577}" name="Segment" dataDxfId="2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F89D2CB-2A6C-46E6-9630-CBD73847E08B}" name="Table9" displayName="Table9" ref="E1:E6" totalsRowShown="0">
  <autoFilter ref="E1:E6" xr:uid="{8F89D2CB-2A6C-46E6-9630-CBD73847E08B}"/>
  <tableColumns count="1">
    <tableColumn id="1" xr3:uid="{F5D526A3-8334-49C6-BE7C-96803C67AC10}" name="Product"/>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6063DB-70F4-4AF4-8C1B-82857379AC8B}" name="Table2" displayName="Table2" ref="A1:T10" totalsRowShown="0" headerRowDxfId="31">
  <autoFilter ref="A1:T10" xr:uid="{0D6063DB-70F4-4AF4-8C1B-82857379AC8B}"/>
  <tableColumns count="20">
    <tableColumn id="1" xr3:uid="{DD39E483-806A-4135-8D1F-66C3160AD628}" name="Month"/>
    <tableColumn id="2" xr3:uid="{03ED1902-D603-404E-B120-4DA69E8E907C}" name="Year"/>
    <tableColumn id="3" xr3:uid="{56E6D033-50E1-4114-8F45-AD858CF7F76A}" name="Segment" dataDxfId="32"/>
    <tableColumn id="4" xr3:uid="{E20DAC7C-C0CA-4A9D-BE1F-47806D35CA70}" name="Country"/>
    <tableColumn id="5" xr3:uid="{B2576DAA-3136-4542-A4B3-E779E2689EE9}" name="Product"/>
    <tableColumn id="6" xr3:uid="{26662E00-08E0-4F79-9B8F-B3252F4188DE}" name="Scenario"/>
    <tableColumn id="7" xr3:uid="{09EEF595-D574-4E21-B0D2-0806351B2BCE}" name="Units Sold"/>
    <tableColumn id="8" xr3:uid="{BD91CBC2-E8EF-49D4-A3ED-9BE63A478AB8}" name="Sale Price"/>
    <tableColumn id="9" xr3:uid="{5EE42B92-092F-4A6D-B7E4-C5DB3752F58E}" name="Discount %"/>
    <tableColumn id="10" xr3:uid="{C4F56FBC-82B1-4158-A4DF-61E0FB25087A}" name="Gross Revenue"/>
    <tableColumn id="11" xr3:uid="{6F8698FB-1156-4BB7-8E5C-B3617BC533D1}" name="Discount %2"/>
    <tableColumn id="12" xr3:uid="{05F63956-925A-451D-9464-A0299891BAAA}" name="Net Revenue"/>
    <tableColumn id="13" xr3:uid="{1737CE1F-66E8-47FF-88F0-0461FECD9BBE}" name="Variable Cost"/>
    <tableColumn id="14" xr3:uid="{E176C331-A543-426E-9CD7-4435E85C4F79}" name="Fixed Cost"/>
    <tableColumn id="15" xr3:uid="{310DBDC3-5042-405D-9E42-14A800FC26F5}" name="Total Cost(COGS)"/>
    <tableColumn id="16" xr3:uid="{5A827F0B-B08C-4261-AEA9-FEF2D15A2A8B}" name="Gross Profit"/>
    <tableColumn id="17" xr3:uid="{E5926F8B-268F-40F0-96D4-93A60A83EA13}" name="Tax Rate"/>
    <tableColumn id="18" xr3:uid="{52586477-BBAD-441B-9929-8DFA292632CB}" name="Tax"/>
    <tableColumn id="19" xr3:uid="{137A6D30-8804-46B3-8A6C-21C42BDA6567}" name="Net Profit"/>
    <tableColumn id="20" xr3:uid="{EB976B0E-F9DB-4A33-B5D9-CA7A1443AA70}" name="Net Margin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4"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5955D-9D3E-4C75-92C6-44B3ADCBE536}">
  <dimension ref="A1:P701"/>
  <sheetViews>
    <sheetView workbookViewId="0">
      <selection activeCell="B1" sqref="B1"/>
    </sheetView>
  </sheetViews>
  <sheetFormatPr defaultRowHeight="14.4"/>
  <cols>
    <col min="1" max="1" width="39.44140625" customWidth="1"/>
    <col min="2" max="2" width="9.33203125" customWidth="1"/>
    <col min="3" max="3" width="10.109375" customWidth="1"/>
    <col min="4" max="4" width="15.44140625" customWidth="1"/>
    <col min="5" max="5" width="34" style="5" customWidth="1"/>
    <col min="6" max="6" width="20" customWidth="1"/>
    <col min="7" max="7" width="11.88671875" customWidth="1"/>
    <col min="8" max="8" width="13.21875" customWidth="1"/>
    <col min="9" max="9" width="11.77734375" customWidth="1"/>
    <col min="14" max="14" width="15.109375" customWidth="1"/>
    <col min="15" max="15" width="14" customWidth="1"/>
  </cols>
  <sheetData>
    <row r="1" spans="1:16">
      <c r="A1" t="s">
        <v>0</v>
      </c>
      <c r="B1" t="s">
        <v>1</v>
      </c>
      <c r="C1" t="s">
        <v>2</v>
      </c>
      <c r="D1" t="s">
        <v>3</v>
      </c>
      <c r="E1" s="5" t="s">
        <v>4</v>
      </c>
      <c r="F1" t="s">
        <v>5</v>
      </c>
      <c r="G1" t="s">
        <v>6</v>
      </c>
      <c r="H1" t="s">
        <v>7</v>
      </c>
      <c r="I1" t="s">
        <v>8</v>
      </c>
      <c r="J1" t="s">
        <v>9</v>
      </c>
      <c r="K1" t="s">
        <v>10</v>
      </c>
      <c r="L1" t="s">
        <v>11</v>
      </c>
      <c r="M1" t="s">
        <v>12</v>
      </c>
      <c r="N1" t="s">
        <v>13</v>
      </c>
      <c r="O1" t="s">
        <v>14</v>
      </c>
      <c r="P1" t="s">
        <v>15</v>
      </c>
    </row>
    <row r="2" spans="1:16" hidden="1">
      <c r="A2" t="s">
        <v>16</v>
      </c>
      <c r="B2" t="s">
        <v>17</v>
      </c>
      <c r="C2" t="s">
        <v>18</v>
      </c>
      <c r="D2" t="s">
        <v>19</v>
      </c>
      <c r="E2" s="5">
        <v>1618.5</v>
      </c>
      <c r="F2">
        <v>3</v>
      </c>
      <c r="G2">
        <v>20</v>
      </c>
      <c r="H2" s="6">
        <v>32370</v>
      </c>
      <c r="I2" t="s">
        <v>58</v>
      </c>
      <c r="J2" s="6">
        <v>32370</v>
      </c>
      <c r="K2" s="6">
        <v>16185</v>
      </c>
      <c r="L2" s="6">
        <v>16185</v>
      </c>
      <c r="M2" s="1">
        <v>41640</v>
      </c>
      <c r="N2">
        <v>1</v>
      </c>
      <c r="O2" t="s">
        <v>20</v>
      </c>
      <c r="P2">
        <v>2014</v>
      </c>
    </row>
    <row r="3" spans="1:16" hidden="1">
      <c r="A3" t="s">
        <v>16</v>
      </c>
      <c r="B3" t="s">
        <v>21</v>
      </c>
      <c r="C3" t="s">
        <v>18</v>
      </c>
      <c r="D3" t="s">
        <v>19</v>
      </c>
      <c r="E3" s="5">
        <v>1321</v>
      </c>
      <c r="F3">
        <v>3</v>
      </c>
      <c r="G3">
        <v>20</v>
      </c>
      <c r="H3" s="6">
        <v>26420</v>
      </c>
      <c r="I3" t="s">
        <v>58</v>
      </c>
      <c r="J3" s="6">
        <v>26420</v>
      </c>
      <c r="K3" s="6">
        <v>13210</v>
      </c>
      <c r="L3" s="6">
        <v>13210</v>
      </c>
      <c r="M3" s="1">
        <v>41640</v>
      </c>
      <c r="N3">
        <v>1</v>
      </c>
      <c r="O3" t="s">
        <v>20</v>
      </c>
      <c r="P3">
        <v>2014</v>
      </c>
    </row>
    <row r="4" spans="1:16" hidden="1">
      <c r="A4" t="s">
        <v>22</v>
      </c>
      <c r="B4" t="s">
        <v>23</v>
      </c>
      <c r="C4" t="s">
        <v>18</v>
      </c>
      <c r="D4" t="s">
        <v>19</v>
      </c>
      <c r="E4" s="5">
        <v>2178</v>
      </c>
      <c r="F4">
        <v>3</v>
      </c>
      <c r="G4">
        <v>15</v>
      </c>
      <c r="H4" s="6">
        <v>32670</v>
      </c>
      <c r="I4" t="s">
        <v>58</v>
      </c>
      <c r="J4" s="6">
        <v>32670</v>
      </c>
      <c r="K4" s="6">
        <v>21780</v>
      </c>
      <c r="L4" s="6">
        <v>10890</v>
      </c>
      <c r="M4" s="1">
        <v>41791</v>
      </c>
      <c r="N4">
        <v>6</v>
      </c>
      <c r="O4" t="s">
        <v>24</v>
      </c>
      <c r="P4">
        <v>2014</v>
      </c>
    </row>
    <row r="5" spans="1:16" hidden="1">
      <c r="A5" t="s">
        <v>22</v>
      </c>
      <c r="B5" t="s">
        <v>21</v>
      </c>
      <c r="C5" t="s">
        <v>18</v>
      </c>
      <c r="D5" t="s">
        <v>19</v>
      </c>
      <c r="E5" s="5">
        <v>888</v>
      </c>
      <c r="F5">
        <v>3</v>
      </c>
      <c r="G5">
        <v>15</v>
      </c>
      <c r="H5" s="6">
        <v>13320</v>
      </c>
      <c r="I5" t="s">
        <v>58</v>
      </c>
      <c r="J5" s="6">
        <v>13320</v>
      </c>
      <c r="K5" s="6">
        <v>8880</v>
      </c>
      <c r="L5" s="6">
        <v>4440</v>
      </c>
      <c r="M5" s="1">
        <v>41791</v>
      </c>
      <c r="N5">
        <v>6</v>
      </c>
      <c r="O5" t="s">
        <v>24</v>
      </c>
      <c r="P5">
        <v>2014</v>
      </c>
    </row>
    <row r="6" spans="1:16" hidden="1">
      <c r="A6" t="s">
        <v>22</v>
      </c>
      <c r="B6" t="s">
        <v>25</v>
      </c>
      <c r="C6" t="s">
        <v>18</v>
      </c>
      <c r="D6" t="s">
        <v>19</v>
      </c>
      <c r="E6" s="5">
        <v>2470</v>
      </c>
      <c r="F6">
        <v>3</v>
      </c>
      <c r="G6">
        <v>15</v>
      </c>
      <c r="H6" s="6">
        <v>37050</v>
      </c>
      <c r="I6" t="s">
        <v>58</v>
      </c>
      <c r="J6" s="6">
        <v>37050</v>
      </c>
      <c r="K6" s="6">
        <v>24700</v>
      </c>
      <c r="L6" s="6">
        <v>12350</v>
      </c>
      <c r="M6" s="1">
        <v>41791</v>
      </c>
      <c r="N6">
        <v>6</v>
      </c>
      <c r="O6" t="s">
        <v>24</v>
      </c>
      <c r="P6">
        <v>2014</v>
      </c>
    </row>
    <row r="7" spans="1:16" hidden="1">
      <c r="A7" t="s">
        <v>16</v>
      </c>
      <c r="B7" t="s">
        <v>21</v>
      </c>
      <c r="C7" t="s">
        <v>18</v>
      </c>
      <c r="D7" t="s">
        <v>19</v>
      </c>
      <c r="E7" s="5">
        <v>1513</v>
      </c>
      <c r="F7">
        <v>3</v>
      </c>
      <c r="G7">
        <v>350</v>
      </c>
      <c r="H7" s="6">
        <v>529550</v>
      </c>
      <c r="I7" t="s">
        <v>58</v>
      </c>
      <c r="J7" s="6">
        <v>529550</v>
      </c>
      <c r="K7" s="6">
        <v>393380</v>
      </c>
      <c r="L7" s="6">
        <v>136170</v>
      </c>
      <c r="M7" s="1">
        <v>41974</v>
      </c>
      <c r="N7">
        <v>12</v>
      </c>
      <c r="O7" t="s">
        <v>26</v>
      </c>
      <c r="P7">
        <v>2014</v>
      </c>
    </row>
    <row r="8" spans="1:16" hidden="1">
      <c r="A8" t="s">
        <v>22</v>
      </c>
      <c r="B8" t="s">
        <v>21</v>
      </c>
      <c r="C8" t="s">
        <v>27</v>
      </c>
      <c r="D8" t="s">
        <v>19</v>
      </c>
      <c r="E8" s="5">
        <v>921</v>
      </c>
      <c r="F8">
        <v>5</v>
      </c>
      <c r="G8">
        <v>15</v>
      </c>
      <c r="H8" s="6">
        <v>13815</v>
      </c>
      <c r="I8" t="s">
        <v>58</v>
      </c>
      <c r="J8" s="6">
        <v>13815</v>
      </c>
      <c r="K8" s="6">
        <v>9210</v>
      </c>
      <c r="L8" s="6">
        <v>4605</v>
      </c>
      <c r="M8" s="1">
        <v>41699</v>
      </c>
      <c r="N8">
        <v>3</v>
      </c>
      <c r="O8" t="s">
        <v>28</v>
      </c>
      <c r="P8">
        <v>2014</v>
      </c>
    </row>
    <row r="9" spans="1:16" hidden="1">
      <c r="A9" t="s">
        <v>29</v>
      </c>
      <c r="B9" t="s">
        <v>17</v>
      </c>
      <c r="C9" t="s">
        <v>27</v>
      </c>
      <c r="D9" t="s">
        <v>19</v>
      </c>
      <c r="E9" s="5">
        <v>2518</v>
      </c>
      <c r="F9">
        <v>5</v>
      </c>
      <c r="G9">
        <v>12</v>
      </c>
      <c r="H9" s="6">
        <v>30216</v>
      </c>
      <c r="I9" t="s">
        <v>58</v>
      </c>
      <c r="J9" s="6">
        <v>30216</v>
      </c>
      <c r="K9" s="6">
        <v>7554</v>
      </c>
      <c r="L9" s="6">
        <v>22662</v>
      </c>
      <c r="M9" s="1">
        <v>41791</v>
      </c>
      <c r="N9">
        <v>6</v>
      </c>
      <c r="O9" t="s">
        <v>24</v>
      </c>
      <c r="P9">
        <v>2014</v>
      </c>
    </row>
    <row r="10" spans="1:16" hidden="1">
      <c r="A10" t="s">
        <v>16</v>
      </c>
      <c r="B10" t="s">
        <v>23</v>
      </c>
      <c r="C10" t="s">
        <v>27</v>
      </c>
      <c r="D10" t="s">
        <v>19</v>
      </c>
      <c r="E10" s="5">
        <v>1899</v>
      </c>
      <c r="F10">
        <v>5</v>
      </c>
      <c r="G10">
        <v>20</v>
      </c>
      <c r="H10" s="6">
        <v>37980</v>
      </c>
      <c r="I10" t="s">
        <v>58</v>
      </c>
      <c r="J10" s="6">
        <v>37980</v>
      </c>
      <c r="K10" s="6">
        <v>18990</v>
      </c>
      <c r="L10" s="6">
        <v>18990</v>
      </c>
      <c r="M10" s="1">
        <v>41791</v>
      </c>
      <c r="N10">
        <v>6</v>
      </c>
      <c r="O10" t="s">
        <v>24</v>
      </c>
      <c r="P10">
        <v>2014</v>
      </c>
    </row>
    <row r="11" spans="1:16" hidden="1">
      <c r="A11" t="s">
        <v>29</v>
      </c>
      <c r="B11" t="s">
        <v>21</v>
      </c>
      <c r="C11" t="s">
        <v>27</v>
      </c>
      <c r="D11" t="s">
        <v>19</v>
      </c>
      <c r="E11" s="5">
        <v>1545</v>
      </c>
      <c r="F11">
        <v>5</v>
      </c>
      <c r="G11">
        <v>12</v>
      </c>
      <c r="H11" s="6">
        <v>18540</v>
      </c>
      <c r="I11" t="s">
        <v>58</v>
      </c>
      <c r="J11" s="6">
        <v>18540</v>
      </c>
      <c r="K11" s="6">
        <v>4635</v>
      </c>
      <c r="L11" s="6">
        <v>13905</v>
      </c>
      <c r="M11" s="1">
        <v>41791</v>
      </c>
      <c r="N11">
        <v>6</v>
      </c>
      <c r="O11" t="s">
        <v>24</v>
      </c>
      <c r="P11">
        <v>2014</v>
      </c>
    </row>
    <row r="12" spans="1:16" hidden="1">
      <c r="A12" t="s">
        <v>22</v>
      </c>
      <c r="B12" t="s">
        <v>25</v>
      </c>
      <c r="C12" t="s">
        <v>27</v>
      </c>
      <c r="D12" t="s">
        <v>19</v>
      </c>
      <c r="E12" s="5">
        <v>2470</v>
      </c>
      <c r="F12">
        <v>5</v>
      </c>
      <c r="G12">
        <v>15</v>
      </c>
      <c r="H12" s="6">
        <v>37050</v>
      </c>
      <c r="I12" t="s">
        <v>58</v>
      </c>
      <c r="J12" s="6">
        <v>37050</v>
      </c>
      <c r="K12" s="6">
        <v>24700</v>
      </c>
      <c r="L12" s="6">
        <v>12350</v>
      </c>
      <c r="M12" s="1">
        <v>41791</v>
      </c>
      <c r="N12">
        <v>6</v>
      </c>
      <c r="O12" t="s">
        <v>24</v>
      </c>
      <c r="P12">
        <v>2014</v>
      </c>
    </row>
    <row r="13" spans="1:16" hidden="1">
      <c r="A13" t="s">
        <v>30</v>
      </c>
      <c r="B13" t="s">
        <v>17</v>
      </c>
      <c r="C13" t="s">
        <v>27</v>
      </c>
      <c r="D13" t="s">
        <v>19</v>
      </c>
      <c r="E13" s="5">
        <v>2665.5</v>
      </c>
      <c r="F13">
        <v>5</v>
      </c>
      <c r="G13">
        <v>125</v>
      </c>
      <c r="H13" s="6">
        <v>333187.5</v>
      </c>
      <c r="I13" t="s">
        <v>58</v>
      </c>
      <c r="J13" s="6">
        <v>333187.5</v>
      </c>
      <c r="K13" s="6">
        <v>319860</v>
      </c>
      <c r="L13" s="6">
        <v>13327.5</v>
      </c>
      <c r="M13" s="1">
        <v>41821</v>
      </c>
      <c r="N13">
        <v>7</v>
      </c>
      <c r="O13" t="s">
        <v>31</v>
      </c>
      <c r="P13">
        <v>2014</v>
      </c>
    </row>
    <row r="14" spans="1:16" hidden="1">
      <c r="A14" t="s">
        <v>32</v>
      </c>
      <c r="B14" t="s">
        <v>25</v>
      </c>
      <c r="C14" t="s">
        <v>27</v>
      </c>
      <c r="D14" t="s">
        <v>19</v>
      </c>
      <c r="E14" s="5">
        <v>958</v>
      </c>
      <c r="F14">
        <v>5</v>
      </c>
      <c r="G14">
        <v>300</v>
      </c>
      <c r="H14" s="6">
        <v>287400</v>
      </c>
      <c r="I14" t="s">
        <v>58</v>
      </c>
      <c r="J14" s="6">
        <v>287400</v>
      </c>
      <c r="K14" s="6">
        <v>239500</v>
      </c>
      <c r="L14" s="6">
        <v>47900</v>
      </c>
      <c r="M14" s="1">
        <v>41852</v>
      </c>
      <c r="N14">
        <v>8</v>
      </c>
      <c r="O14" t="s">
        <v>33</v>
      </c>
      <c r="P14">
        <v>2014</v>
      </c>
    </row>
    <row r="15" spans="1:16" hidden="1">
      <c r="A15" t="s">
        <v>16</v>
      </c>
      <c r="B15" t="s">
        <v>21</v>
      </c>
      <c r="C15" t="s">
        <v>27</v>
      </c>
      <c r="D15" t="s">
        <v>19</v>
      </c>
      <c r="E15" s="5">
        <v>2146</v>
      </c>
      <c r="F15">
        <v>5</v>
      </c>
      <c r="G15">
        <v>7</v>
      </c>
      <c r="H15" s="6">
        <v>15022</v>
      </c>
      <c r="I15" t="s">
        <v>58</v>
      </c>
      <c r="J15" s="6">
        <v>15022</v>
      </c>
      <c r="K15" s="6">
        <v>10730</v>
      </c>
      <c r="L15" s="6">
        <v>4292</v>
      </c>
      <c r="M15" s="1">
        <v>41883</v>
      </c>
      <c r="N15">
        <v>9</v>
      </c>
      <c r="O15" t="s">
        <v>34</v>
      </c>
      <c r="P15">
        <v>2014</v>
      </c>
    </row>
    <row r="16" spans="1:16" hidden="1">
      <c r="A16" t="s">
        <v>30</v>
      </c>
      <c r="B16" t="s">
        <v>17</v>
      </c>
      <c r="C16" t="s">
        <v>27</v>
      </c>
      <c r="D16" t="s">
        <v>19</v>
      </c>
      <c r="E16" s="5">
        <v>345</v>
      </c>
      <c r="F16">
        <v>5</v>
      </c>
      <c r="G16">
        <v>125</v>
      </c>
      <c r="H16" s="6">
        <v>43125</v>
      </c>
      <c r="I16" t="s">
        <v>58</v>
      </c>
      <c r="J16" s="6">
        <v>43125</v>
      </c>
      <c r="K16" s="6">
        <v>41400</v>
      </c>
      <c r="L16" s="6">
        <v>1725</v>
      </c>
      <c r="M16" s="1">
        <v>41548</v>
      </c>
      <c r="N16">
        <v>10</v>
      </c>
      <c r="O16" t="s">
        <v>35</v>
      </c>
      <c r="P16">
        <v>2013</v>
      </c>
    </row>
    <row r="17" spans="1:16" hidden="1">
      <c r="A17" t="s">
        <v>22</v>
      </c>
      <c r="B17" t="s">
        <v>36</v>
      </c>
      <c r="C17" t="s">
        <v>27</v>
      </c>
      <c r="D17" t="s">
        <v>19</v>
      </c>
      <c r="E17" s="5">
        <v>615</v>
      </c>
      <c r="F17">
        <v>5</v>
      </c>
      <c r="G17">
        <v>15</v>
      </c>
      <c r="H17" s="6">
        <v>9225</v>
      </c>
      <c r="I17" t="s">
        <v>58</v>
      </c>
      <c r="J17" s="6">
        <v>9225</v>
      </c>
      <c r="K17" s="6">
        <v>6150</v>
      </c>
      <c r="L17" s="6">
        <v>3075</v>
      </c>
      <c r="M17" s="1">
        <v>41974</v>
      </c>
      <c r="N17">
        <v>12</v>
      </c>
      <c r="O17" t="s">
        <v>26</v>
      </c>
      <c r="P17">
        <v>2014</v>
      </c>
    </row>
    <row r="18" spans="1:16" hidden="1">
      <c r="A18" t="s">
        <v>16</v>
      </c>
      <c r="B18" t="s">
        <v>17</v>
      </c>
      <c r="C18" t="s">
        <v>37</v>
      </c>
      <c r="D18" t="s">
        <v>19</v>
      </c>
      <c r="E18" s="5">
        <v>292</v>
      </c>
      <c r="F18">
        <v>10</v>
      </c>
      <c r="G18">
        <v>20</v>
      </c>
      <c r="H18" s="6">
        <v>5840</v>
      </c>
      <c r="I18" t="s">
        <v>58</v>
      </c>
      <c r="J18" s="6">
        <v>5840</v>
      </c>
      <c r="K18" s="6">
        <v>2920</v>
      </c>
      <c r="L18" s="6">
        <v>2920</v>
      </c>
      <c r="M18" s="1">
        <v>41671</v>
      </c>
      <c r="N18">
        <v>2</v>
      </c>
      <c r="O18" t="s">
        <v>38</v>
      </c>
      <c r="P18">
        <v>2014</v>
      </c>
    </row>
    <row r="19" spans="1:16" hidden="1">
      <c r="A19" t="s">
        <v>22</v>
      </c>
      <c r="B19" t="s">
        <v>25</v>
      </c>
      <c r="C19" t="s">
        <v>37</v>
      </c>
      <c r="D19" t="s">
        <v>19</v>
      </c>
      <c r="E19" s="5">
        <v>974</v>
      </c>
      <c r="F19">
        <v>10</v>
      </c>
      <c r="G19">
        <v>15</v>
      </c>
      <c r="H19" s="6">
        <v>14610</v>
      </c>
      <c r="I19" t="s">
        <v>58</v>
      </c>
      <c r="J19" s="6">
        <v>14610</v>
      </c>
      <c r="K19" s="6">
        <v>9740</v>
      </c>
      <c r="L19" s="6">
        <v>4870</v>
      </c>
      <c r="M19" s="1">
        <v>41671</v>
      </c>
      <c r="N19">
        <v>2</v>
      </c>
      <c r="O19" t="s">
        <v>38</v>
      </c>
      <c r="P19">
        <v>2014</v>
      </c>
    </row>
    <row r="20" spans="1:16" hidden="1">
      <c r="A20" t="s">
        <v>29</v>
      </c>
      <c r="B20" t="s">
        <v>17</v>
      </c>
      <c r="C20" t="s">
        <v>37</v>
      </c>
      <c r="D20" t="s">
        <v>19</v>
      </c>
      <c r="E20" s="5">
        <v>2518</v>
      </c>
      <c r="F20">
        <v>10</v>
      </c>
      <c r="G20">
        <v>12</v>
      </c>
      <c r="H20" s="6">
        <v>30216</v>
      </c>
      <c r="I20" t="s">
        <v>58</v>
      </c>
      <c r="J20" s="6">
        <v>30216</v>
      </c>
      <c r="K20" s="6">
        <v>7554</v>
      </c>
      <c r="L20" s="6">
        <v>22662</v>
      </c>
      <c r="M20" s="1">
        <v>41791</v>
      </c>
      <c r="N20">
        <v>6</v>
      </c>
      <c r="O20" t="s">
        <v>24</v>
      </c>
      <c r="P20">
        <v>2014</v>
      </c>
    </row>
    <row r="21" spans="1:16" hidden="1">
      <c r="A21" t="s">
        <v>16</v>
      </c>
      <c r="B21" t="s">
        <v>21</v>
      </c>
      <c r="C21" t="s">
        <v>37</v>
      </c>
      <c r="D21" t="s">
        <v>19</v>
      </c>
      <c r="E21" s="5">
        <v>1006</v>
      </c>
      <c r="F21">
        <v>10</v>
      </c>
      <c r="G21">
        <v>350</v>
      </c>
      <c r="H21" s="6">
        <v>352100</v>
      </c>
      <c r="I21" t="s">
        <v>58</v>
      </c>
      <c r="J21" s="6">
        <v>352100</v>
      </c>
      <c r="K21" s="6">
        <v>261560</v>
      </c>
      <c r="L21" s="6">
        <v>90540</v>
      </c>
      <c r="M21" s="1">
        <v>41791</v>
      </c>
      <c r="N21">
        <v>6</v>
      </c>
      <c r="O21" t="s">
        <v>24</v>
      </c>
      <c r="P21">
        <v>2014</v>
      </c>
    </row>
    <row r="22" spans="1:16" hidden="1">
      <c r="A22" t="s">
        <v>29</v>
      </c>
      <c r="B22" t="s">
        <v>21</v>
      </c>
      <c r="C22" t="s">
        <v>37</v>
      </c>
      <c r="D22" t="s">
        <v>19</v>
      </c>
      <c r="E22" s="5">
        <v>367</v>
      </c>
      <c r="F22">
        <v>10</v>
      </c>
      <c r="G22">
        <v>12</v>
      </c>
      <c r="H22" s="6">
        <v>4404</v>
      </c>
      <c r="I22" t="s">
        <v>58</v>
      </c>
      <c r="J22" s="6">
        <v>4404</v>
      </c>
      <c r="K22" s="6">
        <v>1101</v>
      </c>
      <c r="L22" s="6">
        <v>3303</v>
      </c>
      <c r="M22" s="1">
        <v>41821</v>
      </c>
      <c r="N22">
        <v>7</v>
      </c>
      <c r="O22" t="s">
        <v>31</v>
      </c>
      <c r="P22">
        <v>2014</v>
      </c>
    </row>
    <row r="23" spans="1:16" hidden="1">
      <c r="A23" t="s">
        <v>16</v>
      </c>
      <c r="B23" t="s">
        <v>25</v>
      </c>
      <c r="C23" t="s">
        <v>37</v>
      </c>
      <c r="D23" t="s">
        <v>19</v>
      </c>
      <c r="E23" s="5">
        <v>883</v>
      </c>
      <c r="F23">
        <v>10</v>
      </c>
      <c r="G23">
        <v>7</v>
      </c>
      <c r="H23" s="6">
        <v>6181</v>
      </c>
      <c r="I23" t="s">
        <v>58</v>
      </c>
      <c r="J23" s="6">
        <v>6181</v>
      </c>
      <c r="K23" s="6">
        <v>4415</v>
      </c>
      <c r="L23" s="6">
        <v>1766</v>
      </c>
      <c r="M23" s="1">
        <v>41852</v>
      </c>
      <c r="N23">
        <v>8</v>
      </c>
      <c r="O23" t="s">
        <v>33</v>
      </c>
      <c r="P23">
        <v>2014</v>
      </c>
    </row>
    <row r="24" spans="1:16" hidden="1">
      <c r="A24" t="s">
        <v>22</v>
      </c>
      <c r="B24" t="s">
        <v>23</v>
      </c>
      <c r="C24" t="s">
        <v>37</v>
      </c>
      <c r="D24" t="s">
        <v>19</v>
      </c>
      <c r="E24" s="5">
        <v>549</v>
      </c>
      <c r="F24">
        <v>10</v>
      </c>
      <c r="G24">
        <v>15</v>
      </c>
      <c r="H24" s="6">
        <v>8235</v>
      </c>
      <c r="I24" t="s">
        <v>58</v>
      </c>
      <c r="J24" s="6">
        <v>8235</v>
      </c>
      <c r="K24" s="6">
        <v>5490</v>
      </c>
      <c r="L24" s="6">
        <v>2745</v>
      </c>
      <c r="M24" s="1">
        <v>41518</v>
      </c>
      <c r="N24">
        <v>9</v>
      </c>
      <c r="O24" t="s">
        <v>34</v>
      </c>
      <c r="P24">
        <v>2013</v>
      </c>
    </row>
    <row r="25" spans="1:16" hidden="1">
      <c r="A25" t="s">
        <v>32</v>
      </c>
      <c r="B25" t="s">
        <v>25</v>
      </c>
      <c r="C25" t="s">
        <v>37</v>
      </c>
      <c r="D25" t="s">
        <v>19</v>
      </c>
      <c r="E25" s="5">
        <v>788</v>
      </c>
      <c r="F25">
        <v>10</v>
      </c>
      <c r="G25">
        <v>300</v>
      </c>
      <c r="H25" s="6">
        <v>236400</v>
      </c>
      <c r="I25" t="s">
        <v>58</v>
      </c>
      <c r="J25" s="6">
        <v>236400</v>
      </c>
      <c r="K25" s="6">
        <v>197000</v>
      </c>
      <c r="L25" s="6">
        <v>39400</v>
      </c>
      <c r="M25" s="1">
        <v>41518</v>
      </c>
      <c r="N25">
        <v>9</v>
      </c>
      <c r="O25" t="s">
        <v>34</v>
      </c>
      <c r="P25">
        <v>2013</v>
      </c>
    </row>
    <row r="26" spans="1:16" hidden="1">
      <c r="A26" t="s">
        <v>22</v>
      </c>
      <c r="B26" t="s">
        <v>25</v>
      </c>
      <c r="C26" t="s">
        <v>37</v>
      </c>
      <c r="D26" t="s">
        <v>19</v>
      </c>
      <c r="E26" s="5">
        <v>2472</v>
      </c>
      <c r="F26">
        <v>10</v>
      </c>
      <c r="G26">
        <v>15</v>
      </c>
      <c r="H26" s="6">
        <v>37080</v>
      </c>
      <c r="I26" t="s">
        <v>58</v>
      </c>
      <c r="J26" s="6">
        <v>37080</v>
      </c>
      <c r="K26" s="6">
        <v>24720</v>
      </c>
      <c r="L26" s="6">
        <v>12360</v>
      </c>
      <c r="M26" s="1">
        <v>41883</v>
      </c>
      <c r="N26">
        <v>9</v>
      </c>
      <c r="O26" t="s">
        <v>34</v>
      </c>
      <c r="P26">
        <v>2014</v>
      </c>
    </row>
    <row r="27" spans="1:16" hidden="1">
      <c r="A27" t="s">
        <v>16</v>
      </c>
      <c r="B27" t="s">
        <v>36</v>
      </c>
      <c r="C27" t="s">
        <v>37</v>
      </c>
      <c r="D27" t="s">
        <v>19</v>
      </c>
      <c r="E27" s="5">
        <v>1143</v>
      </c>
      <c r="F27">
        <v>10</v>
      </c>
      <c r="G27">
        <v>7</v>
      </c>
      <c r="H27" s="6">
        <v>8001</v>
      </c>
      <c r="I27" t="s">
        <v>58</v>
      </c>
      <c r="J27" s="6">
        <v>8001</v>
      </c>
      <c r="K27" s="6">
        <v>5715</v>
      </c>
      <c r="L27" s="6">
        <v>2286</v>
      </c>
      <c r="M27" s="1">
        <v>41913</v>
      </c>
      <c r="N27">
        <v>10</v>
      </c>
      <c r="O27" t="s">
        <v>35</v>
      </c>
      <c r="P27">
        <v>2014</v>
      </c>
    </row>
    <row r="28" spans="1:16" hidden="1">
      <c r="A28" t="s">
        <v>16</v>
      </c>
      <c r="B28" t="s">
        <v>17</v>
      </c>
      <c r="C28" t="s">
        <v>37</v>
      </c>
      <c r="D28" t="s">
        <v>19</v>
      </c>
      <c r="E28" s="5">
        <v>1725</v>
      </c>
      <c r="F28">
        <v>10</v>
      </c>
      <c r="G28">
        <v>350</v>
      </c>
      <c r="H28" s="6">
        <v>603750</v>
      </c>
      <c r="I28" t="s">
        <v>58</v>
      </c>
      <c r="J28" s="6">
        <v>603750</v>
      </c>
      <c r="K28" s="6">
        <v>448500</v>
      </c>
      <c r="L28" s="6">
        <v>155250</v>
      </c>
      <c r="M28" s="1">
        <v>41579</v>
      </c>
      <c r="N28">
        <v>11</v>
      </c>
      <c r="O28" t="s">
        <v>39</v>
      </c>
      <c r="P28">
        <v>2013</v>
      </c>
    </row>
    <row r="29" spans="1:16" hidden="1">
      <c r="A29" t="s">
        <v>29</v>
      </c>
      <c r="B29" t="s">
        <v>36</v>
      </c>
      <c r="C29" t="s">
        <v>37</v>
      </c>
      <c r="D29" t="s">
        <v>19</v>
      </c>
      <c r="E29" s="5">
        <v>912</v>
      </c>
      <c r="F29">
        <v>10</v>
      </c>
      <c r="G29">
        <v>12</v>
      </c>
      <c r="H29" s="6">
        <v>10944</v>
      </c>
      <c r="I29" t="s">
        <v>58</v>
      </c>
      <c r="J29" s="6">
        <v>10944</v>
      </c>
      <c r="K29" s="6">
        <v>2736</v>
      </c>
      <c r="L29" s="6">
        <v>8208</v>
      </c>
      <c r="M29" s="1">
        <v>41579</v>
      </c>
      <c r="N29">
        <v>11</v>
      </c>
      <c r="O29" t="s">
        <v>39</v>
      </c>
      <c r="P29">
        <v>2013</v>
      </c>
    </row>
    <row r="30" spans="1:16" hidden="1">
      <c r="A30" t="s">
        <v>22</v>
      </c>
      <c r="B30" t="s">
        <v>17</v>
      </c>
      <c r="C30" t="s">
        <v>37</v>
      </c>
      <c r="D30" t="s">
        <v>19</v>
      </c>
      <c r="E30" s="5">
        <v>2152</v>
      </c>
      <c r="F30">
        <v>10</v>
      </c>
      <c r="G30">
        <v>15</v>
      </c>
      <c r="H30" s="6">
        <v>32280</v>
      </c>
      <c r="I30" t="s">
        <v>58</v>
      </c>
      <c r="J30" s="6">
        <v>32280</v>
      </c>
      <c r="K30" s="6">
        <v>21520</v>
      </c>
      <c r="L30" s="6">
        <v>10760</v>
      </c>
      <c r="M30" s="1">
        <v>41609</v>
      </c>
      <c r="N30">
        <v>12</v>
      </c>
      <c r="O30" t="s">
        <v>26</v>
      </c>
      <c r="P30">
        <v>2013</v>
      </c>
    </row>
    <row r="31" spans="1:16" hidden="1">
      <c r="A31" t="s">
        <v>16</v>
      </c>
      <c r="B31" t="s">
        <v>17</v>
      </c>
      <c r="C31" t="s">
        <v>37</v>
      </c>
      <c r="D31" t="s">
        <v>19</v>
      </c>
      <c r="E31" s="5">
        <v>1817</v>
      </c>
      <c r="F31">
        <v>10</v>
      </c>
      <c r="G31">
        <v>20</v>
      </c>
      <c r="H31" s="6">
        <v>36340</v>
      </c>
      <c r="I31" t="s">
        <v>58</v>
      </c>
      <c r="J31" s="6">
        <v>36340</v>
      </c>
      <c r="K31" s="6">
        <v>18170</v>
      </c>
      <c r="L31" s="6">
        <v>18170</v>
      </c>
      <c r="M31" s="1">
        <v>41974</v>
      </c>
      <c r="N31">
        <v>12</v>
      </c>
      <c r="O31" t="s">
        <v>26</v>
      </c>
      <c r="P31">
        <v>2014</v>
      </c>
    </row>
    <row r="32" spans="1:16" hidden="1">
      <c r="A32" t="s">
        <v>16</v>
      </c>
      <c r="B32" t="s">
        <v>21</v>
      </c>
      <c r="C32" t="s">
        <v>37</v>
      </c>
      <c r="D32" t="s">
        <v>19</v>
      </c>
      <c r="E32" s="5">
        <v>1513</v>
      </c>
      <c r="F32">
        <v>10</v>
      </c>
      <c r="G32">
        <v>350</v>
      </c>
      <c r="H32" s="6">
        <v>529550</v>
      </c>
      <c r="I32" t="s">
        <v>58</v>
      </c>
      <c r="J32" s="6">
        <v>529550</v>
      </c>
      <c r="K32" s="6">
        <v>393380</v>
      </c>
      <c r="L32" s="6">
        <v>136170</v>
      </c>
      <c r="M32" s="1">
        <v>41974</v>
      </c>
      <c r="N32">
        <v>12</v>
      </c>
      <c r="O32" t="s">
        <v>26</v>
      </c>
      <c r="P32">
        <v>2014</v>
      </c>
    </row>
    <row r="33" spans="1:16" hidden="1">
      <c r="A33" t="s">
        <v>16</v>
      </c>
      <c r="B33" t="s">
        <v>25</v>
      </c>
      <c r="C33" t="s">
        <v>40</v>
      </c>
      <c r="D33" t="s">
        <v>19</v>
      </c>
      <c r="E33" s="5">
        <v>1493</v>
      </c>
      <c r="F33">
        <v>120</v>
      </c>
      <c r="G33">
        <v>7</v>
      </c>
      <c r="H33" s="6">
        <v>10451</v>
      </c>
      <c r="I33" t="s">
        <v>58</v>
      </c>
      <c r="J33" s="6">
        <v>10451</v>
      </c>
      <c r="K33" s="6">
        <v>7465</v>
      </c>
      <c r="L33" s="6">
        <v>2986</v>
      </c>
      <c r="M33" s="1">
        <v>41640</v>
      </c>
      <c r="N33">
        <v>1</v>
      </c>
      <c r="O33" t="s">
        <v>20</v>
      </c>
      <c r="P33">
        <v>2014</v>
      </c>
    </row>
    <row r="34" spans="1:16" hidden="1">
      <c r="A34" t="s">
        <v>30</v>
      </c>
      <c r="B34" t="s">
        <v>23</v>
      </c>
      <c r="C34" t="s">
        <v>40</v>
      </c>
      <c r="D34" t="s">
        <v>19</v>
      </c>
      <c r="E34" s="5">
        <v>1804</v>
      </c>
      <c r="F34">
        <v>120</v>
      </c>
      <c r="G34">
        <v>125</v>
      </c>
      <c r="H34" s="6">
        <v>225500</v>
      </c>
      <c r="I34" t="s">
        <v>58</v>
      </c>
      <c r="J34" s="6">
        <v>225500</v>
      </c>
      <c r="K34" s="6">
        <v>216480</v>
      </c>
      <c r="L34" s="6">
        <v>9020</v>
      </c>
      <c r="M34" s="1">
        <v>41671</v>
      </c>
      <c r="N34">
        <v>2</v>
      </c>
      <c r="O34" t="s">
        <v>38</v>
      </c>
      <c r="P34">
        <v>2014</v>
      </c>
    </row>
    <row r="35" spans="1:16" hidden="1">
      <c r="A35" t="s">
        <v>29</v>
      </c>
      <c r="B35" t="s">
        <v>21</v>
      </c>
      <c r="C35" t="s">
        <v>40</v>
      </c>
      <c r="D35" t="s">
        <v>19</v>
      </c>
      <c r="E35" s="5">
        <v>2161</v>
      </c>
      <c r="F35">
        <v>120</v>
      </c>
      <c r="G35">
        <v>12</v>
      </c>
      <c r="H35" s="6">
        <v>25932</v>
      </c>
      <c r="I35" t="s">
        <v>58</v>
      </c>
      <c r="J35" s="6">
        <v>25932</v>
      </c>
      <c r="K35" s="6">
        <v>6483</v>
      </c>
      <c r="L35" s="6">
        <v>19449</v>
      </c>
      <c r="M35" s="1">
        <v>41699</v>
      </c>
      <c r="N35">
        <v>3</v>
      </c>
      <c r="O35" t="s">
        <v>28</v>
      </c>
      <c r="P35">
        <v>2014</v>
      </c>
    </row>
    <row r="36" spans="1:16" hidden="1">
      <c r="A36" t="s">
        <v>16</v>
      </c>
      <c r="B36" t="s">
        <v>21</v>
      </c>
      <c r="C36" t="s">
        <v>40</v>
      </c>
      <c r="D36" t="s">
        <v>19</v>
      </c>
      <c r="E36" s="5">
        <v>1006</v>
      </c>
      <c r="F36">
        <v>120</v>
      </c>
      <c r="G36">
        <v>350</v>
      </c>
      <c r="H36" s="6">
        <v>352100</v>
      </c>
      <c r="I36" t="s">
        <v>58</v>
      </c>
      <c r="J36" s="6">
        <v>352100</v>
      </c>
      <c r="K36" s="6">
        <v>261560</v>
      </c>
      <c r="L36" s="6">
        <v>90540</v>
      </c>
      <c r="M36" s="1">
        <v>41791</v>
      </c>
      <c r="N36">
        <v>6</v>
      </c>
      <c r="O36" t="s">
        <v>24</v>
      </c>
      <c r="P36">
        <v>2014</v>
      </c>
    </row>
    <row r="37" spans="1:16" hidden="1">
      <c r="A37" t="s">
        <v>29</v>
      </c>
      <c r="B37" t="s">
        <v>21</v>
      </c>
      <c r="C37" t="s">
        <v>40</v>
      </c>
      <c r="D37" t="s">
        <v>19</v>
      </c>
      <c r="E37" s="5">
        <v>1545</v>
      </c>
      <c r="F37">
        <v>120</v>
      </c>
      <c r="G37">
        <v>12</v>
      </c>
      <c r="H37" s="6">
        <v>18540</v>
      </c>
      <c r="I37" t="s">
        <v>58</v>
      </c>
      <c r="J37" s="6">
        <v>18540</v>
      </c>
      <c r="K37" s="6">
        <v>4635</v>
      </c>
      <c r="L37" s="6">
        <v>13905</v>
      </c>
      <c r="M37" s="1">
        <v>41791</v>
      </c>
      <c r="N37">
        <v>6</v>
      </c>
      <c r="O37" t="s">
        <v>24</v>
      </c>
      <c r="P37">
        <v>2014</v>
      </c>
    </row>
    <row r="38" spans="1:16" hidden="1">
      <c r="A38" t="s">
        <v>30</v>
      </c>
      <c r="B38" t="s">
        <v>36</v>
      </c>
      <c r="C38" t="s">
        <v>40</v>
      </c>
      <c r="D38" t="s">
        <v>19</v>
      </c>
      <c r="E38" s="5">
        <v>2821</v>
      </c>
      <c r="F38">
        <v>120</v>
      </c>
      <c r="G38">
        <v>125</v>
      </c>
      <c r="H38" s="6">
        <v>352625</v>
      </c>
      <c r="I38" t="s">
        <v>58</v>
      </c>
      <c r="J38" s="6">
        <v>352625</v>
      </c>
      <c r="K38" s="6">
        <v>338520</v>
      </c>
      <c r="L38" s="6">
        <v>14105</v>
      </c>
      <c r="M38" s="1">
        <v>41852</v>
      </c>
      <c r="N38">
        <v>8</v>
      </c>
      <c r="O38" t="s">
        <v>33</v>
      </c>
      <c r="P38">
        <v>2014</v>
      </c>
    </row>
    <row r="39" spans="1:16" hidden="1">
      <c r="A39" t="s">
        <v>30</v>
      </c>
      <c r="B39" t="s">
        <v>17</v>
      </c>
      <c r="C39" t="s">
        <v>40</v>
      </c>
      <c r="D39" t="s">
        <v>19</v>
      </c>
      <c r="E39" s="5">
        <v>345</v>
      </c>
      <c r="F39">
        <v>120</v>
      </c>
      <c r="G39">
        <v>125</v>
      </c>
      <c r="H39" s="6">
        <v>43125</v>
      </c>
      <c r="I39" t="s">
        <v>58</v>
      </c>
      <c r="J39" s="6">
        <v>43125</v>
      </c>
      <c r="K39" s="6">
        <v>41400</v>
      </c>
      <c r="L39" s="6">
        <v>1725</v>
      </c>
      <c r="M39" s="1">
        <v>41548</v>
      </c>
      <c r="N39">
        <v>10</v>
      </c>
      <c r="O39" t="s">
        <v>35</v>
      </c>
      <c r="P39">
        <v>2013</v>
      </c>
    </row>
    <row r="40" spans="1:16">
      <c r="A40" t="s">
        <v>32</v>
      </c>
      <c r="B40" t="s">
        <v>17</v>
      </c>
      <c r="C40" t="s">
        <v>41</v>
      </c>
      <c r="D40" t="s">
        <v>19</v>
      </c>
      <c r="E40" s="5">
        <v>2001</v>
      </c>
      <c r="F40">
        <v>250</v>
      </c>
      <c r="G40">
        <v>300</v>
      </c>
      <c r="H40" s="6">
        <v>600300</v>
      </c>
      <c r="I40" t="s">
        <v>58</v>
      </c>
      <c r="J40" s="6">
        <v>600300</v>
      </c>
      <c r="K40" s="6">
        <v>500250</v>
      </c>
      <c r="L40" s="6">
        <v>100050</v>
      </c>
      <c r="M40" s="1">
        <v>41671</v>
      </c>
      <c r="N40">
        <v>2</v>
      </c>
      <c r="O40" t="s">
        <v>38</v>
      </c>
      <c r="P40">
        <v>2014</v>
      </c>
    </row>
    <row r="41" spans="1:16">
      <c r="A41" t="s">
        <v>29</v>
      </c>
      <c r="B41" t="s">
        <v>21</v>
      </c>
      <c r="C41" t="s">
        <v>41</v>
      </c>
      <c r="D41" t="s">
        <v>19</v>
      </c>
      <c r="E41" s="5">
        <v>2838</v>
      </c>
      <c r="F41">
        <v>250</v>
      </c>
      <c r="G41">
        <v>12</v>
      </c>
      <c r="H41" s="6">
        <v>34056</v>
      </c>
      <c r="I41" t="s">
        <v>58</v>
      </c>
      <c r="J41" s="6">
        <v>34056</v>
      </c>
      <c r="K41" s="6">
        <v>8514</v>
      </c>
      <c r="L41" s="6">
        <v>25542</v>
      </c>
      <c r="M41" s="1">
        <v>41730</v>
      </c>
      <c r="N41">
        <v>4</v>
      </c>
      <c r="O41" t="s">
        <v>42</v>
      </c>
      <c r="P41">
        <v>2014</v>
      </c>
    </row>
    <row r="42" spans="1:16">
      <c r="A42" t="s">
        <v>22</v>
      </c>
      <c r="B42" t="s">
        <v>23</v>
      </c>
      <c r="C42" t="s">
        <v>41</v>
      </c>
      <c r="D42" t="s">
        <v>19</v>
      </c>
      <c r="E42" s="5">
        <v>2178</v>
      </c>
      <c r="F42">
        <v>250</v>
      </c>
      <c r="G42">
        <v>15</v>
      </c>
      <c r="H42" s="6">
        <v>32670</v>
      </c>
      <c r="I42" t="s">
        <v>58</v>
      </c>
      <c r="J42" s="6">
        <v>32670</v>
      </c>
      <c r="K42" s="6">
        <v>21780</v>
      </c>
      <c r="L42" s="6">
        <v>10890</v>
      </c>
      <c r="M42" s="1">
        <v>41791</v>
      </c>
      <c r="N42">
        <v>6</v>
      </c>
      <c r="O42" t="s">
        <v>24</v>
      </c>
      <c r="P42">
        <v>2014</v>
      </c>
    </row>
    <row r="43" spans="1:16">
      <c r="A43" t="s">
        <v>22</v>
      </c>
      <c r="B43" t="s">
        <v>21</v>
      </c>
      <c r="C43" t="s">
        <v>41</v>
      </c>
      <c r="D43" t="s">
        <v>19</v>
      </c>
      <c r="E43" s="5">
        <v>888</v>
      </c>
      <c r="F43">
        <v>250</v>
      </c>
      <c r="G43">
        <v>15</v>
      </c>
      <c r="H43" s="6">
        <v>13320</v>
      </c>
      <c r="I43" t="s">
        <v>58</v>
      </c>
      <c r="J43" s="6">
        <v>13320</v>
      </c>
      <c r="K43" s="6">
        <v>8880</v>
      </c>
      <c r="L43" s="6">
        <v>4440</v>
      </c>
      <c r="M43" s="1">
        <v>41791</v>
      </c>
      <c r="N43">
        <v>6</v>
      </c>
      <c r="O43" t="s">
        <v>24</v>
      </c>
      <c r="P43">
        <v>2014</v>
      </c>
    </row>
    <row r="44" spans="1:16" hidden="1">
      <c r="A44" t="s">
        <v>16</v>
      </c>
      <c r="B44" t="s">
        <v>23</v>
      </c>
      <c r="C44" t="s">
        <v>41</v>
      </c>
      <c r="D44" t="s">
        <v>19</v>
      </c>
      <c r="E44" s="5">
        <v>1527</v>
      </c>
      <c r="F44">
        <v>250</v>
      </c>
      <c r="G44">
        <v>350</v>
      </c>
      <c r="H44" s="6">
        <v>534450</v>
      </c>
      <c r="I44" t="s">
        <v>58</v>
      </c>
      <c r="J44" s="6">
        <v>534450</v>
      </c>
      <c r="K44" s="6">
        <v>397020</v>
      </c>
      <c r="L44" s="6">
        <v>137430</v>
      </c>
      <c r="M44" s="1">
        <v>41518</v>
      </c>
      <c r="N44">
        <v>9</v>
      </c>
      <c r="O44" t="s">
        <v>34</v>
      </c>
      <c r="P44">
        <v>2013</v>
      </c>
    </row>
    <row r="45" spans="1:16">
      <c r="A45" t="s">
        <v>32</v>
      </c>
      <c r="B45" t="s">
        <v>23</v>
      </c>
      <c r="C45" t="s">
        <v>41</v>
      </c>
      <c r="D45" t="s">
        <v>19</v>
      </c>
      <c r="E45" s="5">
        <v>2151</v>
      </c>
      <c r="F45">
        <v>250</v>
      </c>
      <c r="G45">
        <v>300</v>
      </c>
      <c r="H45" s="6">
        <v>645300</v>
      </c>
      <c r="I45" t="s">
        <v>58</v>
      </c>
      <c r="J45" s="6">
        <v>645300</v>
      </c>
      <c r="K45" s="6">
        <v>537750</v>
      </c>
      <c r="L45" s="6">
        <v>107550</v>
      </c>
      <c r="M45" s="1">
        <v>41883</v>
      </c>
      <c r="N45">
        <v>9</v>
      </c>
      <c r="O45" t="s">
        <v>34</v>
      </c>
      <c r="P45">
        <v>2014</v>
      </c>
    </row>
    <row r="46" spans="1:16">
      <c r="A46" t="s">
        <v>16</v>
      </c>
      <c r="B46" t="s">
        <v>17</v>
      </c>
      <c r="C46" t="s">
        <v>41</v>
      </c>
      <c r="D46" t="s">
        <v>19</v>
      </c>
      <c r="E46" s="5">
        <v>1817</v>
      </c>
      <c r="F46">
        <v>250</v>
      </c>
      <c r="G46">
        <v>20</v>
      </c>
      <c r="H46" s="6">
        <v>36340</v>
      </c>
      <c r="I46" t="s">
        <v>58</v>
      </c>
      <c r="J46" s="6">
        <v>36340</v>
      </c>
      <c r="K46" s="6">
        <v>18170</v>
      </c>
      <c r="L46" s="6">
        <v>18170</v>
      </c>
      <c r="M46" s="1">
        <v>41974</v>
      </c>
      <c r="N46">
        <v>12</v>
      </c>
      <c r="O46" t="s">
        <v>26</v>
      </c>
      <c r="P46">
        <v>2014</v>
      </c>
    </row>
    <row r="47" spans="1:16" hidden="1">
      <c r="A47" t="s">
        <v>16</v>
      </c>
      <c r="B47" t="s">
        <v>23</v>
      </c>
      <c r="C47" t="s">
        <v>43</v>
      </c>
      <c r="D47" t="s">
        <v>19</v>
      </c>
      <c r="E47" s="5">
        <v>2750</v>
      </c>
      <c r="F47">
        <v>260</v>
      </c>
      <c r="G47">
        <v>350</v>
      </c>
      <c r="H47" s="6">
        <v>962500</v>
      </c>
      <c r="I47" t="s">
        <v>58</v>
      </c>
      <c r="J47" s="6">
        <v>962500</v>
      </c>
      <c r="K47" s="6">
        <v>715000</v>
      </c>
      <c r="L47" s="6">
        <v>247500</v>
      </c>
      <c r="M47" s="1">
        <v>41671</v>
      </c>
      <c r="N47">
        <v>2</v>
      </c>
      <c r="O47" t="s">
        <v>38</v>
      </c>
      <c r="P47">
        <v>2014</v>
      </c>
    </row>
    <row r="48" spans="1:16" hidden="1">
      <c r="A48" t="s">
        <v>29</v>
      </c>
      <c r="B48" t="s">
        <v>36</v>
      </c>
      <c r="C48" t="s">
        <v>43</v>
      </c>
      <c r="D48" t="s">
        <v>19</v>
      </c>
      <c r="E48" s="5">
        <v>1953</v>
      </c>
      <c r="F48">
        <v>260</v>
      </c>
      <c r="G48">
        <v>12</v>
      </c>
      <c r="H48" s="6">
        <v>23436</v>
      </c>
      <c r="I48" t="s">
        <v>58</v>
      </c>
      <c r="J48" s="6">
        <v>23436</v>
      </c>
      <c r="K48" s="6">
        <v>5859</v>
      </c>
      <c r="L48" s="6">
        <v>17577</v>
      </c>
      <c r="M48" s="1">
        <v>41730</v>
      </c>
      <c r="N48">
        <v>4</v>
      </c>
      <c r="O48" t="s">
        <v>42</v>
      </c>
      <c r="P48">
        <v>2014</v>
      </c>
    </row>
    <row r="49" spans="1:16" hidden="1">
      <c r="A49" t="s">
        <v>30</v>
      </c>
      <c r="B49" t="s">
        <v>21</v>
      </c>
      <c r="C49" t="s">
        <v>43</v>
      </c>
      <c r="D49" t="s">
        <v>19</v>
      </c>
      <c r="E49" s="5">
        <v>4219.5</v>
      </c>
      <c r="F49">
        <v>260</v>
      </c>
      <c r="G49">
        <v>125</v>
      </c>
      <c r="H49" s="6">
        <v>527437.5</v>
      </c>
      <c r="I49" t="s">
        <v>58</v>
      </c>
      <c r="J49" s="6">
        <v>527437.5</v>
      </c>
      <c r="K49" s="6">
        <v>506340</v>
      </c>
      <c r="L49" s="6">
        <v>21097.5</v>
      </c>
      <c r="M49" s="1">
        <v>41730</v>
      </c>
      <c r="N49">
        <v>4</v>
      </c>
      <c r="O49" t="s">
        <v>42</v>
      </c>
      <c r="P49">
        <v>2014</v>
      </c>
    </row>
    <row r="50" spans="1:16" hidden="1">
      <c r="A50" t="s">
        <v>16</v>
      </c>
      <c r="B50" t="s">
        <v>23</v>
      </c>
      <c r="C50" t="s">
        <v>43</v>
      </c>
      <c r="D50" t="s">
        <v>19</v>
      </c>
      <c r="E50" s="5">
        <v>1899</v>
      </c>
      <c r="F50">
        <v>260</v>
      </c>
      <c r="G50">
        <v>20</v>
      </c>
      <c r="H50" s="6">
        <v>37980</v>
      </c>
      <c r="I50" t="s">
        <v>58</v>
      </c>
      <c r="J50" s="6">
        <v>37980</v>
      </c>
      <c r="K50" s="6">
        <v>18990</v>
      </c>
      <c r="L50" s="6">
        <v>18990</v>
      </c>
      <c r="M50" s="1">
        <v>41791</v>
      </c>
      <c r="N50">
        <v>6</v>
      </c>
      <c r="O50" t="s">
        <v>24</v>
      </c>
      <c r="P50">
        <v>2014</v>
      </c>
    </row>
    <row r="51" spans="1:16" hidden="1">
      <c r="A51" t="s">
        <v>16</v>
      </c>
      <c r="B51" t="s">
        <v>21</v>
      </c>
      <c r="C51" t="s">
        <v>43</v>
      </c>
      <c r="D51" t="s">
        <v>19</v>
      </c>
      <c r="E51" s="5">
        <v>1686</v>
      </c>
      <c r="F51">
        <v>260</v>
      </c>
      <c r="G51">
        <v>7</v>
      </c>
      <c r="H51" s="6">
        <v>11802</v>
      </c>
      <c r="I51" t="s">
        <v>58</v>
      </c>
      <c r="J51" s="6">
        <v>11802</v>
      </c>
      <c r="K51" s="6">
        <v>8430</v>
      </c>
      <c r="L51" s="6">
        <v>3372</v>
      </c>
      <c r="M51" s="1">
        <v>41821</v>
      </c>
      <c r="N51">
        <v>7</v>
      </c>
      <c r="O51" t="s">
        <v>31</v>
      </c>
      <c r="P51">
        <v>2014</v>
      </c>
    </row>
    <row r="52" spans="1:16" hidden="1">
      <c r="A52" t="s">
        <v>29</v>
      </c>
      <c r="B52" t="s">
        <v>36</v>
      </c>
      <c r="C52" t="s">
        <v>43</v>
      </c>
      <c r="D52" t="s">
        <v>19</v>
      </c>
      <c r="E52" s="5">
        <v>2141</v>
      </c>
      <c r="F52">
        <v>260</v>
      </c>
      <c r="G52">
        <v>12</v>
      </c>
      <c r="H52" s="6">
        <v>25692</v>
      </c>
      <c r="I52" t="s">
        <v>58</v>
      </c>
      <c r="J52" s="6">
        <v>25692</v>
      </c>
      <c r="K52" s="6">
        <v>6423</v>
      </c>
      <c r="L52" s="6">
        <v>19269</v>
      </c>
      <c r="M52" s="1">
        <v>41852</v>
      </c>
      <c r="N52">
        <v>8</v>
      </c>
      <c r="O52" t="s">
        <v>33</v>
      </c>
      <c r="P52">
        <v>2014</v>
      </c>
    </row>
    <row r="53" spans="1:16" hidden="1">
      <c r="A53" t="s">
        <v>16</v>
      </c>
      <c r="B53" t="s">
        <v>36</v>
      </c>
      <c r="C53" t="s">
        <v>43</v>
      </c>
      <c r="D53" t="s">
        <v>19</v>
      </c>
      <c r="E53" s="5">
        <v>1143</v>
      </c>
      <c r="F53">
        <v>260</v>
      </c>
      <c r="G53">
        <v>7</v>
      </c>
      <c r="H53" s="6">
        <v>8001</v>
      </c>
      <c r="I53" t="s">
        <v>58</v>
      </c>
      <c r="J53" s="6">
        <v>8001</v>
      </c>
      <c r="K53" s="6">
        <v>5715</v>
      </c>
      <c r="L53" s="6">
        <v>2286</v>
      </c>
      <c r="M53" s="1">
        <v>41913</v>
      </c>
      <c r="N53">
        <v>10</v>
      </c>
      <c r="O53" t="s">
        <v>35</v>
      </c>
      <c r="P53">
        <v>2014</v>
      </c>
    </row>
    <row r="54" spans="1:16" hidden="1">
      <c r="A54" t="s">
        <v>22</v>
      </c>
      <c r="B54" t="s">
        <v>36</v>
      </c>
      <c r="C54" t="s">
        <v>43</v>
      </c>
      <c r="D54" t="s">
        <v>19</v>
      </c>
      <c r="E54" s="5">
        <v>615</v>
      </c>
      <c r="F54">
        <v>260</v>
      </c>
      <c r="G54">
        <v>15</v>
      </c>
      <c r="H54" s="6">
        <v>9225</v>
      </c>
      <c r="I54" t="s">
        <v>58</v>
      </c>
      <c r="J54" s="6">
        <v>9225</v>
      </c>
      <c r="K54" s="6">
        <v>6150</v>
      </c>
      <c r="L54" s="6">
        <v>3075</v>
      </c>
      <c r="M54" s="1">
        <v>41974</v>
      </c>
      <c r="N54">
        <v>12</v>
      </c>
      <c r="O54" t="s">
        <v>26</v>
      </c>
      <c r="P54">
        <v>2014</v>
      </c>
    </row>
    <row r="55" spans="1:16" hidden="1">
      <c r="A55" t="s">
        <v>16</v>
      </c>
      <c r="B55" t="s">
        <v>23</v>
      </c>
      <c r="C55" t="s">
        <v>37</v>
      </c>
      <c r="D55" t="s">
        <v>44</v>
      </c>
      <c r="E55" s="5">
        <v>3945</v>
      </c>
      <c r="F55">
        <v>10</v>
      </c>
      <c r="G55">
        <v>7</v>
      </c>
      <c r="H55" s="6">
        <v>27615</v>
      </c>
      <c r="I55">
        <v>276.14999999999998</v>
      </c>
      <c r="J55" s="6">
        <v>27338.85</v>
      </c>
      <c r="K55" s="6">
        <v>19725</v>
      </c>
      <c r="L55" s="6">
        <v>7613.85</v>
      </c>
      <c r="M55" s="1">
        <v>41640</v>
      </c>
      <c r="N55">
        <v>1</v>
      </c>
      <c r="O55" t="s">
        <v>20</v>
      </c>
      <c r="P55">
        <v>2014</v>
      </c>
    </row>
    <row r="56" spans="1:16" hidden="1">
      <c r="A56" t="s">
        <v>22</v>
      </c>
      <c r="B56" t="s">
        <v>23</v>
      </c>
      <c r="C56" t="s">
        <v>37</v>
      </c>
      <c r="D56" t="s">
        <v>44</v>
      </c>
      <c r="E56" s="5">
        <v>2296</v>
      </c>
      <c r="F56">
        <v>10</v>
      </c>
      <c r="G56">
        <v>15</v>
      </c>
      <c r="H56" s="6">
        <v>34440</v>
      </c>
      <c r="I56">
        <v>344.4</v>
      </c>
      <c r="J56" s="6">
        <v>34095.599999999999</v>
      </c>
      <c r="K56" s="6">
        <v>22960</v>
      </c>
      <c r="L56" s="6">
        <v>11135.6</v>
      </c>
      <c r="M56" s="1">
        <v>41671</v>
      </c>
      <c r="N56">
        <v>2</v>
      </c>
      <c r="O56" t="s">
        <v>38</v>
      </c>
      <c r="P56">
        <v>2014</v>
      </c>
    </row>
    <row r="57" spans="1:16" hidden="1">
      <c r="A57" t="s">
        <v>16</v>
      </c>
      <c r="B57" t="s">
        <v>23</v>
      </c>
      <c r="C57" t="s">
        <v>37</v>
      </c>
      <c r="D57" t="s">
        <v>44</v>
      </c>
      <c r="E57" s="5">
        <v>1030</v>
      </c>
      <c r="F57">
        <v>10</v>
      </c>
      <c r="G57">
        <v>7</v>
      </c>
      <c r="H57" s="6">
        <v>7210</v>
      </c>
      <c r="I57">
        <v>72.099999999999994</v>
      </c>
      <c r="J57" s="6">
        <v>7137.9</v>
      </c>
      <c r="K57" s="6">
        <v>5150</v>
      </c>
      <c r="L57" s="6">
        <v>1987.9</v>
      </c>
      <c r="M57" s="1">
        <v>41760</v>
      </c>
      <c r="N57">
        <v>5</v>
      </c>
      <c r="O57" t="s">
        <v>45</v>
      </c>
      <c r="P57">
        <v>2014</v>
      </c>
    </row>
    <row r="58" spans="1:16" hidden="1">
      <c r="A58" t="s">
        <v>16</v>
      </c>
      <c r="B58" t="s">
        <v>23</v>
      </c>
      <c r="C58" t="s">
        <v>40</v>
      </c>
      <c r="D58" t="s">
        <v>44</v>
      </c>
      <c r="E58" s="5">
        <v>639</v>
      </c>
      <c r="F58">
        <v>120</v>
      </c>
      <c r="G58">
        <v>7</v>
      </c>
      <c r="H58" s="6">
        <v>4473</v>
      </c>
      <c r="I58">
        <v>44.73</v>
      </c>
      <c r="J58" s="6">
        <v>4428.2700000000004</v>
      </c>
      <c r="K58" s="6">
        <v>3195</v>
      </c>
      <c r="L58" s="6">
        <v>1233.27</v>
      </c>
      <c r="M58" s="1">
        <v>41944</v>
      </c>
      <c r="N58">
        <v>11</v>
      </c>
      <c r="O58" t="s">
        <v>39</v>
      </c>
      <c r="P58">
        <v>2014</v>
      </c>
    </row>
    <row r="59" spans="1:16">
      <c r="A59" t="s">
        <v>16</v>
      </c>
      <c r="B59" t="s">
        <v>17</v>
      </c>
      <c r="C59" t="s">
        <v>41</v>
      </c>
      <c r="D59" t="s">
        <v>44</v>
      </c>
      <c r="E59" s="5">
        <v>1326</v>
      </c>
      <c r="F59">
        <v>250</v>
      </c>
      <c r="G59">
        <v>7</v>
      </c>
      <c r="H59" s="6">
        <v>9282</v>
      </c>
      <c r="I59">
        <v>92.82</v>
      </c>
      <c r="J59" s="6">
        <v>9189.18</v>
      </c>
      <c r="K59" s="6">
        <v>6630</v>
      </c>
      <c r="L59" s="6">
        <v>2559.1799999999998</v>
      </c>
      <c r="M59" s="1">
        <v>41699</v>
      </c>
      <c r="N59">
        <v>3</v>
      </c>
      <c r="O59" t="s">
        <v>28</v>
      </c>
      <c r="P59">
        <v>2014</v>
      </c>
    </row>
    <row r="60" spans="1:16" hidden="1">
      <c r="A60" t="s">
        <v>29</v>
      </c>
      <c r="B60" t="s">
        <v>36</v>
      </c>
      <c r="C60" t="s">
        <v>18</v>
      </c>
      <c r="D60" t="s">
        <v>44</v>
      </c>
      <c r="E60" s="5">
        <v>1858</v>
      </c>
      <c r="F60">
        <v>3</v>
      </c>
      <c r="G60">
        <v>12</v>
      </c>
      <c r="H60" s="6">
        <v>22296</v>
      </c>
      <c r="I60">
        <v>222.96</v>
      </c>
      <c r="J60" s="6">
        <v>22073.040000000001</v>
      </c>
      <c r="K60" s="6">
        <v>5574</v>
      </c>
      <c r="L60" s="6">
        <v>16499.04</v>
      </c>
      <c r="M60" s="1">
        <v>41671</v>
      </c>
      <c r="N60">
        <v>2</v>
      </c>
      <c r="O60" t="s">
        <v>38</v>
      </c>
      <c r="P60">
        <v>2014</v>
      </c>
    </row>
    <row r="61" spans="1:16" hidden="1">
      <c r="A61" t="s">
        <v>16</v>
      </c>
      <c r="B61" t="s">
        <v>25</v>
      </c>
      <c r="C61" t="s">
        <v>18</v>
      </c>
      <c r="D61" t="s">
        <v>44</v>
      </c>
      <c r="E61" s="5">
        <v>1210</v>
      </c>
      <c r="F61">
        <v>3</v>
      </c>
      <c r="G61">
        <v>350</v>
      </c>
      <c r="H61" s="6">
        <v>423500</v>
      </c>
      <c r="I61" s="6">
        <v>4235</v>
      </c>
      <c r="J61" s="6">
        <v>419265</v>
      </c>
      <c r="K61" s="6">
        <v>314600</v>
      </c>
      <c r="L61" s="6">
        <v>104665</v>
      </c>
      <c r="M61" s="1">
        <v>41699</v>
      </c>
      <c r="N61">
        <v>3</v>
      </c>
      <c r="O61" t="s">
        <v>28</v>
      </c>
      <c r="P61">
        <v>2014</v>
      </c>
    </row>
    <row r="62" spans="1:16" hidden="1">
      <c r="A62" t="s">
        <v>16</v>
      </c>
      <c r="B62" t="s">
        <v>36</v>
      </c>
      <c r="C62" t="s">
        <v>18</v>
      </c>
      <c r="D62" t="s">
        <v>44</v>
      </c>
      <c r="E62" s="5">
        <v>2529</v>
      </c>
      <c r="F62">
        <v>3</v>
      </c>
      <c r="G62">
        <v>7</v>
      </c>
      <c r="H62" s="6">
        <v>17703</v>
      </c>
      <c r="I62">
        <v>177.03</v>
      </c>
      <c r="J62" s="6">
        <v>17525.97</v>
      </c>
      <c r="K62" s="6">
        <v>12645</v>
      </c>
      <c r="L62" s="6">
        <v>4880.97</v>
      </c>
      <c r="M62" s="1">
        <v>41821</v>
      </c>
      <c r="N62">
        <v>7</v>
      </c>
      <c r="O62" t="s">
        <v>31</v>
      </c>
      <c r="P62">
        <v>2014</v>
      </c>
    </row>
    <row r="63" spans="1:16" hidden="1">
      <c r="A63" t="s">
        <v>29</v>
      </c>
      <c r="B63" t="s">
        <v>17</v>
      </c>
      <c r="C63" t="s">
        <v>18</v>
      </c>
      <c r="D63" t="s">
        <v>44</v>
      </c>
      <c r="E63" s="5">
        <v>1445</v>
      </c>
      <c r="F63">
        <v>3</v>
      </c>
      <c r="G63">
        <v>12</v>
      </c>
      <c r="H63" s="6">
        <v>17340</v>
      </c>
      <c r="I63">
        <v>173.4</v>
      </c>
      <c r="J63" s="6">
        <v>17166.599999999999</v>
      </c>
      <c r="K63" s="6">
        <v>4335</v>
      </c>
      <c r="L63" s="6">
        <v>12831.6</v>
      </c>
      <c r="M63" s="1">
        <v>41883</v>
      </c>
      <c r="N63">
        <v>9</v>
      </c>
      <c r="O63" t="s">
        <v>34</v>
      </c>
      <c r="P63">
        <v>2014</v>
      </c>
    </row>
    <row r="64" spans="1:16" hidden="1">
      <c r="A64" t="s">
        <v>30</v>
      </c>
      <c r="B64" t="s">
        <v>36</v>
      </c>
      <c r="C64" t="s">
        <v>18</v>
      </c>
      <c r="D64" t="s">
        <v>44</v>
      </c>
      <c r="E64" s="5">
        <v>330</v>
      </c>
      <c r="F64">
        <v>3</v>
      </c>
      <c r="G64">
        <v>125</v>
      </c>
      <c r="H64" s="6">
        <v>41250</v>
      </c>
      <c r="I64">
        <v>412.5</v>
      </c>
      <c r="J64" s="6">
        <v>40837.5</v>
      </c>
      <c r="K64" s="6">
        <v>39600</v>
      </c>
      <c r="L64" s="6">
        <v>1237.5</v>
      </c>
      <c r="M64" s="1">
        <v>41518</v>
      </c>
      <c r="N64">
        <v>9</v>
      </c>
      <c r="O64" t="s">
        <v>34</v>
      </c>
      <c r="P64">
        <v>2013</v>
      </c>
    </row>
    <row r="65" spans="1:16" hidden="1">
      <c r="A65" t="s">
        <v>29</v>
      </c>
      <c r="B65" t="s">
        <v>23</v>
      </c>
      <c r="C65" t="s">
        <v>18</v>
      </c>
      <c r="D65" t="s">
        <v>44</v>
      </c>
      <c r="E65" s="5">
        <v>2671</v>
      </c>
      <c r="F65">
        <v>3</v>
      </c>
      <c r="G65">
        <v>12</v>
      </c>
      <c r="H65" s="6">
        <v>32052</v>
      </c>
      <c r="I65">
        <v>320.52</v>
      </c>
      <c r="J65" s="6">
        <v>31731.48</v>
      </c>
      <c r="K65" s="6">
        <v>8013</v>
      </c>
      <c r="L65" s="6">
        <v>23718.48</v>
      </c>
      <c r="M65" s="1">
        <v>41883</v>
      </c>
      <c r="N65">
        <v>9</v>
      </c>
      <c r="O65" t="s">
        <v>34</v>
      </c>
      <c r="P65">
        <v>2014</v>
      </c>
    </row>
    <row r="66" spans="1:16" hidden="1">
      <c r="A66" t="s">
        <v>29</v>
      </c>
      <c r="B66" t="s">
        <v>21</v>
      </c>
      <c r="C66" t="s">
        <v>18</v>
      </c>
      <c r="D66" t="s">
        <v>44</v>
      </c>
      <c r="E66" s="5">
        <v>766</v>
      </c>
      <c r="F66">
        <v>3</v>
      </c>
      <c r="G66">
        <v>12</v>
      </c>
      <c r="H66" s="6">
        <v>9192</v>
      </c>
      <c r="I66">
        <v>91.92</v>
      </c>
      <c r="J66" s="6">
        <v>9100.08</v>
      </c>
      <c r="K66" s="6">
        <v>2298</v>
      </c>
      <c r="L66" s="6">
        <v>6802.08</v>
      </c>
      <c r="M66" s="1">
        <v>41548</v>
      </c>
      <c r="N66">
        <v>10</v>
      </c>
      <c r="O66" t="s">
        <v>35</v>
      </c>
      <c r="P66">
        <v>2013</v>
      </c>
    </row>
    <row r="67" spans="1:16" hidden="1">
      <c r="A67" t="s">
        <v>32</v>
      </c>
      <c r="B67" t="s">
        <v>25</v>
      </c>
      <c r="C67" t="s">
        <v>18</v>
      </c>
      <c r="D67" t="s">
        <v>44</v>
      </c>
      <c r="E67" s="5">
        <v>494</v>
      </c>
      <c r="F67">
        <v>3</v>
      </c>
      <c r="G67">
        <v>300</v>
      </c>
      <c r="H67" s="6">
        <v>148200</v>
      </c>
      <c r="I67" s="6">
        <v>1482</v>
      </c>
      <c r="J67" s="6">
        <v>146718</v>
      </c>
      <c r="K67" s="6">
        <v>123500</v>
      </c>
      <c r="L67" s="6">
        <v>23218</v>
      </c>
      <c r="M67" s="1">
        <v>41548</v>
      </c>
      <c r="N67">
        <v>10</v>
      </c>
      <c r="O67" t="s">
        <v>35</v>
      </c>
      <c r="P67">
        <v>2013</v>
      </c>
    </row>
    <row r="68" spans="1:16" hidden="1">
      <c r="A68" t="s">
        <v>16</v>
      </c>
      <c r="B68" t="s">
        <v>25</v>
      </c>
      <c r="C68" t="s">
        <v>18</v>
      </c>
      <c r="D68" t="s">
        <v>44</v>
      </c>
      <c r="E68" s="5">
        <v>1397</v>
      </c>
      <c r="F68">
        <v>3</v>
      </c>
      <c r="G68">
        <v>350</v>
      </c>
      <c r="H68" s="6">
        <v>488950</v>
      </c>
      <c r="I68" s="6">
        <v>4889.5</v>
      </c>
      <c r="J68" s="6">
        <v>484060.5</v>
      </c>
      <c r="K68" s="6">
        <v>363220</v>
      </c>
      <c r="L68" s="6">
        <v>120840.5</v>
      </c>
      <c r="M68" s="1">
        <v>41913</v>
      </c>
      <c r="N68">
        <v>10</v>
      </c>
      <c r="O68" t="s">
        <v>35</v>
      </c>
      <c r="P68">
        <v>2014</v>
      </c>
    </row>
    <row r="69" spans="1:16" hidden="1">
      <c r="A69" t="s">
        <v>16</v>
      </c>
      <c r="B69" t="s">
        <v>23</v>
      </c>
      <c r="C69" t="s">
        <v>18</v>
      </c>
      <c r="D69" t="s">
        <v>44</v>
      </c>
      <c r="E69" s="5">
        <v>2155</v>
      </c>
      <c r="F69">
        <v>3</v>
      </c>
      <c r="G69">
        <v>350</v>
      </c>
      <c r="H69" s="6">
        <v>754250</v>
      </c>
      <c r="I69" s="6">
        <v>7542.5</v>
      </c>
      <c r="J69" s="6">
        <v>746707.5</v>
      </c>
      <c r="K69" s="6">
        <v>560300</v>
      </c>
      <c r="L69" s="6">
        <v>186407.5</v>
      </c>
      <c r="M69" s="1">
        <v>41974</v>
      </c>
      <c r="N69">
        <v>12</v>
      </c>
      <c r="O69" t="s">
        <v>26</v>
      </c>
      <c r="P69">
        <v>2014</v>
      </c>
    </row>
    <row r="70" spans="1:16" hidden="1">
      <c r="A70" t="s">
        <v>22</v>
      </c>
      <c r="B70" t="s">
        <v>25</v>
      </c>
      <c r="C70" t="s">
        <v>27</v>
      </c>
      <c r="D70" t="s">
        <v>44</v>
      </c>
      <c r="E70" s="5">
        <v>2214</v>
      </c>
      <c r="F70">
        <v>5</v>
      </c>
      <c r="G70">
        <v>15</v>
      </c>
      <c r="H70" s="6">
        <v>33210</v>
      </c>
      <c r="I70">
        <v>332.1</v>
      </c>
      <c r="J70" s="6">
        <v>32877.9</v>
      </c>
      <c r="K70" s="6">
        <v>22140</v>
      </c>
      <c r="L70" s="6">
        <v>10737.9</v>
      </c>
      <c r="M70" s="1">
        <v>41699</v>
      </c>
      <c r="N70">
        <v>3</v>
      </c>
      <c r="O70" t="s">
        <v>28</v>
      </c>
      <c r="P70">
        <v>2014</v>
      </c>
    </row>
    <row r="71" spans="1:16" hidden="1">
      <c r="A71" t="s">
        <v>32</v>
      </c>
      <c r="B71" t="s">
        <v>36</v>
      </c>
      <c r="C71" t="s">
        <v>27</v>
      </c>
      <c r="D71" t="s">
        <v>44</v>
      </c>
      <c r="E71" s="5">
        <v>2301</v>
      </c>
      <c r="F71">
        <v>5</v>
      </c>
      <c r="G71">
        <v>300</v>
      </c>
      <c r="H71" s="6">
        <v>690300</v>
      </c>
      <c r="I71" s="6">
        <v>6903</v>
      </c>
      <c r="J71" s="6">
        <v>683397</v>
      </c>
      <c r="K71" s="6">
        <v>575250</v>
      </c>
      <c r="L71" s="6">
        <v>108147</v>
      </c>
      <c r="M71" s="1">
        <v>41730</v>
      </c>
      <c r="N71">
        <v>4</v>
      </c>
      <c r="O71" t="s">
        <v>42</v>
      </c>
      <c r="P71">
        <v>2014</v>
      </c>
    </row>
    <row r="72" spans="1:16" hidden="1">
      <c r="A72" t="s">
        <v>16</v>
      </c>
      <c r="B72" t="s">
        <v>23</v>
      </c>
      <c r="C72" t="s">
        <v>27</v>
      </c>
      <c r="D72" t="s">
        <v>44</v>
      </c>
      <c r="E72" s="5">
        <v>1375.5</v>
      </c>
      <c r="F72">
        <v>5</v>
      </c>
      <c r="G72">
        <v>20</v>
      </c>
      <c r="H72" s="6">
        <v>27510</v>
      </c>
      <c r="I72">
        <v>275.10000000000002</v>
      </c>
      <c r="J72" s="6">
        <v>27234.9</v>
      </c>
      <c r="K72" s="6">
        <v>13755</v>
      </c>
      <c r="L72" s="6">
        <v>13479.9</v>
      </c>
      <c r="M72" s="1">
        <v>41821</v>
      </c>
      <c r="N72">
        <v>7</v>
      </c>
      <c r="O72" t="s">
        <v>31</v>
      </c>
      <c r="P72">
        <v>2014</v>
      </c>
    </row>
    <row r="73" spans="1:16" hidden="1">
      <c r="A73" t="s">
        <v>16</v>
      </c>
      <c r="B73" t="s">
        <v>17</v>
      </c>
      <c r="C73" t="s">
        <v>27</v>
      </c>
      <c r="D73" t="s">
        <v>44</v>
      </c>
      <c r="E73" s="5">
        <v>1830</v>
      </c>
      <c r="F73">
        <v>5</v>
      </c>
      <c r="G73">
        <v>7</v>
      </c>
      <c r="H73" s="6">
        <v>12810</v>
      </c>
      <c r="I73">
        <v>128.1</v>
      </c>
      <c r="J73" s="6">
        <v>12681.9</v>
      </c>
      <c r="K73" s="6">
        <v>9150</v>
      </c>
      <c r="L73" s="6">
        <v>3531.9</v>
      </c>
      <c r="M73" s="1">
        <v>41852</v>
      </c>
      <c r="N73">
        <v>8</v>
      </c>
      <c r="O73" t="s">
        <v>33</v>
      </c>
      <c r="P73">
        <v>2014</v>
      </c>
    </row>
    <row r="74" spans="1:16" hidden="1">
      <c r="A74" t="s">
        <v>32</v>
      </c>
      <c r="B74" t="s">
        <v>36</v>
      </c>
      <c r="C74" t="s">
        <v>27</v>
      </c>
      <c r="D74" t="s">
        <v>44</v>
      </c>
      <c r="E74" s="5">
        <v>2498</v>
      </c>
      <c r="F74">
        <v>5</v>
      </c>
      <c r="G74">
        <v>300</v>
      </c>
      <c r="H74" s="6">
        <v>749400</v>
      </c>
      <c r="I74" s="6">
        <v>7494</v>
      </c>
      <c r="J74" s="6">
        <v>741906</v>
      </c>
      <c r="K74" s="6">
        <v>624500</v>
      </c>
      <c r="L74" s="6">
        <v>117406</v>
      </c>
      <c r="M74" s="1">
        <v>41518</v>
      </c>
      <c r="N74">
        <v>9</v>
      </c>
      <c r="O74" t="s">
        <v>34</v>
      </c>
      <c r="P74">
        <v>2013</v>
      </c>
    </row>
    <row r="75" spans="1:16" hidden="1">
      <c r="A75" t="s">
        <v>30</v>
      </c>
      <c r="B75" t="s">
        <v>36</v>
      </c>
      <c r="C75" t="s">
        <v>27</v>
      </c>
      <c r="D75" t="s">
        <v>44</v>
      </c>
      <c r="E75" s="5">
        <v>663</v>
      </c>
      <c r="F75">
        <v>5</v>
      </c>
      <c r="G75">
        <v>125</v>
      </c>
      <c r="H75" s="6">
        <v>82875</v>
      </c>
      <c r="I75">
        <v>828.75</v>
      </c>
      <c r="J75" s="6">
        <v>82046.25</v>
      </c>
      <c r="K75" s="6">
        <v>79560</v>
      </c>
      <c r="L75" s="6">
        <v>2486.25</v>
      </c>
      <c r="M75" s="1">
        <v>41548</v>
      </c>
      <c r="N75">
        <v>10</v>
      </c>
      <c r="O75" t="s">
        <v>35</v>
      </c>
      <c r="P75">
        <v>2013</v>
      </c>
    </row>
    <row r="76" spans="1:16" hidden="1">
      <c r="A76" t="s">
        <v>22</v>
      </c>
      <c r="B76" t="s">
        <v>36</v>
      </c>
      <c r="C76" t="s">
        <v>37</v>
      </c>
      <c r="D76" t="s">
        <v>44</v>
      </c>
      <c r="E76" s="5">
        <v>1514</v>
      </c>
      <c r="F76">
        <v>10</v>
      </c>
      <c r="G76">
        <v>15</v>
      </c>
      <c r="H76" s="6">
        <v>22710</v>
      </c>
      <c r="I76">
        <v>227.1</v>
      </c>
      <c r="J76" s="6">
        <v>22482.9</v>
      </c>
      <c r="K76" s="6">
        <v>15140</v>
      </c>
      <c r="L76" s="6">
        <v>7342.9</v>
      </c>
      <c r="M76" s="1">
        <v>41671</v>
      </c>
      <c r="N76">
        <v>2</v>
      </c>
      <c r="O76" t="s">
        <v>38</v>
      </c>
      <c r="P76">
        <v>2014</v>
      </c>
    </row>
    <row r="77" spans="1:16" hidden="1">
      <c r="A77" t="s">
        <v>16</v>
      </c>
      <c r="B77" t="s">
        <v>36</v>
      </c>
      <c r="C77" t="s">
        <v>37</v>
      </c>
      <c r="D77" t="s">
        <v>44</v>
      </c>
      <c r="E77" s="5">
        <v>4492.5</v>
      </c>
      <c r="F77">
        <v>10</v>
      </c>
      <c r="G77">
        <v>7</v>
      </c>
      <c r="H77" s="6">
        <v>31447.5</v>
      </c>
      <c r="I77">
        <v>314.48</v>
      </c>
      <c r="J77" s="6">
        <v>31133.03</v>
      </c>
      <c r="K77" s="6">
        <v>22462.5</v>
      </c>
      <c r="L77" s="6">
        <v>8670.5300000000007</v>
      </c>
      <c r="M77" s="1">
        <v>41730</v>
      </c>
      <c r="N77">
        <v>4</v>
      </c>
      <c r="O77" t="s">
        <v>42</v>
      </c>
      <c r="P77">
        <v>2014</v>
      </c>
    </row>
    <row r="78" spans="1:16" hidden="1">
      <c r="A78" t="s">
        <v>30</v>
      </c>
      <c r="B78" t="s">
        <v>36</v>
      </c>
      <c r="C78" t="s">
        <v>37</v>
      </c>
      <c r="D78" t="s">
        <v>44</v>
      </c>
      <c r="E78" s="5">
        <v>727</v>
      </c>
      <c r="F78">
        <v>10</v>
      </c>
      <c r="G78">
        <v>125</v>
      </c>
      <c r="H78" s="6">
        <v>90875</v>
      </c>
      <c r="I78">
        <v>908.75</v>
      </c>
      <c r="J78" s="6">
        <v>89966.25</v>
      </c>
      <c r="K78" s="6">
        <v>87240</v>
      </c>
      <c r="L78" s="6">
        <v>2726.25</v>
      </c>
      <c r="M78" s="1">
        <v>41791</v>
      </c>
      <c r="N78">
        <v>6</v>
      </c>
      <c r="O78" t="s">
        <v>24</v>
      </c>
      <c r="P78">
        <v>2014</v>
      </c>
    </row>
    <row r="79" spans="1:16" hidden="1">
      <c r="A79" t="s">
        <v>30</v>
      </c>
      <c r="B79" t="s">
        <v>23</v>
      </c>
      <c r="C79" t="s">
        <v>37</v>
      </c>
      <c r="D79" t="s">
        <v>44</v>
      </c>
      <c r="E79" s="5">
        <v>787</v>
      </c>
      <c r="F79">
        <v>10</v>
      </c>
      <c r="G79">
        <v>125</v>
      </c>
      <c r="H79" s="6">
        <v>98375</v>
      </c>
      <c r="I79">
        <v>983.75</v>
      </c>
      <c r="J79" s="6">
        <v>97391.25</v>
      </c>
      <c r="K79" s="6">
        <v>94440</v>
      </c>
      <c r="L79" s="6">
        <v>2951.25</v>
      </c>
      <c r="M79" s="1">
        <v>41791</v>
      </c>
      <c r="N79">
        <v>6</v>
      </c>
      <c r="O79" t="s">
        <v>24</v>
      </c>
      <c r="P79">
        <v>2014</v>
      </c>
    </row>
    <row r="80" spans="1:16" hidden="1">
      <c r="A80" t="s">
        <v>30</v>
      </c>
      <c r="B80" t="s">
        <v>25</v>
      </c>
      <c r="C80" t="s">
        <v>37</v>
      </c>
      <c r="D80" t="s">
        <v>44</v>
      </c>
      <c r="E80" s="5">
        <v>1823</v>
      </c>
      <c r="F80">
        <v>10</v>
      </c>
      <c r="G80">
        <v>125</v>
      </c>
      <c r="H80" s="6">
        <v>227875</v>
      </c>
      <c r="I80" s="6">
        <v>2278.75</v>
      </c>
      <c r="J80" s="6">
        <v>225596.25</v>
      </c>
      <c r="K80" s="6">
        <v>218760</v>
      </c>
      <c r="L80" s="6">
        <v>6836.25</v>
      </c>
      <c r="M80" s="1">
        <v>41821</v>
      </c>
      <c r="N80">
        <v>7</v>
      </c>
      <c r="O80" t="s">
        <v>31</v>
      </c>
      <c r="P80">
        <v>2014</v>
      </c>
    </row>
    <row r="81" spans="1:16" hidden="1">
      <c r="A81" t="s">
        <v>22</v>
      </c>
      <c r="B81" t="s">
        <v>21</v>
      </c>
      <c r="C81" t="s">
        <v>37</v>
      </c>
      <c r="D81" t="s">
        <v>44</v>
      </c>
      <c r="E81" s="5">
        <v>747</v>
      </c>
      <c r="F81">
        <v>10</v>
      </c>
      <c r="G81">
        <v>15</v>
      </c>
      <c r="H81" s="6">
        <v>11205</v>
      </c>
      <c r="I81">
        <v>112.05</v>
      </c>
      <c r="J81" s="6">
        <v>11092.95</v>
      </c>
      <c r="K81" s="6">
        <v>7470</v>
      </c>
      <c r="L81" s="6">
        <v>3622.95</v>
      </c>
      <c r="M81" s="1">
        <v>41883</v>
      </c>
      <c r="N81">
        <v>9</v>
      </c>
      <c r="O81" t="s">
        <v>34</v>
      </c>
      <c r="P81">
        <v>2014</v>
      </c>
    </row>
    <row r="82" spans="1:16" hidden="1">
      <c r="A82" t="s">
        <v>29</v>
      </c>
      <c r="B82" t="s">
        <v>21</v>
      </c>
      <c r="C82" t="s">
        <v>37</v>
      </c>
      <c r="D82" t="s">
        <v>44</v>
      </c>
      <c r="E82" s="5">
        <v>766</v>
      </c>
      <c r="F82">
        <v>10</v>
      </c>
      <c r="G82">
        <v>12</v>
      </c>
      <c r="H82" s="6">
        <v>9192</v>
      </c>
      <c r="I82">
        <v>91.92</v>
      </c>
      <c r="J82" s="6">
        <v>9100.08</v>
      </c>
      <c r="K82" s="6">
        <v>2298</v>
      </c>
      <c r="L82" s="6">
        <v>6802.08</v>
      </c>
      <c r="M82" s="1">
        <v>41548</v>
      </c>
      <c r="N82">
        <v>10</v>
      </c>
      <c r="O82" t="s">
        <v>35</v>
      </c>
      <c r="P82">
        <v>2013</v>
      </c>
    </row>
    <row r="83" spans="1:16" hidden="1">
      <c r="A83" t="s">
        <v>32</v>
      </c>
      <c r="B83" t="s">
        <v>36</v>
      </c>
      <c r="C83" t="s">
        <v>37</v>
      </c>
      <c r="D83" t="s">
        <v>44</v>
      </c>
      <c r="E83" s="5">
        <v>2905</v>
      </c>
      <c r="F83">
        <v>10</v>
      </c>
      <c r="G83">
        <v>300</v>
      </c>
      <c r="H83" s="6">
        <v>871500</v>
      </c>
      <c r="I83" s="6">
        <v>8715</v>
      </c>
      <c r="J83" s="6">
        <v>862785</v>
      </c>
      <c r="K83" s="6">
        <v>726250</v>
      </c>
      <c r="L83" s="6">
        <v>136535</v>
      </c>
      <c r="M83" s="1">
        <v>41944</v>
      </c>
      <c r="N83">
        <v>11</v>
      </c>
      <c r="O83" t="s">
        <v>39</v>
      </c>
      <c r="P83">
        <v>2014</v>
      </c>
    </row>
    <row r="84" spans="1:16" hidden="1">
      <c r="A84" t="s">
        <v>16</v>
      </c>
      <c r="B84" t="s">
        <v>23</v>
      </c>
      <c r="C84" t="s">
        <v>37</v>
      </c>
      <c r="D84" t="s">
        <v>44</v>
      </c>
      <c r="E84" s="5">
        <v>2155</v>
      </c>
      <c r="F84">
        <v>10</v>
      </c>
      <c r="G84">
        <v>350</v>
      </c>
      <c r="H84" s="6">
        <v>754250</v>
      </c>
      <c r="I84" s="6">
        <v>7542.5</v>
      </c>
      <c r="J84" s="6">
        <v>746707.5</v>
      </c>
      <c r="K84" s="6">
        <v>560300</v>
      </c>
      <c r="L84" s="6">
        <v>186407.5</v>
      </c>
      <c r="M84" s="1">
        <v>41974</v>
      </c>
      <c r="N84">
        <v>12</v>
      </c>
      <c r="O84" t="s">
        <v>26</v>
      </c>
      <c r="P84">
        <v>2014</v>
      </c>
    </row>
    <row r="85" spans="1:16" hidden="1">
      <c r="A85" t="s">
        <v>16</v>
      </c>
      <c r="B85" t="s">
        <v>23</v>
      </c>
      <c r="C85" t="s">
        <v>40</v>
      </c>
      <c r="D85" t="s">
        <v>44</v>
      </c>
      <c r="E85" s="5">
        <v>3864</v>
      </c>
      <c r="F85">
        <v>120</v>
      </c>
      <c r="G85">
        <v>20</v>
      </c>
      <c r="H85" s="6">
        <v>77280</v>
      </c>
      <c r="I85">
        <v>772.8</v>
      </c>
      <c r="J85" s="6">
        <v>76507.199999999997</v>
      </c>
      <c r="K85" s="6">
        <v>38640</v>
      </c>
      <c r="L85" s="6">
        <v>37867.199999999997</v>
      </c>
      <c r="M85" s="1">
        <v>41730</v>
      </c>
      <c r="N85">
        <v>4</v>
      </c>
      <c r="O85" t="s">
        <v>42</v>
      </c>
      <c r="P85">
        <v>2014</v>
      </c>
    </row>
    <row r="86" spans="1:16" hidden="1">
      <c r="A86" t="s">
        <v>16</v>
      </c>
      <c r="B86" t="s">
        <v>25</v>
      </c>
      <c r="C86" t="s">
        <v>40</v>
      </c>
      <c r="D86" t="s">
        <v>44</v>
      </c>
      <c r="E86" s="5">
        <v>362</v>
      </c>
      <c r="F86">
        <v>120</v>
      </c>
      <c r="G86">
        <v>7</v>
      </c>
      <c r="H86" s="6">
        <v>2534</v>
      </c>
      <c r="I86">
        <v>25.34</v>
      </c>
      <c r="J86" s="6">
        <v>2508.66</v>
      </c>
      <c r="K86" s="6">
        <v>1810</v>
      </c>
      <c r="L86">
        <v>698.66</v>
      </c>
      <c r="M86" s="1">
        <v>41760</v>
      </c>
      <c r="N86">
        <v>5</v>
      </c>
      <c r="O86" t="s">
        <v>45</v>
      </c>
      <c r="P86">
        <v>2014</v>
      </c>
    </row>
    <row r="87" spans="1:16" hidden="1">
      <c r="A87" t="s">
        <v>30</v>
      </c>
      <c r="B87" t="s">
        <v>17</v>
      </c>
      <c r="C87" t="s">
        <v>40</v>
      </c>
      <c r="D87" t="s">
        <v>44</v>
      </c>
      <c r="E87" s="5">
        <v>923</v>
      </c>
      <c r="F87">
        <v>120</v>
      </c>
      <c r="G87">
        <v>125</v>
      </c>
      <c r="H87" s="6">
        <v>115375</v>
      </c>
      <c r="I87" s="6">
        <v>1153.75</v>
      </c>
      <c r="J87" s="6">
        <v>114221.25</v>
      </c>
      <c r="K87" s="6">
        <v>110760</v>
      </c>
      <c r="L87" s="6">
        <v>3461.25</v>
      </c>
      <c r="M87" s="1">
        <v>41852</v>
      </c>
      <c r="N87">
        <v>8</v>
      </c>
      <c r="O87" t="s">
        <v>33</v>
      </c>
      <c r="P87">
        <v>2014</v>
      </c>
    </row>
    <row r="88" spans="1:16" hidden="1">
      <c r="A88" t="s">
        <v>30</v>
      </c>
      <c r="B88" t="s">
        <v>36</v>
      </c>
      <c r="C88" t="s">
        <v>40</v>
      </c>
      <c r="D88" t="s">
        <v>44</v>
      </c>
      <c r="E88" s="5">
        <v>663</v>
      </c>
      <c r="F88">
        <v>120</v>
      </c>
      <c r="G88">
        <v>125</v>
      </c>
      <c r="H88" s="6">
        <v>82875</v>
      </c>
      <c r="I88">
        <v>828.75</v>
      </c>
      <c r="J88" s="6">
        <v>82046.25</v>
      </c>
      <c r="K88" s="6">
        <v>79560</v>
      </c>
      <c r="L88" s="6">
        <v>2486.25</v>
      </c>
      <c r="M88" s="1">
        <v>41548</v>
      </c>
      <c r="N88">
        <v>10</v>
      </c>
      <c r="O88" t="s">
        <v>35</v>
      </c>
      <c r="P88">
        <v>2013</v>
      </c>
    </row>
    <row r="89" spans="1:16" hidden="1">
      <c r="A89" t="s">
        <v>16</v>
      </c>
      <c r="B89" t="s">
        <v>17</v>
      </c>
      <c r="C89" t="s">
        <v>40</v>
      </c>
      <c r="D89" t="s">
        <v>44</v>
      </c>
      <c r="E89" s="5">
        <v>2092</v>
      </c>
      <c r="F89">
        <v>120</v>
      </c>
      <c r="G89">
        <v>7</v>
      </c>
      <c r="H89" s="6">
        <v>14644</v>
      </c>
      <c r="I89">
        <v>146.44</v>
      </c>
      <c r="J89" s="6">
        <v>14497.56</v>
      </c>
      <c r="K89" s="6">
        <v>10460</v>
      </c>
      <c r="L89" s="6">
        <v>4037.56</v>
      </c>
      <c r="M89" s="1">
        <v>41579</v>
      </c>
      <c r="N89">
        <v>11</v>
      </c>
      <c r="O89" t="s">
        <v>39</v>
      </c>
      <c r="P89">
        <v>2013</v>
      </c>
    </row>
    <row r="90" spans="1:16">
      <c r="A90" t="s">
        <v>16</v>
      </c>
      <c r="B90" t="s">
        <v>21</v>
      </c>
      <c r="C90" t="s">
        <v>41</v>
      </c>
      <c r="D90" t="s">
        <v>44</v>
      </c>
      <c r="E90" s="5">
        <v>263</v>
      </c>
      <c r="F90">
        <v>250</v>
      </c>
      <c r="G90">
        <v>7</v>
      </c>
      <c r="H90" s="6">
        <v>1841</v>
      </c>
      <c r="I90">
        <v>18.41</v>
      </c>
      <c r="J90" s="6">
        <v>1822.59</v>
      </c>
      <c r="K90" s="6">
        <v>1315</v>
      </c>
      <c r="L90">
        <v>507.59</v>
      </c>
      <c r="M90" s="1">
        <v>41699</v>
      </c>
      <c r="N90">
        <v>3</v>
      </c>
      <c r="O90" t="s">
        <v>28</v>
      </c>
      <c r="P90">
        <v>2014</v>
      </c>
    </row>
    <row r="91" spans="1:16">
      <c r="A91" t="s">
        <v>16</v>
      </c>
      <c r="B91" t="s">
        <v>17</v>
      </c>
      <c r="C91" t="s">
        <v>41</v>
      </c>
      <c r="D91" t="s">
        <v>44</v>
      </c>
      <c r="E91" s="5">
        <v>943.5</v>
      </c>
      <c r="F91">
        <v>250</v>
      </c>
      <c r="G91">
        <v>350</v>
      </c>
      <c r="H91" s="6">
        <v>330225</v>
      </c>
      <c r="I91" s="6">
        <v>3302.25</v>
      </c>
      <c r="J91" s="6">
        <v>326922.75</v>
      </c>
      <c r="K91" s="6">
        <v>245310</v>
      </c>
      <c r="L91" s="6">
        <v>81612.75</v>
      </c>
      <c r="M91" s="1">
        <v>41730</v>
      </c>
      <c r="N91">
        <v>4</v>
      </c>
      <c r="O91" t="s">
        <v>42</v>
      </c>
      <c r="P91">
        <v>2014</v>
      </c>
    </row>
    <row r="92" spans="1:16">
      <c r="A92" t="s">
        <v>30</v>
      </c>
      <c r="B92" t="s">
        <v>36</v>
      </c>
      <c r="C92" t="s">
        <v>41</v>
      </c>
      <c r="D92" t="s">
        <v>44</v>
      </c>
      <c r="E92" s="5">
        <v>727</v>
      </c>
      <c r="F92">
        <v>250</v>
      </c>
      <c r="G92">
        <v>125</v>
      </c>
      <c r="H92" s="6">
        <v>90875</v>
      </c>
      <c r="I92">
        <v>908.75</v>
      </c>
      <c r="J92" s="6">
        <v>89966.25</v>
      </c>
      <c r="K92" s="6">
        <v>87240</v>
      </c>
      <c r="L92" s="6">
        <v>2726.25</v>
      </c>
      <c r="M92" s="1">
        <v>41791</v>
      </c>
      <c r="N92">
        <v>6</v>
      </c>
      <c r="O92" t="s">
        <v>24</v>
      </c>
      <c r="P92">
        <v>2014</v>
      </c>
    </row>
    <row r="93" spans="1:16">
      <c r="A93" t="s">
        <v>30</v>
      </c>
      <c r="B93" t="s">
        <v>23</v>
      </c>
      <c r="C93" t="s">
        <v>41</v>
      </c>
      <c r="D93" t="s">
        <v>44</v>
      </c>
      <c r="E93" s="5">
        <v>787</v>
      </c>
      <c r="F93">
        <v>250</v>
      </c>
      <c r="G93">
        <v>125</v>
      </c>
      <c r="H93" s="6">
        <v>98375</v>
      </c>
      <c r="I93">
        <v>983.75</v>
      </c>
      <c r="J93" s="6">
        <v>97391.25</v>
      </c>
      <c r="K93" s="6">
        <v>94440</v>
      </c>
      <c r="L93" s="6">
        <v>2951.25</v>
      </c>
      <c r="M93" s="1">
        <v>41791</v>
      </c>
      <c r="N93">
        <v>6</v>
      </c>
      <c r="O93" t="s">
        <v>24</v>
      </c>
      <c r="P93">
        <v>2014</v>
      </c>
    </row>
    <row r="94" spans="1:16">
      <c r="A94" t="s">
        <v>32</v>
      </c>
      <c r="B94" t="s">
        <v>21</v>
      </c>
      <c r="C94" t="s">
        <v>41</v>
      </c>
      <c r="D94" t="s">
        <v>44</v>
      </c>
      <c r="E94" s="5">
        <v>986</v>
      </c>
      <c r="F94">
        <v>250</v>
      </c>
      <c r="G94">
        <v>300</v>
      </c>
      <c r="H94" s="6">
        <v>295800</v>
      </c>
      <c r="I94" s="6">
        <v>2958</v>
      </c>
      <c r="J94" s="6">
        <v>292842</v>
      </c>
      <c r="K94" s="6">
        <v>246500</v>
      </c>
      <c r="L94" s="6">
        <v>46342</v>
      </c>
      <c r="M94" s="1">
        <v>41883</v>
      </c>
      <c r="N94">
        <v>9</v>
      </c>
      <c r="O94" t="s">
        <v>34</v>
      </c>
      <c r="P94">
        <v>2014</v>
      </c>
    </row>
    <row r="95" spans="1:16" hidden="1">
      <c r="A95" t="s">
        <v>32</v>
      </c>
      <c r="B95" t="s">
        <v>25</v>
      </c>
      <c r="C95" t="s">
        <v>41</v>
      </c>
      <c r="D95" t="s">
        <v>44</v>
      </c>
      <c r="E95" s="5">
        <v>494</v>
      </c>
      <c r="F95">
        <v>250</v>
      </c>
      <c r="G95">
        <v>300</v>
      </c>
      <c r="H95" s="6">
        <v>148200</v>
      </c>
      <c r="I95" s="6">
        <v>1482</v>
      </c>
      <c r="J95" s="6">
        <v>146718</v>
      </c>
      <c r="K95" s="6">
        <v>123500</v>
      </c>
      <c r="L95" s="6">
        <v>23218</v>
      </c>
      <c r="M95" s="1">
        <v>41548</v>
      </c>
      <c r="N95">
        <v>10</v>
      </c>
      <c r="O95" t="s">
        <v>35</v>
      </c>
      <c r="P95">
        <v>2013</v>
      </c>
    </row>
    <row r="96" spans="1:16">
      <c r="A96" t="s">
        <v>16</v>
      </c>
      <c r="B96" t="s">
        <v>25</v>
      </c>
      <c r="C96" t="s">
        <v>41</v>
      </c>
      <c r="D96" t="s">
        <v>44</v>
      </c>
      <c r="E96" s="5">
        <v>1397</v>
      </c>
      <c r="F96">
        <v>250</v>
      </c>
      <c r="G96">
        <v>350</v>
      </c>
      <c r="H96" s="6">
        <v>488950</v>
      </c>
      <c r="I96" s="6">
        <v>4889.5</v>
      </c>
      <c r="J96" s="6">
        <v>484060.5</v>
      </c>
      <c r="K96" s="6">
        <v>363220</v>
      </c>
      <c r="L96" s="6">
        <v>120840.5</v>
      </c>
      <c r="M96" s="1">
        <v>41913</v>
      </c>
      <c r="N96">
        <v>10</v>
      </c>
      <c r="O96" t="s">
        <v>35</v>
      </c>
      <c r="P96">
        <v>2014</v>
      </c>
    </row>
    <row r="97" spans="1:16">
      <c r="A97" t="s">
        <v>30</v>
      </c>
      <c r="B97" t="s">
        <v>23</v>
      </c>
      <c r="C97" t="s">
        <v>41</v>
      </c>
      <c r="D97" t="s">
        <v>44</v>
      </c>
      <c r="E97" s="5">
        <v>1744</v>
      </c>
      <c r="F97">
        <v>250</v>
      </c>
      <c r="G97">
        <v>125</v>
      </c>
      <c r="H97" s="6">
        <v>218000</v>
      </c>
      <c r="I97" s="6">
        <v>2180</v>
      </c>
      <c r="J97" s="6">
        <v>215820</v>
      </c>
      <c r="K97" s="6">
        <v>209280</v>
      </c>
      <c r="L97" s="6">
        <v>6540</v>
      </c>
      <c r="M97" s="1">
        <v>41944</v>
      </c>
      <c r="N97">
        <v>11</v>
      </c>
      <c r="O97" t="s">
        <v>39</v>
      </c>
      <c r="P97">
        <v>2014</v>
      </c>
    </row>
    <row r="98" spans="1:16" hidden="1">
      <c r="A98" t="s">
        <v>29</v>
      </c>
      <c r="B98" t="s">
        <v>36</v>
      </c>
      <c r="C98" t="s">
        <v>43</v>
      </c>
      <c r="D98" t="s">
        <v>44</v>
      </c>
      <c r="E98" s="5">
        <v>1989</v>
      </c>
      <c r="F98">
        <v>260</v>
      </c>
      <c r="G98">
        <v>12</v>
      </c>
      <c r="H98" s="6">
        <v>23868</v>
      </c>
      <c r="I98">
        <v>238.68</v>
      </c>
      <c r="J98" s="6">
        <v>23629.32</v>
      </c>
      <c r="K98" s="6">
        <v>5967</v>
      </c>
      <c r="L98" s="6">
        <v>17662.32</v>
      </c>
      <c r="M98" s="1">
        <v>41518</v>
      </c>
      <c r="N98">
        <v>9</v>
      </c>
      <c r="O98" t="s">
        <v>34</v>
      </c>
      <c r="P98">
        <v>2013</v>
      </c>
    </row>
    <row r="99" spans="1:16" hidden="1">
      <c r="A99" t="s">
        <v>22</v>
      </c>
      <c r="B99" t="s">
        <v>23</v>
      </c>
      <c r="C99" t="s">
        <v>43</v>
      </c>
      <c r="D99" t="s">
        <v>44</v>
      </c>
      <c r="E99" s="5">
        <v>321</v>
      </c>
      <c r="F99">
        <v>260</v>
      </c>
      <c r="G99">
        <v>15</v>
      </c>
      <c r="H99" s="6">
        <v>4815</v>
      </c>
      <c r="I99">
        <v>48.15</v>
      </c>
      <c r="J99" s="6">
        <v>4766.8500000000004</v>
      </c>
      <c r="K99" s="6">
        <v>3210</v>
      </c>
      <c r="L99" s="6">
        <v>1556.85</v>
      </c>
      <c r="M99" s="1">
        <v>41579</v>
      </c>
      <c r="N99">
        <v>11</v>
      </c>
      <c r="O99" t="s">
        <v>39</v>
      </c>
      <c r="P99">
        <v>2013</v>
      </c>
    </row>
    <row r="100" spans="1:16" hidden="1">
      <c r="A100" t="s">
        <v>30</v>
      </c>
      <c r="B100" t="s">
        <v>17</v>
      </c>
      <c r="C100" t="s">
        <v>18</v>
      </c>
      <c r="D100" t="s">
        <v>44</v>
      </c>
      <c r="E100" s="5">
        <v>742.5</v>
      </c>
      <c r="F100">
        <v>3</v>
      </c>
      <c r="G100">
        <v>125</v>
      </c>
      <c r="H100" s="6">
        <v>92812.5</v>
      </c>
      <c r="I100" s="6">
        <v>1856.25</v>
      </c>
      <c r="J100" s="6">
        <v>90956.25</v>
      </c>
      <c r="K100" s="6">
        <v>89100</v>
      </c>
      <c r="L100" s="6">
        <v>1856.25</v>
      </c>
      <c r="M100" s="1">
        <v>41730</v>
      </c>
      <c r="N100">
        <v>4</v>
      </c>
      <c r="O100" t="s">
        <v>42</v>
      </c>
      <c r="P100">
        <v>2014</v>
      </c>
    </row>
    <row r="101" spans="1:16" hidden="1">
      <c r="A101" t="s">
        <v>29</v>
      </c>
      <c r="B101" t="s">
        <v>17</v>
      </c>
      <c r="C101" t="s">
        <v>18</v>
      </c>
      <c r="D101" t="s">
        <v>44</v>
      </c>
      <c r="E101" s="5">
        <v>1295</v>
      </c>
      <c r="F101">
        <v>3</v>
      </c>
      <c r="G101">
        <v>12</v>
      </c>
      <c r="H101" s="6">
        <v>15540</v>
      </c>
      <c r="I101">
        <v>310.8</v>
      </c>
      <c r="J101" s="6">
        <v>15229.2</v>
      </c>
      <c r="K101" s="6">
        <v>3885</v>
      </c>
      <c r="L101" s="6">
        <v>11344.2</v>
      </c>
      <c r="M101" s="1">
        <v>41913</v>
      </c>
      <c r="N101">
        <v>10</v>
      </c>
      <c r="O101" t="s">
        <v>35</v>
      </c>
      <c r="P101">
        <v>2014</v>
      </c>
    </row>
    <row r="102" spans="1:16" hidden="1">
      <c r="A102" t="s">
        <v>32</v>
      </c>
      <c r="B102" t="s">
        <v>21</v>
      </c>
      <c r="C102" t="s">
        <v>18</v>
      </c>
      <c r="D102" t="s">
        <v>44</v>
      </c>
      <c r="E102" s="5">
        <v>214</v>
      </c>
      <c r="F102">
        <v>3</v>
      </c>
      <c r="G102">
        <v>300</v>
      </c>
      <c r="H102" s="6">
        <v>64200</v>
      </c>
      <c r="I102" s="6">
        <v>1284</v>
      </c>
      <c r="J102" s="6">
        <v>62916</v>
      </c>
      <c r="K102" s="6">
        <v>53500</v>
      </c>
      <c r="L102" s="6">
        <v>9416</v>
      </c>
      <c r="M102" s="1">
        <v>41548</v>
      </c>
      <c r="N102">
        <v>10</v>
      </c>
      <c r="O102" t="s">
        <v>35</v>
      </c>
      <c r="P102">
        <v>2013</v>
      </c>
    </row>
    <row r="103" spans="1:16" hidden="1">
      <c r="A103" t="s">
        <v>16</v>
      </c>
      <c r="B103" t="s">
        <v>23</v>
      </c>
      <c r="C103" t="s">
        <v>18</v>
      </c>
      <c r="D103" t="s">
        <v>44</v>
      </c>
      <c r="E103" s="5">
        <v>2145</v>
      </c>
      <c r="F103">
        <v>3</v>
      </c>
      <c r="G103">
        <v>7</v>
      </c>
      <c r="H103" s="6">
        <v>15015</v>
      </c>
      <c r="I103">
        <v>300.3</v>
      </c>
      <c r="J103" s="6">
        <v>14714.7</v>
      </c>
      <c r="K103" s="6">
        <v>10725</v>
      </c>
      <c r="L103" s="6">
        <v>3989.7</v>
      </c>
      <c r="M103" s="1">
        <v>41579</v>
      </c>
      <c r="N103">
        <v>11</v>
      </c>
      <c r="O103" t="s">
        <v>39</v>
      </c>
      <c r="P103">
        <v>2013</v>
      </c>
    </row>
    <row r="104" spans="1:16" hidden="1">
      <c r="A104" t="s">
        <v>16</v>
      </c>
      <c r="B104" t="s">
        <v>17</v>
      </c>
      <c r="C104" t="s">
        <v>18</v>
      </c>
      <c r="D104" t="s">
        <v>44</v>
      </c>
      <c r="E104" s="5">
        <v>2852</v>
      </c>
      <c r="F104">
        <v>3</v>
      </c>
      <c r="G104">
        <v>350</v>
      </c>
      <c r="H104" s="6">
        <v>998200</v>
      </c>
      <c r="I104" s="6">
        <v>19964</v>
      </c>
      <c r="J104" s="6">
        <v>978236</v>
      </c>
      <c r="K104" s="6">
        <v>741520</v>
      </c>
      <c r="L104" s="6">
        <v>236716</v>
      </c>
      <c r="M104" s="1">
        <v>41974</v>
      </c>
      <c r="N104">
        <v>12</v>
      </c>
      <c r="O104" t="s">
        <v>26</v>
      </c>
      <c r="P104">
        <v>2014</v>
      </c>
    </row>
    <row r="105" spans="1:16" hidden="1">
      <c r="A105" t="s">
        <v>29</v>
      </c>
      <c r="B105" t="s">
        <v>36</v>
      </c>
      <c r="C105" t="s">
        <v>27</v>
      </c>
      <c r="D105" t="s">
        <v>44</v>
      </c>
      <c r="E105" s="5">
        <v>1142</v>
      </c>
      <c r="F105">
        <v>5</v>
      </c>
      <c r="G105">
        <v>12</v>
      </c>
      <c r="H105" s="6">
        <v>13704</v>
      </c>
      <c r="I105">
        <v>274.08</v>
      </c>
      <c r="J105" s="6">
        <v>13429.92</v>
      </c>
      <c r="K105" s="6">
        <v>3426</v>
      </c>
      <c r="L105" s="6">
        <v>10003.92</v>
      </c>
      <c r="M105" s="1">
        <v>41791</v>
      </c>
      <c r="N105">
        <v>6</v>
      </c>
      <c r="O105" t="s">
        <v>24</v>
      </c>
      <c r="P105">
        <v>2014</v>
      </c>
    </row>
    <row r="106" spans="1:16" hidden="1">
      <c r="A106" t="s">
        <v>16</v>
      </c>
      <c r="B106" t="s">
        <v>36</v>
      </c>
      <c r="C106" t="s">
        <v>27</v>
      </c>
      <c r="D106" t="s">
        <v>44</v>
      </c>
      <c r="E106" s="5">
        <v>1566</v>
      </c>
      <c r="F106">
        <v>5</v>
      </c>
      <c r="G106">
        <v>20</v>
      </c>
      <c r="H106" s="6">
        <v>31320</v>
      </c>
      <c r="I106">
        <v>626.4</v>
      </c>
      <c r="J106" s="6">
        <v>30693.599999999999</v>
      </c>
      <c r="K106" s="6">
        <v>15660</v>
      </c>
      <c r="L106" s="6">
        <v>15033.6</v>
      </c>
      <c r="M106" s="1">
        <v>41913</v>
      </c>
      <c r="N106">
        <v>10</v>
      </c>
      <c r="O106" t="s">
        <v>35</v>
      </c>
      <c r="P106">
        <v>2014</v>
      </c>
    </row>
    <row r="107" spans="1:16" hidden="1">
      <c r="A107" t="s">
        <v>29</v>
      </c>
      <c r="B107" t="s">
        <v>25</v>
      </c>
      <c r="C107" t="s">
        <v>27</v>
      </c>
      <c r="D107" t="s">
        <v>44</v>
      </c>
      <c r="E107" s="5">
        <v>690</v>
      </c>
      <c r="F107">
        <v>5</v>
      </c>
      <c r="G107">
        <v>12</v>
      </c>
      <c r="H107" s="6">
        <v>8280</v>
      </c>
      <c r="I107">
        <v>165.6</v>
      </c>
      <c r="J107" s="6">
        <v>8114.4</v>
      </c>
      <c r="K107" s="6">
        <v>2070</v>
      </c>
      <c r="L107" s="6">
        <v>6044.4</v>
      </c>
      <c r="M107" s="1">
        <v>41944</v>
      </c>
      <c r="N107">
        <v>11</v>
      </c>
      <c r="O107" t="s">
        <v>39</v>
      </c>
      <c r="P107">
        <v>2014</v>
      </c>
    </row>
    <row r="108" spans="1:16" hidden="1">
      <c r="A108" t="s">
        <v>30</v>
      </c>
      <c r="B108" t="s">
        <v>25</v>
      </c>
      <c r="C108" t="s">
        <v>27</v>
      </c>
      <c r="D108" t="s">
        <v>44</v>
      </c>
      <c r="E108" s="5">
        <v>1660</v>
      </c>
      <c r="F108">
        <v>5</v>
      </c>
      <c r="G108">
        <v>125</v>
      </c>
      <c r="H108" s="6">
        <v>207500</v>
      </c>
      <c r="I108" s="6">
        <v>4150</v>
      </c>
      <c r="J108" s="6">
        <v>203350</v>
      </c>
      <c r="K108" s="6">
        <v>199200</v>
      </c>
      <c r="L108" s="6">
        <v>4150</v>
      </c>
      <c r="M108" s="1">
        <v>41579</v>
      </c>
      <c r="N108">
        <v>11</v>
      </c>
      <c r="O108" t="s">
        <v>39</v>
      </c>
      <c r="P108">
        <v>2013</v>
      </c>
    </row>
    <row r="109" spans="1:16" hidden="1">
      <c r="A109" t="s">
        <v>22</v>
      </c>
      <c r="B109" t="s">
        <v>17</v>
      </c>
      <c r="C109" t="s">
        <v>37</v>
      </c>
      <c r="D109" t="s">
        <v>44</v>
      </c>
      <c r="E109" s="5">
        <v>2363</v>
      </c>
      <c r="F109">
        <v>10</v>
      </c>
      <c r="G109">
        <v>15</v>
      </c>
      <c r="H109" s="6">
        <v>35445</v>
      </c>
      <c r="I109">
        <v>708.9</v>
      </c>
      <c r="J109" s="6">
        <v>34736.1</v>
      </c>
      <c r="K109" s="6">
        <v>23630</v>
      </c>
      <c r="L109" s="6">
        <v>11106.1</v>
      </c>
      <c r="M109" s="1">
        <v>41671</v>
      </c>
      <c r="N109">
        <v>2</v>
      </c>
      <c r="O109" t="s">
        <v>38</v>
      </c>
      <c r="P109">
        <v>2014</v>
      </c>
    </row>
    <row r="110" spans="1:16" hidden="1">
      <c r="A110" t="s">
        <v>32</v>
      </c>
      <c r="B110" t="s">
        <v>23</v>
      </c>
      <c r="C110" t="s">
        <v>37</v>
      </c>
      <c r="D110" t="s">
        <v>44</v>
      </c>
      <c r="E110" s="5">
        <v>918</v>
      </c>
      <c r="F110">
        <v>10</v>
      </c>
      <c r="G110">
        <v>300</v>
      </c>
      <c r="H110" s="6">
        <v>275400</v>
      </c>
      <c r="I110" s="6">
        <v>5508</v>
      </c>
      <c r="J110" s="6">
        <v>269892</v>
      </c>
      <c r="K110" s="6">
        <v>229500</v>
      </c>
      <c r="L110" s="6">
        <v>40392</v>
      </c>
      <c r="M110" s="1">
        <v>41760</v>
      </c>
      <c r="N110">
        <v>5</v>
      </c>
      <c r="O110" t="s">
        <v>45</v>
      </c>
      <c r="P110">
        <v>2014</v>
      </c>
    </row>
    <row r="111" spans="1:16" hidden="1">
      <c r="A111" t="s">
        <v>32</v>
      </c>
      <c r="B111" t="s">
        <v>21</v>
      </c>
      <c r="C111" t="s">
        <v>37</v>
      </c>
      <c r="D111" t="s">
        <v>44</v>
      </c>
      <c r="E111" s="5">
        <v>1728</v>
      </c>
      <c r="F111">
        <v>10</v>
      </c>
      <c r="G111">
        <v>300</v>
      </c>
      <c r="H111" s="6">
        <v>518400</v>
      </c>
      <c r="I111" s="6">
        <v>10368</v>
      </c>
      <c r="J111" s="6">
        <v>508032</v>
      </c>
      <c r="K111" s="6">
        <v>432000</v>
      </c>
      <c r="L111" s="6">
        <v>76032</v>
      </c>
      <c r="M111" s="1">
        <v>41760</v>
      </c>
      <c r="N111">
        <v>5</v>
      </c>
      <c r="O111" t="s">
        <v>45</v>
      </c>
      <c r="P111">
        <v>2014</v>
      </c>
    </row>
    <row r="112" spans="1:16" hidden="1">
      <c r="A112" t="s">
        <v>29</v>
      </c>
      <c r="B112" t="s">
        <v>36</v>
      </c>
      <c r="C112" t="s">
        <v>37</v>
      </c>
      <c r="D112" t="s">
        <v>44</v>
      </c>
      <c r="E112" s="5">
        <v>1142</v>
      </c>
      <c r="F112">
        <v>10</v>
      </c>
      <c r="G112">
        <v>12</v>
      </c>
      <c r="H112" s="6">
        <v>13704</v>
      </c>
      <c r="I112">
        <v>274.08</v>
      </c>
      <c r="J112" s="6">
        <v>13429.92</v>
      </c>
      <c r="K112" s="6">
        <v>3426</v>
      </c>
      <c r="L112" s="6">
        <v>10003.92</v>
      </c>
      <c r="M112" s="1">
        <v>41791</v>
      </c>
      <c r="N112">
        <v>6</v>
      </c>
      <c r="O112" t="s">
        <v>24</v>
      </c>
      <c r="P112">
        <v>2014</v>
      </c>
    </row>
    <row r="113" spans="1:16" hidden="1">
      <c r="A113" t="s">
        <v>30</v>
      </c>
      <c r="B113" t="s">
        <v>25</v>
      </c>
      <c r="C113" t="s">
        <v>37</v>
      </c>
      <c r="D113" t="s">
        <v>44</v>
      </c>
      <c r="E113" s="5">
        <v>662</v>
      </c>
      <c r="F113">
        <v>10</v>
      </c>
      <c r="G113">
        <v>125</v>
      </c>
      <c r="H113" s="6">
        <v>82750</v>
      </c>
      <c r="I113" s="6">
        <v>1655</v>
      </c>
      <c r="J113" s="6">
        <v>81095</v>
      </c>
      <c r="K113" s="6">
        <v>79440</v>
      </c>
      <c r="L113" s="6">
        <v>1655</v>
      </c>
      <c r="M113" s="1">
        <v>41791</v>
      </c>
      <c r="N113">
        <v>6</v>
      </c>
      <c r="O113" t="s">
        <v>24</v>
      </c>
      <c r="P113">
        <v>2014</v>
      </c>
    </row>
    <row r="114" spans="1:16" hidden="1">
      <c r="A114" t="s">
        <v>29</v>
      </c>
      <c r="B114" t="s">
        <v>17</v>
      </c>
      <c r="C114" t="s">
        <v>37</v>
      </c>
      <c r="D114" t="s">
        <v>44</v>
      </c>
      <c r="E114" s="5">
        <v>1295</v>
      </c>
      <c r="F114">
        <v>10</v>
      </c>
      <c r="G114">
        <v>12</v>
      </c>
      <c r="H114" s="6">
        <v>15540</v>
      </c>
      <c r="I114">
        <v>310.8</v>
      </c>
      <c r="J114" s="6">
        <v>15229.2</v>
      </c>
      <c r="K114" s="6">
        <v>3885</v>
      </c>
      <c r="L114" s="6">
        <v>11344.2</v>
      </c>
      <c r="M114" s="1">
        <v>41913</v>
      </c>
      <c r="N114">
        <v>10</v>
      </c>
      <c r="O114" t="s">
        <v>35</v>
      </c>
      <c r="P114">
        <v>2014</v>
      </c>
    </row>
    <row r="115" spans="1:16" hidden="1">
      <c r="A115" t="s">
        <v>30</v>
      </c>
      <c r="B115" t="s">
        <v>21</v>
      </c>
      <c r="C115" t="s">
        <v>37</v>
      </c>
      <c r="D115" t="s">
        <v>44</v>
      </c>
      <c r="E115" s="5">
        <v>809</v>
      </c>
      <c r="F115">
        <v>10</v>
      </c>
      <c r="G115">
        <v>125</v>
      </c>
      <c r="H115" s="6">
        <v>101125</v>
      </c>
      <c r="I115" s="6">
        <v>2022.5</v>
      </c>
      <c r="J115" s="6">
        <v>99102.5</v>
      </c>
      <c r="K115" s="6">
        <v>97080</v>
      </c>
      <c r="L115" s="6">
        <v>2022.5</v>
      </c>
      <c r="M115" s="1">
        <v>41548</v>
      </c>
      <c r="N115">
        <v>10</v>
      </c>
      <c r="O115" t="s">
        <v>35</v>
      </c>
      <c r="P115">
        <v>2013</v>
      </c>
    </row>
    <row r="116" spans="1:16" hidden="1">
      <c r="A116" t="s">
        <v>30</v>
      </c>
      <c r="B116" t="s">
        <v>25</v>
      </c>
      <c r="C116" t="s">
        <v>37</v>
      </c>
      <c r="D116" t="s">
        <v>44</v>
      </c>
      <c r="E116" s="5">
        <v>2145</v>
      </c>
      <c r="F116">
        <v>10</v>
      </c>
      <c r="G116">
        <v>125</v>
      </c>
      <c r="H116" s="6">
        <v>268125</v>
      </c>
      <c r="I116" s="6">
        <v>5362.5</v>
      </c>
      <c r="J116" s="6">
        <v>262762.5</v>
      </c>
      <c r="K116" s="6">
        <v>257400</v>
      </c>
      <c r="L116" s="6">
        <v>5362.5</v>
      </c>
      <c r="M116" s="1">
        <v>41548</v>
      </c>
      <c r="N116">
        <v>10</v>
      </c>
      <c r="O116" t="s">
        <v>35</v>
      </c>
      <c r="P116">
        <v>2013</v>
      </c>
    </row>
    <row r="117" spans="1:16" hidden="1">
      <c r="A117" t="s">
        <v>29</v>
      </c>
      <c r="B117" t="s">
        <v>23</v>
      </c>
      <c r="C117" t="s">
        <v>37</v>
      </c>
      <c r="D117" t="s">
        <v>44</v>
      </c>
      <c r="E117" s="5">
        <v>1785</v>
      </c>
      <c r="F117">
        <v>10</v>
      </c>
      <c r="G117">
        <v>12</v>
      </c>
      <c r="H117" s="6">
        <v>21420</v>
      </c>
      <c r="I117">
        <v>428.4</v>
      </c>
      <c r="J117" s="6">
        <v>20991.599999999999</v>
      </c>
      <c r="K117" s="6">
        <v>5355</v>
      </c>
      <c r="L117" s="6">
        <v>15636.6</v>
      </c>
      <c r="M117" s="1">
        <v>41579</v>
      </c>
      <c r="N117">
        <v>11</v>
      </c>
      <c r="O117" t="s">
        <v>39</v>
      </c>
      <c r="P117">
        <v>2013</v>
      </c>
    </row>
    <row r="118" spans="1:16" hidden="1">
      <c r="A118" t="s">
        <v>32</v>
      </c>
      <c r="B118" t="s">
        <v>17</v>
      </c>
      <c r="C118" t="s">
        <v>37</v>
      </c>
      <c r="D118" t="s">
        <v>44</v>
      </c>
      <c r="E118" s="5">
        <v>1916</v>
      </c>
      <c r="F118">
        <v>10</v>
      </c>
      <c r="G118">
        <v>300</v>
      </c>
      <c r="H118" s="6">
        <v>574800</v>
      </c>
      <c r="I118" s="6">
        <v>11496</v>
      </c>
      <c r="J118" s="6">
        <v>563304</v>
      </c>
      <c r="K118" s="6">
        <v>479000</v>
      </c>
      <c r="L118" s="6">
        <v>84304</v>
      </c>
      <c r="M118" s="1">
        <v>41974</v>
      </c>
      <c r="N118">
        <v>12</v>
      </c>
      <c r="O118" t="s">
        <v>26</v>
      </c>
      <c r="P118">
        <v>2014</v>
      </c>
    </row>
    <row r="119" spans="1:16" hidden="1">
      <c r="A119" t="s">
        <v>16</v>
      </c>
      <c r="B119" t="s">
        <v>17</v>
      </c>
      <c r="C119" t="s">
        <v>37</v>
      </c>
      <c r="D119" t="s">
        <v>44</v>
      </c>
      <c r="E119" s="5">
        <v>2852</v>
      </c>
      <c r="F119">
        <v>10</v>
      </c>
      <c r="G119">
        <v>350</v>
      </c>
      <c r="H119" s="6">
        <v>998200</v>
      </c>
      <c r="I119" s="6">
        <v>19964</v>
      </c>
      <c r="J119" s="6">
        <v>978236</v>
      </c>
      <c r="K119" s="6">
        <v>741520</v>
      </c>
      <c r="L119" s="6">
        <v>236716</v>
      </c>
      <c r="M119" s="1">
        <v>41974</v>
      </c>
      <c r="N119">
        <v>12</v>
      </c>
      <c r="O119" t="s">
        <v>26</v>
      </c>
      <c r="P119">
        <v>2014</v>
      </c>
    </row>
    <row r="120" spans="1:16" hidden="1">
      <c r="A120" t="s">
        <v>30</v>
      </c>
      <c r="B120" t="s">
        <v>17</v>
      </c>
      <c r="C120" t="s">
        <v>37</v>
      </c>
      <c r="D120" t="s">
        <v>44</v>
      </c>
      <c r="E120" s="5">
        <v>2729</v>
      </c>
      <c r="F120">
        <v>10</v>
      </c>
      <c r="G120">
        <v>125</v>
      </c>
      <c r="H120" s="6">
        <v>341125</v>
      </c>
      <c r="I120" s="6">
        <v>6822.5</v>
      </c>
      <c r="J120" s="6">
        <v>334302.5</v>
      </c>
      <c r="K120" s="6">
        <v>327480</v>
      </c>
      <c r="L120" s="6">
        <v>6822.5</v>
      </c>
      <c r="M120" s="1">
        <v>41974</v>
      </c>
      <c r="N120">
        <v>12</v>
      </c>
      <c r="O120" t="s">
        <v>26</v>
      </c>
      <c r="P120">
        <v>2014</v>
      </c>
    </row>
    <row r="121" spans="1:16" hidden="1">
      <c r="A121" t="s">
        <v>22</v>
      </c>
      <c r="B121" t="s">
        <v>36</v>
      </c>
      <c r="C121" t="s">
        <v>37</v>
      </c>
      <c r="D121" t="s">
        <v>44</v>
      </c>
      <c r="E121" s="5">
        <v>1925</v>
      </c>
      <c r="F121">
        <v>10</v>
      </c>
      <c r="G121">
        <v>15</v>
      </c>
      <c r="H121" s="6">
        <v>28875</v>
      </c>
      <c r="I121">
        <v>577.5</v>
      </c>
      <c r="J121" s="6">
        <v>28297.5</v>
      </c>
      <c r="K121" s="6">
        <v>19250</v>
      </c>
      <c r="L121" s="6">
        <v>9047.5</v>
      </c>
      <c r="M121" s="1">
        <v>41609</v>
      </c>
      <c r="N121">
        <v>12</v>
      </c>
      <c r="O121" t="s">
        <v>26</v>
      </c>
      <c r="P121">
        <v>2013</v>
      </c>
    </row>
    <row r="122" spans="1:16" hidden="1">
      <c r="A122" t="s">
        <v>16</v>
      </c>
      <c r="B122" t="s">
        <v>36</v>
      </c>
      <c r="C122" t="s">
        <v>37</v>
      </c>
      <c r="D122" t="s">
        <v>44</v>
      </c>
      <c r="E122" s="5">
        <v>2013</v>
      </c>
      <c r="F122">
        <v>10</v>
      </c>
      <c r="G122">
        <v>7</v>
      </c>
      <c r="H122" s="6">
        <v>14091</v>
      </c>
      <c r="I122">
        <v>281.82</v>
      </c>
      <c r="J122" s="6">
        <v>13809.18</v>
      </c>
      <c r="K122" s="6">
        <v>10065</v>
      </c>
      <c r="L122" s="6">
        <v>3744.18</v>
      </c>
      <c r="M122" s="1">
        <v>41609</v>
      </c>
      <c r="N122">
        <v>12</v>
      </c>
      <c r="O122" t="s">
        <v>26</v>
      </c>
      <c r="P122">
        <v>2013</v>
      </c>
    </row>
    <row r="123" spans="1:16" hidden="1">
      <c r="A123" t="s">
        <v>29</v>
      </c>
      <c r="B123" t="s">
        <v>23</v>
      </c>
      <c r="C123" t="s">
        <v>37</v>
      </c>
      <c r="D123" t="s">
        <v>44</v>
      </c>
      <c r="E123" s="5">
        <v>1055</v>
      </c>
      <c r="F123">
        <v>10</v>
      </c>
      <c r="G123">
        <v>12</v>
      </c>
      <c r="H123" s="6">
        <v>12660</v>
      </c>
      <c r="I123">
        <v>253.2</v>
      </c>
      <c r="J123" s="6">
        <v>12406.8</v>
      </c>
      <c r="K123" s="6">
        <v>3165</v>
      </c>
      <c r="L123" s="6">
        <v>9241.7999999999993</v>
      </c>
      <c r="M123" s="1">
        <v>41974</v>
      </c>
      <c r="N123">
        <v>12</v>
      </c>
      <c r="O123" t="s">
        <v>26</v>
      </c>
      <c r="P123">
        <v>2014</v>
      </c>
    </row>
    <row r="124" spans="1:16" hidden="1">
      <c r="A124" t="s">
        <v>29</v>
      </c>
      <c r="B124" t="s">
        <v>25</v>
      </c>
      <c r="C124" t="s">
        <v>37</v>
      </c>
      <c r="D124" t="s">
        <v>44</v>
      </c>
      <c r="E124" s="5">
        <v>1084</v>
      </c>
      <c r="F124">
        <v>10</v>
      </c>
      <c r="G124">
        <v>12</v>
      </c>
      <c r="H124" s="6">
        <v>13008</v>
      </c>
      <c r="I124">
        <v>260.16000000000003</v>
      </c>
      <c r="J124" s="6">
        <v>12747.84</v>
      </c>
      <c r="K124" s="6">
        <v>3252</v>
      </c>
      <c r="L124" s="6">
        <v>9495.84</v>
      </c>
      <c r="M124" s="1">
        <v>41974</v>
      </c>
      <c r="N124">
        <v>12</v>
      </c>
      <c r="O124" t="s">
        <v>26</v>
      </c>
      <c r="P124">
        <v>2014</v>
      </c>
    </row>
    <row r="125" spans="1:16" hidden="1">
      <c r="A125" t="s">
        <v>16</v>
      </c>
      <c r="B125" t="s">
        <v>36</v>
      </c>
      <c r="C125" t="s">
        <v>40</v>
      </c>
      <c r="D125" t="s">
        <v>44</v>
      </c>
      <c r="E125" s="5">
        <v>1566</v>
      </c>
      <c r="F125">
        <v>120</v>
      </c>
      <c r="G125">
        <v>20</v>
      </c>
      <c r="H125" s="6">
        <v>31320</v>
      </c>
      <c r="I125">
        <v>626.4</v>
      </c>
      <c r="J125" s="6">
        <v>30693.599999999999</v>
      </c>
      <c r="K125" s="6">
        <v>15660</v>
      </c>
      <c r="L125" s="6">
        <v>15033.6</v>
      </c>
      <c r="M125" s="1">
        <v>41913</v>
      </c>
      <c r="N125">
        <v>10</v>
      </c>
      <c r="O125" t="s">
        <v>35</v>
      </c>
      <c r="P125">
        <v>2014</v>
      </c>
    </row>
    <row r="126" spans="1:16" hidden="1">
      <c r="A126" t="s">
        <v>16</v>
      </c>
      <c r="B126" t="s">
        <v>21</v>
      </c>
      <c r="C126" t="s">
        <v>40</v>
      </c>
      <c r="D126" t="s">
        <v>44</v>
      </c>
      <c r="E126" s="5">
        <v>2966</v>
      </c>
      <c r="F126">
        <v>120</v>
      </c>
      <c r="G126">
        <v>350</v>
      </c>
      <c r="H126" s="6">
        <v>1038100</v>
      </c>
      <c r="I126" s="6">
        <v>20762</v>
      </c>
      <c r="J126" s="6">
        <v>1017338</v>
      </c>
      <c r="K126" s="6">
        <v>771160</v>
      </c>
      <c r="L126" s="6">
        <v>246178</v>
      </c>
      <c r="M126" s="1">
        <v>41548</v>
      </c>
      <c r="N126">
        <v>10</v>
      </c>
      <c r="O126" t="s">
        <v>35</v>
      </c>
      <c r="P126">
        <v>2013</v>
      </c>
    </row>
    <row r="127" spans="1:16" hidden="1">
      <c r="A127" t="s">
        <v>16</v>
      </c>
      <c r="B127" t="s">
        <v>21</v>
      </c>
      <c r="C127" t="s">
        <v>40</v>
      </c>
      <c r="D127" t="s">
        <v>44</v>
      </c>
      <c r="E127" s="5">
        <v>2877</v>
      </c>
      <c r="F127">
        <v>120</v>
      </c>
      <c r="G127">
        <v>350</v>
      </c>
      <c r="H127" s="6">
        <v>1006950</v>
      </c>
      <c r="I127" s="6">
        <v>20139</v>
      </c>
      <c r="J127" s="6">
        <v>986811</v>
      </c>
      <c r="K127" s="6">
        <v>748020</v>
      </c>
      <c r="L127" s="6">
        <v>238791</v>
      </c>
      <c r="M127" s="1">
        <v>41913</v>
      </c>
      <c r="N127">
        <v>10</v>
      </c>
      <c r="O127" t="s">
        <v>35</v>
      </c>
      <c r="P127">
        <v>2014</v>
      </c>
    </row>
    <row r="128" spans="1:16" hidden="1">
      <c r="A128" t="s">
        <v>30</v>
      </c>
      <c r="B128" t="s">
        <v>21</v>
      </c>
      <c r="C128" t="s">
        <v>40</v>
      </c>
      <c r="D128" t="s">
        <v>44</v>
      </c>
      <c r="E128" s="5">
        <v>809</v>
      </c>
      <c r="F128">
        <v>120</v>
      </c>
      <c r="G128">
        <v>125</v>
      </c>
      <c r="H128" s="6">
        <v>101125</v>
      </c>
      <c r="I128" s="6">
        <v>2022.5</v>
      </c>
      <c r="J128" s="6">
        <v>99102.5</v>
      </c>
      <c r="K128" s="6">
        <v>97080</v>
      </c>
      <c r="L128" s="6">
        <v>2022.5</v>
      </c>
      <c r="M128" s="1">
        <v>41548</v>
      </c>
      <c r="N128">
        <v>10</v>
      </c>
      <c r="O128" t="s">
        <v>35</v>
      </c>
      <c r="P128">
        <v>2013</v>
      </c>
    </row>
    <row r="129" spans="1:16" hidden="1">
      <c r="A129" t="s">
        <v>30</v>
      </c>
      <c r="B129" t="s">
        <v>25</v>
      </c>
      <c r="C129" t="s">
        <v>40</v>
      </c>
      <c r="D129" t="s">
        <v>44</v>
      </c>
      <c r="E129" s="5">
        <v>2145</v>
      </c>
      <c r="F129">
        <v>120</v>
      </c>
      <c r="G129">
        <v>125</v>
      </c>
      <c r="H129" s="6">
        <v>268125</v>
      </c>
      <c r="I129" s="6">
        <v>5362.5</v>
      </c>
      <c r="J129" s="6">
        <v>262762.5</v>
      </c>
      <c r="K129" s="6">
        <v>257400</v>
      </c>
      <c r="L129" s="6">
        <v>5362.5</v>
      </c>
      <c r="M129" s="1">
        <v>41548</v>
      </c>
      <c r="N129">
        <v>10</v>
      </c>
      <c r="O129" t="s">
        <v>35</v>
      </c>
      <c r="P129">
        <v>2013</v>
      </c>
    </row>
    <row r="130" spans="1:16" hidden="1">
      <c r="A130" t="s">
        <v>29</v>
      </c>
      <c r="B130" t="s">
        <v>23</v>
      </c>
      <c r="C130" t="s">
        <v>40</v>
      </c>
      <c r="D130" t="s">
        <v>44</v>
      </c>
      <c r="E130" s="5">
        <v>1055</v>
      </c>
      <c r="F130">
        <v>120</v>
      </c>
      <c r="G130">
        <v>12</v>
      </c>
      <c r="H130" s="6">
        <v>12660</v>
      </c>
      <c r="I130">
        <v>253.2</v>
      </c>
      <c r="J130" s="6">
        <v>12406.8</v>
      </c>
      <c r="K130" s="6">
        <v>3165</v>
      </c>
      <c r="L130" s="6">
        <v>9241.7999999999993</v>
      </c>
      <c r="M130" s="1">
        <v>41974</v>
      </c>
      <c r="N130">
        <v>12</v>
      </c>
      <c r="O130" t="s">
        <v>26</v>
      </c>
      <c r="P130">
        <v>2014</v>
      </c>
    </row>
    <row r="131" spans="1:16" hidden="1">
      <c r="A131" t="s">
        <v>16</v>
      </c>
      <c r="B131" t="s">
        <v>25</v>
      </c>
      <c r="C131" t="s">
        <v>40</v>
      </c>
      <c r="D131" t="s">
        <v>44</v>
      </c>
      <c r="E131" s="5">
        <v>544</v>
      </c>
      <c r="F131">
        <v>120</v>
      </c>
      <c r="G131">
        <v>20</v>
      </c>
      <c r="H131" s="6">
        <v>10880</v>
      </c>
      <c r="I131">
        <v>217.6</v>
      </c>
      <c r="J131" s="6">
        <v>10662.4</v>
      </c>
      <c r="K131" s="6">
        <v>5440</v>
      </c>
      <c r="L131" s="6">
        <v>5222.3999999999996</v>
      </c>
      <c r="M131" s="1">
        <v>41609</v>
      </c>
      <c r="N131">
        <v>12</v>
      </c>
      <c r="O131" t="s">
        <v>26</v>
      </c>
      <c r="P131">
        <v>2013</v>
      </c>
    </row>
    <row r="132" spans="1:16" hidden="1">
      <c r="A132" t="s">
        <v>29</v>
      </c>
      <c r="B132" t="s">
        <v>25</v>
      </c>
      <c r="C132" t="s">
        <v>40</v>
      </c>
      <c r="D132" t="s">
        <v>44</v>
      </c>
      <c r="E132" s="5">
        <v>1084</v>
      </c>
      <c r="F132">
        <v>120</v>
      </c>
      <c r="G132">
        <v>12</v>
      </c>
      <c r="H132" s="6">
        <v>13008</v>
      </c>
      <c r="I132">
        <v>260.16000000000003</v>
      </c>
      <c r="J132" s="6">
        <v>12747.84</v>
      </c>
      <c r="K132" s="6">
        <v>3252</v>
      </c>
      <c r="L132" s="6">
        <v>9495.84</v>
      </c>
      <c r="M132" s="1">
        <v>41974</v>
      </c>
      <c r="N132">
        <v>12</v>
      </c>
      <c r="O132" t="s">
        <v>26</v>
      </c>
      <c r="P132">
        <v>2014</v>
      </c>
    </row>
    <row r="133" spans="1:16">
      <c r="A133" t="s">
        <v>30</v>
      </c>
      <c r="B133" t="s">
        <v>25</v>
      </c>
      <c r="C133" t="s">
        <v>41</v>
      </c>
      <c r="D133" t="s">
        <v>44</v>
      </c>
      <c r="E133" s="5">
        <v>662</v>
      </c>
      <c r="F133">
        <v>250</v>
      </c>
      <c r="G133">
        <v>125</v>
      </c>
      <c r="H133" s="6">
        <v>82750</v>
      </c>
      <c r="I133" s="6">
        <v>1655</v>
      </c>
      <c r="J133" s="6">
        <v>81095</v>
      </c>
      <c r="K133" s="6">
        <v>79440</v>
      </c>
      <c r="L133" s="6">
        <v>1655</v>
      </c>
      <c r="M133" s="1">
        <v>41791</v>
      </c>
      <c r="N133">
        <v>6</v>
      </c>
      <c r="O133" t="s">
        <v>24</v>
      </c>
      <c r="P133">
        <v>2014</v>
      </c>
    </row>
    <row r="134" spans="1:16" hidden="1">
      <c r="A134" t="s">
        <v>32</v>
      </c>
      <c r="B134" t="s">
        <v>21</v>
      </c>
      <c r="C134" t="s">
        <v>41</v>
      </c>
      <c r="D134" t="s">
        <v>44</v>
      </c>
      <c r="E134" s="5">
        <v>214</v>
      </c>
      <c r="F134">
        <v>250</v>
      </c>
      <c r="G134">
        <v>300</v>
      </c>
      <c r="H134" s="6">
        <v>64200</v>
      </c>
      <c r="I134" s="6">
        <v>1284</v>
      </c>
      <c r="J134" s="6">
        <v>62916</v>
      </c>
      <c r="K134" s="6">
        <v>53500</v>
      </c>
      <c r="L134" s="6">
        <v>9416</v>
      </c>
      <c r="M134" s="1">
        <v>41548</v>
      </c>
      <c r="N134">
        <v>10</v>
      </c>
      <c r="O134" t="s">
        <v>35</v>
      </c>
      <c r="P134">
        <v>2013</v>
      </c>
    </row>
    <row r="135" spans="1:16">
      <c r="A135" t="s">
        <v>16</v>
      </c>
      <c r="B135" t="s">
        <v>21</v>
      </c>
      <c r="C135" t="s">
        <v>41</v>
      </c>
      <c r="D135" t="s">
        <v>44</v>
      </c>
      <c r="E135" s="5">
        <v>2877</v>
      </c>
      <c r="F135">
        <v>250</v>
      </c>
      <c r="G135">
        <v>350</v>
      </c>
      <c r="H135" s="6">
        <v>1006950</v>
      </c>
      <c r="I135" s="6">
        <v>20139</v>
      </c>
      <c r="J135" s="6">
        <v>986811</v>
      </c>
      <c r="K135" s="6">
        <v>748020</v>
      </c>
      <c r="L135" s="6">
        <v>238791</v>
      </c>
      <c r="M135" s="1">
        <v>41913</v>
      </c>
      <c r="N135">
        <v>10</v>
      </c>
      <c r="O135" t="s">
        <v>35</v>
      </c>
      <c r="P135">
        <v>2014</v>
      </c>
    </row>
    <row r="136" spans="1:16">
      <c r="A136" t="s">
        <v>30</v>
      </c>
      <c r="B136" t="s">
        <v>17</v>
      </c>
      <c r="C136" t="s">
        <v>41</v>
      </c>
      <c r="D136" t="s">
        <v>44</v>
      </c>
      <c r="E136" s="5">
        <v>2729</v>
      </c>
      <c r="F136">
        <v>250</v>
      </c>
      <c r="G136">
        <v>125</v>
      </c>
      <c r="H136" s="6">
        <v>341125</v>
      </c>
      <c r="I136" s="6">
        <v>6822.5</v>
      </c>
      <c r="J136" s="6">
        <v>334302.5</v>
      </c>
      <c r="K136" s="6">
        <v>327480</v>
      </c>
      <c r="L136" s="6">
        <v>6822.5</v>
      </c>
      <c r="M136" s="1">
        <v>41974</v>
      </c>
      <c r="N136">
        <v>12</v>
      </c>
      <c r="O136" t="s">
        <v>26</v>
      </c>
      <c r="P136">
        <v>2014</v>
      </c>
    </row>
    <row r="137" spans="1:16" hidden="1">
      <c r="A137" t="s">
        <v>16</v>
      </c>
      <c r="B137" t="s">
        <v>36</v>
      </c>
      <c r="C137" t="s">
        <v>41</v>
      </c>
      <c r="D137" t="s">
        <v>44</v>
      </c>
      <c r="E137" s="5">
        <v>266</v>
      </c>
      <c r="F137">
        <v>250</v>
      </c>
      <c r="G137">
        <v>350</v>
      </c>
      <c r="H137" s="6">
        <v>93100</v>
      </c>
      <c r="I137" s="6">
        <v>1862</v>
      </c>
      <c r="J137" s="6">
        <v>91238</v>
      </c>
      <c r="K137" s="6">
        <v>69160</v>
      </c>
      <c r="L137" s="6">
        <v>22078</v>
      </c>
      <c r="M137" s="1">
        <v>41609</v>
      </c>
      <c r="N137">
        <v>12</v>
      </c>
      <c r="O137" t="s">
        <v>26</v>
      </c>
      <c r="P137">
        <v>2013</v>
      </c>
    </row>
    <row r="138" spans="1:16" hidden="1">
      <c r="A138" t="s">
        <v>16</v>
      </c>
      <c r="B138" t="s">
        <v>25</v>
      </c>
      <c r="C138" t="s">
        <v>41</v>
      </c>
      <c r="D138" t="s">
        <v>44</v>
      </c>
      <c r="E138" s="5">
        <v>1940</v>
      </c>
      <c r="F138">
        <v>250</v>
      </c>
      <c r="G138">
        <v>350</v>
      </c>
      <c r="H138" s="6">
        <v>679000</v>
      </c>
      <c r="I138" s="6">
        <v>13580</v>
      </c>
      <c r="J138" s="6">
        <v>665420</v>
      </c>
      <c r="K138" s="6">
        <v>504400</v>
      </c>
      <c r="L138" s="6">
        <v>161020</v>
      </c>
      <c r="M138" s="1">
        <v>41609</v>
      </c>
      <c r="N138">
        <v>12</v>
      </c>
      <c r="O138" t="s">
        <v>26</v>
      </c>
      <c r="P138">
        <v>2013</v>
      </c>
    </row>
    <row r="139" spans="1:16" hidden="1">
      <c r="A139" t="s">
        <v>32</v>
      </c>
      <c r="B139" t="s">
        <v>21</v>
      </c>
      <c r="C139" t="s">
        <v>43</v>
      </c>
      <c r="D139" t="s">
        <v>44</v>
      </c>
      <c r="E139" s="5">
        <v>259</v>
      </c>
      <c r="F139">
        <v>260</v>
      </c>
      <c r="G139">
        <v>300</v>
      </c>
      <c r="H139" s="6">
        <v>77700</v>
      </c>
      <c r="I139" s="6">
        <v>1554</v>
      </c>
      <c r="J139" s="6">
        <v>76146</v>
      </c>
      <c r="K139" s="6">
        <v>64750</v>
      </c>
      <c r="L139" s="6">
        <v>11396</v>
      </c>
      <c r="M139" s="1">
        <v>41699</v>
      </c>
      <c r="N139">
        <v>3</v>
      </c>
      <c r="O139" t="s">
        <v>28</v>
      </c>
      <c r="P139">
        <v>2014</v>
      </c>
    </row>
    <row r="140" spans="1:16" hidden="1">
      <c r="A140" t="s">
        <v>32</v>
      </c>
      <c r="B140" t="s">
        <v>25</v>
      </c>
      <c r="C140" t="s">
        <v>43</v>
      </c>
      <c r="D140" t="s">
        <v>44</v>
      </c>
      <c r="E140" s="5">
        <v>1101</v>
      </c>
      <c r="F140">
        <v>260</v>
      </c>
      <c r="G140">
        <v>300</v>
      </c>
      <c r="H140" s="6">
        <v>330300</v>
      </c>
      <c r="I140" s="6">
        <v>6606</v>
      </c>
      <c r="J140" s="6">
        <v>323694</v>
      </c>
      <c r="K140" s="6">
        <v>275250</v>
      </c>
      <c r="L140" s="6">
        <v>48444</v>
      </c>
      <c r="M140" s="1">
        <v>41699</v>
      </c>
      <c r="N140">
        <v>3</v>
      </c>
      <c r="O140" t="s">
        <v>28</v>
      </c>
      <c r="P140">
        <v>2014</v>
      </c>
    </row>
    <row r="141" spans="1:16" hidden="1">
      <c r="A141" t="s">
        <v>30</v>
      </c>
      <c r="B141" t="s">
        <v>21</v>
      </c>
      <c r="C141" t="s">
        <v>43</v>
      </c>
      <c r="D141" t="s">
        <v>44</v>
      </c>
      <c r="E141" s="5">
        <v>2276</v>
      </c>
      <c r="F141">
        <v>260</v>
      </c>
      <c r="G141">
        <v>125</v>
      </c>
      <c r="H141" s="6">
        <v>284500</v>
      </c>
      <c r="I141" s="6">
        <v>5690</v>
      </c>
      <c r="J141" s="6">
        <v>278810</v>
      </c>
      <c r="K141" s="6">
        <v>273120</v>
      </c>
      <c r="L141" s="6">
        <v>5690</v>
      </c>
      <c r="M141" s="1">
        <v>41760</v>
      </c>
      <c r="N141">
        <v>5</v>
      </c>
      <c r="O141" t="s">
        <v>45</v>
      </c>
      <c r="P141">
        <v>2014</v>
      </c>
    </row>
    <row r="142" spans="1:16" hidden="1">
      <c r="A142" t="s">
        <v>16</v>
      </c>
      <c r="B142" t="s">
        <v>21</v>
      </c>
      <c r="C142" t="s">
        <v>43</v>
      </c>
      <c r="D142" t="s">
        <v>44</v>
      </c>
      <c r="E142" s="5">
        <v>2966</v>
      </c>
      <c r="F142">
        <v>260</v>
      </c>
      <c r="G142">
        <v>350</v>
      </c>
      <c r="H142" s="6">
        <v>1038100</v>
      </c>
      <c r="I142" s="6">
        <v>20762</v>
      </c>
      <c r="J142" s="6">
        <v>1017338</v>
      </c>
      <c r="K142" s="6">
        <v>771160</v>
      </c>
      <c r="L142" s="6">
        <v>246178</v>
      </c>
      <c r="M142" s="1">
        <v>41548</v>
      </c>
      <c r="N142">
        <v>10</v>
      </c>
      <c r="O142" t="s">
        <v>35</v>
      </c>
      <c r="P142">
        <v>2013</v>
      </c>
    </row>
    <row r="143" spans="1:16" hidden="1">
      <c r="A143" t="s">
        <v>16</v>
      </c>
      <c r="B143" t="s">
        <v>36</v>
      </c>
      <c r="C143" t="s">
        <v>43</v>
      </c>
      <c r="D143" t="s">
        <v>44</v>
      </c>
      <c r="E143" s="5">
        <v>1236</v>
      </c>
      <c r="F143">
        <v>260</v>
      </c>
      <c r="G143">
        <v>20</v>
      </c>
      <c r="H143" s="6">
        <v>24720</v>
      </c>
      <c r="I143">
        <v>494.4</v>
      </c>
      <c r="J143" s="6">
        <v>24225.599999999999</v>
      </c>
      <c r="K143" s="6">
        <v>12360</v>
      </c>
      <c r="L143" s="6">
        <v>11865.6</v>
      </c>
      <c r="M143" s="1">
        <v>41944</v>
      </c>
      <c r="N143">
        <v>11</v>
      </c>
      <c r="O143" t="s">
        <v>39</v>
      </c>
      <c r="P143">
        <v>2014</v>
      </c>
    </row>
    <row r="144" spans="1:16" hidden="1">
      <c r="A144" t="s">
        <v>16</v>
      </c>
      <c r="B144" t="s">
        <v>23</v>
      </c>
      <c r="C144" t="s">
        <v>43</v>
      </c>
      <c r="D144" t="s">
        <v>44</v>
      </c>
      <c r="E144" s="5">
        <v>941</v>
      </c>
      <c r="F144">
        <v>260</v>
      </c>
      <c r="G144">
        <v>20</v>
      </c>
      <c r="H144" s="6">
        <v>18820</v>
      </c>
      <c r="I144">
        <v>376.4</v>
      </c>
      <c r="J144" s="6">
        <v>18443.599999999999</v>
      </c>
      <c r="K144" s="6">
        <v>9410</v>
      </c>
      <c r="L144" s="6">
        <v>9033.6</v>
      </c>
      <c r="M144" s="1">
        <v>41944</v>
      </c>
      <c r="N144">
        <v>11</v>
      </c>
      <c r="O144" t="s">
        <v>39</v>
      </c>
      <c r="P144">
        <v>2014</v>
      </c>
    </row>
    <row r="145" spans="1:16" hidden="1">
      <c r="A145" t="s">
        <v>32</v>
      </c>
      <c r="B145" t="s">
        <v>17</v>
      </c>
      <c r="C145" t="s">
        <v>43</v>
      </c>
      <c r="D145" t="s">
        <v>44</v>
      </c>
      <c r="E145" s="5">
        <v>1916</v>
      </c>
      <c r="F145">
        <v>260</v>
      </c>
      <c r="G145">
        <v>300</v>
      </c>
      <c r="H145" s="6">
        <v>574800</v>
      </c>
      <c r="I145" s="6">
        <v>11496</v>
      </c>
      <c r="J145" s="6">
        <v>563304</v>
      </c>
      <c r="K145" s="6">
        <v>479000</v>
      </c>
      <c r="L145" s="6">
        <v>84304</v>
      </c>
      <c r="M145" s="1">
        <v>41974</v>
      </c>
      <c r="N145">
        <v>12</v>
      </c>
      <c r="O145" t="s">
        <v>26</v>
      </c>
      <c r="P145">
        <v>2014</v>
      </c>
    </row>
    <row r="146" spans="1:16" hidden="1">
      <c r="A146" t="s">
        <v>30</v>
      </c>
      <c r="B146" t="s">
        <v>23</v>
      </c>
      <c r="C146" t="s">
        <v>18</v>
      </c>
      <c r="D146" t="s">
        <v>44</v>
      </c>
      <c r="E146" s="5">
        <v>4243.5</v>
      </c>
      <c r="F146">
        <v>3</v>
      </c>
      <c r="G146">
        <v>125</v>
      </c>
      <c r="H146" s="6">
        <v>530437.5</v>
      </c>
      <c r="I146" s="6">
        <v>15913.13</v>
      </c>
      <c r="J146" s="6">
        <v>514524.38</v>
      </c>
      <c r="K146" s="6">
        <v>509220</v>
      </c>
      <c r="L146" s="6">
        <v>5304.38</v>
      </c>
      <c r="M146" s="1">
        <v>41730</v>
      </c>
      <c r="N146">
        <v>4</v>
      </c>
      <c r="O146" t="s">
        <v>42</v>
      </c>
      <c r="P146">
        <v>2014</v>
      </c>
    </row>
    <row r="147" spans="1:16" hidden="1">
      <c r="A147" t="s">
        <v>16</v>
      </c>
      <c r="B147" t="s">
        <v>21</v>
      </c>
      <c r="C147" t="s">
        <v>18</v>
      </c>
      <c r="D147" t="s">
        <v>44</v>
      </c>
      <c r="E147" s="5">
        <v>2580</v>
      </c>
      <c r="F147">
        <v>3</v>
      </c>
      <c r="G147">
        <v>20</v>
      </c>
      <c r="H147" s="6">
        <v>51600</v>
      </c>
      <c r="I147" s="6">
        <v>1548</v>
      </c>
      <c r="J147" s="6">
        <v>50052</v>
      </c>
      <c r="K147" s="6">
        <v>25800</v>
      </c>
      <c r="L147" s="6">
        <v>24252</v>
      </c>
      <c r="M147" s="1">
        <v>41730</v>
      </c>
      <c r="N147">
        <v>4</v>
      </c>
      <c r="O147" t="s">
        <v>42</v>
      </c>
      <c r="P147">
        <v>2014</v>
      </c>
    </row>
    <row r="148" spans="1:16" hidden="1">
      <c r="A148" t="s">
        <v>32</v>
      </c>
      <c r="B148" t="s">
        <v>21</v>
      </c>
      <c r="C148" t="s">
        <v>18</v>
      </c>
      <c r="D148" t="s">
        <v>44</v>
      </c>
      <c r="E148" s="5">
        <v>689</v>
      </c>
      <c r="F148">
        <v>3</v>
      </c>
      <c r="G148">
        <v>300</v>
      </c>
      <c r="H148" s="6">
        <v>206700</v>
      </c>
      <c r="I148" s="6">
        <v>6201</v>
      </c>
      <c r="J148" s="6">
        <v>200499</v>
      </c>
      <c r="K148" s="6">
        <v>172250</v>
      </c>
      <c r="L148" s="6">
        <v>28249</v>
      </c>
      <c r="M148" s="1">
        <v>41791</v>
      </c>
      <c r="N148">
        <v>6</v>
      </c>
      <c r="O148" t="s">
        <v>24</v>
      </c>
      <c r="P148">
        <v>2014</v>
      </c>
    </row>
    <row r="149" spans="1:16" hidden="1">
      <c r="A149" t="s">
        <v>29</v>
      </c>
      <c r="B149" t="s">
        <v>36</v>
      </c>
      <c r="C149" t="s">
        <v>18</v>
      </c>
      <c r="D149" t="s">
        <v>44</v>
      </c>
      <c r="E149" s="5">
        <v>1947</v>
      </c>
      <c r="F149">
        <v>3</v>
      </c>
      <c r="G149">
        <v>12</v>
      </c>
      <c r="H149" s="6">
        <v>23364</v>
      </c>
      <c r="I149">
        <v>700.92</v>
      </c>
      <c r="J149" s="6">
        <v>22663.08</v>
      </c>
      <c r="K149" s="6">
        <v>5841</v>
      </c>
      <c r="L149" s="6">
        <v>16822.080000000002</v>
      </c>
      <c r="M149" s="1">
        <v>41883</v>
      </c>
      <c r="N149">
        <v>9</v>
      </c>
      <c r="O149" t="s">
        <v>34</v>
      </c>
      <c r="P149">
        <v>2014</v>
      </c>
    </row>
    <row r="150" spans="1:16" hidden="1">
      <c r="A150" t="s">
        <v>29</v>
      </c>
      <c r="B150" t="s">
        <v>17</v>
      </c>
      <c r="C150" t="s">
        <v>18</v>
      </c>
      <c r="D150" t="s">
        <v>44</v>
      </c>
      <c r="E150" s="5">
        <v>908</v>
      </c>
      <c r="F150">
        <v>3</v>
      </c>
      <c r="G150">
        <v>12</v>
      </c>
      <c r="H150" s="6">
        <v>10896</v>
      </c>
      <c r="I150">
        <v>326.88</v>
      </c>
      <c r="J150" s="6">
        <v>10569.12</v>
      </c>
      <c r="K150" s="6">
        <v>2724</v>
      </c>
      <c r="L150" s="6">
        <v>7845.12</v>
      </c>
      <c r="M150" s="1">
        <v>41609</v>
      </c>
      <c r="N150">
        <v>12</v>
      </c>
      <c r="O150" t="s">
        <v>26</v>
      </c>
      <c r="P150">
        <v>2013</v>
      </c>
    </row>
    <row r="151" spans="1:16" hidden="1">
      <c r="A151" t="s">
        <v>16</v>
      </c>
      <c r="B151" t="s">
        <v>21</v>
      </c>
      <c r="C151" t="s">
        <v>27</v>
      </c>
      <c r="D151" t="s">
        <v>44</v>
      </c>
      <c r="E151" s="5">
        <v>1958</v>
      </c>
      <c r="F151">
        <v>5</v>
      </c>
      <c r="G151">
        <v>7</v>
      </c>
      <c r="H151" s="6">
        <v>13706</v>
      </c>
      <c r="I151">
        <v>411.18</v>
      </c>
      <c r="J151" s="6">
        <v>13294.82</v>
      </c>
      <c r="K151" s="6">
        <v>9790</v>
      </c>
      <c r="L151" s="6">
        <v>3504.82</v>
      </c>
      <c r="M151" s="1">
        <v>41671</v>
      </c>
      <c r="N151">
        <v>2</v>
      </c>
      <c r="O151" t="s">
        <v>38</v>
      </c>
      <c r="P151">
        <v>2014</v>
      </c>
    </row>
    <row r="152" spans="1:16" hidden="1">
      <c r="A152" t="s">
        <v>29</v>
      </c>
      <c r="B152" t="s">
        <v>23</v>
      </c>
      <c r="C152" t="s">
        <v>27</v>
      </c>
      <c r="D152" t="s">
        <v>44</v>
      </c>
      <c r="E152" s="5">
        <v>1901</v>
      </c>
      <c r="F152">
        <v>5</v>
      </c>
      <c r="G152">
        <v>12</v>
      </c>
      <c r="H152" s="6">
        <v>22812</v>
      </c>
      <c r="I152">
        <v>684.36</v>
      </c>
      <c r="J152" s="6">
        <v>22127.64</v>
      </c>
      <c r="K152" s="6">
        <v>5703</v>
      </c>
      <c r="L152" s="6">
        <v>16424.64</v>
      </c>
      <c r="M152" s="1">
        <v>41791</v>
      </c>
      <c r="N152">
        <v>6</v>
      </c>
      <c r="O152" t="s">
        <v>24</v>
      </c>
      <c r="P152">
        <v>2014</v>
      </c>
    </row>
    <row r="153" spans="1:16" hidden="1">
      <c r="A153" t="s">
        <v>16</v>
      </c>
      <c r="B153" t="s">
        <v>23</v>
      </c>
      <c r="C153" t="s">
        <v>27</v>
      </c>
      <c r="D153" t="s">
        <v>44</v>
      </c>
      <c r="E153" s="5">
        <v>544</v>
      </c>
      <c r="F153">
        <v>5</v>
      </c>
      <c r="G153">
        <v>7</v>
      </c>
      <c r="H153" s="6">
        <v>3808</v>
      </c>
      <c r="I153">
        <v>114.24</v>
      </c>
      <c r="J153" s="6">
        <v>3693.76</v>
      </c>
      <c r="K153" s="6">
        <v>2720</v>
      </c>
      <c r="L153">
        <v>973.76</v>
      </c>
      <c r="M153" s="1">
        <v>41883</v>
      </c>
      <c r="N153">
        <v>9</v>
      </c>
      <c r="O153" t="s">
        <v>34</v>
      </c>
      <c r="P153">
        <v>2014</v>
      </c>
    </row>
    <row r="154" spans="1:16" hidden="1">
      <c r="A154" t="s">
        <v>16</v>
      </c>
      <c r="B154" t="s">
        <v>21</v>
      </c>
      <c r="C154" t="s">
        <v>27</v>
      </c>
      <c r="D154" t="s">
        <v>44</v>
      </c>
      <c r="E154" s="5">
        <v>1797</v>
      </c>
      <c r="F154">
        <v>5</v>
      </c>
      <c r="G154">
        <v>350</v>
      </c>
      <c r="H154" s="6">
        <v>628950</v>
      </c>
      <c r="I154" s="6">
        <v>18868.5</v>
      </c>
      <c r="J154" s="6">
        <v>610081.5</v>
      </c>
      <c r="K154" s="6">
        <v>467220</v>
      </c>
      <c r="L154" s="6">
        <v>142861.5</v>
      </c>
      <c r="M154" s="1">
        <v>41518</v>
      </c>
      <c r="N154">
        <v>9</v>
      </c>
      <c r="O154" t="s">
        <v>34</v>
      </c>
      <c r="P154">
        <v>2013</v>
      </c>
    </row>
    <row r="155" spans="1:16" hidden="1">
      <c r="A155" t="s">
        <v>30</v>
      </c>
      <c r="B155" t="s">
        <v>23</v>
      </c>
      <c r="C155" t="s">
        <v>27</v>
      </c>
      <c r="D155" t="s">
        <v>44</v>
      </c>
      <c r="E155" s="5">
        <v>1287</v>
      </c>
      <c r="F155">
        <v>5</v>
      </c>
      <c r="G155">
        <v>125</v>
      </c>
      <c r="H155" s="6">
        <v>160875</v>
      </c>
      <c r="I155" s="6">
        <v>4826.25</v>
      </c>
      <c r="J155" s="6">
        <v>156048.75</v>
      </c>
      <c r="K155" s="6">
        <v>154440</v>
      </c>
      <c r="L155" s="6">
        <v>1608.75</v>
      </c>
      <c r="M155" s="1">
        <v>41974</v>
      </c>
      <c r="N155">
        <v>12</v>
      </c>
      <c r="O155" t="s">
        <v>26</v>
      </c>
      <c r="P155">
        <v>2014</v>
      </c>
    </row>
    <row r="156" spans="1:16" hidden="1">
      <c r="A156" t="s">
        <v>30</v>
      </c>
      <c r="B156" t="s">
        <v>21</v>
      </c>
      <c r="C156" t="s">
        <v>27</v>
      </c>
      <c r="D156" t="s">
        <v>44</v>
      </c>
      <c r="E156" s="5">
        <v>1706</v>
      </c>
      <c r="F156">
        <v>5</v>
      </c>
      <c r="G156">
        <v>125</v>
      </c>
      <c r="H156" s="6">
        <v>213250</v>
      </c>
      <c r="I156" s="6">
        <v>6397.5</v>
      </c>
      <c r="J156" s="6">
        <v>206852.5</v>
      </c>
      <c r="K156" s="6">
        <v>204720</v>
      </c>
      <c r="L156" s="6">
        <v>2132.5</v>
      </c>
      <c r="M156" s="1">
        <v>41974</v>
      </c>
      <c r="N156">
        <v>12</v>
      </c>
      <c r="O156" t="s">
        <v>26</v>
      </c>
      <c r="P156">
        <v>2014</v>
      </c>
    </row>
    <row r="157" spans="1:16" hidden="1">
      <c r="A157" t="s">
        <v>32</v>
      </c>
      <c r="B157" t="s">
        <v>23</v>
      </c>
      <c r="C157" t="s">
        <v>37</v>
      </c>
      <c r="D157" t="s">
        <v>44</v>
      </c>
      <c r="E157" s="5">
        <v>2434.5</v>
      </c>
      <c r="F157">
        <v>10</v>
      </c>
      <c r="G157">
        <v>300</v>
      </c>
      <c r="H157" s="6">
        <v>730350</v>
      </c>
      <c r="I157" s="6">
        <v>21910.5</v>
      </c>
      <c r="J157" s="6">
        <v>708439.5</v>
      </c>
      <c r="K157" s="6">
        <v>608625</v>
      </c>
      <c r="L157" s="6">
        <v>99814.5</v>
      </c>
      <c r="M157" s="1">
        <v>41640</v>
      </c>
      <c r="N157">
        <v>1</v>
      </c>
      <c r="O157" t="s">
        <v>20</v>
      </c>
      <c r="P157">
        <v>2014</v>
      </c>
    </row>
    <row r="158" spans="1:16" hidden="1">
      <c r="A158" t="s">
        <v>30</v>
      </c>
      <c r="B158" t="s">
        <v>17</v>
      </c>
      <c r="C158" t="s">
        <v>37</v>
      </c>
      <c r="D158" t="s">
        <v>44</v>
      </c>
      <c r="E158" s="5">
        <v>1774</v>
      </c>
      <c r="F158">
        <v>10</v>
      </c>
      <c r="G158">
        <v>125</v>
      </c>
      <c r="H158" s="6">
        <v>221750</v>
      </c>
      <c r="I158" s="6">
        <v>6652.5</v>
      </c>
      <c r="J158" s="6">
        <v>215097.5</v>
      </c>
      <c r="K158" s="6">
        <v>212880</v>
      </c>
      <c r="L158" s="6">
        <v>2217.5</v>
      </c>
      <c r="M158" s="1">
        <v>41699</v>
      </c>
      <c r="N158">
        <v>3</v>
      </c>
      <c r="O158" t="s">
        <v>28</v>
      </c>
      <c r="P158">
        <v>2014</v>
      </c>
    </row>
    <row r="159" spans="1:16" hidden="1">
      <c r="A159" t="s">
        <v>29</v>
      </c>
      <c r="B159" t="s">
        <v>23</v>
      </c>
      <c r="C159" t="s">
        <v>37</v>
      </c>
      <c r="D159" t="s">
        <v>44</v>
      </c>
      <c r="E159" s="5">
        <v>1901</v>
      </c>
      <c r="F159">
        <v>10</v>
      </c>
      <c r="G159">
        <v>12</v>
      </c>
      <c r="H159" s="6">
        <v>22812</v>
      </c>
      <c r="I159">
        <v>684.36</v>
      </c>
      <c r="J159" s="6">
        <v>22127.64</v>
      </c>
      <c r="K159" s="6">
        <v>5703</v>
      </c>
      <c r="L159" s="6">
        <v>16424.64</v>
      </c>
      <c r="M159" s="1">
        <v>41791</v>
      </c>
      <c r="N159">
        <v>6</v>
      </c>
      <c r="O159" t="s">
        <v>24</v>
      </c>
      <c r="P159">
        <v>2014</v>
      </c>
    </row>
    <row r="160" spans="1:16" hidden="1">
      <c r="A160" t="s">
        <v>32</v>
      </c>
      <c r="B160" t="s">
        <v>21</v>
      </c>
      <c r="C160" t="s">
        <v>37</v>
      </c>
      <c r="D160" t="s">
        <v>44</v>
      </c>
      <c r="E160" s="5">
        <v>689</v>
      </c>
      <c r="F160">
        <v>10</v>
      </c>
      <c r="G160">
        <v>300</v>
      </c>
      <c r="H160" s="6">
        <v>206700</v>
      </c>
      <c r="I160" s="6">
        <v>6201</v>
      </c>
      <c r="J160" s="6">
        <v>200499</v>
      </c>
      <c r="K160" s="6">
        <v>172250</v>
      </c>
      <c r="L160" s="6">
        <v>28249</v>
      </c>
      <c r="M160" s="1">
        <v>41791</v>
      </c>
      <c r="N160">
        <v>6</v>
      </c>
      <c r="O160" t="s">
        <v>24</v>
      </c>
      <c r="P160">
        <v>2014</v>
      </c>
    </row>
    <row r="161" spans="1:16" hidden="1">
      <c r="A161" t="s">
        <v>30</v>
      </c>
      <c r="B161" t="s">
        <v>21</v>
      </c>
      <c r="C161" t="s">
        <v>37</v>
      </c>
      <c r="D161" t="s">
        <v>44</v>
      </c>
      <c r="E161" s="5">
        <v>1570</v>
      </c>
      <c r="F161">
        <v>10</v>
      </c>
      <c r="G161">
        <v>125</v>
      </c>
      <c r="H161" s="6">
        <v>196250</v>
      </c>
      <c r="I161" s="6">
        <v>5887.5</v>
      </c>
      <c r="J161" s="6">
        <v>190362.5</v>
      </c>
      <c r="K161" s="6">
        <v>188400</v>
      </c>
      <c r="L161" s="6">
        <v>1962.5</v>
      </c>
      <c r="M161" s="1">
        <v>41791</v>
      </c>
      <c r="N161">
        <v>6</v>
      </c>
      <c r="O161" t="s">
        <v>24</v>
      </c>
      <c r="P161">
        <v>2014</v>
      </c>
    </row>
    <row r="162" spans="1:16" hidden="1">
      <c r="A162" t="s">
        <v>29</v>
      </c>
      <c r="B162" t="s">
        <v>36</v>
      </c>
      <c r="C162" t="s">
        <v>37</v>
      </c>
      <c r="D162" t="s">
        <v>44</v>
      </c>
      <c r="E162" s="5">
        <v>1369.5</v>
      </c>
      <c r="F162">
        <v>10</v>
      </c>
      <c r="G162">
        <v>12</v>
      </c>
      <c r="H162" s="6">
        <v>16434</v>
      </c>
      <c r="I162">
        <v>493.02</v>
      </c>
      <c r="J162" s="6">
        <v>15940.98</v>
      </c>
      <c r="K162" s="6">
        <v>4108.5</v>
      </c>
      <c r="L162" s="6">
        <v>11832.48</v>
      </c>
      <c r="M162" s="1">
        <v>41821</v>
      </c>
      <c r="N162">
        <v>7</v>
      </c>
      <c r="O162" t="s">
        <v>31</v>
      </c>
      <c r="P162">
        <v>2014</v>
      </c>
    </row>
    <row r="163" spans="1:16" hidden="1">
      <c r="A163" t="s">
        <v>30</v>
      </c>
      <c r="B163" t="s">
        <v>17</v>
      </c>
      <c r="C163" t="s">
        <v>37</v>
      </c>
      <c r="D163" t="s">
        <v>44</v>
      </c>
      <c r="E163" s="5">
        <v>2009</v>
      </c>
      <c r="F163">
        <v>10</v>
      </c>
      <c r="G163">
        <v>125</v>
      </c>
      <c r="H163" s="6">
        <v>251125</v>
      </c>
      <c r="I163" s="6">
        <v>7533.75</v>
      </c>
      <c r="J163" s="6">
        <v>243591.25</v>
      </c>
      <c r="K163" s="6">
        <v>241080</v>
      </c>
      <c r="L163" s="6">
        <v>2511.25</v>
      </c>
      <c r="M163" s="1">
        <v>41913</v>
      </c>
      <c r="N163">
        <v>10</v>
      </c>
      <c r="O163" t="s">
        <v>35</v>
      </c>
      <c r="P163">
        <v>2014</v>
      </c>
    </row>
    <row r="164" spans="1:16" hidden="1">
      <c r="A164" t="s">
        <v>22</v>
      </c>
      <c r="B164" t="s">
        <v>21</v>
      </c>
      <c r="C164" t="s">
        <v>37</v>
      </c>
      <c r="D164" t="s">
        <v>44</v>
      </c>
      <c r="E164" s="5">
        <v>1945</v>
      </c>
      <c r="F164">
        <v>10</v>
      </c>
      <c r="G164">
        <v>15</v>
      </c>
      <c r="H164" s="6">
        <v>29175</v>
      </c>
      <c r="I164">
        <v>875.25</v>
      </c>
      <c r="J164" s="6">
        <v>28299.75</v>
      </c>
      <c r="K164" s="6">
        <v>19450</v>
      </c>
      <c r="L164" s="6">
        <v>8849.75</v>
      </c>
      <c r="M164" s="1">
        <v>41548</v>
      </c>
      <c r="N164">
        <v>10</v>
      </c>
      <c r="O164" t="s">
        <v>35</v>
      </c>
      <c r="P164">
        <v>2013</v>
      </c>
    </row>
    <row r="165" spans="1:16" hidden="1">
      <c r="A165" t="s">
        <v>30</v>
      </c>
      <c r="B165" t="s">
        <v>23</v>
      </c>
      <c r="C165" t="s">
        <v>37</v>
      </c>
      <c r="D165" t="s">
        <v>44</v>
      </c>
      <c r="E165" s="5">
        <v>1287</v>
      </c>
      <c r="F165">
        <v>10</v>
      </c>
      <c r="G165">
        <v>125</v>
      </c>
      <c r="H165" s="6">
        <v>160875</v>
      </c>
      <c r="I165" s="6">
        <v>4826.25</v>
      </c>
      <c r="J165" s="6">
        <v>156048.75</v>
      </c>
      <c r="K165" s="6">
        <v>154440</v>
      </c>
      <c r="L165" s="6">
        <v>1608.75</v>
      </c>
      <c r="M165" s="1">
        <v>41974</v>
      </c>
      <c r="N165">
        <v>12</v>
      </c>
      <c r="O165" t="s">
        <v>26</v>
      </c>
      <c r="P165">
        <v>2014</v>
      </c>
    </row>
    <row r="166" spans="1:16" hidden="1">
      <c r="A166" t="s">
        <v>30</v>
      </c>
      <c r="B166" t="s">
        <v>21</v>
      </c>
      <c r="C166" t="s">
        <v>37</v>
      </c>
      <c r="D166" t="s">
        <v>44</v>
      </c>
      <c r="E166" s="5">
        <v>1706</v>
      </c>
      <c r="F166">
        <v>10</v>
      </c>
      <c r="G166">
        <v>125</v>
      </c>
      <c r="H166" s="6">
        <v>213250</v>
      </c>
      <c r="I166" s="6">
        <v>6397.5</v>
      </c>
      <c r="J166" s="6">
        <v>206852.5</v>
      </c>
      <c r="K166" s="6">
        <v>204720</v>
      </c>
      <c r="L166" s="6">
        <v>2132.5</v>
      </c>
      <c r="M166" s="1">
        <v>41974</v>
      </c>
      <c r="N166">
        <v>12</v>
      </c>
      <c r="O166" t="s">
        <v>26</v>
      </c>
      <c r="P166">
        <v>2014</v>
      </c>
    </row>
    <row r="167" spans="1:16" hidden="1">
      <c r="A167" t="s">
        <v>30</v>
      </c>
      <c r="B167" t="s">
        <v>17</v>
      </c>
      <c r="C167" t="s">
        <v>40</v>
      </c>
      <c r="D167" t="s">
        <v>44</v>
      </c>
      <c r="E167" s="5">
        <v>2009</v>
      </c>
      <c r="F167">
        <v>120</v>
      </c>
      <c r="G167">
        <v>125</v>
      </c>
      <c r="H167" s="6">
        <v>251125</v>
      </c>
      <c r="I167" s="6">
        <v>7533.75</v>
      </c>
      <c r="J167" s="6">
        <v>243591.25</v>
      </c>
      <c r="K167" s="6">
        <v>241080</v>
      </c>
      <c r="L167" s="6">
        <v>2511.25</v>
      </c>
      <c r="M167" s="1">
        <v>41913</v>
      </c>
      <c r="N167">
        <v>10</v>
      </c>
      <c r="O167" t="s">
        <v>35</v>
      </c>
      <c r="P167">
        <v>2014</v>
      </c>
    </row>
    <row r="168" spans="1:16">
      <c r="A168" t="s">
        <v>32</v>
      </c>
      <c r="B168" t="s">
        <v>36</v>
      </c>
      <c r="C168" t="s">
        <v>41</v>
      </c>
      <c r="D168" t="s">
        <v>44</v>
      </c>
      <c r="E168" s="5">
        <v>2844</v>
      </c>
      <c r="F168">
        <v>250</v>
      </c>
      <c r="G168">
        <v>300</v>
      </c>
      <c r="H168" s="6">
        <v>853200</v>
      </c>
      <c r="I168" s="6">
        <v>25596</v>
      </c>
      <c r="J168" s="6">
        <v>827604</v>
      </c>
      <c r="K168" s="6">
        <v>711000</v>
      </c>
      <c r="L168" s="6">
        <v>116604</v>
      </c>
      <c r="M168" s="1">
        <v>41671</v>
      </c>
      <c r="N168">
        <v>2</v>
      </c>
      <c r="O168" t="s">
        <v>38</v>
      </c>
      <c r="P168">
        <v>2014</v>
      </c>
    </row>
    <row r="169" spans="1:16">
      <c r="A169" t="s">
        <v>29</v>
      </c>
      <c r="B169" t="s">
        <v>25</v>
      </c>
      <c r="C169" t="s">
        <v>41</v>
      </c>
      <c r="D169" t="s">
        <v>44</v>
      </c>
      <c r="E169" s="5">
        <v>1916</v>
      </c>
      <c r="F169">
        <v>250</v>
      </c>
      <c r="G169">
        <v>12</v>
      </c>
      <c r="H169" s="6">
        <v>22992</v>
      </c>
      <c r="I169">
        <v>689.76</v>
      </c>
      <c r="J169" s="6">
        <v>22302.240000000002</v>
      </c>
      <c r="K169" s="6">
        <v>5748</v>
      </c>
      <c r="L169" s="6">
        <v>16554.240000000002</v>
      </c>
      <c r="M169" s="1">
        <v>41730</v>
      </c>
      <c r="N169">
        <v>4</v>
      </c>
      <c r="O169" t="s">
        <v>42</v>
      </c>
      <c r="P169">
        <v>2014</v>
      </c>
    </row>
    <row r="170" spans="1:16">
      <c r="A170" t="s">
        <v>30</v>
      </c>
      <c r="B170" t="s">
        <v>21</v>
      </c>
      <c r="C170" t="s">
        <v>41</v>
      </c>
      <c r="D170" t="s">
        <v>44</v>
      </c>
      <c r="E170" s="5">
        <v>1570</v>
      </c>
      <c r="F170">
        <v>250</v>
      </c>
      <c r="G170">
        <v>125</v>
      </c>
      <c r="H170" s="6">
        <v>196250</v>
      </c>
      <c r="I170" s="6">
        <v>5887.5</v>
      </c>
      <c r="J170" s="6">
        <v>190362.5</v>
      </c>
      <c r="K170" s="6">
        <v>188400</v>
      </c>
      <c r="L170" s="6">
        <v>1962.5</v>
      </c>
      <c r="M170" s="1">
        <v>41791</v>
      </c>
      <c r="N170">
        <v>6</v>
      </c>
      <c r="O170" t="s">
        <v>24</v>
      </c>
      <c r="P170">
        <v>2014</v>
      </c>
    </row>
    <row r="171" spans="1:16">
      <c r="A171" t="s">
        <v>32</v>
      </c>
      <c r="B171" t="s">
        <v>17</v>
      </c>
      <c r="C171" t="s">
        <v>41</v>
      </c>
      <c r="D171" t="s">
        <v>44</v>
      </c>
      <c r="E171" s="5">
        <v>1874</v>
      </c>
      <c r="F171">
        <v>250</v>
      </c>
      <c r="G171">
        <v>300</v>
      </c>
      <c r="H171" s="6">
        <v>562200</v>
      </c>
      <c r="I171" s="6">
        <v>16866</v>
      </c>
      <c r="J171" s="6">
        <v>545334</v>
      </c>
      <c r="K171" s="6">
        <v>468500</v>
      </c>
      <c r="L171" s="6">
        <v>76834</v>
      </c>
      <c r="M171" s="1">
        <v>41852</v>
      </c>
      <c r="N171">
        <v>8</v>
      </c>
      <c r="O171" t="s">
        <v>33</v>
      </c>
      <c r="P171">
        <v>2014</v>
      </c>
    </row>
    <row r="172" spans="1:16">
      <c r="A172" t="s">
        <v>16</v>
      </c>
      <c r="B172" t="s">
        <v>25</v>
      </c>
      <c r="C172" t="s">
        <v>41</v>
      </c>
      <c r="D172" t="s">
        <v>44</v>
      </c>
      <c r="E172" s="5">
        <v>1642</v>
      </c>
      <c r="F172">
        <v>250</v>
      </c>
      <c r="G172">
        <v>350</v>
      </c>
      <c r="H172" s="6">
        <v>574700</v>
      </c>
      <c r="I172" s="6">
        <v>17241</v>
      </c>
      <c r="J172" s="6">
        <v>557459</v>
      </c>
      <c r="K172" s="6">
        <v>426920</v>
      </c>
      <c r="L172" s="6">
        <v>130539</v>
      </c>
      <c r="M172" s="1">
        <v>41852</v>
      </c>
      <c r="N172">
        <v>8</v>
      </c>
      <c r="O172" t="s">
        <v>33</v>
      </c>
      <c r="P172">
        <v>2014</v>
      </c>
    </row>
    <row r="173" spans="1:16" hidden="1">
      <c r="A173" t="s">
        <v>22</v>
      </c>
      <c r="B173" t="s">
        <v>21</v>
      </c>
      <c r="C173" t="s">
        <v>41</v>
      </c>
      <c r="D173" t="s">
        <v>44</v>
      </c>
      <c r="E173" s="5">
        <v>1945</v>
      </c>
      <c r="F173">
        <v>250</v>
      </c>
      <c r="G173">
        <v>15</v>
      </c>
      <c r="H173" s="6">
        <v>29175</v>
      </c>
      <c r="I173">
        <v>875.25</v>
      </c>
      <c r="J173" s="6">
        <v>28299.75</v>
      </c>
      <c r="K173" s="6">
        <v>19450</v>
      </c>
      <c r="L173" s="6">
        <v>8849.75</v>
      </c>
      <c r="M173" s="1">
        <v>41548</v>
      </c>
      <c r="N173">
        <v>10</v>
      </c>
      <c r="O173" t="s">
        <v>35</v>
      </c>
      <c r="P173">
        <v>2013</v>
      </c>
    </row>
    <row r="174" spans="1:16" hidden="1">
      <c r="A174" t="s">
        <v>16</v>
      </c>
      <c r="B174" t="s">
        <v>17</v>
      </c>
      <c r="C174" t="s">
        <v>18</v>
      </c>
      <c r="D174" t="s">
        <v>44</v>
      </c>
      <c r="E174" s="5">
        <v>831</v>
      </c>
      <c r="F174">
        <v>3</v>
      </c>
      <c r="G174">
        <v>20</v>
      </c>
      <c r="H174" s="6">
        <v>16620</v>
      </c>
      <c r="I174">
        <v>498.6</v>
      </c>
      <c r="J174" s="6">
        <v>16121.4</v>
      </c>
      <c r="K174" s="6">
        <v>8310</v>
      </c>
      <c r="L174" s="6">
        <v>7811.4</v>
      </c>
      <c r="M174" s="1">
        <v>41760</v>
      </c>
      <c r="N174">
        <v>5</v>
      </c>
      <c r="O174" t="s">
        <v>45</v>
      </c>
      <c r="P174">
        <v>2014</v>
      </c>
    </row>
    <row r="175" spans="1:16" hidden="1">
      <c r="A175" t="s">
        <v>16</v>
      </c>
      <c r="B175" t="s">
        <v>25</v>
      </c>
      <c r="C175" t="s">
        <v>37</v>
      </c>
      <c r="D175" t="s">
        <v>44</v>
      </c>
      <c r="E175" s="5">
        <v>1760</v>
      </c>
      <c r="F175">
        <v>10</v>
      </c>
      <c r="G175">
        <v>7</v>
      </c>
      <c r="H175" s="6">
        <v>12320</v>
      </c>
      <c r="I175">
        <v>369.6</v>
      </c>
      <c r="J175" s="6">
        <v>11950.4</v>
      </c>
      <c r="K175" s="6">
        <v>8800</v>
      </c>
      <c r="L175" s="6">
        <v>3150.4</v>
      </c>
      <c r="M175" s="1">
        <v>41518</v>
      </c>
      <c r="N175">
        <v>9</v>
      </c>
      <c r="O175" t="s">
        <v>34</v>
      </c>
      <c r="P175">
        <v>2013</v>
      </c>
    </row>
    <row r="176" spans="1:16" hidden="1">
      <c r="A176" t="s">
        <v>16</v>
      </c>
      <c r="B176" t="s">
        <v>17</v>
      </c>
      <c r="C176" t="s">
        <v>40</v>
      </c>
      <c r="D176" t="s">
        <v>44</v>
      </c>
      <c r="E176" s="5">
        <v>3850.5</v>
      </c>
      <c r="F176">
        <v>120</v>
      </c>
      <c r="G176">
        <v>20</v>
      </c>
      <c r="H176" s="6">
        <v>77010</v>
      </c>
      <c r="I176" s="6">
        <v>2310.3000000000002</v>
      </c>
      <c r="J176" s="6">
        <v>74699.7</v>
      </c>
      <c r="K176" s="6">
        <v>38505</v>
      </c>
      <c r="L176" s="6">
        <v>36194.699999999997</v>
      </c>
      <c r="M176" s="1">
        <v>41730</v>
      </c>
      <c r="N176">
        <v>4</v>
      </c>
      <c r="O176" t="s">
        <v>42</v>
      </c>
      <c r="P176">
        <v>2014</v>
      </c>
    </row>
    <row r="177" spans="1:16">
      <c r="A177" t="s">
        <v>29</v>
      </c>
      <c r="B177" t="s">
        <v>21</v>
      </c>
      <c r="C177" t="s">
        <v>41</v>
      </c>
      <c r="D177" t="s">
        <v>44</v>
      </c>
      <c r="E177" s="5">
        <v>2479</v>
      </c>
      <c r="F177">
        <v>250</v>
      </c>
      <c r="G177">
        <v>12</v>
      </c>
      <c r="H177" s="6">
        <v>29748</v>
      </c>
      <c r="I177">
        <v>892.44</v>
      </c>
      <c r="J177" s="6">
        <v>28855.56</v>
      </c>
      <c r="K177" s="6">
        <v>7437</v>
      </c>
      <c r="L177" s="6">
        <v>21418.560000000001</v>
      </c>
      <c r="M177" s="1">
        <v>41640</v>
      </c>
      <c r="N177">
        <v>1</v>
      </c>
      <c r="O177" t="s">
        <v>20</v>
      </c>
      <c r="P177">
        <v>2014</v>
      </c>
    </row>
    <row r="178" spans="1:16" hidden="1">
      <c r="A178" t="s">
        <v>22</v>
      </c>
      <c r="B178" t="s">
        <v>25</v>
      </c>
      <c r="C178" t="s">
        <v>27</v>
      </c>
      <c r="D178" t="s">
        <v>44</v>
      </c>
      <c r="E178" s="5">
        <v>2031</v>
      </c>
      <c r="F178">
        <v>5</v>
      </c>
      <c r="G178">
        <v>15</v>
      </c>
      <c r="H178" s="6">
        <v>30465</v>
      </c>
      <c r="I178" s="6">
        <v>1218.5999999999999</v>
      </c>
      <c r="J178" s="6">
        <v>29246.400000000001</v>
      </c>
      <c r="K178" s="6">
        <v>20310</v>
      </c>
      <c r="L178" s="6">
        <v>8936.4</v>
      </c>
      <c r="M178" s="1">
        <v>41913</v>
      </c>
      <c r="N178">
        <v>10</v>
      </c>
      <c r="O178" t="s">
        <v>35</v>
      </c>
      <c r="P178">
        <v>2014</v>
      </c>
    </row>
    <row r="179" spans="1:16" hidden="1">
      <c r="A179" t="s">
        <v>22</v>
      </c>
      <c r="B179" t="s">
        <v>25</v>
      </c>
      <c r="C179" t="s">
        <v>37</v>
      </c>
      <c r="D179" t="s">
        <v>44</v>
      </c>
      <c r="E179" s="5">
        <v>2031</v>
      </c>
      <c r="F179">
        <v>10</v>
      </c>
      <c r="G179">
        <v>15</v>
      </c>
      <c r="H179" s="6">
        <v>30465</v>
      </c>
      <c r="I179" s="6">
        <v>1218.5999999999999</v>
      </c>
      <c r="J179" s="6">
        <v>29246.400000000001</v>
      </c>
      <c r="K179" s="6">
        <v>20310</v>
      </c>
      <c r="L179" s="6">
        <v>8936.4</v>
      </c>
      <c r="M179" s="1">
        <v>41913</v>
      </c>
      <c r="N179">
        <v>10</v>
      </c>
      <c r="O179" t="s">
        <v>35</v>
      </c>
      <c r="P179">
        <v>2014</v>
      </c>
    </row>
    <row r="180" spans="1:16" hidden="1">
      <c r="A180" t="s">
        <v>22</v>
      </c>
      <c r="B180" t="s">
        <v>23</v>
      </c>
      <c r="C180" t="s">
        <v>37</v>
      </c>
      <c r="D180" t="s">
        <v>44</v>
      </c>
      <c r="E180" s="5">
        <v>2261</v>
      </c>
      <c r="F180">
        <v>10</v>
      </c>
      <c r="G180">
        <v>15</v>
      </c>
      <c r="H180" s="6">
        <v>33915</v>
      </c>
      <c r="I180" s="6">
        <v>1356.6</v>
      </c>
      <c r="J180" s="6">
        <v>32558.400000000001</v>
      </c>
      <c r="K180" s="6">
        <v>22610</v>
      </c>
      <c r="L180" s="6">
        <v>9948.4</v>
      </c>
      <c r="M180" s="1">
        <v>41609</v>
      </c>
      <c r="N180">
        <v>12</v>
      </c>
      <c r="O180" t="s">
        <v>26</v>
      </c>
      <c r="P180">
        <v>2013</v>
      </c>
    </row>
    <row r="181" spans="1:16" hidden="1">
      <c r="A181" t="s">
        <v>16</v>
      </c>
      <c r="B181" t="s">
        <v>36</v>
      </c>
      <c r="C181" t="s">
        <v>40</v>
      </c>
      <c r="D181" t="s">
        <v>44</v>
      </c>
      <c r="E181" s="5">
        <v>736</v>
      </c>
      <c r="F181">
        <v>120</v>
      </c>
      <c r="G181">
        <v>20</v>
      </c>
      <c r="H181" s="6">
        <v>14720</v>
      </c>
      <c r="I181">
        <v>588.79999999999995</v>
      </c>
      <c r="J181" s="6">
        <v>14131.2</v>
      </c>
      <c r="K181" s="6">
        <v>7360</v>
      </c>
      <c r="L181" s="6">
        <v>6771.2</v>
      </c>
      <c r="M181" s="1">
        <v>41518</v>
      </c>
      <c r="N181">
        <v>9</v>
      </c>
      <c r="O181" t="s">
        <v>34</v>
      </c>
      <c r="P181">
        <v>2013</v>
      </c>
    </row>
    <row r="182" spans="1:16" hidden="1">
      <c r="A182" t="s">
        <v>16</v>
      </c>
      <c r="B182" t="s">
        <v>17</v>
      </c>
      <c r="C182" t="s">
        <v>18</v>
      </c>
      <c r="D182" t="s">
        <v>44</v>
      </c>
      <c r="E182" s="5">
        <v>2851</v>
      </c>
      <c r="F182">
        <v>3</v>
      </c>
      <c r="G182">
        <v>7</v>
      </c>
      <c r="H182" s="6">
        <v>19957</v>
      </c>
      <c r="I182">
        <v>798.28</v>
      </c>
      <c r="J182" s="6">
        <v>19158.72</v>
      </c>
      <c r="K182" s="6">
        <v>14255</v>
      </c>
      <c r="L182" s="6">
        <v>4903.72</v>
      </c>
      <c r="M182" s="1">
        <v>41548</v>
      </c>
      <c r="N182">
        <v>10</v>
      </c>
      <c r="O182" t="s">
        <v>35</v>
      </c>
      <c r="P182">
        <v>2013</v>
      </c>
    </row>
    <row r="183" spans="1:16" hidden="1">
      <c r="A183" t="s">
        <v>32</v>
      </c>
      <c r="B183" t="s">
        <v>21</v>
      </c>
      <c r="C183" t="s">
        <v>18</v>
      </c>
      <c r="D183" t="s">
        <v>44</v>
      </c>
      <c r="E183" s="5">
        <v>2021</v>
      </c>
      <c r="F183">
        <v>3</v>
      </c>
      <c r="G183">
        <v>300</v>
      </c>
      <c r="H183" s="6">
        <v>606300</v>
      </c>
      <c r="I183" s="6">
        <v>24252</v>
      </c>
      <c r="J183" s="6">
        <v>582048</v>
      </c>
      <c r="K183" s="6">
        <v>505250</v>
      </c>
      <c r="L183" s="6">
        <v>76798</v>
      </c>
      <c r="M183" s="1">
        <v>41913</v>
      </c>
      <c r="N183">
        <v>10</v>
      </c>
      <c r="O183" t="s">
        <v>35</v>
      </c>
      <c r="P183">
        <v>2014</v>
      </c>
    </row>
    <row r="184" spans="1:16" hidden="1">
      <c r="A184" t="s">
        <v>16</v>
      </c>
      <c r="B184" t="s">
        <v>36</v>
      </c>
      <c r="C184" t="s">
        <v>18</v>
      </c>
      <c r="D184" t="s">
        <v>44</v>
      </c>
      <c r="E184" s="5">
        <v>274</v>
      </c>
      <c r="F184">
        <v>3</v>
      </c>
      <c r="G184">
        <v>350</v>
      </c>
      <c r="H184" s="6">
        <v>95900</v>
      </c>
      <c r="I184" s="6">
        <v>3836</v>
      </c>
      <c r="J184" s="6">
        <v>92064</v>
      </c>
      <c r="K184" s="6">
        <v>71240</v>
      </c>
      <c r="L184" s="6">
        <v>20824</v>
      </c>
      <c r="M184" s="1">
        <v>41974</v>
      </c>
      <c r="N184">
        <v>12</v>
      </c>
      <c r="O184" t="s">
        <v>26</v>
      </c>
      <c r="P184">
        <v>2014</v>
      </c>
    </row>
    <row r="185" spans="1:16" hidden="1">
      <c r="A185" t="s">
        <v>22</v>
      </c>
      <c r="B185" t="s">
        <v>17</v>
      </c>
      <c r="C185" t="s">
        <v>27</v>
      </c>
      <c r="D185" t="s">
        <v>44</v>
      </c>
      <c r="E185" s="5">
        <v>1967</v>
      </c>
      <c r="F185">
        <v>5</v>
      </c>
      <c r="G185">
        <v>15</v>
      </c>
      <c r="H185" s="6">
        <v>29505</v>
      </c>
      <c r="I185" s="6">
        <v>1180.2</v>
      </c>
      <c r="J185" s="6">
        <v>28324.799999999999</v>
      </c>
      <c r="K185" s="6">
        <v>19670</v>
      </c>
      <c r="L185" s="6">
        <v>8654.7999999999993</v>
      </c>
      <c r="M185" s="1">
        <v>41699</v>
      </c>
      <c r="N185">
        <v>3</v>
      </c>
      <c r="O185" t="s">
        <v>28</v>
      </c>
      <c r="P185">
        <v>2014</v>
      </c>
    </row>
    <row r="186" spans="1:16" hidden="1">
      <c r="A186" t="s">
        <v>32</v>
      </c>
      <c r="B186" t="s">
        <v>21</v>
      </c>
      <c r="C186" t="s">
        <v>27</v>
      </c>
      <c r="D186" t="s">
        <v>44</v>
      </c>
      <c r="E186" s="5">
        <v>1859</v>
      </c>
      <c r="F186">
        <v>5</v>
      </c>
      <c r="G186">
        <v>300</v>
      </c>
      <c r="H186" s="6">
        <v>557700</v>
      </c>
      <c r="I186" s="6">
        <v>22308</v>
      </c>
      <c r="J186" s="6">
        <v>535392</v>
      </c>
      <c r="K186" s="6">
        <v>464750</v>
      </c>
      <c r="L186" s="6">
        <v>70642</v>
      </c>
      <c r="M186" s="1">
        <v>41852</v>
      </c>
      <c r="N186">
        <v>8</v>
      </c>
      <c r="O186" t="s">
        <v>33</v>
      </c>
      <c r="P186">
        <v>2014</v>
      </c>
    </row>
    <row r="187" spans="1:16" hidden="1">
      <c r="A187" t="s">
        <v>16</v>
      </c>
      <c r="B187" t="s">
        <v>17</v>
      </c>
      <c r="C187" t="s">
        <v>27</v>
      </c>
      <c r="D187" t="s">
        <v>44</v>
      </c>
      <c r="E187" s="5">
        <v>2851</v>
      </c>
      <c r="F187">
        <v>5</v>
      </c>
      <c r="G187">
        <v>7</v>
      </c>
      <c r="H187" s="6">
        <v>19957</v>
      </c>
      <c r="I187">
        <v>798.28</v>
      </c>
      <c r="J187" s="6">
        <v>19158.72</v>
      </c>
      <c r="K187" s="6">
        <v>14255</v>
      </c>
      <c r="L187" s="6">
        <v>4903.72</v>
      </c>
      <c r="M187" s="1">
        <v>41548</v>
      </c>
      <c r="N187">
        <v>10</v>
      </c>
      <c r="O187" t="s">
        <v>35</v>
      </c>
      <c r="P187">
        <v>2013</v>
      </c>
    </row>
    <row r="188" spans="1:16" hidden="1">
      <c r="A188" t="s">
        <v>32</v>
      </c>
      <c r="B188" t="s">
        <v>21</v>
      </c>
      <c r="C188" t="s">
        <v>27</v>
      </c>
      <c r="D188" t="s">
        <v>44</v>
      </c>
      <c r="E188" s="5">
        <v>2021</v>
      </c>
      <c r="F188">
        <v>5</v>
      </c>
      <c r="G188">
        <v>300</v>
      </c>
      <c r="H188" s="6">
        <v>606300</v>
      </c>
      <c r="I188" s="6">
        <v>24252</v>
      </c>
      <c r="J188" s="6">
        <v>582048</v>
      </c>
      <c r="K188" s="6">
        <v>505250</v>
      </c>
      <c r="L188" s="6">
        <v>76798</v>
      </c>
      <c r="M188" s="1">
        <v>41913</v>
      </c>
      <c r="N188">
        <v>10</v>
      </c>
      <c r="O188" t="s">
        <v>35</v>
      </c>
      <c r="P188">
        <v>2014</v>
      </c>
    </row>
    <row r="189" spans="1:16" hidden="1">
      <c r="A189" t="s">
        <v>30</v>
      </c>
      <c r="B189" t="s">
        <v>25</v>
      </c>
      <c r="C189" t="s">
        <v>27</v>
      </c>
      <c r="D189" t="s">
        <v>44</v>
      </c>
      <c r="E189" s="5">
        <v>1138</v>
      </c>
      <c r="F189">
        <v>5</v>
      </c>
      <c r="G189">
        <v>125</v>
      </c>
      <c r="H189" s="6">
        <v>142250</v>
      </c>
      <c r="I189" s="6">
        <v>5690</v>
      </c>
      <c r="J189" s="6">
        <v>136560</v>
      </c>
      <c r="K189" s="6">
        <v>136560</v>
      </c>
      <c r="L189" t="s">
        <v>58</v>
      </c>
      <c r="M189" s="1">
        <v>41974</v>
      </c>
      <c r="N189">
        <v>12</v>
      </c>
      <c r="O189" t="s">
        <v>26</v>
      </c>
      <c r="P189">
        <v>2014</v>
      </c>
    </row>
    <row r="190" spans="1:16" hidden="1">
      <c r="A190" t="s">
        <v>16</v>
      </c>
      <c r="B190" t="s">
        <v>17</v>
      </c>
      <c r="C190" t="s">
        <v>37</v>
      </c>
      <c r="D190" t="s">
        <v>44</v>
      </c>
      <c r="E190" s="5">
        <v>4251</v>
      </c>
      <c r="F190">
        <v>10</v>
      </c>
      <c r="G190">
        <v>7</v>
      </c>
      <c r="H190" s="6">
        <v>29757</v>
      </c>
      <c r="I190" s="6">
        <v>1190.28</v>
      </c>
      <c r="J190" s="6">
        <v>28566.720000000001</v>
      </c>
      <c r="K190" s="6">
        <v>21255</v>
      </c>
      <c r="L190" s="6">
        <v>7311.72</v>
      </c>
      <c r="M190" s="1">
        <v>41640</v>
      </c>
      <c r="N190">
        <v>1</v>
      </c>
      <c r="O190" t="s">
        <v>20</v>
      </c>
      <c r="P190">
        <v>2014</v>
      </c>
    </row>
    <row r="191" spans="1:16" hidden="1">
      <c r="A191" t="s">
        <v>30</v>
      </c>
      <c r="B191" t="s">
        <v>21</v>
      </c>
      <c r="C191" t="s">
        <v>37</v>
      </c>
      <c r="D191" t="s">
        <v>44</v>
      </c>
      <c r="E191" s="5">
        <v>795</v>
      </c>
      <c r="F191">
        <v>10</v>
      </c>
      <c r="G191">
        <v>125</v>
      </c>
      <c r="H191" s="6">
        <v>99375</v>
      </c>
      <c r="I191" s="6">
        <v>3975</v>
      </c>
      <c r="J191" s="6">
        <v>95400</v>
      </c>
      <c r="K191" s="6">
        <v>95400</v>
      </c>
      <c r="L191" t="s">
        <v>58</v>
      </c>
      <c r="M191" s="1">
        <v>41699</v>
      </c>
      <c r="N191">
        <v>3</v>
      </c>
      <c r="O191" t="s">
        <v>28</v>
      </c>
      <c r="P191">
        <v>2014</v>
      </c>
    </row>
    <row r="192" spans="1:16" hidden="1">
      <c r="A192" t="s">
        <v>32</v>
      </c>
      <c r="B192" t="s">
        <v>21</v>
      </c>
      <c r="C192" t="s">
        <v>37</v>
      </c>
      <c r="D192" t="s">
        <v>44</v>
      </c>
      <c r="E192" s="5">
        <v>1414.5</v>
      </c>
      <c r="F192">
        <v>10</v>
      </c>
      <c r="G192">
        <v>300</v>
      </c>
      <c r="H192" s="6">
        <v>424350</v>
      </c>
      <c r="I192" s="6">
        <v>16974</v>
      </c>
      <c r="J192" s="6">
        <v>407376</v>
      </c>
      <c r="K192" s="6">
        <v>353625</v>
      </c>
      <c r="L192" s="6">
        <v>53751</v>
      </c>
      <c r="M192" s="1">
        <v>41730</v>
      </c>
      <c r="N192">
        <v>4</v>
      </c>
      <c r="O192" t="s">
        <v>42</v>
      </c>
      <c r="P192">
        <v>2014</v>
      </c>
    </row>
    <row r="193" spans="1:16" hidden="1">
      <c r="A193" t="s">
        <v>32</v>
      </c>
      <c r="B193" t="s">
        <v>36</v>
      </c>
      <c r="C193" t="s">
        <v>37</v>
      </c>
      <c r="D193" t="s">
        <v>44</v>
      </c>
      <c r="E193" s="5">
        <v>2918</v>
      </c>
      <c r="F193">
        <v>10</v>
      </c>
      <c r="G193">
        <v>300</v>
      </c>
      <c r="H193" s="6">
        <v>875400</v>
      </c>
      <c r="I193" s="6">
        <v>35016</v>
      </c>
      <c r="J193" s="6">
        <v>840384</v>
      </c>
      <c r="K193" s="6">
        <v>729500</v>
      </c>
      <c r="L193" s="6">
        <v>110884</v>
      </c>
      <c r="M193" s="1">
        <v>41760</v>
      </c>
      <c r="N193">
        <v>5</v>
      </c>
      <c r="O193" t="s">
        <v>45</v>
      </c>
      <c r="P193">
        <v>2014</v>
      </c>
    </row>
    <row r="194" spans="1:16" hidden="1">
      <c r="A194" t="s">
        <v>16</v>
      </c>
      <c r="B194" t="s">
        <v>36</v>
      </c>
      <c r="C194" t="s">
        <v>37</v>
      </c>
      <c r="D194" t="s">
        <v>44</v>
      </c>
      <c r="E194" s="5">
        <v>3450</v>
      </c>
      <c r="F194">
        <v>10</v>
      </c>
      <c r="G194">
        <v>350</v>
      </c>
      <c r="H194" s="6">
        <v>1207500</v>
      </c>
      <c r="I194" s="6">
        <v>48300</v>
      </c>
      <c r="J194" s="6">
        <v>1159200</v>
      </c>
      <c r="K194" s="6">
        <v>897000</v>
      </c>
      <c r="L194" s="6">
        <v>262200</v>
      </c>
      <c r="M194" s="1">
        <v>41821</v>
      </c>
      <c r="N194">
        <v>7</v>
      </c>
      <c r="O194" t="s">
        <v>31</v>
      </c>
      <c r="P194">
        <v>2014</v>
      </c>
    </row>
    <row r="195" spans="1:16" hidden="1">
      <c r="A195" t="s">
        <v>30</v>
      </c>
      <c r="B195" t="s">
        <v>23</v>
      </c>
      <c r="C195" t="s">
        <v>37</v>
      </c>
      <c r="D195" t="s">
        <v>44</v>
      </c>
      <c r="E195" s="5">
        <v>2988</v>
      </c>
      <c r="F195">
        <v>10</v>
      </c>
      <c r="G195">
        <v>125</v>
      </c>
      <c r="H195" s="6">
        <v>373500</v>
      </c>
      <c r="I195" s="6">
        <v>14940</v>
      </c>
      <c r="J195" s="6">
        <v>358560</v>
      </c>
      <c r="K195" s="6">
        <v>358560</v>
      </c>
      <c r="L195" t="s">
        <v>58</v>
      </c>
      <c r="M195" s="1">
        <v>41821</v>
      </c>
      <c r="N195">
        <v>7</v>
      </c>
      <c r="O195" t="s">
        <v>31</v>
      </c>
      <c r="P195">
        <v>2014</v>
      </c>
    </row>
    <row r="196" spans="1:16" hidden="1">
      <c r="A196" t="s">
        <v>22</v>
      </c>
      <c r="B196" t="s">
        <v>17</v>
      </c>
      <c r="C196" t="s">
        <v>37</v>
      </c>
      <c r="D196" t="s">
        <v>44</v>
      </c>
      <c r="E196" s="5">
        <v>218</v>
      </c>
      <c r="F196">
        <v>10</v>
      </c>
      <c r="G196">
        <v>15</v>
      </c>
      <c r="H196" s="6">
        <v>3270</v>
      </c>
      <c r="I196">
        <v>130.80000000000001</v>
      </c>
      <c r="J196" s="6">
        <v>3139.2</v>
      </c>
      <c r="K196" s="6">
        <v>2180</v>
      </c>
      <c r="L196">
        <v>959.2</v>
      </c>
      <c r="M196" s="1">
        <v>41883</v>
      </c>
      <c r="N196">
        <v>9</v>
      </c>
      <c r="O196" t="s">
        <v>34</v>
      </c>
      <c r="P196">
        <v>2014</v>
      </c>
    </row>
    <row r="197" spans="1:16" hidden="1">
      <c r="A197" t="s">
        <v>16</v>
      </c>
      <c r="B197" t="s">
        <v>17</v>
      </c>
      <c r="C197" t="s">
        <v>37</v>
      </c>
      <c r="D197" t="s">
        <v>44</v>
      </c>
      <c r="E197" s="5">
        <v>2074</v>
      </c>
      <c r="F197">
        <v>10</v>
      </c>
      <c r="G197">
        <v>20</v>
      </c>
      <c r="H197" s="6">
        <v>41480</v>
      </c>
      <c r="I197" s="6">
        <v>1659.2</v>
      </c>
      <c r="J197" s="6">
        <v>39820.800000000003</v>
      </c>
      <c r="K197" s="6">
        <v>20740</v>
      </c>
      <c r="L197" s="6">
        <v>19080.8</v>
      </c>
      <c r="M197" s="1">
        <v>41883</v>
      </c>
      <c r="N197">
        <v>9</v>
      </c>
      <c r="O197" t="s">
        <v>34</v>
      </c>
      <c r="P197">
        <v>2014</v>
      </c>
    </row>
    <row r="198" spans="1:16" hidden="1">
      <c r="A198" t="s">
        <v>16</v>
      </c>
      <c r="B198" t="s">
        <v>36</v>
      </c>
      <c r="C198" t="s">
        <v>37</v>
      </c>
      <c r="D198" t="s">
        <v>44</v>
      </c>
      <c r="E198" s="5">
        <v>1056</v>
      </c>
      <c r="F198">
        <v>10</v>
      </c>
      <c r="G198">
        <v>20</v>
      </c>
      <c r="H198" s="6">
        <v>21120</v>
      </c>
      <c r="I198">
        <v>844.8</v>
      </c>
      <c r="J198" s="6">
        <v>20275.2</v>
      </c>
      <c r="K198" s="6">
        <v>10560</v>
      </c>
      <c r="L198" s="6">
        <v>9715.2000000000007</v>
      </c>
      <c r="M198" s="1">
        <v>41883</v>
      </c>
      <c r="N198">
        <v>9</v>
      </c>
      <c r="O198" t="s">
        <v>34</v>
      </c>
      <c r="P198">
        <v>2014</v>
      </c>
    </row>
    <row r="199" spans="1:16" hidden="1">
      <c r="A199" t="s">
        <v>22</v>
      </c>
      <c r="B199" t="s">
        <v>36</v>
      </c>
      <c r="C199" t="s">
        <v>37</v>
      </c>
      <c r="D199" t="s">
        <v>44</v>
      </c>
      <c r="E199" s="5">
        <v>671</v>
      </c>
      <c r="F199">
        <v>10</v>
      </c>
      <c r="G199">
        <v>15</v>
      </c>
      <c r="H199" s="6">
        <v>10065</v>
      </c>
      <c r="I199">
        <v>402.6</v>
      </c>
      <c r="J199" s="6">
        <v>9662.4</v>
      </c>
      <c r="K199" s="6">
        <v>6710</v>
      </c>
      <c r="L199" s="6">
        <v>2952.4</v>
      </c>
      <c r="M199" s="1">
        <v>41548</v>
      </c>
      <c r="N199">
        <v>10</v>
      </c>
      <c r="O199" t="s">
        <v>35</v>
      </c>
      <c r="P199">
        <v>2013</v>
      </c>
    </row>
    <row r="200" spans="1:16" hidden="1">
      <c r="A200" t="s">
        <v>22</v>
      </c>
      <c r="B200" t="s">
        <v>25</v>
      </c>
      <c r="C200" t="s">
        <v>37</v>
      </c>
      <c r="D200" t="s">
        <v>44</v>
      </c>
      <c r="E200" s="5">
        <v>1514</v>
      </c>
      <c r="F200">
        <v>10</v>
      </c>
      <c r="G200">
        <v>15</v>
      </c>
      <c r="H200" s="6">
        <v>22710</v>
      </c>
      <c r="I200">
        <v>908.4</v>
      </c>
      <c r="J200" s="6">
        <v>21801.599999999999</v>
      </c>
      <c r="K200" s="6">
        <v>15140</v>
      </c>
      <c r="L200" s="6">
        <v>6661.6</v>
      </c>
      <c r="M200" s="1">
        <v>41548</v>
      </c>
      <c r="N200">
        <v>10</v>
      </c>
      <c r="O200" t="s">
        <v>35</v>
      </c>
      <c r="P200">
        <v>2013</v>
      </c>
    </row>
    <row r="201" spans="1:16" hidden="1">
      <c r="A201" t="s">
        <v>16</v>
      </c>
      <c r="B201" t="s">
        <v>36</v>
      </c>
      <c r="C201" t="s">
        <v>37</v>
      </c>
      <c r="D201" t="s">
        <v>44</v>
      </c>
      <c r="E201" s="5">
        <v>274</v>
      </c>
      <c r="F201">
        <v>10</v>
      </c>
      <c r="G201">
        <v>350</v>
      </c>
      <c r="H201" s="6">
        <v>95900</v>
      </c>
      <c r="I201" s="6">
        <v>3836</v>
      </c>
      <c r="J201" s="6">
        <v>92064</v>
      </c>
      <c r="K201" s="6">
        <v>71240</v>
      </c>
      <c r="L201" s="6">
        <v>20824</v>
      </c>
      <c r="M201" s="1">
        <v>41974</v>
      </c>
      <c r="N201">
        <v>12</v>
      </c>
      <c r="O201" t="s">
        <v>26</v>
      </c>
      <c r="P201">
        <v>2014</v>
      </c>
    </row>
    <row r="202" spans="1:16" hidden="1">
      <c r="A202" t="s">
        <v>30</v>
      </c>
      <c r="B202" t="s">
        <v>25</v>
      </c>
      <c r="C202" t="s">
        <v>37</v>
      </c>
      <c r="D202" t="s">
        <v>44</v>
      </c>
      <c r="E202" s="5">
        <v>1138</v>
      </c>
      <c r="F202">
        <v>10</v>
      </c>
      <c r="G202">
        <v>125</v>
      </c>
      <c r="H202" s="6">
        <v>142250</v>
      </c>
      <c r="I202" s="6">
        <v>5690</v>
      </c>
      <c r="J202" s="6">
        <v>136560</v>
      </c>
      <c r="K202" s="6">
        <v>136560</v>
      </c>
      <c r="L202" t="s">
        <v>58</v>
      </c>
      <c r="M202" s="1">
        <v>41974</v>
      </c>
      <c r="N202">
        <v>12</v>
      </c>
      <c r="O202" t="s">
        <v>26</v>
      </c>
      <c r="P202">
        <v>2014</v>
      </c>
    </row>
    <row r="203" spans="1:16" hidden="1">
      <c r="A203" t="s">
        <v>29</v>
      </c>
      <c r="B203" t="s">
        <v>36</v>
      </c>
      <c r="C203" t="s">
        <v>40</v>
      </c>
      <c r="D203" t="s">
        <v>44</v>
      </c>
      <c r="E203" s="5">
        <v>1465</v>
      </c>
      <c r="F203">
        <v>120</v>
      </c>
      <c r="G203">
        <v>12</v>
      </c>
      <c r="H203" s="6">
        <v>17580</v>
      </c>
      <c r="I203">
        <v>703.2</v>
      </c>
      <c r="J203" s="6">
        <v>16876.8</v>
      </c>
      <c r="K203" s="6">
        <v>4395</v>
      </c>
      <c r="L203" s="6">
        <v>12481.8</v>
      </c>
      <c r="M203" s="1">
        <v>41699</v>
      </c>
      <c r="N203">
        <v>3</v>
      </c>
      <c r="O203" t="s">
        <v>28</v>
      </c>
      <c r="P203">
        <v>2014</v>
      </c>
    </row>
    <row r="204" spans="1:16" hidden="1">
      <c r="A204" t="s">
        <v>16</v>
      </c>
      <c r="B204" t="s">
        <v>17</v>
      </c>
      <c r="C204" t="s">
        <v>40</v>
      </c>
      <c r="D204" t="s">
        <v>44</v>
      </c>
      <c r="E204" s="5">
        <v>2646</v>
      </c>
      <c r="F204">
        <v>120</v>
      </c>
      <c r="G204">
        <v>20</v>
      </c>
      <c r="H204" s="6">
        <v>52920</v>
      </c>
      <c r="I204" s="6">
        <v>2116.8000000000002</v>
      </c>
      <c r="J204" s="6">
        <v>50803.199999999997</v>
      </c>
      <c r="K204" s="6">
        <v>26460</v>
      </c>
      <c r="L204" s="6">
        <v>24343.200000000001</v>
      </c>
      <c r="M204" s="1">
        <v>41518</v>
      </c>
      <c r="N204">
        <v>9</v>
      </c>
      <c r="O204" t="s">
        <v>34</v>
      </c>
      <c r="P204">
        <v>2013</v>
      </c>
    </row>
    <row r="205" spans="1:16" hidden="1">
      <c r="A205" t="s">
        <v>16</v>
      </c>
      <c r="B205" t="s">
        <v>23</v>
      </c>
      <c r="C205" t="s">
        <v>40</v>
      </c>
      <c r="D205" t="s">
        <v>44</v>
      </c>
      <c r="E205" s="5">
        <v>2177</v>
      </c>
      <c r="F205">
        <v>120</v>
      </c>
      <c r="G205">
        <v>350</v>
      </c>
      <c r="H205" s="6">
        <v>761950</v>
      </c>
      <c r="I205" s="6">
        <v>30478</v>
      </c>
      <c r="J205" s="6">
        <v>731472</v>
      </c>
      <c r="K205" s="6">
        <v>566020</v>
      </c>
      <c r="L205" s="6">
        <v>165452</v>
      </c>
      <c r="M205" s="1">
        <v>41913</v>
      </c>
      <c r="N205">
        <v>10</v>
      </c>
      <c r="O205" t="s">
        <v>35</v>
      </c>
      <c r="P205">
        <v>2014</v>
      </c>
    </row>
    <row r="206" spans="1:16">
      <c r="A206" t="s">
        <v>29</v>
      </c>
      <c r="B206" t="s">
        <v>23</v>
      </c>
      <c r="C206" t="s">
        <v>41</v>
      </c>
      <c r="D206" t="s">
        <v>44</v>
      </c>
      <c r="E206" s="5">
        <v>866</v>
      </c>
      <c r="F206">
        <v>250</v>
      </c>
      <c r="G206">
        <v>12</v>
      </c>
      <c r="H206" s="6">
        <v>10392</v>
      </c>
      <c r="I206">
        <v>415.68</v>
      </c>
      <c r="J206" s="6">
        <v>9976.32</v>
      </c>
      <c r="K206" s="6">
        <v>2598</v>
      </c>
      <c r="L206" s="6">
        <v>7378.32</v>
      </c>
      <c r="M206" s="1">
        <v>41760</v>
      </c>
      <c r="N206">
        <v>5</v>
      </c>
      <c r="O206" t="s">
        <v>45</v>
      </c>
      <c r="P206">
        <v>2014</v>
      </c>
    </row>
    <row r="207" spans="1:16" hidden="1">
      <c r="A207" t="s">
        <v>16</v>
      </c>
      <c r="B207" t="s">
        <v>36</v>
      </c>
      <c r="C207" t="s">
        <v>41</v>
      </c>
      <c r="D207" t="s">
        <v>44</v>
      </c>
      <c r="E207" s="5">
        <v>349</v>
      </c>
      <c r="F207">
        <v>250</v>
      </c>
      <c r="G207">
        <v>350</v>
      </c>
      <c r="H207" s="6">
        <v>122150</v>
      </c>
      <c r="I207" s="6">
        <v>4886</v>
      </c>
      <c r="J207" s="6">
        <v>117264</v>
      </c>
      <c r="K207" s="6">
        <v>90740</v>
      </c>
      <c r="L207" s="6">
        <v>26524</v>
      </c>
      <c r="M207" s="1">
        <v>41518</v>
      </c>
      <c r="N207">
        <v>9</v>
      </c>
      <c r="O207" t="s">
        <v>34</v>
      </c>
      <c r="P207">
        <v>2013</v>
      </c>
    </row>
    <row r="208" spans="1:16">
      <c r="A208" t="s">
        <v>16</v>
      </c>
      <c r="B208" t="s">
        <v>23</v>
      </c>
      <c r="C208" t="s">
        <v>41</v>
      </c>
      <c r="D208" t="s">
        <v>44</v>
      </c>
      <c r="E208" s="5">
        <v>2177</v>
      </c>
      <c r="F208">
        <v>250</v>
      </c>
      <c r="G208">
        <v>350</v>
      </c>
      <c r="H208" s="6">
        <v>761950</v>
      </c>
      <c r="I208" s="6">
        <v>30478</v>
      </c>
      <c r="J208" s="6">
        <v>731472</v>
      </c>
      <c r="K208" s="6">
        <v>566020</v>
      </c>
      <c r="L208" s="6">
        <v>165452</v>
      </c>
      <c r="M208" s="1">
        <v>41913</v>
      </c>
      <c r="N208">
        <v>10</v>
      </c>
      <c r="O208" t="s">
        <v>35</v>
      </c>
      <c r="P208">
        <v>2014</v>
      </c>
    </row>
    <row r="209" spans="1:16" hidden="1">
      <c r="A209" t="s">
        <v>22</v>
      </c>
      <c r="B209" t="s">
        <v>25</v>
      </c>
      <c r="C209" t="s">
        <v>41</v>
      </c>
      <c r="D209" t="s">
        <v>44</v>
      </c>
      <c r="E209" s="5">
        <v>1514</v>
      </c>
      <c r="F209">
        <v>250</v>
      </c>
      <c r="G209">
        <v>15</v>
      </c>
      <c r="H209" s="6">
        <v>22710</v>
      </c>
      <c r="I209">
        <v>908.4</v>
      </c>
      <c r="J209" s="6">
        <v>21801.599999999999</v>
      </c>
      <c r="K209" s="6">
        <v>15140</v>
      </c>
      <c r="L209" s="6">
        <v>6661.6</v>
      </c>
      <c r="M209" s="1">
        <v>41548</v>
      </c>
      <c r="N209">
        <v>10</v>
      </c>
      <c r="O209" t="s">
        <v>35</v>
      </c>
      <c r="P209">
        <v>2013</v>
      </c>
    </row>
    <row r="210" spans="1:16" hidden="1">
      <c r="A210" t="s">
        <v>16</v>
      </c>
      <c r="B210" t="s">
        <v>25</v>
      </c>
      <c r="C210" t="s">
        <v>43</v>
      </c>
      <c r="D210" t="s">
        <v>44</v>
      </c>
      <c r="E210" s="5">
        <v>1865</v>
      </c>
      <c r="F210">
        <v>260</v>
      </c>
      <c r="G210">
        <v>350</v>
      </c>
      <c r="H210" s="6">
        <v>652750</v>
      </c>
      <c r="I210" s="6">
        <v>26110</v>
      </c>
      <c r="J210" s="6">
        <v>626640</v>
      </c>
      <c r="K210" s="6">
        <v>484900</v>
      </c>
      <c r="L210" s="6">
        <v>141740</v>
      </c>
      <c r="M210" s="1">
        <v>41671</v>
      </c>
      <c r="N210">
        <v>2</v>
      </c>
      <c r="O210" t="s">
        <v>38</v>
      </c>
      <c r="P210">
        <v>2014</v>
      </c>
    </row>
    <row r="211" spans="1:16" hidden="1">
      <c r="A211" t="s">
        <v>30</v>
      </c>
      <c r="B211" t="s">
        <v>25</v>
      </c>
      <c r="C211" t="s">
        <v>43</v>
      </c>
      <c r="D211" t="s">
        <v>44</v>
      </c>
      <c r="E211" s="5">
        <v>1074</v>
      </c>
      <c r="F211">
        <v>260</v>
      </c>
      <c r="G211">
        <v>125</v>
      </c>
      <c r="H211" s="6">
        <v>134250</v>
      </c>
      <c r="I211" s="6">
        <v>5370</v>
      </c>
      <c r="J211" s="6">
        <v>128880</v>
      </c>
      <c r="K211" s="6">
        <v>128880</v>
      </c>
      <c r="L211" t="s">
        <v>58</v>
      </c>
      <c r="M211" s="1">
        <v>41730</v>
      </c>
      <c r="N211">
        <v>4</v>
      </c>
      <c r="O211" t="s">
        <v>42</v>
      </c>
      <c r="P211">
        <v>2014</v>
      </c>
    </row>
    <row r="212" spans="1:16" hidden="1">
      <c r="A212" t="s">
        <v>16</v>
      </c>
      <c r="B212" t="s">
        <v>21</v>
      </c>
      <c r="C212" t="s">
        <v>43</v>
      </c>
      <c r="D212" t="s">
        <v>44</v>
      </c>
      <c r="E212" s="5">
        <v>1907</v>
      </c>
      <c r="F212">
        <v>260</v>
      </c>
      <c r="G212">
        <v>350</v>
      </c>
      <c r="H212" s="6">
        <v>667450</v>
      </c>
      <c r="I212" s="6">
        <v>26698</v>
      </c>
      <c r="J212" s="6">
        <v>640752</v>
      </c>
      <c r="K212" s="6">
        <v>495820</v>
      </c>
      <c r="L212" s="6">
        <v>144932</v>
      </c>
      <c r="M212" s="1">
        <v>41883</v>
      </c>
      <c r="N212">
        <v>9</v>
      </c>
      <c r="O212" t="s">
        <v>34</v>
      </c>
      <c r="P212">
        <v>2014</v>
      </c>
    </row>
    <row r="213" spans="1:16" hidden="1">
      <c r="A213" t="s">
        <v>22</v>
      </c>
      <c r="B213" t="s">
        <v>36</v>
      </c>
      <c r="C213" t="s">
        <v>43</v>
      </c>
      <c r="D213" t="s">
        <v>44</v>
      </c>
      <c r="E213" s="5">
        <v>671</v>
      </c>
      <c r="F213">
        <v>260</v>
      </c>
      <c r="G213">
        <v>15</v>
      </c>
      <c r="H213" s="6">
        <v>10065</v>
      </c>
      <c r="I213">
        <v>402.6</v>
      </c>
      <c r="J213" s="6">
        <v>9662.4</v>
      </c>
      <c r="K213" s="6">
        <v>6710</v>
      </c>
      <c r="L213" s="6">
        <v>2952.4</v>
      </c>
      <c r="M213" s="1">
        <v>41548</v>
      </c>
      <c r="N213">
        <v>10</v>
      </c>
      <c r="O213" t="s">
        <v>35</v>
      </c>
      <c r="P213">
        <v>2013</v>
      </c>
    </row>
    <row r="214" spans="1:16" hidden="1">
      <c r="A214" t="s">
        <v>16</v>
      </c>
      <c r="B214" t="s">
        <v>17</v>
      </c>
      <c r="C214" t="s">
        <v>43</v>
      </c>
      <c r="D214" t="s">
        <v>44</v>
      </c>
      <c r="E214" s="5">
        <v>1778</v>
      </c>
      <c r="F214">
        <v>260</v>
      </c>
      <c r="G214">
        <v>350</v>
      </c>
      <c r="H214" s="6">
        <v>622300</v>
      </c>
      <c r="I214" s="6">
        <v>24892</v>
      </c>
      <c r="J214" s="6">
        <v>597408</v>
      </c>
      <c r="K214" s="6">
        <v>462280</v>
      </c>
      <c r="L214" s="6">
        <v>135128</v>
      </c>
      <c r="M214" s="1">
        <v>41609</v>
      </c>
      <c r="N214">
        <v>12</v>
      </c>
      <c r="O214" t="s">
        <v>26</v>
      </c>
      <c r="P214">
        <v>2013</v>
      </c>
    </row>
    <row r="215" spans="1:16" hidden="1">
      <c r="A215" t="s">
        <v>16</v>
      </c>
      <c r="B215" t="s">
        <v>21</v>
      </c>
      <c r="C215" t="s">
        <v>27</v>
      </c>
      <c r="D215" t="s">
        <v>46</v>
      </c>
      <c r="E215" s="5">
        <v>1159</v>
      </c>
      <c r="F215">
        <v>5</v>
      </c>
      <c r="G215">
        <v>7</v>
      </c>
      <c r="H215" s="6">
        <v>8113</v>
      </c>
      <c r="I215">
        <v>405.65</v>
      </c>
      <c r="J215" s="6">
        <v>7707.35</v>
      </c>
      <c r="K215" s="6">
        <v>5795</v>
      </c>
      <c r="L215" s="6">
        <v>1912.35</v>
      </c>
      <c r="M215" s="1">
        <v>41548</v>
      </c>
      <c r="N215">
        <v>10</v>
      </c>
      <c r="O215" t="s">
        <v>35</v>
      </c>
      <c r="P215">
        <v>2013</v>
      </c>
    </row>
    <row r="216" spans="1:16" hidden="1">
      <c r="A216" t="s">
        <v>16</v>
      </c>
      <c r="B216" t="s">
        <v>21</v>
      </c>
      <c r="C216" t="s">
        <v>37</v>
      </c>
      <c r="D216" t="s">
        <v>46</v>
      </c>
      <c r="E216" s="5">
        <v>1372</v>
      </c>
      <c r="F216">
        <v>10</v>
      </c>
      <c r="G216">
        <v>7</v>
      </c>
      <c r="H216" s="6">
        <v>9604</v>
      </c>
      <c r="I216">
        <v>480.2</v>
      </c>
      <c r="J216" s="6">
        <v>9123.7999999999993</v>
      </c>
      <c r="K216" s="6">
        <v>6860</v>
      </c>
      <c r="L216" s="6">
        <v>2263.8000000000002</v>
      </c>
      <c r="M216" s="1">
        <v>41640</v>
      </c>
      <c r="N216">
        <v>1</v>
      </c>
      <c r="O216" t="s">
        <v>20</v>
      </c>
      <c r="P216">
        <v>2014</v>
      </c>
    </row>
    <row r="217" spans="1:16" hidden="1">
      <c r="A217" t="s">
        <v>16</v>
      </c>
      <c r="B217" t="s">
        <v>17</v>
      </c>
      <c r="C217" t="s">
        <v>37</v>
      </c>
      <c r="D217" t="s">
        <v>46</v>
      </c>
      <c r="E217" s="5">
        <v>2349</v>
      </c>
      <c r="F217">
        <v>10</v>
      </c>
      <c r="G217">
        <v>7</v>
      </c>
      <c r="H217" s="6">
        <v>16443</v>
      </c>
      <c r="I217">
        <v>822.15</v>
      </c>
      <c r="J217" s="6">
        <v>15620.85</v>
      </c>
      <c r="K217" s="6">
        <v>11745</v>
      </c>
      <c r="L217" s="6">
        <v>3875.85</v>
      </c>
      <c r="M217" s="1">
        <v>41518</v>
      </c>
      <c r="N217">
        <v>9</v>
      </c>
      <c r="O217" t="s">
        <v>34</v>
      </c>
      <c r="P217">
        <v>2013</v>
      </c>
    </row>
    <row r="218" spans="1:16" hidden="1">
      <c r="A218" t="s">
        <v>16</v>
      </c>
      <c r="B218" t="s">
        <v>25</v>
      </c>
      <c r="C218" t="s">
        <v>37</v>
      </c>
      <c r="D218" t="s">
        <v>46</v>
      </c>
      <c r="E218" s="5">
        <v>2689</v>
      </c>
      <c r="F218">
        <v>10</v>
      </c>
      <c r="G218">
        <v>7</v>
      </c>
      <c r="H218" s="6">
        <v>18823</v>
      </c>
      <c r="I218">
        <v>941.15</v>
      </c>
      <c r="J218" s="6">
        <v>17881.849999999999</v>
      </c>
      <c r="K218" s="6">
        <v>13445</v>
      </c>
      <c r="L218" s="6">
        <v>4436.8500000000004</v>
      </c>
      <c r="M218" s="1">
        <v>41913</v>
      </c>
      <c r="N218">
        <v>10</v>
      </c>
      <c r="O218" t="s">
        <v>35</v>
      </c>
      <c r="P218">
        <v>2014</v>
      </c>
    </row>
    <row r="219" spans="1:16" hidden="1">
      <c r="A219" t="s">
        <v>29</v>
      </c>
      <c r="B219" t="s">
        <v>17</v>
      </c>
      <c r="C219" t="s">
        <v>37</v>
      </c>
      <c r="D219" t="s">
        <v>46</v>
      </c>
      <c r="E219" s="5">
        <v>2431</v>
      </c>
      <c r="F219">
        <v>10</v>
      </c>
      <c r="G219">
        <v>12</v>
      </c>
      <c r="H219" s="6">
        <v>29172</v>
      </c>
      <c r="I219" s="6">
        <v>1458.6</v>
      </c>
      <c r="J219" s="6">
        <v>27713.4</v>
      </c>
      <c r="K219" s="6">
        <v>7293</v>
      </c>
      <c r="L219" s="6">
        <v>20420.400000000001</v>
      </c>
      <c r="M219" s="1">
        <v>41974</v>
      </c>
      <c r="N219">
        <v>12</v>
      </c>
      <c r="O219" t="s">
        <v>26</v>
      </c>
      <c r="P219">
        <v>2014</v>
      </c>
    </row>
    <row r="220" spans="1:16" hidden="1">
      <c r="A220" t="s">
        <v>29</v>
      </c>
      <c r="B220" t="s">
        <v>17</v>
      </c>
      <c r="C220" t="s">
        <v>40</v>
      </c>
      <c r="D220" t="s">
        <v>46</v>
      </c>
      <c r="E220" s="5">
        <v>2431</v>
      </c>
      <c r="F220">
        <v>120</v>
      </c>
      <c r="G220">
        <v>12</v>
      </c>
      <c r="H220" s="6">
        <v>29172</v>
      </c>
      <c r="I220" s="6">
        <v>1458.6</v>
      </c>
      <c r="J220" s="6">
        <v>27713.4</v>
      </c>
      <c r="K220" s="6">
        <v>7293</v>
      </c>
      <c r="L220" s="6">
        <v>20420.400000000001</v>
      </c>
      <c r="M220" s="1">
        <v>41974</v>
      </c>
      <c r="N220">
        <v>12</v>
      </c>
      <c r="O220" t="s">
        <v>26</v>
      </c>
      <c r="P220">
        <v>2014</v>
      </c>
    </row>
    <row r="221" spans="1:16">
      <c r="A221" t="s">
        <v>16</v>
      </c>
      <c r="B221" t="s">
        <v>25</v>
      </c>
      <c r="C221" t="s">
        <v>41</v>
      </c>
      <c r="D221" t="s">
        <v>46</v>
      </c>
      <c r="E221" s="5">
        <v>2689</v>
      </c>
      <c r="F221">
        <v>250</v>
      </c>
      <c r="G221">
        <v>7</v>
      </c>
      <c r="H221" s="6">
        <v>18823</v>
      </c>
      <c r="I221">
        <v>941.15</v>
      </c>
      <c r="J221" s="6">
        <v>17881.849999999999</v>
      </c>
      <c r="K221" s="6">
        <v>13445</v>
      </c>
      <c r="L221" s="6">
        <v>4436.8500000000004</v>
      </c>
      <c r="M221" s="1">
        <v>41913</v>
      </c>
      <c r="N221">
        <v>10</v>
      </c>
      <c r="O221" t="s">
        <v>35</v>
      </c>
      <c r="P221">
        <v>2014</v>
      </c>
    </row>
    <row r="222" spans="1:16" hidden="1">
      <c r="A222" t="s">
        <v>16</v>
      </c>
      <c r="B222" t="s">
        <v>25</v>
      </c>
      <c r="C222" t="s">
        <v>43</v>
      </c>
      <c r="D222" t="s">
        <v>46</v>
      </c>
      <c r="E222" s="5">
        <v>1683</v>
      </c>
      <c r="F222">
        <v>260</v>
      </c>
      <c r="G222">
        <v>7</v>
      </c>
      <c r="H222" s="6">
        <v>11781</v>
      </c>
      <c r="I222">
        <v>589.04999999999995</v>
      </c>
      <c r="J222" s="6">
        <v>11191.95</v>
      </c>
      <c r="K222" s="6">
        <v>8415</v>
      </c>
      <c r="L222" s="6">
        <v>2776.95</v>
      </c>
      <c r="M222" s="1">
        <v>41821</v>
      </c>
      <c r="N222">
        <v>7</v>
      </c>
      <c r="O222" t="s">
        <v>31</v>
      </c>
      <c r="P222">
        <v>2014</v>
      </c>
    </row>
    <row r="223" spans="1:16" hidden="1">
      <c r="A223" t="s">
        <v>29</v>
      </c>
      <c r="B223" t="s">
        <v>25</v>
      </c>
      <c r="C223" t="s">
        <v>43</v>
      </c>
      <c r="D223" t="s">
        <v>46</v>
      </c>
      <c r="E223" s="5">
        <v>1123</v>
      </c>
      <c r="F223">
        <v>260</v>
      </c>
      <c r="G223">
        <v>12</v>
      </c>
      <c r="H223" s="6">
        <v>13476</v>
      </c>
      <c r="I223">
        <v>673.8</v>
      </c>
      <c r="J223" s="6">
        <v>12802.2</v>
      </c>
      <c r="K223" s="6">
        <v>3369</v>
      </c>
      <c r="L223" s="6">
        <v>9433.2000000000007</v>
      </c>
      <c r="M223" s="1">
        <v>41852</v>
      </c>
      <c r="N223">
        <v>8</v>
      </c>
      <c r="O223" t="s">
        <v>33</v>
      </c>
      <c r="P223">
        <v>2014</v>
      </c>
    </row>
    <row r="224" spans="1:16" hidden="1">
      <c r="A224" t="s">
        <v>16</v>
      </c>
      <c r="B224" t="s">
        <v>21</v>
      </c>
      <c r="C224" t="s">
        <v>43</v>
      </c>
      <c r="D224" t="s">
        <v>46</v>
      </c>
      <c r="E224" s="5">
        <v>1159</v>
      </c>
      <c r="F224">
        <v>260</v>
      </c>
      <c r="G224">
        <v>7</v>
      </c>
      <c r="H224" s="6">
        <v>8113</v>
      </c>
      <c r="I224">
        <v>405.65</v>
      </c>
      <c r="J224" s="6">
        <v>7707.35</v>
      </c>
      <c r="K224" s="6">
        <v>5795</v>
      </c>
      <c r="L224" s="6">
        <v>1912.35</v>
      </c>
      <c r="M224" s="1">
        <v>41548</v>
      </c>
      <c r="N224">
        <v>10</v>
      </c>
      <c r="O224" t="s">
        <v>35</v>
      </c>
      <c r="P224">
        <v>2013</v>
      </c>
    </row>
    <row r="225" spans="1:16" hidden="1">
      <c r="A225" t="s">
        <v>29</v>
      </c>
      <c r="B225" t="s">
        <v>23</v>
      </c>
      <c r="C225" t="s">
        <v>18</v>
      </c>
      <c r="D225" t="s">
        <v>46</v>
      </c>
      <c r="E225" s="5">
        <v>1865</v>
      </c>
      <c r="F225">
        <v>3</v>
      </c>
      <c r="G225">
        <v>12</v>
      </c>
      <c r="H225" s="6">
        <v>22380</v>
      </c>
      <c r="I225" s="6">
        <v>1119</v>
      </c>
      <c r="J225" s="6">
        <v>21261</v>
      </c>
      <c r="K225" s="6">
        <v>5595</v>
      </c>
      <c r="L225" s="6">
        <v>15666</v>
      </c>
      <c r="M225" s="1">
        <v>41671</v>
      </c>
      <c r="N225">
        <v>2</v>
      </c>
      <c r="O225" t="s">
        <v>38</v>
      </c>
      <c r="P225">
        <v>2014</v>
      </c>
    </row>
    <row r="226" spans="1:16" hidden="1">
      <c r="A226" t="s">
        <v>29</v>
      </c>
      <c r="B226" t="s">
        <v>21</v>
      </c>
      <c r="C226" t="s">
        <v>18</v>
      </c>
      <c r="D226" t="s">
        <v>46</v>
      </c>
      <c r="E226" s="5">
        <v>1116</v>
      </c>
      <c r="F226">
        <v>3</v>
      </c>
      <c r="G226">
        <v>12</v>
      </c>
      <c r="H226" s="6">
        <v>13392</v>
      </c>
      <c r="I226">
        <v>669.6</v>
      </c>
      <c r="J226" s="6">
        <v>12722.4</v>
      </c>
      <c r="K226" s="6">
        <v>3348</v>
      </c>
      <c r="L226" s="6">
        <v>9374.4</v>
      </c>
      <c r="M226" s="1">
        <v>41671</v>
      </c>
      <c r="N226">
        <v>2</v>
      </c>
      <c r="O226" t="s">
        <v>38</v>
      </c>
      <c r="P226">
        <v>2014</v>
      </c>
    </row>
    <row r="227" spans="1:16" hidden="1">
      <c r="A227" t="s">
        <v>16</v>
      </c>
      <c r="B227" t="s">
        <v>23</v>
      </c>
      <c r="C227" t="s">
        <v>18</v>
      </c>
      <c r="D227" t="s">
        <v>46</v>
      </c>
      <c r="E227" s="5">
        <v>1563</v>
      </c>
      <c r="F227">
        <v>3</v>
      </c>
      <c r="G227">
        <v>20</v>
      </c>
      <c r="H227" s="6">
        <v>31260</v>
      </c>
      <c r="I227" s="6">
        <v>1563</v>
      </c>
      <c r="J227" s="6">
        <v>29697</v>
      </c>
      <c r="K227" s="6">
        <v>15630</v>
      </c>
      <c r="L227" s="6">
        <v>14067</v>
      </c>
      <c r="M227" s="1">
        <v>41760</v>
      </c>
      <c r="N227">
        <v>5</v>
      </c>
      <c r="O227" t="s">
        <v>45</v>
      </c>
      <c r="P227">
        <v>2014</v>
      </c>
    </row>
    <row r="228" spans="1:16" hidden="1">
      <c r="A228" t="s">
        <v>32</v>
      </c>
      <c r="B228" t="s">
        <v>36</v>
      </c>
      <c r="C228" t="s">
        <v>18</v>
      </c>
      <c r="D228" t="s">
        <v>46</v>
      </c>
      <c r="E228" s="5">
        <v>991</v>
      </c>
      <c r="F228">
        <v>3</v>
      </c>
      <c r="G228">
        <v>300</v>
      </c>
      <c r="H228" s="6">
        <v>297300</v>
      </c>
      <c r="I228" s="6">
        <v>14865</v>
      </c>
      <c r="J228" s="6">
        <v>282435</v>
      </c>
      <c r="K228" s="6">
        <v>247750</v>
      </c>
      <c r="L228" s="6">
        <v>34685</v>
      </c>
      <c r="M228" s="1">
        <v>41791</v>
      </c>
      <c r="N228">
        <v>6</v>
      </c>
      <c r="O228" t="s">
        <v>24</v>
      </c>
      <c r="P228">
        <v>2014</v>
      </c>
    </row>
    <row r="229" spans="1:16" hidden="1">
      <c r="A229" t="s">
        <v>16</v>
      </c>
      <c r="B229" t="s">
        <v>21</v>
      </c>
      <c r="C229" t="s">
        <v>18</v>
      </c>
      <c r="D229" t="s">
        <v>46</v>
      </c>
      <c r="E229" s="5">
        <v>1016</v>
      </c>
      <c r="F229">
        <v>3</v>
      </c>
      <c r="G229">
        <v>7</v>
      </c>
      <c r="H229" s="6">
        <v>7112</v>
      </c>
      <c r="I229">
        <v>355.6</v>
      </c>
      <c r="J229" s="6">
        <v>6756.4</v>
      </c>
      <c r="K229" s="6">
        <v>5080</v>
      </c>
      <c r="L229" s="6">
        <v>1676.4</v>
      </c>
      <c r="M229" s="1">
        <v>41579</v>
      </c>
      <c r="N229">
        <v>11</v>
      </c>
      <c r="O229" t="s">
        <v>39</v>
      </c>
      <c r="P229">
        <v>2013</v>
      </c>
    </row>
    <row r="230" spans="1:16" hidden="1">
      <c r="A230" t="s">
        <v>22</v>
      </c>
      <c r="B230" t="s">
        <v>25</v>
      </c>
      <c r="C230" t="s">
        <v>18</v>
      </c>
      <c r="D230" t="s">
        <v>46</v>
      </c>
      <c r="E230" s="5">
        <v>2791</v>
      </c>
      <c r="F230">
        <v>3</v>
      </c>
      <c r="G230">
        <v>15</v>
      </c>
      <c r="H230" s="6">
        <v>41865</v>
      </c>
      <c r="I230" s="6">
        <v>2093.25</v>
      </c>
      <c r="J230" s="6">
        <v>39771.75</v>
      </c>
      <c r="K230" s="6">
        <v>27910</v>
      </c>
      <c r="L230" s="6">
        <v>11861.75</v>
      </c>
      <c r="M230" s="1">
        <v>41944</v>
      </c>
      <c r="N230">
        <v>11</v>
      </c>
      <c r="O230" t="s">
        <v>39</v>
      </c>
      <c r="P230">
        <v>2014</v>
      </c>
    </row>
    <row r="231" spans="1:16" hidden="1">
      <c r="A231" t="s">
        <v>16</v>
      </c>
      <c r="B231" t="s">
        <v>36</v>
      </c>
      <c r="C231" t="s">
        <v>18</v>
      </c>
      <c r="D231" t="s">
        <v>46</v>
      </c>
      <c r="E231" s="5">
        <v>570</v>
      </c>
      <c r="F231">
        <v>3</v>
      </c>
      <c r="G231">
        <v>7</v>
      </c>
      <c r="H231" s="6">
        <v>3990</v>
      </c>
      <c r="I231">
        <v>199.5</v>
      </c>
      <c r="J231" s="6">
        <v>3790.5</v>
      </c>
      <c r="K231" s="6">
        <v>2850</v>
      </c>
      <c r="L231">
        <v>940.5</v>
      </c>
      <c r="M231" s="1">
        <v>41974</v>
      </c>
      <c r="N231">
        <v>12</v>
      </c>
      <c r="O231" t="s">
        <v>26</v>
      </c>
      <c r="P231">
        <v>2014</v>
      </c>
    </row>
    <row r="232" spans="1:16" hidden="1">
      <c r="A232" t="s">
        <v>16</v>
      </c>
      <c r="B232" t="s">
        <v>23</v>
      </c>
      <c r="C232" t="s">
        <v>18</v>
      </c>
      <c r="D232" t="s">
        <v>46</v>
      </c>
      <c r="E232" s="5">
        <v>2487</v>
      </c>
      <c r="F232">
        <v>3</v>
      </c>
      <c r="G232">
        <v>7</v>
      </c>
      <c r="H232" s="6">
        <v>17409</v>
      </c>
      <c r="I232">
        <v>870.45</v>
      </c>
      <c r="J232" s="6">
        <v>16538.55</v>
      </c>
      <c r="K232" s="6">
        <v>12435</v>
      </c>
      <c r="L232" s="6">
        <v>4103.55</v>
      </c>
      <c r="M232" s="1">
        <v>41974</v>
      </c>
      <c r="N232">
        <v>12</v>
      </c>
      <c r="O232" t="s">
        <v>26</v>
      </c>
      <c r="P232">
        <v>2014</v>
      </c>
    </row>
    <row r="233" spans="1:16" hidden="1">
      <c r="A233" t="s">
        <v>16</v>
      </c>
      <c r="B233" t="s">
        <v>23</v>
      </c>
      <c r="C233" t="s">
        <v>27</v>
      </c>
      <c r="D233" t="s">
        <v>46</v>
      </c>
      <c r="E233" s="5">
        <v>1384.5</v>
      </c>
      <c r="F233">
        <v>5</v>
      </c>
      <c r="G233">
        <v>350</v>
      </c>
      <c r="H233" s="6">
        <v>484575</v>
      </c>
      <c r="I233" s="6">
        <v>24228.75</v>
      </c>
      <c r="J233" s="6">
        <v>460346.25</v>
      </c>
      <c r="K233" s="6">
        <v>359970</v>
      </c>
      <c r="L233" s="6">
        <v>100376.25</v>
      </c>
      <c r="M233" s="1">
        <v>41640</v>
      </c>
      <c r="N233">
        <v>1</v>
      </c>
      <c r="O233" t="s">
        <v>20</v>
      </c>
      <c r="P233">
        <v>2014</v>
      </c>
    </row>
    <row r="234" spans="1:16" hidden="1">
      <c r="A234" t="s">
        <v>30</v>
      </c>
      <c r="B234" t="s">
        <v>36</v>
      </c>
      <c r="C234" t="s">
        <v>27</v>
      </c>
      <c r="D234" t="s">
        <v>46</v>
      </c>
      <c r="E234" s="5">
        <v>3627</v>
      </c>
      <c r="F234">
        <v>5</v>
      </c>
      <c r="G234">
        <v>125</v>
      </c>
      <c r="H234" s="6">
        <v>453375</v>
      </c>
      <c r="I234" s="6">
        <v>22668.75</v>
      </c>
      <c r="J234" s="6">
        <v>430706.25</v>
      </c>
      <c r="K234" s="6">
        <v>435240</v>
      </c>
      <c r="L234" s="6">
        <v>-4533.75</v>
      </c>
      <c r="M234" s="1">
        <v>41821</v>
      </c>
      <c r="N234">
        <v>7</v>
      </c>
      <c r="O234" t="s">
        <v>31</v>
      </c>
      <c r="P234">
        <v>2014</v>
      </c>
    </row>
    <row r="235" spans="1:16" hidden="1">
      <c r="A235" t="s">
        <v>16</v>
      </c>
      <c r="B235" t="s">
        <v>25</v>
      </c>
      <c r="C235" t="s">
        <v>27</v>
      </c>
      <c r="D235" t="s">
        <v>46</v>
      </c>
      <c r="E235" s="5">
        <v>720</v>
      </c>
      <c r="F235">
        <v>5</v>
      </c>
      <c r="G235">
        <v>350</v>
      </c>
      <c r="H235" s="6">
        <v>252000</v>
      </c>
      <c r="I235" s="6">
        <v>12600</v>
      </c>
      <c r="J235" s="6">
        <v>239400</v>
      </c>
      <c r="K235" s="6">
        <v>187200</v>
      </c>
      <c r="L235" s="6">
        <v>52200</v>
      </c>
      <c r="M235" s="1">
        <v>41518</v>
      </c>
      <c r="N235">
        <v>9</v>
      </c>
      <c r="O235" t="s">
        <v>34</v>
      </c>
      <c r="P235">
        <v>2013</v>
      </c>
    </row>
    <row r="236" spans="1:16" hidden="1">
      <c r="A236" t="s">
        <v>29</v>
      </c>
      <c r="B236" t="s">
        <v>21</v>
      </c>
      <c r="C236" t="s">
        <v>27</v>
      </c>
      <c r="D236" t="s">
        <v>46</v>
      </c>
      <c r="E236" s="5">
        <v>2342</v>
      </c>
      <c r="F236">
        <v>5</v>
      </c>
      <c r="G236">
        <v>12</v>
      </c>
      <c r="H236" s="6">
        <v>28104</v>
      </c>
      <c r="I236" s="6">
        <v>1405.2</v>
      </c>
      <c r="J236" s="6">
        <v>26698.799999999999</v>
      </c>
      <c r="K236" s="6">
        <v>7026</v>
      </c>
      <c r="L236" s="6">
        <v>19672.8</v>
      </c>
      <c r="M236" s="1">
        <v>41944</v>
      </c>
      <c r="N236">
        <v>11</v>
      </c>
      <c r="O236" t="s">
        <v>39</v>
      </c>
      <c r="P236">
        <v>2014</v>
      </c>
    </row>
    <row r="237" spans="1:16" hidden="1">
      <c r="A237" t="s">
        <v>32</v>
      </c>
      <c r="B237" t="s">
        <v>25</v>
      </c>
      <c r="C237" t="s">
        <v>27</v>
      </c>
      <c r="D237" t="s">
        <v>46</v>
      </c>
      <c r="E237" s="5">
        <v>1100</v>
      </c>
      <c r="F237">
        <v>5</v>
      </c>
      <c r="G237">
        <v>300</v>
      </c>
      <c r="H237" s="6">
        <v>330000</v>
      </c>
      <c r="I237" s="6">
        <v>16500</v>
      </c>
      <c r="J237" s="6">
        <v>313500</v>
      </c>
      <c r="K237" s="6">
        <v>275000</v>
      </c>
      <c r="L237" s="6">
        <v>38500</v>
      </c>
      <c r="M237" s="1">
        <v>41609</v>
      </c>
      <c r="N237">
        <v>12</v>
      </c>
      <c r="O237" t="s">
        <v>26</v>
      </c>
      <c r="P237">
        <v>2013</v>
      </c>
    </row>
    <row r="238" spans="1:16" hidden="1">
      <c r="A238" t="s">
        <v>16</v>
      </c>
      <c r="B238" t="s">
        <v>23</v>
      </c>
      <c r="C238" t="s">
        <v>37</v>
      </c>
      <c r="D238" t="s">
        <v>46</v>
      </c>
      <c r="E238" s="5">
        <v>1303</v>
      </c>
      <c r="F238">
        <v>10</v>
      </c>
      <c r="G238">
        <v>20</v>
      </c>
      <c r="H238" s="6">
        <v>26060</v>
      </c>
      <c r="I238" s="6">
        <v>1303</v>
      </c>
      <c r="J238" s="6">
        <v>24757</v>
      </c>
      <c r="K238" s="6">
        <v>13030</v>
      </c>
      <c r="L238" s="6">
        <v>11727</v>
      </c>
      <c r="M238" s="1">
        <v>41671</v>
      </c>
      <c r="N238">
        <v>2</v>
      </c>
      <c r="O238" t="s">
        <v>38</v>
      </c>
      <c r="P238">
        <v>2014</v>
      </c>
    </row>
    <row r="239" spans="1:16" hidden="1">
      <c r="A239" t="s">
        <v>30</v>
      </c>
      <c r="B239" t="s">
        <v>36</v>
      </c>
      <c r="C239" t="s">
        <v>37</v>
      </c>
      <c r="D239" t="s">
        <v>46</v>
      </c>
      <c r="E239" s="5">
        <v>2992</v>
      </c>
      <c r="F239">
        <v>10</v>
      </c>
      <c r="G239">
        <v>125</v>
      </c>
      <c r="H239" s="6">
        <v>374000</v>
      </c>
      <c r="I239" s="6">
        <v>18700</v>
      </c>
      <c r="J239" s="6">
        <v>355300</v>
      </c>
      <c r="K239" s="6">
        <v>359040</v>
      </c>
      <c r="L239" s="6">
        <v>-3740</v>
      </c>
      <c r="M239" s="1">
        <v>41699</v>
      </c>
      <c r="N239">
        <v>3</v>
      </c>
      <c r="O239" t="s">
        <v>28</v>
      </c>
      <c r="P239">
        <v>2014</v>
      </c>
    </row>
    <row r="240" spans="1:16" hidden="1">
      <c r="A240" t="s">
        <v>30</v>
      </c>
      <c r="B240" t="s">
        <v>23</v>
      </c>
      <c r="C240" t="s">
        <v>37</v>
      </c>
      <c r="D240" t="s">
        <v>46</v>
      </c>
      <c r="E240" s="5">
        <v>2385</v>
      </c>
      <c r="F240">
        <v>10</v>
      </c>
      <c r="G240">
        <v>125</v>
      </c>
      <c r="H240" s="6">
        <v>298125</v>
      </c>
      <c r="I240" s="6">
        <v>14906.25</v>
      </c>
      <c r="J240" s="6">
        <v>283218.75</v>
      </c>
      <c r="K240" s="6">
        <v>286200</v>
      </c>
      <c r="L240" s="6">
        <v>-2981.25</v>
      </c>
      <c r="M240" s="1">
        <v>41699</v>
      </c>
      <c r="N240">
        <v>3</v>
      </c>
      <c r="O240" t="s">
        <v>28</v>
      </c>
      <c r="P240">
        <v>2014</v>
      </c>
    </row>
    <row r="241" spans="1:16" hidden="1">
      <c r="A241" t="s">
        <v>32</v>
      </c>
      <c r="B241" t="s">
        <v>25</v>
      </c>
      <c r="C241" t="s">
        <v>37</v>
      </c>
      <c r="D241" t="s">
        <v>46</v>
      </c>
      <c r="E241" s="5">
        <v>1607</v>
      </c>
      <c r="F241">
        <v>10</v>
      </c>
      <c r="G241">
        <v>300</v>
      </c>
      <c r="H241" s="6">
        <v>482100</v>
      </c>
      <c r="I241" s="6">
        <v>24105</v>
      </c>
      <c r="J241" s="6">
        <v>457995</v>
      </c>
      <c r="K241" s="6">
        <v>401750</v>
      </c>
      <c r="L241" s="6">
        <v>56245</v>
      </c>
      <c r="M241" s="1">
        <v>41730</v>
      </c>
      <c r="N241">
        <v>4</v>
      </c>
      <c r="O241" t="s">
        <v>42</v>
      </c>
      <c r="P241">
        <v>2014</v>
      </c>
    </row>
    <row r="242" spans="1:16" hidden="1">
      <c r="A242" t="s">
        <v>16</v>
      </c>
      <c r="B242" t="s">
        <v>36</v>
      </c>
      <c r="C242" t="s">
        <v>37</v>
      </c>
      <c r="D242" t="s">
        <v>46</v>
      </c>
      <c r="E242" s="5">
        <v>2327</v>
      </c>
      <c r="F242">
        <v>10</v>
      </c>
      <c r="G242">
        <v>7</v>
      </c>
      <c r="H242" s="6">
        <v>16289</v>
      </c>
      <c r="I242">
        <v>814.45</v>
      </c>
      <c r="J242" s="6">
        <v>15474.55</v>
      </c>
      <c r="K242" s="6">
        <v>11635</v>
      </c>
      <c r="L242" s="6">
        <v>3839.55</v>
      </c>
      <c r="M242" s="1">
        <v>41760</v>
      </c>
      <c r="N242">
        <v>5</v>
      </c>
      <c r="O242" t="s">
        <v>45</v>
      </c>
      <c r="P242">
        <v>2014</v>
      </c>
    </row>
    <row r="243" spans="1:16" hidden="1">
      <c r="A243" t="s">
        <v>32</v>
      </c>
      <c r="B243" t="s">
        <v>36</v>
      </c>
      <c r="C243" t="s">
        <v>37</v>
      </c>
      <c r="D243" t="s">
        <v>46</v>
      </c>
      <c r="E243" s="5">
        <v>991</v>
      </c>
      <c r="F243">
        <v>10</v>
      </c>
      <c r="G243">
        <v>300</v>
      </c>
      <c r="H243" s="6">
        <v>297300</v>
      </c>
      <c r="I243" s="6">
        <v>14865</v>
      </c>
      <c r="J243" s="6">
        <v>282435</v>
      </c>
      <c r="K243" s="6">
        <v>247750</v>
      </c>
      <c r="L243" s="6">
        <v>34685</v>
      </c>
      <c r="M243" s="1">
        <v>41791</v>
      </c>
      <c r="N243">
        <v>6</v>
      </c>
      <c r="O243" t="s">
        <v>24</v>
      </c>
      <c r="P243">
        <v>2014</v>
      </c>
    </row>
    <row r="244" spans="1:16" hidden="1">
      <c r="A244" t="s">
        <v>16</v>
      </c>
      <c r="B244" t="s">
        <v>36</v>
      </c>
      <c r="C244" t="s">
        <v>37</v>
      </c>
      <c r="D244" t="s">
        <v>46</v>
      </c>
      <c r="E244" s="5">
        <v>602</v>
      </c>
      <c r="F244">
        <v>10</v>
      </c>
      <c r="G244">
        <v>350</v>
      </c>
      <c r="H244" s="6">
        <v>210700</v>
      </c>
      <c r="I244" s="6">
        <v>10535</v>
      </c>
      <c r="J244" s="6">
        <v>200165</v>
      </c>
      <c r="K244" s="6">
        <v>156520</v>
      </c>
      <c r="L244" s="6">
        <v>43645</v>
      </c>
      <c r="M244" s="1">
        <v>41791</v>
      </c>
      <c r="N244">
        <v>6</v>
      </c>
      <c r="O244" t="s">
        <v>24</v>
      </c>
      <c r="P244">
        <v>2014</v>
      </c>
    </row>
    <row r="245" spans="1:16" hidden="1">
      <c r="A245" t="s">
        <v>22</v>
      </c>
      <c r="B245" t="s">
        <v>23</v>
      </c>
      <c r="C245" t="s">
        <v>37</v>
      </c>
      <c r="D245" t="s">
        <v>46</v>
      </c>
      <c r="E245" s="5">
        <v>2620</v>
      </c>
      <c r="F245">
        <v>10</v>
      </c>
      <c r="G245">
        <v>15</v>
      </c>
      <c r="H245" s="6">
        <v>39300</v>
      </c>
      <c r="I245" s="6">
        <v>1965</v>
      </c>
      <c r="J245" s="6">
        <v>37335</v>
      </c>
      <c r="K245" s="6">
        <v>26200</v>
      </c>
      <c r="L245" s="6">
        <v>11135</v>
      </c>
      <c r="M245" s="1">
        <v>41883</v>
      </c>
      <c r="N245">
        <v>9</v>
      </c>
      <c r="O245" t="s">
        <v>34</v>
      </c>
      <c r="P245">
        <v>2014</v>
      </c>
    </row>
    <row r="246" spans="1:16" hidden="1">
      <c r="A246" t="s">
        <v>16</v>
      </c>
      <c r="B246" t="s">
        <v>17</v>
      </c>
      <c r="C246" t="s">
        <v>37</v>
      </c>
      <c r="D246" t="s">
        <v>46</v>
      </c>
      <c r="E246" s="5">
        <v>1228</v>
      </c>
      <c r="F246">
        <v>10</v>
      </c>
      <c r="G246">
        <v>350</v>
      </c>
      <c r="H246" s="6">
        <v>429800</v>
      </c>
      <c r="I246" s="6">
        <v>21490</v>
      </c>
      <c r="J246" s="6">
        <v>408310</v>
      </c>
      <c r="K246" s="6">
        <v>319280</v>
      </c>
      <c r="L246" s="6">
        <v>89030</v>
      </c>
      <c r="M246" s="1">
        <v>41548</v>
      </c>
      <c r="N246">
        <v>10</v>
      </c>
      <c r="O246" t="s">
        <v>35</v>
      </c>
      <c r="P246">
        <v>2013</v>
      </c>
    </row>
    <row r="247" spans="1:16" hidden="1">
      <c r="A247" t="s">
        <v>16</v>
      </c>
      <c r="B247" t="s">
        <v>17</v>
      </c>
      <c r="C247" t="s">
        <v>37</v>
      </c>
      <c r="D247" t="s">
        <v>46</v>
      </c>
      <c r="E247" s="5">
        <v>1389</v>
      </c>
      <c r="F247">
        <v>10</v>
      </c>
      <c r="G247">
        <v>20</v>
      </c>
      <c r="H247" s="6">
        <v>27780</v>
      </c>
      <c r="I247" s="6">
        <v>1389</v>
      </c>
      <c r="J247" s="6">
        <v>26391</v>
      </c>
      <c r="K247" s="6">
        <v>13890</v>
      </c>
      <c r="L247" s="6">
        <v>12501</v>
      </c>
      <c r="M247" s="1">
        <v>41548</v>
      </c>
      <c r="N247">
        <v>10</v>
      </c>
      <c r="O247" t="s">
        <v>35</v>
      </c>
      <c r="P247">
        <v>2013</v>
      </c>
    </row>
    <row r="248" spans="1:16" hidden="1">
      <c r="A248" t="s">
        <v>30</v>
      </c>
      <c r="B248" t="s">
        <v>36</v>
      </c>
      <c r="C248" t="s">
        <v>37</v>
      </c>
      <c r="D248" t="s">
        <v>46</v>
      </c>
      <c r="E248" s="5">
        <v>861</v>
      </c>
      <c r="F248">
        <v>10</v>
      </c>
      <c r="G248">
        <v>125</v>
      </c>
      <c r="H248" s="6">
        <v>107625</v>
      </c>
      <c r="I248" s="6">
        <v>5381.25</v>
      </c>
      <c r="J248" s="6">
        <v>102243.75</v>
      </c>
      <c r="K248" s="6">
        <v>103320</v>
      </c>
      <c r="L248" s="6">
        <v>-1076.25</v>
      </c>
      <c r="M248" s="1">
        <v>41913</v>
      </c>
      <c r="N248">
        <v>10</v>
      </c>
      <c r="O248" t="s">
        <v>35</v>
      </c>
      <c r="P248">
        <v>2014</v>
      </c>
    </row>
    <row r="249" spans="1:16" hidden="1">
      <c r="A249" t="s">
        <v>30</v>
      </c>
      <c r="B249" t="s">
        <v>23</v>
      </c>
      <c r="C249" t="s">
        <v>37</v>
      </c>
      <c r="D249" t="s">
        <v>46</v>
      </c>
      <c r="E249" s="5">
        <v>704</v>
      </c>
      <c r="F249">
        <v>10</v>
      </c>
      <c r="G249">
        <v>125</v>
      </c>
      <c r="H249" s="6">
        <v>88000</v>
      </c>
      <c r="I249" s="6">
        <v>4400</v>
      </c>
      <c r="J249" s="6">
        <v>83600</v>
      </c>
      <c r="K249" s="6">
        <v>84480</v>
      </c>
      <c r="L249">
        <v>-880</v>
      </c>
      <c r="M249" s="1">
        <v>41548</v>
      </c>
      <c r="N249">
        <v>10</v>
      </c>
      <c r="O249" t="s">
        <v>35</v>
      </c>
      <c r="P249">
        <v>2013</v>
      </c>
    </row>
    <row r="250" spans="1:16" hidden="1">
      <c r="A250" t="s">
        <v>16</v>
      </c>
      <c r="B250" t="s">
        <v>17</v>
      </c>
      <c r="C250" t="s">
        <v>37</v>
      </c>
      <c r="D250" t="s">
        <v>46</v>
      </c>
      <c r="E250" s="5">
        <v>1802</v>
      </c>
      <c r="F250">
        <v>10</v>
      </c>
      <c r="G250">
        <v>20</v>
      </c>
      <c r="H250" s="6">
        <v>36040</v>
      </c>
      <c r="I250" s="6">
        <v>1802</v>
      </c>
      <c r="J250" s="6">
        <v>34238</v>
      </c>
      <c r="K250" s="6">
        <v>18020</v>
      </c>
      <c r="L250" s="6">
        <v>16218</v>
      </c>
      <c r="M250" s="1">
        <v>41609</v>
      </c>
      <c r="N250">
        <v>12</v>
      </c>
      <c r="O250" t="s">
        <v>26</v>
      </c>
      <c r="P250">
        <v>2013</v>
      </c>
    </row>
    <row r="251" spans="1:16" hidden="1">
      <c r="A251" t="s">
        <v>16</v>
      </c>
      <c r="B251" t="s">
        <v>36</v>
      </c>
      <c r="C251" t="s">
        <v>37</v>
      </c>
      <c r="D251" t="s">
        <v>46</v>
      </c>
      <c r="E251" s="5">
        <v>2663</v>
      </c>
      <c r="F251">
        <v>10</v>
      </c>
      <c r="G251">
        <v>20</v>
      </c>
      <c r="H251" s="6">
        <v>53260</v>
      </c>
      <c r="I251" s="6">
        <v>2663</v>
      </c>
      <c r="J251" s="6">
        <v>50597</v>
      </c>
      <c r="K251" s="6">
        <v>26630</v>
      </c>
      <c r="L251" s="6">
        <v>23967</v>
      </c>
      <c r="M251" s="1">
        <v>41974</v>
      </c>
      <c r="N251">
        <v>12</v>
      </c>
      <c r="O251" t="s">
        <v>26</v>
      </c>
      <c r="P251">
        <v>2014</v>
      </c>
    </row>
    <row r="252" spans="1:16" hidden="1">
      <c r="A252" t="s">
        <v>16</v>
      </c>
      <c r="B252" t="s">
        <v>23</v>
      </c>
      <c r="C252" t="s">
        <v>37</v>
      </c>
      <c r="D252" t="s">
        <v>46</v>
      </c>
      <c r="E252" s="5">
        <v>2136</v>
      </c>
      <c r="F252">
        <v>10</v>
      </c>
      <c r="G252">
        <v>7</v>
      </c>
      <c r="H252" s="6">
        <v>14952</v>
      </c>
      <c r="I252">
        <v>747.6</v>
      </c>
      <c r="J252" s="6">
        <v>14204.4</v>
      </c>
      <c r="K252" s="6">
        <v>10680</v>
      </c>
      <c r="L252" s="6">
        <v>3524.4</v>
      </c>
      <c r="M252" s="1">
        <v>41609</v>
      </c>
      <c r="N252">
        <v>12</v>
      </c>
      <c r="O252" t="s">
        <v>26</v>
      </c>
      <c r="P252">
        <v>2013</v>
      </c>
    </row>
    <row r="253" spans="1:16" hidden="1">
      <c r="A253" t="s">
        <v>22</v>
      </c>
      <c r="B253" t="s">
        <v>21</v>
      </c>
      <c r="C253" t="s">
        <v>37</v>
      </c>
      <c r="D253" t="s">
        <v>46</v>
      </c>
      <c r="E253" s="5">
        <v>2116</v>
      </c>
      <c r="F253">
        <v>10</v>
      </c>
      <c r="G253">
        <v>15</v>
      </c>
      <c r="H253" s="6">
        <v>31740</v>
      </c>
      <c r="I253" s="6">
        <v>1587</v>
      </c>
      <c r="J253" s="6">
        <v>30153</v>
      </c>
      <c r="K253" s="6">
        <v>21160</v>
      </c>
      <c r="L253" s="6">
        <v>8993</v>
      </c>
      <c r="M253" s="1">
        <v>41609</v>
      </c>
      <c r="N253">
        <v>12</v>
      </c>
      <c r="O253" t="s">
        <v>26</v>
      </c>
      <c r="P253">
        <v>2013</v>
      </c>
    </row>
    <row r="254" spans="1:16" hidden="1">
      <c r="A254" t="s">
        <v>22</v>
      </c>
      <c r="B254" t="s">
        <v>36</v>
      </c>
      <c r="C254" t="s">
        <v>40</v>
      </c>
      <c r="D254" t="s">
        <v>46</v>
      </c>
      <c r="E254" s="5">
        <v>555</v>
      </c>
      <c r="F254">
        <v>120</v>
      </c>
      <c r="G254">
        <v>15</v>
      </c>
      <c r="H254" s="6">
        <v>8325</v>
      </c>
      <c r="I254">
        <v>416.25</v>
      </c>
      <c r="J254" s="6">
        <v>7908.75</v>
      </c>
      <c r="K254" s="6">
        <v>5550</v>
      </c>
      <c r="L254" s="6">
        <v>2358.75</v>
      </c>
      <c r="M254" s="1">
        <v>41640</v>
      </c>
      <c r="N254">
        <v>1</v>
      </c>
      <c r="O254" t="s">
        <v>20</v>
      </c>
      <c r="P254">
        <v>2014</v>
      </c>
    </row>
    <row r="255" spans="1:16" hidden="1">
      <c r="A255" t="s">
        <v>22</v>
      </c>
      <c r="B255" t="s">
        <v>25</v>
      </c>
      <c r="C255" t="s">
        <v>40</v>
      </c>
      <c r="D255" t="s">
        <v>46</v>
      </c>
      <c r="E255" s="5">
        <v>2861</v>
      </c>
      <c r="F255">
        <v>120</v>
      </c>
      <c r="G255">
        <v>15</v>
      </c>
      <c r="H255" s="6">
        <v>42915</v>
      </c>
      <c r="I255" s="6">
        <v>2145.75</v>
      </c>
      <c r="J255" s="6">
        <v>40769.25</v>
      </c>
      <c r="K255" s="6">
        <v>28610</v>
      </c>
      <c r="L255" s="6">
        <v>12159.25</v>
      </c>
      <c r="M255" s="1">
        <v>41640</v>
      </c>
      <c r="N255">
        <v>1</v>
      </c>
      <c r="O255" t="s">
        <v>20</v>
      </c>
      <c r="P255">
        <v>2014</v>
      </c>
    </row>
    <row r="256" spans="1:16" hidden="1">
      <c r="A256" t="s">
        <v>30</v>
      </c>
      <c r="B256" t="s">
        <v>21</v>
      </c>
      <c r="C256" t="s">
        <v>40</v>
      </c>
      <c r="D256" t="s">
        <v>46</v>
      </c>
      <c r="E256" s="5">
        <v>807</v>
      </c>
      <c r="F256">
        <v>120</v>
      </c>
      <c r="G256">
        <v>125</v>
      </c>
      <c r="H256" s="6">
        <v>100875</v>
      </c>
      <c r="I256" s="6">
        <v>5043.75</v>
      </c>
      <c r="J256" s="6">
        <v>95831.25</v>
      </c>
      <c r="K256" s="6">
        <v>96840</v>
      </c>
      <c r="L256" s="6">
        <v>-1008.75</v>
      </c>
      <c r="M256" s="1">
        <v>41671</v>
      </c>
      <c r="N256">
        <v>2</v>
      </c>
      <c r="O256" t="s">
        <v>38</v>
      </c>
      <c r="P256">
        <v>2014</v>
      </c>
    </row>
    <row r="257" spans="1:16" hidden="1">
      <c r="A257" t="s">
        <v>16</v>
      </c>
      <c r="B257" t="s">
        <v>36</v>
      </c>
      <c r="C257" t="s">
        <v>40</v>
      </c>
      <c r="D257" t="s">
        <v>46</v>
      </c>
      <c r="E257" s="5">
        <v>602</v>
      </c>
      <c r="F257">
        <v>120</v>
      </c>
      <c r="G257">
        <v>350</v>
      </c>
      <c r="H257" s="6">
        <v>210700</v>
      </c>
      <c r="I257" s="6">
        <v>10535</v>
      </c>
      <c r="J257" s="6">
        <v>200165</v>
      </c>
      <c r="K257" s="6">
        <v>156520</v>
      </c>
      <c r="L257" s="6">
        <v>43645</v>
      </c>
      <c r="M257" s="1">
        <v>41791</v>
      </c>
      <c r="N257">
        <v>6</v>
      </c>
      <c r="O257" t="s">
        <v>24</v>
      </c>
      <c r="P257">
        <v>2014</v>
      </c>
    </row>
    <row r="258" spans="1:16" hidden="1">
      <c r="A258" t="s">
        <v>16</v>
      </c>
      <c r="B258" t="s">
        <v>36</v>
      </c>
      <c r="C258" t="s">
        <v>40</v>
      </c>
      <c r="D258" t="s">
        <v>46</v>
      </c>
      <c r="E258" s="5">
        <v>2832</v>
      </c>
      <c r="F258">
        <v>120</v>
      </c>
      <c r="G258">
        <v>20</v>
      </c>
      <c r="H258" s="6">
        <v>56640</v>
      </c>
      <c r="I258" s="6">
        <v>2832</v>
      </c>
      <c r="J258" s="6">
        <v>53808</v>
      </c>
      <c r="K258" s="6">
        <v>28320</v>
      </c>
      <c r="L258" s="6">
        <v>25488</v>
      </c>
      <c r="M258" s="1">
        <v>41852</v>
      </c>
      <c r="N258">
        <v>8</v>
      </c>
      <c r="O258" t="s">
        <v>33</v>
      </c>
      <c r="P258">
        <v>2014</v>
      </c>
    </row>
    <row r="259" spans="1:16" hidden="1">
      <c r="A259" t="s">
        <v>16</v>
      </c>
      <c r="B259" t="s">
        <v>23</v>
      </c>
      <c r="C259" t="s">
        <v>40</v>
      </c>
      <c r="D259" t="s">
        <v>46</v>
      </c>
      <c r="E259" s="5">
        <v>1579</v>
      </c>
      <c r="F259">
        <v>120</v>
      </c>
      <c r="G259">
        <v>20</v>
      </c>
      <c r="H259" s="6">
        <v>31580</v>
      </c>
      <c r="I259" s="6">
        <v>1579</v>
      </c>
      <c r="J259" s="6">
        <v>30001</v>
      </c>
      <c r="K259" s="6">
        <v>15790</v>
      </c>
      <c r="L259" s="6">
        <v>14211</v>
      </c>
      <c r="M259" s="1">
        <v>41852</v>
      </c>
      <c r="N259">
        <v>8</v>
      </c>
      <c r="O259" t="s">
        <v>33</v>
      </c>
      <c r="P259">
        <v>2014</v>
      </c>
    </row>
    <row r="260" spans="1:16" hidden="1">
      <c r="A260" t="s">
        <v>30</v>
      </c>
      <c r="B260" t="s">
        <v>36</v>
      </c>
      <c r="C260" t="s">
        <v>40</v>
      </c>
      <c r="D260" t="s">
        <v>46</v>
      </c>
      <c r="E260" s="5">
        <v>861</v>
      </c>
      <c r="F260">
        <v>120</v>
      </c>
      <c r="G260">
        <v>125</v>
      </c>
      <c r="H260" s="6">
        <v>107625</v>
      </c>
      <c r="I260" s="6">
        <v>5381.25</v>
      </c>
      <c r="J260" s="6">
        <v>102243.75</v>
      </c>
      <c r="K260" s="6">
        <v>103320</v>
      </c>
      <c r="L260" s="6">
        <v>-1076.25</v>
      </c>
      <c r="M260" s="1">
        <v>41913</v>
      </c>
      <c r="N260">
        <v>10</v>
      </c>
      <c r="O260" t="s">
        <v>35</v>
      </c>
      <c r="P260">
        <v>2014</v>
      </c>
    </row>
    <row r="261" spans="1:16" hidden="1">
      <c r="A261" t="s">
        <v>30</v>
      </c>
      <c r="B261" t="s">
        <v>23</v>
      </c>
      <c r="C261" t="s">
        <v>40</v>
      </c>
      <c r="D261" t="s">
        <v>46</v>
      </c>
      <c r="E261" s="5">
        <v>704</v>
      </c>
      <c r="F261">
        <v>120</v>
      </c>
      <c r="G261">
        <v>125</v>
      </c>
      <c r="H261" s="6">
        <v>88000</v>
      </c>
      <c r="I261" s="6">
        <v>4400</v>
      </c>
      <c r="J261" s="6">
        <v>83600</v>
      </c>
      <c r="K261" s="6">
        <v>84480</v>
      </c>
      <c r="L261">
        <v>-880</v>
      </c>
      <c r="M261" s="1">
        <v>41548</v>
      </c>
      <c r="N261">
        <v>10</v>
      </c>
      <c r="O261" t="s">
        <v>35</v>
      </c>
      <c r="P261">
        <v>2013</v>
      </c>
    </row>
    <row r="262" spans="1:16" hidden="1">
      <c r="A262" t="s">
        <v>16</v>
      </c>
      <c r="B262" t="s">
        <v>23</v>
      </c>
      <c r="C262" t="s">
        <v>40</v>
      </c>
      <c r="D262" t="s">
        <v>46</v>
      </c>
      <c r="E262" s="5">
        <v>1033</v>
      </c>
      <c r="F262">
        <v>120</v>
      </c>
      <c r="G262">
        <v>20</v>
      </c>
      <c r="H262" s="6">
        <v>20660</v>
      </c>
      <c r="I262" s="6">
        <v>1033</v>
      </c>
      <c r="J262" s="6">
        <v>19627</v>
      </c>
      <c r="K262" s="6">
        <v>10330</v>
      </c>
      <c r="L262" s="6">
        <v>9297</v>
      </c>
      <c r="M262" s="1">
        <v>41609</v>
      </c>
      <c r="N262">
        <v>12</v>
      </c>
      <c r="O262" t="s">
        <v>26</v>
      </c>
      <c r="P262">
        <v>2013</v>
      </c>
    </row>
    <row r="263" spans="1:16" hidden="1">
      <c r="A263" t="s">
        <v>32</v>
      </c>
      <c r="B263" t="s">
        <v>21</v>
      </c>
      <c r="C263" t="s">
        <v>40</v>
      </c>
      <c r="D263" t="s">
        <v>46</v>
      </c>
      <c r="E263" s="5">
        <v>1250</v>
      </c>
      <c r="F263">
        <v>120</v>
      </c>
      <c r="G263">
        <v>300</v>
      </c>
      <c r="H263" s="6">
        <v>375000</v>
      </c>
      <c r="I263" s="6">
        <v>18750</v>
      </c>
      <c r="J263" s="6">
        <v>356250</v>
      </c>
      <c r="K263" s="6">
        <v>312500</v>
      </c>
      <c r="L263" s="6">
        <v>43750</v>
      </c>
      <c r="M263" s="1">
        <v>41974</v>
      </c>
      <c r="N263">
        <v>12</v>
      </c>
      <c r="O263" t="s">
        <v>26</v>
      </c>
      <c r="P263">
        <v>2014</v>
      </c>
    </row>
    <row r="264" spans="1:16" hidden="1">
      <c r="A264" t="s">
        <v>16</v>
      </c>
      <c r="B264" t="s">
        <v>17</v>
      </c>
      <c r="C264" t="s">
        <v>41</v>
      </c>
      <c r="D264" t="s">
        <v>46</v>
      </c>
      <c r="E264" s="5">
        <v>1389</v>
      </c>
      <c r="F264">
        <v>250</v>
      </c>
      <c r="G264">
        <v>20</v>
      </c>
      <c r="H264" s="6">
        <v>27780</v>
      </c>
      <c r="I264" s="6">
        <v>1389</v>
      </c>
      <c r="J264" s="6">
        <v>26391</v>
      </c>
      <c r="K264" s="6">
        <v>13890</v>
      </c>
      <c r="L264" s="6">
        <v>12501</v>
      </c>
      <c r="M264" s="1">
        <v>41548</v>
      </c>
      <c r="N264">
        <v>10</v>
      </c>
      <c r="O264" t="s">
        <v>35</v>
      </c>
      <c r="P264">
        <v>2013</v>
      </c>
    </row>
    <row r="265" spans="1:16" hidden="1">
      <c r="A265" t="s">
        <v>16</v>
      </c>
      <c r="B265" t="s">
        <v>36</v>
      </c>
      <c r="C265" t="s">
        <v>41</v>
      </c>
      <c r="D265" t="s">
        <v>46</v>
      </c>
      <c r="E265" s="5">
        <v>1265</v>
      </c>
      <c r="F265">
        <v>250</v>
      </c>
      <c r="G265">
        <v>20</v>
      </c>
      <c r="H265" s="6">
        <v>25300</v>
      </c>
      <c r="I265" s="6">
        <v>1265</v>
      </c>
      <c r="J265" s="6">
        <v>24035</v>
      </c>
      <c r="K265" s="6">
        <v>12650</v>
      </c>
      <c r="L265" s="6">
        <v>11385</v>
      </c>
      <c r="M265" s="1">
        <v>41579</v>
      </c>
      <c r="N265">
        <v>11</v>
      </c>
      <c r="O265" t="s">
        <v>39</v>
      </c>
      <c r="P265">
        <v>2013</v>
      </c>
    </row>
    <row r="266" spans="1:16" hidden="1">
      <c r="A266" t="s">
        <v>16</v>
      </c>
      <c r="B266" t="s">
        <v>21</v>
      </c>
      <c r="C266" t="s">
        <v>41</v>
      </c>
      <c r="D266" t="s">
        <v>46</v>
      </c>
      <c r="E266" s="5">
        <v>2297</v>
      </c>
      <c r="F266">
        <v>250</v>
      </c>
      <c r="G266">
        <v>20</v>
      </c>
      <c r="H266" s="6">
        <v>45940</v>
      </c>
      <c r="I266" s="6">
        <v>2297</v>
      </c>
      <c r="J266" s="6">
        <v>43643</v>
      </c>
      <c r="K266" s="6">
        <v>22970</v>
      </c>
      <c r="L266" s="6">
        <v>20673</v>
      </c>
      <c r="M266" s="1">
        <v>41579</v>
      </c>
      <c r="N266">
        <v>11</v>
      </c>
      <c r="O266" t="s">
        <v>39</v>
      </c>
      <c r="P266">
        <v>2013</v>
      </c>
    </row>
    <row r="267" spans="1:16">
      <c r="A267" t="s">
        <v>16</v>
      </c>
      <c r="B267" t="s">
        <v>36</v>
      </c>
      <c r="C267" t="s">
        <v>41</v>
      </c>
      <c r="D267" t="s">
        <v>46</v>
      </c>
      <c r="E267" s="5">
        <v>2663</v>
      </c>
      <c r="F267">
        <v>250</v>
      </c>
      <c r="G267">
        <v>20</v>
      </c>
      <c r="H267" s="6">
        <v>53260</v>
      </c>
      <c r="I267" s="6">
        <v>2663</v>
      </c>
      <c r="J267" s="6">
        <v>50597</v>
      </c>
      <c r="K267" s="6">
        <v>26630</v>
      </c>
      <c r="L267" s="6">
        <v>23967</v>
      </c>
      <c r="M267" s="1">
        <v>41974</v>
      </c>
      <c r="N267">
        <v>12</v>
      </c>
      <c r="O267" t="s">
        <v>26</v>
      </c>
      <c r="P267">
        <v>2014</v>
      </c>
    </row>
    <row r="268" spans="1:16">
      <c r="A268" t="s">
        <v>16</v>
      </c>
      <c r="B268" t="s">
        <v>36</v>
      </c>
      <c r="C268" t="s">
        <v>41</v>
      </c>
      <c r="D268" t="s">
        <v>46</v>
      </c>
      <c r="E268" s="5">
        <v>570</v>
      </c>
      <c r="F268">
        <v>250</v>
      </c>
      <c r="G268">
        <v>7</v>
      </c>
      <c r="H268" s="6">
        <v>3990</v>
      </c>
      <c r="I268">
        <v>199.5</v>
      </c>
      <c r="J268" s="6">
        <v>3790.5</v>
      </c>
      <c r="K268" s="6">
        <v>2850</v>
      </c>
      <c r="L268">
        <v>940.5</v>
      </c>
      <c r="M268" s="1">
        <v>41974</v>
      </c>
      <c r="N268">
        <v>12</v>
      </c>
      <c r="O268" t="s">
        <v>26</v>
      </c>
      <c r="P268">
        <v>2014</v>
      </c>
    </row>
    <row r="269" spans="1:16">
      <c r="A269" t="s">
        <v>16</v>
      </c>
      <c r="B269" t="s">
        <v>23</v>
      </c>
      <c r="C269" t="s">
        <v>41</v>
      </c>
      <c r="D269" t="s">
        <v>46</v>
      </c>
      <c r="E269" s="5">
        <v>2487</v>
      </c>
      <c r="F269">
        <v>250</v>
      </c>
      <c r="G269">
        <v>7</v>
      </c>
      <c r="H269" s="6">
        <v>17409</v>
      </c>
      <c r="I269">
        <v>870.45</v>
      </c>
      <c r="J269" s="6">
        <v>16538.55</v>
      </c>
      <c r="K269" s="6">
        <v>12435</v>
      </c>
      <c r="L269" s="6">
        <v>4103.55</v>
      </c>
      <c r="M269" s="1">
        <v>41974</v>
      </c>
      <c r="N269">
        <v>12</v>
      </c>
      <c r="O269" t="s">
        <v>26</v>
      </c>
      <c r="P269">
        <v>2014</v>
      </c>
    </row>
    <row r="270" spans="1:16" hidden="1">
      <c r="A270" t="s">
        <v>16</v>
      </c>
      <c r="B270" t="s">
        <v>21</v>
      </c>
      <c r="C270" t="s">
        <v>43</v>
      </c>
      <c r="D270" t="s">
        <v>46</v>
      </c>
      <c r="E270" s="5">
        <v>1350</v>
      </c>
      <c r="F270">
        <v>260</v>
      </c>
      <c r="G270">
        <v>350</v>
      </c>
      <c r="H270" s="6">
        <v>472500</v>
      </c>
      <c r="I270" s="6">
        <v>23625</v>
      </c>
      <c r="J270" s="6">
        <v>448875</v>
      </c>
      <c r="K270" s="6">
        <v>351000</v>
      </c>
      <c r="L270" s="6">
        <v>97875</v>
      </c>
      <c r="M270" s="1">
        <v>41671</v>
      </c>
      <c r="N270">
        <v>2</v>
      </c>
      <c r="O270" t="s">
        <v>38</v>
      </c>
      <c r="P270">
        <v>2014</v>
      </c>
    </row>
    <row r="271" spans="1:16" hidden="1">
      <c r="A271" t="s">
        <v>16</v>
      </c>
      <c r="B271" t="s">
        <v>17</v>
      </c>
      <c r="C271" t="s">
        <v>43</v>
      </c>
      <c r="D271" t="s">
        <v>46</v>
      </c>
      <c r="E271" s="5">
        <v>552</v>
      </c>
      <c r="F271">
        <v>260</v>
      </c>
      <c r="G271">
        <v>350</v>
      </c>
      <c r="H271" s="6">
        <v>193200</v>
      </c>
      <c r="I271" s="6">
        <v>9660</v>
      </c>
      <c r="J271" s="6">
        <v>183540</v>
      </c>
      <c r="K271" s="6">
        <v>143520</v>
      </c>
      <c r="L271" s="6">
        <v>40020</v>
      </c>
      <c r="M271" s="1">
        <v>41852</v>
      </c>
      <c r="N271">
        <v>8</v>
      </c>
      <c r="O271" t="s">
        <v>33</v>
      </c>
      <c r="P271">
        <v>2014</v>
      </c>
    </row>
    <row r="272" spans="1:16" hidden="1">
      <c r="A272" t="s">
        <v>16</v>
      </c>
      <c r="B272" t="s">
        <v>17</v>
      </c>
      <c r="C272" t="s">
        <v>43</v>
      </c>
      <c r="D272" t="s">
        <v>46</v>
      </c>
      <c r="E272" s="5">
        <v>1228</v>
      </c>
      <c r="F272">
        <v>260</v>
      </c>
      <c r="G272">
        <v>350</v>
      </c>
      <c r="H272" s="6">
        <v>429800</v>
      </c>
      <c r="I272" s="6">
        <v>21490</v>
      </c>
      <c r="J272" s="6">
        <v>408310</v>
      </c>
      <c r="K272" s="6">
        <v>319280</v>
      </c>
      <c r="L272" s="6">
        <v>89030</v>
      </c>
      <c r="M272" s="1">
        <v>41548</v>
      </c>
      <c r="N272">
        <v>10</v>
      </c>
      <c r="O272" t="s">
        <v>35</v>
      </c>
      <c r="P272">
        <v>2013</v>
      </c>
    </row>
    <row r="273" spans="1:16" hidden="1">
      <c r="A273" t="s">
        <v>32</v>
      </c>
      <c r="B273" t="s">
        <v>21</v>
      </c>
      <c r="C273" t="s">
        <v>43</v>
      </c>
      <c r="D273" t="s">
        <v>46</v>
      </c>
      <c r="E273" s="5">
        <v>1250</v>
      </c>
      <c r="F273">
        <v>260</v>
      </c>
      <c r="G273">
        <v>300</v>
      </c>
      <c r="H273" s="6">
        <v>375000</v>
      </c>
      <c r="I273" s="6">
        <v>18750</v>
      </c>
      <c r="J273" s="6">
        <v>356250</v>
      </c>
      <c r="K273" s="6">
        <v>312500</v>
      </c>
      <c r="L273" s="6">
        <v>43750</v>
      </c>
      <c r="M273" s="1">
        <v>41974</v>
      </c>
      <c r="N273">
        <v>12</v>
      </c>
      <c r="O273" t="s">
        <v>26</v>
      </c>
      <c r="P273">
        <v>2014</v>
      </c>
    </row>
    <row r="274" spans="1:16" hidden="1">
      <c r="A274" t="s">
        <v>22</v>
      </c>
      <c r="B274" t="s">
        <v>23</v>
      </c>
      <c r="C274" t="s">
        <v>37</v>
      </c>
      <c r="D274" t="s">
        <v>46</v>
      </c>
      <c r="E274" s="5">
        <v>3801</v>
      </c>
      <c r="F274">
        <v>10</v>
      </c>
      <c r="G274">
        <v>15</v>
      </c>
      <c r="H274" s="6">
        <v>57015</v>
      </c>
      <c r="I274" s="6">
        <v>3420.9</v>
      </c>
      <c r="J274" s="6">
        <v>53594.1</v>
      </c>
      <c r="K274" s="6">
        <v>38010</v>
      </c>
      <c r="L274" s="6">
        <v>15584.1</v>
      </c>
      <c r="M274" s="1">
        <v>41730</v>
      </c>
      <c r="N274">
        <v>4</v>
      </c>
      <c r="O274" t="s">
        <v>42</v>
      </c>
      <c r="P274">
        <v>2014</v>
      </c>
    </row>
    <row r="275" spans="1:16" hidden="1">
      <c r="A275" t="s">
        <v>16</v>
      </c>
      <c r="B275" t="s">
        <v>36</v>
      </c>
      <c r="C275" t="s">
        <v>18</v>
      </c>
      <c r="D275" t="s">
        <v>46</v>
      </c>
      <c r="E275" s="5">
        <v>1117.5</v>
      </c>
      <c r="F275">
        <v>3</v>
      </c>
      <c r="G275">
        <v>20</v>
      </c>
      <c r="H275" s="6">
        <v>22350</v>
      </c>
      <c r="I275" s="6">
        <v>1341</v>
      </c>
      <c r="J275" s="6">
        <v>21009</v>
      </c>
      <c r="K275" s="6">
        <v>11175</v>
      </c>
      <c r="L275" s="6">
        <v>9834</v>
      </c>
      <c r="M275" s="1">
        <v>41640</v>
      </c>
      <c r="N275">
        <v>1</v>
      </c>
      <c r="O275" t="s">
        <v>20</v>
      </c>
      <c r="P275">
        <v>2014</v>
      </c>
    </row>
    <row r="276" spans="1:16" hidden="1">
      <c r="A276" t="s">
        <v>22</v>
      </c>
      <c r="B276" t="s">
        <v>17</v>
      </c>
      <c r="C276" t="s">
        <v>18</v>
      </c>
      <c r="D276" t="s">
        <v>46</v>
      </c>
      <c r="E276" s="5">
        <v>2844</v>
      </c>
      <c r="F276">
        <v>3</v>
      </c>
      <c r="G276">
        <v>15</v>
      </c>
      <c r="H276" s="6">
        <v>42660</v>
      </c>
      <c r="I276" s="6">
        <v>2559.6</v>
      </c>
      <c r="J276" s="6">
        <v>40100.400000000001</v>
      </c>
      <c r="K276" s="6">
        <v>28440</v>
      </c>
      <c r="L276" s="6">
        <v>11660.4</v>
      </c>
      <c r="M276" s="1">
        <v>41791</v>
      </c>
      <c r="N276">
        <v>6</v>
      </c>
      <c r="O276" t="s">
        <v>24</v>
      </c>
      <c r="P276">
        <v>2014</v>
      </c>
    </row>
    <row r="277" spans="1:16" hidden="1">
      <c r="A277" t="s">
        <v>29</v>
      </c>
      <c r="B277" t="s">
        <v>25</v>
      </c>
      <c r="C277" t="s">
        <v>18</v>
      </c>
      <c r="D277" t="s">
        <v>46</v>
      </c>
      <c r="E277" s="5">
        <v>562</v>
      </c>
      <c r="F277">
        <v>3</v>
      </c>
      <c r="G277">
        <v>12</v>
      </c>
      <c r="H277" s="6">
        <v>6744</v>
      </c>
      <c r="I277">
        <v>404.64</v>
      </c>
      <c r="J277" s="6">
        <v>6339.36</v>
      </c>
      <c r="K277" s="6">
        <v>1686</v>
      </c>
      <c r="L277" s="6">
        <v>4653.3599999999997</v>
      </c>
      <c r="M277" s="1">
        <v>41883</v>
      </c>
      <c r="N277">
        <v>9</v>
      </c>
      <c r="O277" t="s">
        <v>34</v>
      </c>
      <c r="P277">
        <v>2014</v>
      </c>
    </row>
    <row r="278" spans="1:16" hidden="1">
      <c r="A278" t="s">
        <v>29</v>
      </c>
      <c r="B278" t="s">
        <v>17</v>
      </c>
      <c r="C278" t="s">
        <v>18</v>
      </c>
      <c r="D278" t="s">
        <v>46</v>
      </c>
      <c r="E278" s="5">
        <v>2299</v>
      </c>
      <c r="F278">
        <v>3</v>
      </c>
      <c r="G278">
        <v>12</v>
      </c>
      <c r="H278" s="6">
        <v>27588</v>
      </c>
      <c r="I278" s="6">
        <v>1655.28</v>
      </c>
      <c r="J278" s="6">
        <v>25932.720000000001</v>
      </c>
      <c r="K278" s="6">
        <v>6897</v>
      </c>
      <c r="L278" s="6">
        <v>19035.72</v>
      </c>
      <c r="M278" s="1">
        <v>41548</v>
      </c>
      <c r="N278">
        <v>10</v>
      </c>
      <c r="O278" t="s">
        <v>35</v>
      </c>
      <c r="P278">
        <v>2013</v>
      </c>
    </row>
    <row r="279" spans="1:16" hidden="1">
      <c r="A279" t="s">
        <v>22</v>
      </c>
      <c r="B279" t="s">
        <v>36</v>
      </c>
      <c r="C279" t="s">
        <v>18</v>
      </c>
      <c r="D279" t="s">
        <v>46</v>
      </c>
      <c r="E279" s="5">
        <v>2030</v>
      </c>
      <c r="F279">
        <v>3</v>
      </c>
      <c r="G279">
        <v>15</v>
      </c>
      <c r="H279" s="6">
        <v>30450</v>
      </c>
      <c r="I279" s="6">
        <v>1827</v>
      </c>
      <c r="J279" s="6">
        <v>28623</v>
      </c>
      <c r="K279" s="6">
        <v>20300</v>
      </c>
      <c r="L279" s="6">
        <v>8323</v>
      </c>
      <c r="M279" s="1">
        <v>41944</v>
      </c>
      <c r="N279">
        <v>11</v>
      </c>
      <c r="O279" t="s">
        <v>39</v>
      </c>
      <c r="P279">
        <v>2014</v>
      </c>
    </row>
    <row r="280" spans="1:16" hidden="1">
      <c r="A280" t="s">
        <v>16</v>
      </c>
      <c r="B280" t="s">
        <v>36</v>
      </c>
      <c r="C280" t="s">
        <v>18</v>
      </c>
      <c r="D280" t="s">
        <v>46</v>
      </c>
      <c r="E280" s="5">
        <v>263</v>
      </c>
      <c r="F280">
        <v>3</v>
      </c>
      <c r="G280">
        <v>7</v>
      </c>
      <c r="H280" s="6">
        <v>1841</v>
      </c>
      <c r="I280">
        <v>110.46</v>
      </c>
      <c r="J280" s="6">
        <v>1730.54</v>
      </c>
      <c r="K280" s="6">
        <v>1315</v>
      </c>
      <c r="L280">
        <v>415.54</v>
      </c>
      <c r="M280" s="1">
        <v>41579</v>
      </c>
      <c r="N280">
        <v>11</v>
      </c>
      <c r="O280" t="s">
        <v>39</v>
      </c>
      <c r="P280">
        <v>2013</v>
      </c>
    </row>
    <row r="281" spans="1:16" hidden="1">
      <c r="A281" t="s">
        <v>30</v>
      </c>
      <c r="B281" t="s">
        <v>21</v>
      </c>
      <c r="C281" t="s">
        <v>18</v>
      </c>
      <c r="D281" t="s">
        <v>46</v>
      </c>
      <c r="E281" s="5">
        <v>887</v>
      </c>
      <c r="F281">
        <v>3</v>
      </c>
      <c r="G281">
        <v>125</v>
      </c>
      <c r="H281" s="6">
        <v>110875</v>
      </c>
      <c r="I281" s="6">
        <v>6652.5</v>
      </c>
      <c r="J281" s="6">
        <v>104222.5</v>
      </c>
      <c r="K281" s="6">
        <v>106440</v>
      </c>
      <c r="L281" s="6">
        <v>-2217.5</v>
      </c>
      <c r="M281" s="1">
        <v>41609</v>
      </c>
      <c r="N281">
        <v>12</v>
      </c>
      <c r="O281" t="s">
        <v>26</v>
      </c>
      <c r="P281">
        <v>2013</v>
      </c>
    </row>
    <row r="282" spans="1:16" hidden="1">
      <c r="A282" t="s">
        <v>16</v>
      </c>
      <c r="B282" t="s">
        <v>25</v>
      </c>
      <c r="C282" t="s">
        <v>27</v>
      </c>
      <c r="D282" t="s">
        <v>46</v>
      </c>
      <c r="E282" s="5">
        <v>980</v>
      </c>
      <c r="F282">
        <v>5</v>
      </c>
      <c r="G282">
        <v>350</v>
      </c>
      <c r="H282" s="6">
        <v>343000</v>
      </c>
      <c r="I282" s="6">
        <v>20580</v>
      </c>
      <c r="J282" s="6">
        <v>322420</v>
      </c>
      <c r="K282" s="6">
        <v>254800</v>
      </c>
      <c r="L282" s="6">
        <v>67620</v>
      </c>
      <c r="M282" s="1">
        <v>41730</v>
      </c>
      <c r="N282">
        <v>4</v>
      </c>
      <c r="O282" t="s">
        <v>42</v>
      </c>
      <c r="P282">
        <v>2014</v>
      </c>
    </row>
    <row r="283" spans="1:16" hidden="1">
      <c r="A283" t="s">
        <v>16</v>
      </c>
      <c r="B283" t="s">
        <v>21</v>
      </c>
      <c r="C283" t="s">
        <v>27</v>
      </c>
      <c r="D283" t="s">
        <v>46</v>
      </c>
      <c r="E283" s="5">
        <v>1460</v>
      </c>
      <c r="F283">
        <v>5</v>
      </c>
      <c r="G283">
        <v>350</v>
      </c>
      <c r="H283" s="6">
        <v>511000</v>
      </c>
      <c r="I283" s="6">
        <v>30660</v>
      </c>
      <c r="J283" s="6">
        <v>480340</v>
      </c>
      <c r="K283" s="6">
        <v>379600</v>
      </c>
      <c r="L283" s="6">
        <v>100740</v>
      </c>
      <c r="M283" s="1">
        <v>41760</v>
      </c>
      <c r="N283">
        <v>5</v>
      </c>
      <c r="O283" t="s">
        <v>45</v>
      </c>
      <c r="P283">
        <v>2014</v>
      </c>
    </row>
    <row r="284" spans="1:16" hidden="1">
      <c r="A284" t="s">
        <v>16</v>
      </c>
      <c r="B284" t="s">
        <v>23</v>
      </c>
      <c r="C284" t="s">
        <v>27</v>
      </c>
      <c r="D284" t="s">
        <v>46</v>
      </c>
      <c r="E284" s="5">
        <v>1403</v>
      </c>
      <c r="F284">
        <v>5</v>
      </c>
      <c r="G284">
        <v>7</v>
      </c>
      <c r="H284" s="6">
        <v>9821</v>
      </c>
      <c r="I284">
        <v>589.26</v>
      </c>
      <c r="J284" s="6">
        <v>9231.74</v>
      </c>
      <c r="K284" s="6">
        <v>7015</v>
      </c>
      <c r="L284" s="6">
        <v>2216.7399999999998</v>
      </c>
      <c r="M284" s="1">
        <v>41548</v>
      </c>
      <c r="N284">
        <v>10</v>
      </c>
      <c r="O284" t="s">
        <v>35</v>
      </c>
      <c r="P284">
        <v>2013</v>
      </c>
    </row>
    <row r="285" spans="1:16" hidden="1">
      <c r="A285" t="s">
        <v>29</v>
      </c>
      <c r="B285" t="s">
        <v>36</v>
      </c>
      <c r="C285" t="s">
        <v>27</v>
      </c>
      <c r="D285" t="s">
        <v>46</v>
      </c>
      <c r="E285" s="5">
        <v>2723</v>
      </c>
      <c r="F285">
        <v>5</v>
      </c>
      <c r="G285">
        <v>12</v>
      </c>
      <c r="H285" s="6">
        <v>32676</v>
      </c>
      <c r="I285" s="6">
        <v>1960.56</v>
      </c>
      <c r="J285" s="6">
        <v>30715.439999999999</v>
      </c>
      <c r="K285" s="6">
        <v>8169</v>
      </c>
      <c r="L285" s="6">
        <v>22546.44</v>
      </c>
      <c r="M285" s="1">
        <v>41944</v>
      </c>
      <c r="N285">
        <v>11</v>
      </c>
      <c r="O285" t="s">
        <v>39</v>
      </c>
      <c r="P285">
        <v>2014</v>
      </c>
    </row>
    <row r="286" spans="1:16" hidden="1">
      <c r="A286" t="s">
        <v>16</v>
      </c>
      <c r="B286" t="s">
        <v>23</v>
      </c>
      <c r="C286" t="s">
        <v>37</v>
      </c>
      <c r="D286" t="s">
        <v>46</v>
      </c>
      <c r="E286" s="5">
        <v>1496</v>
      </c>
      <c r="F286">
        <v>10</v>
      </c>
      <c r="G286">
        <v>350</v>
      </c>
      <c r="H286" s="6">
        <v>523600</v>
      </c>
      <c r="I286" s="6">
        <v>31416</v>
      </c>
      <c r="J286" s="6">
        <v>492184</v>
      </c>
      <c r="K286" s="6">
        <v>388960</v>
      </c>
      <c r="L286" s="6">
        <v>103224</v>
      </c>
      <c r="M286" s="1">
        <v>41791</v>
      </c>
      <c r="N286">
        <v>6</v>
      </c>
      <c r="O286" t="s">
        <v>24</v>
      </c>
      <c r="P286">
        <v>2014</v>
      </c>
    </row>
    <row r="287" spans="1:16" hidden="1">
      <c r="A287" t="s">
        <v>29</v>
      </c>
      <c r="B287" t="s">
        <v>17</v>
      </c>
      <c r="C287" t="s">
        <v>37</v>
      </c>
      <c r="D287" t="s">
        <v>46</v>
      </c>
      <c r="E287" s="5">
        <v>2299</v>
      </c>
      <c r="F287">
        <v>10</v>
      </c>
      <c r="G287">
        <v>12</v>
      </c>
      <c r="H287" s="6">
        <v>27588</v>
      </c>
      <c r="I287" s="6">
        <v>1655.28</v>
      </c>
      <c r="J287" s="6">
        <v>25932.720000000001</v>
      </c>
      <c r="K287" s="6">
        <v>6897</v>
      </c>
      <c r="L287" s="6">
        <v>19035.72</v>
      </c>
      <c r="M287" s="1">
        <v>41548</v>
      </c>
      <c r="N287">
        <v>10</v>
      </c>
      <c r="O287" t="s">
        <v>35</v>
      </c>
      <c r="P287">
        <v>2013</v>
      </c>
    </row>
    <row r="288" spans="1:16" hidden="1">
      <c r="A288" t="s">
        <v>16</v>
      </c>
      <c r="B288" t="s">
        <v>36</v>
      </c>
      <c r="C288" t="s">
        <v>37</v>
      </c>
      <c r="D288" t="s">
        <v>46</v>
      </c>
      <c r="E288" s="5">
        <v>727</v>
      </c>
      <c r="F288">
        <v>10</v>
      </c>
      <c r="G288">
        <v>350</v>
      </c>
      <c r="H288" s="6">
        <v>254450</v>
      </c>
      <c r="I288" s="6">
        <v>15267</v>
      </c>
      <c r="J288" s="6">
        <v>239183</v>
      </c>
      <c r="K288" s="6">
        <v>189020</v>
      </c>
      <c r="L288" s="6">
        <v>50163</v>
      </c>
      <c r="M288" s="1">
        <v>41548</v>
      </c>
      <c r="N288">
        <v>10</v>
      </c>
      <c r="O288" t="s">
        <v>35</v>
      </c>
      <c r="P288">
        <v>2013</v>
      </c>
    </row>
    <row r="289" spans="1:16" hidden="1">
      <c r="A289" t="s">
        <v>30</v>
      </c>
      <c r="B289" t="s">
        <v>17</v>
      </c>
      <c r="C289" t="s">
        <v>40</v>
      </c>
      <c r="D289" t="s">
        <v>46</v>
      </c>
      <c r="E289" s="5">
        <v>952</v>
      </c>
      <c r="F289">
        <v>120</v>
      </c>
      <c r="G289">
        <v>125</v>
      </c>
      <c r="H289" s="6">
        <v>119000</v>
      </c>
      <c r="I289" s="6">
        <v>7140</v>
      </c>
      <c r="J289" s="6">
        <v>111860</v>
      </c>
      <c r="K289" s="6">
        <v>114240</v>
      </c>
      <c r="L289" s="6">
        <v>-2380</v>
      </c>
      <c r="M289" s="1">
        <v>41671</v>
      </c>
      <c r="N289">
        <v>2</v>
      </c>
      <c r="O289" t="s">
        <v>38</v>
      </c>
      <c r="P289">
        <v>2014</v>
      </c>
    </row>
    <row r="290" spans="1:16" hidden="1">
      <c r="A290" t="s">
        <v>30</v>
      </c>
      <c r="B290" t="s">
        <v>36</v>
      </c>
      <c r="C290" t="s">
        <v>40</v>
      </c>
      <c r="D290" t="s">
        <v>46</v>
      </c>
      <c r="E290" s="5">
        <v>2755</v>
      </c>
      <c r="F290">
        <v>120</v>
      </c>
      <c r="G290">
        <v>125</v>
      </c>
      <c r="H290" s="6">
        <v>344375</v>
      </c>
      <c r="I290" s="6">
        <v>20662.5</v>
      </c>
      <c r="J290" s="6">
        <v>323712.5</v>
      </c>
      <c r="K290" s="6">
        <v>330600</v>
      </c>
      <c r="L290" s="6">
        <v>-6887.5</v>
      </c>
      <c r="M290" s="1">
        <v>41671</v>
      </c>
      <c r="N290">
        <v>2</v>
      </c>
      <c r="O290" t="s">
        <v>38</v>
      </c>
      <c r="P290">
        <v>2014</v>
      </c>
    </row>
    <row r="291" spans="1:16" hidden="1">
      <c r="A291" t="s">
        <v>22</v>
      </c>
      <c r="B291" t="s">
        <v>21</v>
      </c>
      <c r="C291" t="s">
        <v>40</v>
      </c>
      <c r="D291" t="s">
        <v>46</v>
      </c>
      <c r="E291" s="5">
        <v>1530</v>
      </c>
      <c r="F291">
        <v>120</v>
      </c>
      <c r="G291">
        <v>15</v>
      </c>
      <c r="H291" s="6">
        <v>22950</v>
      </c>
      <c r="I291" s="6">
        <v>1377</v>
      </c>
      <c r="J291" s="6">
        <v>21573</v>
      </c>
      <c r="K291" s="6">
        <v>15300</v>
      </c>
      <c r="L291" s="6">
        <v>6273</v>
      </c>
      <c r="M291" s="1">
        <v>41760</v>
      </c>
      <c r="N291">
        <v>5</v>
      </c>
      <c r="O291" t="s">
        <v>45</v>
      </c>
      <c r="P291">
        <v>2014</v>
      </c>
    </row>
    <row r="292" spans="1:16" hidden="1">
      <c r="A292" t="s">
        <v>16</v>
      </c>
      <c r="B292" t="s">
        <v>23</v>
      </c>
      <c r="C292" t="s">
        <v>40</v>
      </c>
      <c r="D292" t="s">
        <v>46</v>
      </c>
      <c r="E292" s="5">
        <v>1496</v>
      </c>
      <c r="F292">
        <v>120</v>
      </c>
      <c r="G292">
        <v>350</v>
      </c>
      <c r="H292" s="6">
        <v>523600</v>
      </c>
      <c r="I292" s="6">
        <v>31416</v>
      </c>
      <c r="J292" s="6">
        <v>492184</v>
      </c>
      <c r="K292" s="6">
        <v>388960</v>
      </c>
      <c r="L292" s="6">
        <v>103224</v>
      </c>
      <c r="M292" s="1">
        <v>41791</v>
      </c>
      <c r="N292">
        <v>6</v>
      </c>
      <c r="O292" t="s">
        <v>24</v>
      </c>
      <c r="P292">
        <v>2014</v>
      </c>
    </row>
    <row r="293" spans="1:16" hidden="1">
      <c r="A293" t="s">
        <v>16</v>
      </c>
      <c r="B293" t="s">
        <v>25</v>
      </c>
      <c r="C293" t="s">
        <v>40</v>
      </c>
      <c r="D293" t="s">
        <v>46</v>
      </c>
      <c r="E293" s="5">
        <v>1498</v>
      </c>
      <c r="F293">
        <v>120</v>
      </c>
      <c r="G293">
        <v>7</v>
      </c>
      <c r="H293" s="6">
        <v>10486</v>
      </c>
      <c r="I293">
        <v>629.16</v>
      </c>
      <c r="J293" s="6">
        <v>9856.84</v>
      </c>
      <c r="K293" s="6">
        <v>7490</v>
      </c>
      <c r="L293" s="6">
        <v>2366.84</v>
      </c>
      <c r="M293" s="1">
        <v>41791</v>
      </c>
      <c r="N293">
        <v>6</v>
      </c>
      <c r="O293" t="s">
        <v>24</v>
      </c>
      <c r="P293">
        <v>2014</v>
      </c>
    </row>
    <row r="294" spans="1:16" hidden="1">
      <c r="A294" t="s">
        <v>32</v>
      </c>
      <c r="B294" t="s">
        <v>23</v>
      </c>
      <c r="C294" t="s">
        <v>40</v>
      </c>
      <c r="D294" t="s">
        <v>46</v>
      </c>
      <c r="E294" s="5">
        <v>1221</v>
      </c>
      <c r="F294">
        <v>120</v>
      </c>
      <c r="G294">
        <v>300</v>
      </c>
      <c r="H294" s="6">
        <v>366300</v>
      </c>
      <c r="I294" s="6">
        <v>21978</v>
      </c>
      <c r="J294" s="6">
        <v>344322</v>
      </c>
      <c r="K294" s="6">
        <v>305250</v>
      </c>
      <c r="L294" s="6">
        <v>39072</v>
      </c>
      <c r="M294" s="1">
        <v>41548</v>
      </c>
      <c r="N294">
        <v>10</v>
      </c>
      <c r="O294" t="s">
        <v>35</v>
      </c>
      <c r="P294">
        <v>2013</v>
      </c>
    </row>
    <row r="295" spans="1:16" hidden="1">
      <c r="A295" t="s">
        <v>16</v>
      </c>
      <c r="B295" t="s">
        <v>23</v>
      </c>
      <c r="C295" t="s">
        <v>40</v>
      </c>
      <c r="D295" t="s">
        <v>46</v>
      </c>
      <c r="E295" s="5">
        <v>2076</v>
      </c>
      <c r="F295">
        <v>120</v>
      </c>
      <c r="G295">
        <v>350</v>
      </c>
      <c r="H295" s="6">
        <v>726600</v>
      </c>
      <c r="I295" s="6">
        <v>43596</v>
      </c>
      <c r="J295" s="6">
        <v>683004</v>
      </c>
      <c r="K295" s="6">
        <v>539760</v>
      </c>
      <c r="L295" s="6">
        <v>143244</v>
      </c>
      <c r="M295" s="1">
        <v>41548</v>
      </c>
      <c r="N295">
        <v>10</v>
      </c>
      <c r="O295" t="s">
        <v>35</v>
      </c>
      <c r="P295">
        <v>2013</v>
      </c>
    </row>
    <row r="296" spans="1:16">
      <c r="A296" t="s">
        <v>22</v>
      </c>
      <c r="B296" t="s">
        <v>17</v>
      </c>
      <c r="C296" t="s">
        <v>41</v>
      </c>
      <c r="D296" t="s">
        <v>46</v>
      </c>
      <c r="E296" s="5">
        <v>2844</v>
      </c>
      <c r="F296">
        <v>250</v>
      </c>
      <c r="G296">
        <v>15</v>
      </c>
      <c r="H296" s="6">
        <v>42660</v>
      </c>
      <c r="I296" s="6">
        <v>2559.6</v>
      </c>
      <c r="J296" s="6">
        <v>40100.400000000001</v>
      </c>
      <c r="K296" s="6">
        <v>28440</v>
      </c>
      <c r="L296" s="6">
        <v>11660.4</v>
      </c>
      <c r="M296" s="1">
        <v>41791</v>
      </c>
      <c r="N296">
        <v>6</v>
      </c>
      <c r="O296" t="s">
        <v>24</v>
      </c>
      <c r="P296">
        <v>2014</v>
      </c>
    </row>
    <row r="297" spans="1:16">
      <c r="A297" t="s">
        <v>16</v>
      </c>
      <c r="B297" t="s">
        <v>25</v>
      </c>
      <c r="C297" t="s">
        <v>41</v>
      </c>
      <c r="D297" t="s">
        <v>46</v>
      </c>
      <c r="E297" s="5">
        <v>1498</v>
      </c>
      <c r="F297">
        <v>250</v>
      </c>
      <c r="G297">
        <v>7</v>
      </c>
      <c r="H297" s="6">
        <v>10486</v>
      </c>
      <c r="I297">
        <v>629.16</v>
      </c>
      <c r="J297" s="6">
        <v>9856.84</v>
      </c>
      <c r="K297" s="6">
        <v>7490</v>
      </c>
      <c r="L297" s="6">
        <v>2366.84</v>
      </c>
      <c r="M297" s="1">
        <v>41791</v>
      </c>
      <c r="N297">
        <v>6</v>
      </c>
      <c r="O297" t="s">
        <v>24</v>
      </c>
      <c r="P297">
        <v>2014</v>
      </c>
    </row>
    <row r="298" spans="1:16" hidden="1">
      <c r="A298" t="s">
        <v>32</v>
      </c>
      <c r="B298" t="s">
        <v>23</v>
      </c>
      <c r="C298" t="s">
        <v>41</v>
      </c>
      <c r="D298" t="s">
        <v>46</v>
      </c>
      <c r="E298" s="5">
        <v>1221</v>
      </c>
      <c r="F298">
        <v>250</v>
      </c>
      <c r="G298">
        <v>300</v>
      </c>
      <c r="H298" s="6">
        <v>366300</v>
      </c>
      <c r="I298" s="6">
        <v>21978</v>
      </c>
      <c r="J298" s="6">
        <v>344322</v>
      </c>
      <c r="K298" s="6">
        <v>305250</v>
      </c>
      <c r="L298" s="6">
        <v>39072</v>
      </c>
      <c r="M298" s="1">
        <v>41548</v>
      </c>
      <c r="N298">
        <v>10</v>
      </c>
      <c r="O298" t="s">
        <v>35</v>
      </c>
      <c r="P298">
        <v>2013</v>
      </c>
    </row>
    <row r="299" spans="1:16" hidden="1">
      <c r="A299" t="s">
        <v>16</v>
      </c>
      <c r="B299" t="s">
        <v>25</v>
      </c>
      <c r="C299" t="s">
        <v>41</v>
      </c>
      <c r="D299" t="s">
        <v>46</v>
      </c>
      <c r="E299" s="5">
        <v>1123</v>
      </c>
      <c r="F299">
        <v>250</v>
      </c>
      <c r="G299">
        <v>20</v>
      </c>
      <c r="H299" s="6">
        <v>22460</v>
      </c>
      <c r="I299" s="6">
        <v>1347.6</v>
      </c>
      <c r="J299" s="6">
        <v>21112.400000000001</v>
      </c>
      <c r="K299" s="6">
        <v>11230</v>
      </c>
      <c r="L299" s="6">
        <v>9882.4</v>
      </c>
      <c r="M299" s="1">
        <v>41579</v>
      </c>
      <c r="N299">
        <v>11</v>
      </c>
      <c r="O299" t="s">
        <v>39</v>
      </c>
      <c r="P299">
        <v>2013</v>
      </c>
    </row>
    <row r="300" spans="1:16" hidden="1">
      <c r="A300" t="s">
        <v>32</v>
      </c>
      <c r="B300" t="s">
        <v>17</v>
      </c>
      <c r="C300" t="s">
        <v>41</v>
      </c>
      <c r="D300" t="s">
        <v>46</v>
      </c>
      <c r="E300" s="5">
        <v>2436</v>
      </c>
      <c r="F300">
        <v>250</v>
      </c>
      <c r="G300">
        <v>300</v>
      </c>
      <c r="H300" s="6">
        <v>730800</v>
      </c>
      <c r="I300" s="6">
        <v>43848</v>
      </c>
      <c r="J300" s="6">
        <v>686952</v>
      </c>
      <c r="K300" s="6">
        <v>609000</v>
      </c>
      <c r="L300" s="6">
        <v>77952</v>
      </c>
      <c r="M300" s="1">
        <v>41609</v>
      </c>
      <c r="N300">
        <v>12</v>
      </c>
      <c r="O300" t="s">
        <v>26</v>
      </c>
      <c r="P300">
        <v>2013</v>
      </c>
    </row>
    <row r="301" spans="1:16" hidden="1">
      <c r="A301" t="s">
        <v>30</v>
      </c>
      <c r="B301" t="s">
        <v>23</v>
      </c>
      <c r="C301" t="s">
        <v>43</v>
      </c>
      <c r="D301" t="s">
        <v>46</v>
      </c>
      <c r="E301" s="5">
        <v>1987.5</v>
      </c>
      <c r="F301">
        <v>260</v>
      </c>
      <c r="G301">
        <v>125</v>
      </c>
      <c r="H301" s="6">
        <v>248437.5</v>
      </c>
      <c r="I301" s="6">
        <v>14906.25</v>
      </c>
      <c r="J301" s="6">
        <v>233531.25</v>
      </c>
      <c r="K301" s="6">
        <v>238500</v>
      </c>
      <c r="L301" s="6">
        <v>-4968.75</v>
      </c>
      <c r="M301" s="1">
        <v>41640</v>
      </c>
      <c r="N301">
        <v>1</v>
      </c>
      <c r="O301" t="s">
        <v>20</v>
      </c>
      <c r="P301">
        <v>2014</v>
      </c>
    </row>
    <row r="302" spans="1:16" hidden="1">
      <c r="A302" t="s">
        <v>16</v>
      </c>
      <c r="B302" t="s">
        <v>25</v>
      </c>
      <c r="C302" t="s">
        <v>43</v>
      </c>
      <c r="D302" t="s">
        <v>46</v>
      </c>
      <c r="E302" s="5">
        <v>1679</v>
      </c>
      <c r="F302">
        <v>260</v>
      </c>
      <c r="G302">
        <v>350</v>
      </c>
      <c r="H302" s="6">
        <v>587650</v>
      </c>
      <c r="I302" s="6">
        <v>35259</v>
      </c>
      <c r="J302" s="6">
        <v>552391</v>
      </c>
      <c r="K302" s="6">
        <v>436540</v>
      </c>
      <c r="L302" s="6">
        <v>115851</v>
      </c>
      <c r="M302" s="1">
        <v>41883</v>
      </c>
      <c r="N302">
        <v>9</v>
      </c>
      <c r="O302" t="s">
        <v>34</v>
      </c>
      <c r="P302">
        <v>2014</v>
      </c>
    </row>
    <row r="303" spans="1:16" hidden="1">
      <c r="A303" t="s">
        <v>16</v>
      </c>
      <c r="B303" t="s">
        <v>36</v>
      </c>
      <c r="C303" t="s">
        <v>43</v>
      </c>
      <c r="D303" t="s">
        <v>46</v>
      </c>
      <c r="E303" s="5">
        <v>727</v>
      </c>
      <c r="F303">
        <v>260</v>
      </c>
      <c r="G303">
        <v>350</v>
      </c>
      <c r="H303" s="6">
        <v>254450</v>
      </c>
      <c r="I303" s="6">
        <v>15267</v>
      </c>
      <c r="J303" s="6">
        <v>239183</v>
      </c>
      <c r="K303" s="6">
        <v>189020</v>
      </c>
      <c r="L303" s="6">
        <v>50163</v>
      </c>
      <c r="M303" s="1">
        <v>41548</v>
      </c>
      <c r="N303">
        <v>10</v>
      </c>
      <c r="O303" t="s">
        <v>35</v>
      </c>
      <c r="P303">
        <v>2013</v>
      </c>
    </row>
    <row r="304" spans="1:16" hidden="1">
      <c r="A304" t="s">
        <v>16</v>
      </c>
      <c r="B304" t="s">
        <v>23</v>
      </c>
      <c r="C304" t="s">
        <v>43</v>
      </c>
      <c r="D304" t="s">
        <v>46</v>
      </c>
      <c r="E304" s="5">
        <v>1403</v>
      </c>
      <c r="F304">
        <v>260</v>
      </c>
      <c r="G304">
        <v>7</v>
      </c>
      <c r="H304" s="6">
        <v>9821</v>
      </c>
      <c r="I304">
        <v>589.26</v>
      </c>
      <c r="J304" s="6">
        <v>9231.74</v>
      </c>
      <c r="K304" s="6">
        <v>7015</v>
      </c>
      <c r="L304" s="6">
        <v>2216.7399999999998</v>
      </c>
      <c r="M304" s="1">
        <v>41548</v>
      </c>
      <c r="N304">
        <v>10</v>
      </c>
      <c r="O304" t="s">
        <v>35</v>
      </c>
      <c r="P304">
        <v>2013</v>
      </c>
    </row>
    <row r="305" spans="1:16" hidden="1">
      <c r="A305" t="s">
        <v>16</v>
      </c>
      <c r="B305" t="s">
        <v>23</v>
      </c>
      <c r="C305" t="s">
        <v>43</v>
      </c>
      <c r="D305" t="s">
        <v>46</v>
      </c>
      <c r="E305" s="5">
        <v>2076</v>
      </c>
      <c r="F305">
        <v>260</v>
      </c>
      <c r="G305">
        <v>350</v>
      </c>
      <c r="H305" s="6">
        <v>726600</v>
      </c>
      <c r="I305" s="6">
        <v>43596</v>
      </c>
      <c r="J305" s="6">
        <v>683004</v>
      </c>
      <c r="K305" s="6">
        <v>539760</v>
      </c>
      <c r="L305" s="6">
        <v>143244</v>
      </c>
      <c r="M305" s="1">
        <v>41548</v>
      </c>
      <c r="N305">
        <v>10</v>
      </c>
      <c r="O305" t="s">
        <v>35</v>
      </c>
      <c r="P305">
        <v>2013</v>
      </c>
    </row>
    <row r="306" spans="1:16" hidden="1">
      <c r="A306" t="s">
        <v>16</v>
      </c>
      <c r="B306" t="s">
        <v>23</v>
      </c>
      <c r="C306" t="s">
        <v>27</v>
      </c>
      <c r="D306" t="s">
        <v>46</v>
      </c>
      <c r="E306" s="5">
        <v>1757</v>
      </c>
      <c r="F306">
        <v>5</v>
      </c>
      <c r="G306">
        <v>20</v>
      </c>
      <c r="H306" s="6">
        <v>35140</v>
      </c>
      <c r="I306" s="6">
        <v>2108.4</v>
      </c>
      <c r="J306" s="6">
        <v>33031.599999999999</v>
      </c>
      <c r="K306" s="6">
        <v>17570</v>
      </c>
      <c r="L306" s="6">
        <v>15461.6</v>
      </c>
      <c r="M306" s="1">
        <v>41548</v>
      </c>
      <c r="N306">
        <v>10</v>
      </c>
      <c r="O306" t="s">
        <v>35</v>
      </c>
      <c r="P306">
        <v>2013</v>
      </c>
    </row>
    <row r="307" spans="1:16" hidden="1">
      <c r="A307" t="s">
        <v>22</v>
      </c>
      <c r="B307" t="s">
        <v>36</v>
      </c>
      <c r="C307" t="s">
        <v>37</v>
      </c>
      <c r="D307" t="s">
        <v>46</v>
      </c>
      <c r="E307" s="5">
        <v>2198</v>
      </c>
      <c r="F307">
        <v>10</v>
      </c>
      <c r="G307">
        <v>15</v>
      </c>
      <c r="H307" s="6">
        <v>32970</v>
      </c>
      <c r="I307" s="6">
        <v>1978.2</v>
      </c>
      <c r="J307" s="6">
        <v>30991.8</v>
      </c>
      <c r="K307" s="6">
        <v>21980</v>
      </c>
      <c r="L307" s="6">
        <v>9011.7999999999993</v>
      </c>
      <c r="M307" s="1">
        <v>41852</v>
      </c>
      <c r="N307">
        <v>8</v>
      </c>
      <c r="O307" t="s">
        <v>33</v>
      </c>
      <c r="P307">
        <v>2014</v>
      </c>
    </row>
    <row r="308" spans="1:16" hidden="1">
      <c r="A308" t="s">
        <v>22</v>
      </c>
      <c r="B308" t="s">
        <v>21</v>
      </c>
      <c r="C308" t="s">
        <v>37</v>
      </c>
      <c r="D308" t="s">
        <v>46</v>
      </c>
      <c r="E308" s="5">
        <v>1743</v>
      </c>
      <c r="F308">
        <v>10</v>
      </c>
      <c r="G308">
        <v>15</v>
      </c>
      <c r="H308" s="6">
        <v>26145</v>
      </c>
      <c r="I308" s="6">
        <v>1568.7</v>
      </c>
      <c r="J308" s="6">
        <v>24576.3</v>
      </c>
      <c r="K308" s="6">
        <v>17430</v>
      </c>
      <c r="L308" s="6">
        <v>7146.3</v>
      </c>
      <c r="M308" s="1">
        <v>41852</v>
      </c>
      <c r="N308">
        <v>8</v>
      </c>
      <c r="O308" t="s">
        <v>33</v>
      </c>
      <c r="P308">
        <v>2014</v>
      </c>
    </row>
    <row r="309" spans="1:16" hidden="1">
      <c r="A309" t="s">
        <v>22</v>
      </c>
      <c r="B309" t="s">
        <v>36</v>
      </c>
      <c r="C309" t="s">
        <v>37</v>
      </c>
      <c r="D309" t="s">
        <v>46</v>
      </c>
      <c r="E309" s="5">
        <v>1153</v>
      </c>
      <c r="F309">
        <v>10</v>
      </c>
      <c r="G309">
        <v>15</v>
      </c>
      <c r="H309" s="6">
        <v>17295</v>
      </c>
      <c r="I309" s="6">
        <v>1037.7</v>
      </c>
      <c r="J309" s="6">
        <v>16257.3</v>
      </c>
      <c r="K309" s="6">
        <v>11530</v>
      </c>
      <c r="L309" s="6">
        <v>4727.3</v>
      </c>
      <c r="M309" s="1">
        <v>41913</v>
      </c>
      <c r="N309">
        <v>10</v>
      </c>
      <c r="O309" t="s">
        <v>35</v>
      </c>
      <c r="P309">
        <v>2014</v>
      </c>
    </row>
    <row r="310" spans="1:16" hidden="1">
      <c r="A310" t="s">
        <v>16</v>
      </c>
      <c r="B310" t="s">
        <v>23</v>
      </c>
      <c r="C310" t="s">
        <v>37</v>
      </c>
      <c r="D310" t="s">
        <v>46</v>
      </c>
      <c r="E310" s="5">
        <v>1757</v>
      </c>
      <c r="F310">
        <v>10</v>
      </c>
      <c r="G310">
        <v>20</v>
      </c>
      <c r="H310" s="6">
        <v>35140</v>
      </c>
      <c r="I310" s="6">
        <v>2108.4</v>
      </c>
      <c r="J310" s="6">
        <v>33031.599999999999</v>
      </c>
      <c r="K310" s="6">
        <v>17570</v>
      </c>
      <c r="L310" s="6">
        <v>15461.6</v>
      </c>
      <c r="M310" s="1">
        <v>41548</v>
      </c>
      <c r="N310">
        <v>10</v>
      </c>
      <c r="O310" t="s">
        <v>35</v>
      </c>
      <c r="P310">
        <v>2013</v>
      </c>
    </row>
    <row r="311" spans="1:16" hidden="1">
      <c r="A311" t="s">
        <v>16</v>
      </c>
      <c r="B311" t="s">
        <v>21</v>
      </c>
      <c r="C311" t="s">
        <v>40</v>
      </c>
      <c r="D311" t="s">
        <v>46</v>
      </c>
      <c r="E311" s="5">
        <v>1001</v>
      </c>
      <c r="F311">
        <v>120</v>
      </c>
      <c r="G311">
        <v>20</v>
      </c>
      <c r="H311" s="6">
        <v>20020</v>
      </c>
      <c r="I311" s="6">
        <v>1201.2</v>
      </c>
      <c r="J311" s="6">
        <v>18818.8</v>
      </c>
      <c r="K311" s="6">
        <v>10010</v>
      </c>
      <c r="L311" s="6">
        <v>8808.7999999999993</v>
      </c>
      <c r="M311" s="1">
        <v>41852</v>
      </c>
      <c r="N311">
        <v>8</v>
      </c>
      <c r="O311" t="s">
        <v>33</v>
      </c>
      <c r="P311">
        <v>2014</v>
      </c>
    </row>
    <row r="312" spans="1:16" hidden="1">
      <c r="A312" t="s">
        <v>16</v>
      </c>
      <c r="B312" t="s">
        <v>25</v>
      </c>
      <c r="C312" t="s">
        <v>40</v>
      </c>
      <c r="D312" t="s">
        <v>46</v>
      </c>
      <c r="E312" s="5">
        <v>1333</v>
      </c>
      <c r="F312">
        <v>120</v>
      </c>
      <c r="G312">
        <v>7</v>
      </c>
      <c r="H312" s="6">
        <v>9331</v>
      </c>
      <c r="I312">
        <v>559.86</v>
      </c>
      <c r="J312" s="6">
        <v>8771.14</v>
      </c>
      <c r="K312" s="6">
        <v>6665</v>
      </c>
      <c r="L312" s="6">
        <v>2106.14</v>
      </c>
      <c r="M312" s="1">
        <v>41944</v>
      </c>
      <c r="N312">
        <v>11</v>
      </c>
      <c r="O312" t="s">
        <v>39</v>
      </c>
      <c r="P312">
        <v>2014</v>
      </c>
    </row>
    <row r="313" spans="1:16">
      <c r="A313" t="s">
        <v>22</v>
      </c>
      <c r="B313" t="s">
        <v>36</v>
      </c>
      <c r="C313" t="s">
        <v>41</v>
      </c>
      <c r="D313" t="s">
        <v>46</v>
      </c>
      <c r="E313" s="5">
        <v>1153</v>
      </c>
      <c r="F313">
        <v>250</v>
      </c>
      <c r="G313">
        <v>15</v>
      </c>
      <c r="H313" s="6">
        <v>17295</v>
      </c>
      <c r="I313" s="6">
        <v>1037.7</v>
      </c>
      <c r="J313" s="6">
        <v>16257.3</v>
      </c>
      <c r="K313" s="6">
        <v>11530</v>
      </c>
      <c r="L313" s="6">
        <v>4727.3</v>
      </c>
      <c r="M313" s="1">
        <v>41913</v>
      </c>
      <c r="N313">
        <v>10</v>
      </c>
      <c r="O313" t="s">
        <v>35</v>
      </c>
      <c r="P313">
        <v>2014</v>
      </c>
    </row>
    <row r="314" spans="1:16" hidden="1">
      <c r="A314" t="s">
        <v>29</v>
      </c>
      <c r="B314" t="s">
        <v>25</v>
      </c>
      <c r="C314" t="s">
        <v>18</v>
      </c>
      <c r="D314" t="s">
        <v>46</v>
      </c>
      <c r="E314" s="5">
        <v>727</v>
      </c>
      <c r="F314">
        <v>3</v>
      </c>
      <c r="G314">
        <v>12</v>
      </c>
      <c r="H314" s="6">
        <v>8724</v>
      </c>
      <c r="I314">
        <v>610.67999999999995</v>
      </c>
      <c r="J314" s="6">
        <v>8113.32</v>
      </c>
      <c r="K314" s="6">
        <v>2181</v>
      </c>
      <c r="L314" s="6">
        <v>5932.32</v>
      </c>
      <c r="M314" s="1">
        <v>41671</v>
      </c>
      <c r="N314">
        <v>2</v>
      </c>
      <c r="O314" t="s">
        <v>38</v>
      </c>
      <c r="P314">
        <v>2014</v>
      </c>
    </row>
    <row r="315" spans="1:16" hidden="1">
      <c r="A315" t="s">
        <v>29</v>
      </c>
      <c r="B315" t="s">
        <v>17</v>
      </c>
      <c r="C315" t="s">
        <v>18</v>
      </c>
      <c r="D315" t="s">
        <v>46</v>
      </c>
      <c r="E315" s="5">
        <v>1884</v>
      </c>
      <c r="F315">
        <v>3</v>
      </c>
      <c r="G315">
        <v>12</v>
      </c>
      <c r="H315" s="6">
        <v>22608</v>
      </c>
      <c r="I315" s="6">
        <v>1582.56</v>
      </c>
      <c r="J315" s="6">
        <v>21025.439999999999</v>
      </c>
      <c r="K315" s="6">
        <v>5652</v>
      </c>
      <c r="L315" s="6">
        <v>15373.44</v>
      </c>
      <c r="M315" s="1">
        <v>41852</v>
      </c>
      <c r="N315">
        <v>8</v>
      </c>
      <c r="O315" t="s">
        <v>33</v>
      </c>
      <c r="P315">
        <v>2014</v>
      </c>
    </row>
    <row r="316" spans="1:16" hidden="1">
      <c r="A316" t="s">
        <v>16</v>
      </c>
      <c r="B316" t="s">
        <v>25</v>
      </c>
      <c r="C316" t="s">
        <v>18</v>
      </c>
      <c r="D316" t="s">
        <v>46</v>
      </c>
      <c r="E316" s="5">
        <v>1834</v>
      </c>
      <c r="F316">
        <v>3</v>
      </c>
      <c r="G316">
        <v>20</v>
      </c>
      <c r="H316" s="6">
        <v>36680</v>
      </c>
      <c r="I316" s="6">
        <v>2567.6</v>
      </c>
      <c r="J316" s="6">
        <v>34112.400000000001</v>
      </c>
      <c r="K316" s="6">
        <v>18340</v>
      </c>
      <c r="L316" s="6">
        <v>15772.4</v>
      </c>
      <c r="M316" s="1">
        <v>41518</v>
      </c>
      <c r="N316">
        <v>9</v>
      </c>
      <c r="O316" t="s">
        <v>34</v>
      </c>
      <c r="P316">
        <v>2013</v>
      </c>
    </row>
    <row r="317" spans="1:16" hidden="1">
      <c r="A317" t="s">
        <v>29</v>
      </c>
      <c r="B317" t="s">
        <v>25</v>
      </c>
      <c r="C317" t="s">
        <v>27</v>
      </c>
      <c r="D317" t="s">
        <v>46</v>
      </c>
      <c r="E317" s="5">
        <v>2340</v>
      </c>
      <c r="F317">
        <v>5</v>
      </c>
      <c r="G317">
        <v>12</v>
      </c>
      <c r="H317" s="6">
        <v>28080</v>
      </c>
      <c r="I317" s="6">
        <v>1965.6</v>
      </c>
      <c r="J317" s="6">
        <v>26114.400000000001</v>
      </c>
      <c r="K317" s="6">
        <v>7020</v>
      </c>
      <c r="L317" s="6">
        <v>19094.400000000001</v>
      </c>
      <c r="M317" s="1">
        <v>41640</v>
      </c>
      <c r="N317">
        <v>1</v>
      </c>
      <c r="O317" t="s">
        <v>20</v>
      </c>
      <c r="P317">
        <v>2014</v>
      </c>
    </row>
    <row r="318" spans="1:16" hidden="1">
      <c r="A318" t="s">
        <v>29</v>
      </c>
      <c r="B318" t="s">
        <v>23</v>
      </c>
      <c r="C318" t="s">
        <v>27</v>
      </c>
      <c r="D318" t="s">
        <v>46</v>
      </c>
      <c r="E318" s="5">
        <v>2342</v>
      </c>
      <c r="F318">
        <v>5</v>
      </c>
      <c r="G318">
        <v>12</v>
      </c>
      <c r="H318" s="6">
        <v>28104</v>
      </c>
      <c r="I318" s="6">
        <v>1967.28</v>
      </c>
      <c r="J318" s="6">
        <v>26136.720000000001</v>
      </c>
      <c r="K318" s="6">
        <v>7026</v>
      </c>
      <c r="L318" s="6">
        <v>19110.72</v>
      </c>
      <c r="M318" s="1">
        <v>41944</v>
      </c>
      <c r="N318">
        <v>11</v>
      </c>
      <c r="O318" t="s">
        <v>39</v>
      </c>
      <c r="P318">
        <v>2014</v>
      </c>
    </row>
    <row r="319" spans="1:16" hidden="1">
      <c r="A319" t="s">
        <v>16</v>
      </c>
      <c r="B319" t="s">
        <v>23</v>
      </c>
      <c r="C319" t="s">
        <v>37</v>
      </c>
      <c r="D319" t="s">
        <v>46</v>
      </c>
      <c r="E319" s="5">
        <v>1031</v>
      </c>
      <c r="F319">
        <v>10</v>
      </c>
      <c r="G319">
        <v>7</v>
      </c>
      <c r="H319" s="6">
        <v>7217</v>
      </c>
      <c r="I319">
        <v>505.19</v>
      </c>
      <c r="J319" s="6">
        <v>6711.81</v>
      </c>
      <c r="K319" s="6">
        <v>5155</v>
      </c>
      <c r="L319" s="6">
        <v>1556.81</v>
      </c>
      <c r="M319" s="1">
        <v>41518</v>
      </c>
      <c r="N319">
        <v>9</v>
      </c>
      <c r="O319" t="s">
        <v>34</v>
      </c>
      <c r="P319">
        <v>2013</v>
      </c>
    </row>
    <row r="320" spans="1:16" hidden="1">
      <c r="A320" t="s">
        <v>22</v>
      </c>
      <c r="B320" t="s">
        <v>17</v>
      </c>
      <c r="C320" t="s">
        <v>40</v>
      </c>
      <c r="D320" t="s">
        <v>46</v>
      </c>
      <c r="E320" s="5">
        <v>1262</v>
      </c>
      <c r="F320">
        <v>120</v>
      </c>
      <c r="G320">
        <v>15</v>
      </c>
      <c r="H320" s="6">
        <v>18930</v>
      </c>
      <c r="I320" s="6">
        <v>1325.1</v>
      </c>
      <c r="J320" s="6">
        <v>17604.900000000001</v>
      </c>
      <c r="K320" s="6">
        <v>12620</v>
      </c>
      <c r="L320" s="6">
        <v>4984.8999999999996</v>
      </c>
      <c r="M320" s="1">
        <v>41760</v>
      </c>
      <c r="N320">
        <v>5</v>
      </c>
      <c r="O320" t="s">
        <v>45</v>
      </c>
      <c r="P320">
        <v>2014</v>
      </c>
    </row>
    <row r="321" spans="1:16" hidden="1">
      <c r="A321" t="s">
        <v>16</v>
      </c>
      <c r="B321" t="s">
        <v>17</v>
      </c>
      <c r="C321" t="s">
        <v>40</v>
      </c>
      <c r="D321" t="s">
        <v>46</v>
      </c>
      <c r="E321" s="5">
        <v>1135</v>
      </c>
      <c r="F321">
        <v>120</v>
      </c>
      <c r="G321">
        <v>7</v>
      </c>
      <c r="H321" s="6">
        <v>7945</v>
      </c>
      <c r="I321">
        <v>556.15</v>
      </c>
      <c r="J321" s="6">
        <v>7388.85</v>
      </c>
      <c r="K321" s="6">
        <v>5675</v>
      </c>
      <c r="L321" s="6">
        <v>1713.85</v>
      </c>
      <c r="M321" s="1">
        <v>41791</v>
      </c>
      <c r="N321">
        <v>6</v>
      </c>
      <c r="O321" t="s">
        <v>24</v>
      </c>
      <c r="P321">
        <v>2014</v>
      </c>
    </row>
    <row r="322" spans="1:16" hidden="1">
      <c r="A322" t="s">
        <v>16</v>
      </c>
      <c r="B322" t="s">
        <v>36</v>
      </c>
      <c r="C322" t="s">
        <v>40</v>
      </c>
      <c r="D322" t="s">
        <v>46</v>
      </c>
      <c r="E322" s="5">
        <v>547</v>
      </c>
      <c r="F322">
        <v>120</v>
      </c>
      <c r="G322">
        <v>7</v>
      </c>
      <c r="H322" s="6">
        <v>3829</v>
      </c>
      <c r="I322">
        <v>268.02999999999997</v>
      </c>
      <c r="J322" s="6">
        <v>3560.97</v>
      </c>
      <c r="K322" s="6">
        <v>2735</v>
      </c>
      <c r="L322">
        <v>825.97</v>
      </c>
      <c r="M322" s="1">
        <v>41944</v>
      </c>
      <c r="N322">
        <v>11</v>
      </c>
      <c r="O322" t="s">
        <v>39</v>
      </c>
      <c r="P322">
        <v>2014</v>
      </c>
    </row>
    <row r="323" spans="1:16" hidden="1">
      <c r="A323" t="s">
        <v>16</v>
      </c>
      <c r="B323" t="s">
        <v>17</v>
      </c>
      <c r="C323" t="s">
        <v>40</v>
      </c>
      <c r="D323" t="s">
        <v>46</v>
      </c>
      <c r="E323" s="5">
        <v>1582</v>
      </c>
      <c r="F323">
        <v>120</v>
      </c>
      <c r="G323">
        <v>7</v>
      </c>
      <c r="H323" s="6">
        <v>11074</v>
      </c>
      <c r="I323">
        <v>775.18</v>
      </c>
      <c r="J323" s="6">
        <v>10298.82</v>
      </c>
      <c r="K323" s="6">
        <v>7910</v>
      </c>
      <c r="L323" s="6">
        <v>2388.8200000000002</v>
      </c>
      <c r="M323" s="1">
        <v>41974</v>
      </c>
      <c r="N323">
        <v>12</v>
      </c>
      <c r="O323" t="s">
        <v>26</v>
      </c>
      <c r="P323">
        <v>2014</v>
      </c>
    </row>
    <row r="324" spans="1:16">
      <c r="A324" t="s">
        <v>29</v>
      </c>
      <c r="B324" t="s">
        <v>23</v>
      </c>
      <c r="C324" t="s">
        <v>41</v>
      </c>
      <c r="D324" t="s">
        <v>46</v>
      </c>
      <c r="E324" s="5">
        <v>1738.5</v>
      </c>
      <c r="F324">
        <v>250</v>
      </c>
      <c r="G324">
        <v>12</v>
      </c>
      <c r="H324" s="6">
        <v>20862</v>
      </c>
      <c r="I324" s="6">
        <v>1460.34</v>
      </c>
      <c r="J324" s="6">
        <v>19401.66</v>
      </c>
      <c r="K324" s="6">
        <v>5215.5</v>
      </c>
      <c r="L324" s="6">
        <v>14186.16</v>
      </c>
      <c r="M324" s="1">
        <v>41730</v>
      </c>
      <c r="N324">
        <v>4</v>
      </c>
      <c r="O324" t="s">
        <v>42</v>
      </c>
      <c r="P324">
        <v>2014</v>
      </c>
    </row>
    <row r="325" spans="1:16" hidden="1">
      <c r="A325" t="s">
        <v>29</v>
      </c>
      <c r="B325" t="s">
        <v>21</v>
      </c>
      <c r="C325" t="s">
        <v>41</v>
      </c>
      <c r="D325" t="s">
        <v>46</v>
      </c>
      <c r="E325" s="5">
        <v>2215</v>
      </c>
      <c r="F325">
        <v>250</v>
      </c>
      <c r="G325">
        <v>12</v>
      </c>
      <c r="H325" s="6">
        <v>26580</v>
      </c>
      <c r="I325" s="6">
        <v>1860.6</v>
      </c>
      <c r="J325" s="6">
        <v>24719.4</v>
      </c>
      <c r="K325" s="6">
        <v>6645</v>
      </c>
      <c r="L325" s="6">
        <v>18074.400000000001</v>
      </c>
      <c r="M325" s="1">
        <v>41518</v>
      </c>
      <c r="N325">
        <v>9</v>
      </c>
      <c r="O325" t="s">
        <v>34</v>
      </c>
      <c r="P325">
        <v>2013</v>
      </c>
    </row>
    <row r="326" spans="1:16">
      <c r="A326" t="s">
        <v>16</v>
      </c>
      <c r="B326" t="s">
        <v>17</v>
      </c>
      <c r="C326" t="s">
        <v>41</v>
      </c>
      <c r="D326" t="s">
        <v>46</v>
      </c>
      <c r="E326" s="5">
        <v>1582</v>
      </c>
      <c r="F326">
        <v>250</v>
      </c>
      <c r="G326">
        <v>7</v>
      </c>
      <c r="H326" s="6">
        <v>11074</v>
      </c>
      <c r="I326">
        <v>775.18</v>
      </c>
      <c r="J326" s="6">
        <v>10298.82</v>
      </c>
      <c r="K326" s="6">
        <v>7910</v>
      </c>
      <c r="L326" s="6">
        <v>2388.8200000000002</v>
      </c>
      <c r="M326" s="1">
        <v>41974</v>
      </c>
      <c r="N326">
        <v>12</v>
      </c>
      <c r="O326" t="s">
        <v>26</v>
      </c>
      <c r="P326">
        <v>2014</v>
      </c>
    </row>
    <row r="327" spans="1:16" hidden="1">
      <c r="A327" t="s">
        <v>16</v>
      </c>
      <c r="B327" t="s">
        <v>17</v>
      </c>
      <c r="C327" t="s">
        <v>43</v>
      </c>
      <c r="D327" t="s">
        <v>46</v>
      </c>
      <c r="E327" s="5">
        <v>1135</v>
      </c>
      <c r="F327">
        <v>260</v>
      </c>
      <c r="G327">
        <v>7</v>
      </c>
      <c r="H327" s="6">
        <v>7945</v>
      </c>
      <c r="I327">
        <v>556.15</v>
      </c>
      <c r="J327" s="6">
        <v>7388.85</v>
      </c>
      <c r="K327" s="6">
        <v>5675</v>
      </c>
      <c r="L327" s="6">
        <v>1713.85</v>
      </c>
      <c r="M327" s="1">
        <v>41791</v>
      </c>
      <c r="N327">
        <v>6</v>
      </c>
      <c r="O327" t="s">
        <v>24</v>
      </c>
      <c r="P327">
        <v>2014</v>
      </c>
    </row>
    <row r="328" spans="1:16" hidden="1">
      <c r="A328" t="s">
        <v>16</v>
      </c>
      <c r="B328" t="s">
        <v>36</v>
      </c>
      <c r="C328" t="s">
        <v>18</v>
      </c>
      <c r="D328" t="s">
        <v>46</v>
      </c>
      <c r="E328" s="5">
        <v>1761</v>
      </c>
      <c r="F328">
        <v>3</v>
      </c>
      <c r="G328">
        <v>350</v>
      </c>
      <c r="H328" s="6">
        <v>616350</v>
      </c>
      <c r="I328" s="6">
        <v>43144.5</v>
      </c>
      <c r="J328" s="6">
        <v>573205.5</v>
      </c>
      <c r="K328" s="6">
        <v>457860</v>
      </c>
      <c r="L328" s="6">
        <v>115345.5</v>
      </c>
      <c r="M328" s="1">
        <v>41699</v>
      </c>
      <c r="N328">
        <v>3</v>
      </c>
      <c r="O328" t="s">
        <v>28</v>
      </c>
      <c r="P328">
        <v>2014</v>
      </c>
    </row>
    <row r="329" spans="1:16" hidden="1">
      <c r="A329" t="s">
        <v>32</v>
      </c>
      <c r="B329" t="s">
        <v>23</v>
      </c>
      <c r="C329" t="s">
        <v>18</v>
      </c>
      <c r="D329" t="s">
        <v>46</v>
      </c>
      <c r="E329" s="5">
        <v>448</v>
      </c>
      <c r="F329">
        <v>3</v>
      </c>
      <c r="G329">
        <v>300</v>
      </c>
      <c r="H329" s="6">
        <v>134400</v>
      </c>
      <c r="I329" s="6">
        <v>9408</v>
      </c>
      <c r="J329" s="6">
        <v>124992</v>
      </c>
      <c r="K329" s="6">
        <v>112000</v>
      </c>
      <c r="L329" s="6">
        <v>12992</v>
      </c>
      <c r="M329" s="1">
        <v>41791</v>
      </c>
      <c r="N329">
        <v>6</v>
      </c>
      <c r="O329" t="s">
        <v>24</v>
      </c>
      <c r="P329">
        <v>2014</v>
      </c>
    </row>
    <row r="330" spans="1:16" hidden="1">
      <c r="A330" t="s">
        <v>32</v>
      </c>
      <c r="B330" t="s">
        <v>23</v>
      </c>
      <c r="C330" t="s">
        <v>18</v>
      </c>
      <c r="D330" t="s">
        <v>46</v>
      </c>
      <c r="E330" s="5">
        <v>2181</v>
      </c>
      <c r="F330">
        <v>3</v>
      </c>
      <c r="G330">
        <v>300</v>
      </c>
      <c r="H330" s="6">
        <v>654300</v>
      </c>
      <c r="I330" s="6">
        <v>45801</v>
      </c>
      <c r="J330" s="6">
        <v>608499</v>
      </c>
      <c r="K330" s="6">
        <v>545250</v>
      </c>
      <c r="L330" s="6">
        <v>63249</v>
      </c>
      <c r="M330" s="1">
        <v>41913</v>
      </c>
      <c r="N330">
        <v>10</v>
      </c>
      <c r="O330" t="s">
        <v>35</v>
      </c>
      <c r="P330">
        <v>2014</v>
      </c>
    </row>
    <row r="331" spans="1:16" hidden="1">
      <c r="A331" t="s">
        <v>16</v>
      </c>
      <c r="B331" t="s">
        <v>23</v>
      </c>
      <c r="C331" t="s">
        <v>27</v>
      </c>
      <c r="D331" t="s">
        <v>46</v>
      </c>
      <c r="E331" s="5">
        <v>1976</v>
      </c>
      <c r="F331">
        <v>5</v>
      </c>
      <c r="G331">
        <v>20</v>
      </c>
      <c r="H331" s="6">
        <v>39520</v>
      </c>
      <c r="I331" s="6">
        <v>2766.4</v>
      </c>
      <c r="J331" s="6">
        <v>36753.599999999999</v>
      </c>
      <c r="K331" s="6">
        <v>19760</v>
      </c>
      <c r="L331" s="6">
        <v>16993.599999999999</v>
      </c>
      <c r="M331" s="1">
        <v>41913</v>
      </c>
      <c r="N331">
        <v>10</v>
      </c>
      <c r="O331" t="s">
        <v>35</v>
      </c>
      <c r="P331">
        <v>2014</v>
      </c>
    </row>
    <row r="332" spans="1:16" hidden="1">
      <c r="A332" t="s">
        <v>32</v>
      </c>
      <c r="B332" t="s">
        <v>23</v>
      </c>
      <c r="C332" t="s">
        <v>27</v>
      </c>
      <c r="D332" t="s">
        <v>46</v>
      </c>
      <c r="E332" s="5">
        <v>2181</v>
      </c>
      <c r="F332">
        <v>5</v>
      </c>
      <c r="G332">
        <v>300</v>
      </c>
      <c r="H332" s="6">
        <v>654300</v>
      </c>
      <c r="I332" s="6">
        <v>45801</v>
      </c>
      <c r="J332" s="6">
        <v>608499</v>
      </c>
      <c r="K332" s="6">
        <v>545250</v>
      </c>
      <c r="L332" s="6">
        <v>63249</v>
      </c>
      <c r="M332" s="1">
        <v>41913</v>
      </c>
      <c r="N332">
        <v>10</v>
      </c>
      <c r="O332" t="s">
        <v>35</v>
      </c>
      <c r="P332">
        <v>2014</v>
      </c>
    </row>
    <row r="333" spans="1:16" hidden="1">
      <c r="A333" t="s">
        <v>30</v>
      </c>
      <c r="B333" t="s">
        <v>21</v>
      </c>
      <c r="C333" t="s">
        <v>27</v>
      </c>
      <c r="D333" t="s">
        <v>46</v>
      </c>
      <c r="E333" s="5">
        <v>2500</v>
      </c>
      <c r="F333">
        <v>5</v>
      </c>
      <c r="G333">
        <v>125</v>
      </c>
      <c r="H333" s="6">
        <v>312500</v>
      </c>
      <c r="I333" s="6">
        <v>21875</v>
      </c>
      <c r="J333" s="6">
        <v>290625</v>
      </c>
      <c r="K333" s="6">
        <v>300000</v>
      </c>
      <c r="L333" s="6">
        <v>-9375</v>
      </c>
      <c r="M333" s="1">
        <v>41579</v>
      </c>
      <c r="N333">
        <v>11</v>
      </c>
      <c r="O333" t="s">
        <v>39</v>
      </c>
      <c r="P333">
        <v>2013</v>
      </c>
    </row>
    <row r="334" spans="1:16" hidden="1">
      <c r="A334" t="s">
        <v>32</v>
      </c>
      <c r="B334" t="s">
        <v>17</v>
      </c>
      <c r="C334" t="s">
        <v>37</v>
      </c>
      <c r="D334" t="s">
        <v>46</v>
      </c>
      <c r="E334" s="5">
        <v>1702</v>
      </c>
      <c r="F334">
        <v>10</v>
      </c>
      <c r="G334">
        <v>300</v>
      </c>
      <c r="H334" s="6">
        <v>510600</v>
      </c>
      <c r="I334" s="6">
        <v>35742</v>
      </c>
      <c r="J334" s="6">
        <v>474858</v>
      </c>
      <c r="K334" s="6">
        <v>425500</v>
      </c>
      <c r="L334" s="6">
        <v>49358</v>
      </c>
      <c r="M334" s="1">
        <v>41760</v>
      </c>
      <c r="N334">
        <v>5</v>
      </c>
      <c r="O334" t="s">
        <v>45</v>
      </c>
      <c r="P334">
        <v>2014</v>
      </c>
    </row>
    <row r="335" spans="1:16" hidden="1">
      <c r="A335" t="s">
        <v>32</v>
      </c>
      <c r="B335" t="s">
        <v>23</v>
      </c>
      <c r="C335" t="s">
        <v>37</v>
      </c>
      <c r="D335" t="s">
        <v>46</v>
      </c>
      <c r="E335" s="5">
        <v>448</v>
      </c>
      <c r="F335">
        <v>10</v>
      </c>
      <c r="G335">
        <v>300</v>
      </c>
      <c r="H335" s="6">
        <v>134400</v>
      </c>
      <c r="I335" s="6">
        <v>9408</v>
      </c>
      <c r="J335" s="6">
        <v>124992</v>
      </c>
      <c r="K335" s="6">
        <v>112000</v>
      </c>
      <c r="L335" s="6">
        <v>12992</v>
      </c>
      <c r="M335" s="1">
        <v>41791</v>
      </c>
      <c r="N335">
        <v>6</v>
      </c>
      <c r="O335" t="s">
        <v>24</v>
      </c>
      <c r="P335">
        <v>2014</v>
      </c>
    </row>
    <row r="336" spans="1:16" hidden="1">
      <c r="A336" t="s">
        <v>30</v>
      </c>
      <c r="B336" t="s">
        <v>21</v>
      </c>
      <c r="C336" t="s">
        <v>37</v>
      </c>
      <c r="D336" t="s">
        <v>46</v>
      </c>
      <c r="E336" s="5">
        <v>3513</v>
      </c>
      <c r="F336">
        <v>10</v>
      </c>
      <c r="G336">
        <v>125</v>
      </c>
      <c r="H336" s="6">
        <v>439125</v>
      </c>
      <c r="I336" s="6">
        <v>30738.75</v>
      </c>
      <c r="J336" s="6">
        <v>408386.25</v>
      </c>
      <c r="K336" s="6">
        <v>421560</v>
      </c>
      <c r="L336" s="6">
        <v>-13173.75</v>
      </c>
      <c r="M336" s="1">
        <v>41821</v>
      </c>
      <c r="N336">
        <v>7</v>
      </c>
      <c r="O336" t="s">
        <v>31</v>
      </c>
      <c r="P336">
        <v>2014</v>
      </c>
    </row>
    <row r="337" spans="1:16" hidden="1">
      <c r="A337" t="s">
        <v>22</v>
      </c>
      <c r="B337" t="s">
        <v>23</v>
      </c>
      <c r="C337" t="s">
        <v>37</v>
      </c>
      <c r="D337" t="s">
        <v>46</v>
      </c>
      <c r="E337" s="5">
        <v>2101</v>
      </c>
      <c r="F337">
        <v>10</v>
      </c>
      <c r="G337">
        <v>15</v>
      </c>
      <c r="H337" s="6">
        <v>31515</v>
      </c>
      <c r="I337" s="6">
        <v>2206.0500000000002</v>
      </c>
      <c r="J337" s="6">
        <v>29308.95</v>
      </c>
      <c r="K337" s="6">
        <v>21010</v>
      </c>
      <c r="L337" s="6">
        <v>8298.9500000000007</v>
      </c>
      <c r="M337" s="1">
        <v>41852</v>
      </c>
      <c r="N337">
        <v>8</v>
      </c>
      <c r="O337" t="s">
        <v>33</v>
      </c>
      <c r="P337">
        <v>2014</v>
      </c>
    </row>
    <row r="338" spans="1:16" hidden="1">
      <c r="A338" t="s">
        <v>22</v>
      </c>
      <c r="B338" t="s">
        <v>36</v>
      </c>
      <c r="C338" t="s">
        <v>37</v>
      </c>
      <c r="D338" t="s">
        <v>46</v>
      </c>
      <c r="E338" s="5">
        <v>2931</v>
      </c>
      <c r="F338">
        <v>10</v>
      </c>
      <c r="G338">
        <v>15</v>
      </c>
      <c r="H338" s="6">
        <v>43965</v>
      </c>
      <c r="I338" s="6">
        <v>3077.55</v>
      </c>
      <c r="J338" s="6">
        <v>40887.449999999997</v>
      </c>
      <c r="K338" s="6">
        <v>29310</v>
      </c>
      <c r="L338" s="6">
        <v>11577.45</v>
      </c>
      <c r="M338" s="1">
        <v>41518</v>
      </c>
      <c r="N338">
        <v>9</v>
      </c>
      <c r="O338" t="s">
        <v>34</v>
      </c>
      <c r="P338">
        <v>2013</v>
      </c>
    </row>
    <row r="339" spans="1:16" hidden="1">
      <c r="A339" t="s">
        <v>16</v>
      </c>
      <c r="B339" t="s">
        <v>23</v>
      </c>
      <c r="C339" t="s">
        <v>37</v>
      </c>
      <c r="D339" t="s">
        <v>46</v>
      </c>
      <c r="E339" s="5">
        <v>1535</v>
      </c>
      <c r="F339">
        <v>10</v>
      </c>
      <c r="G339">
        <v>20</v>
      </c>
      <c r="H339" s="6">
        <v>30700</v>
      </c>
      <c r="I339" s="6">
        <v>2149</v>
      </c>
      <c r="J339" s="6">
        <v>28551</v>
      </c>
      <c r="K339" s="6">
        <v>15350</v>
      </c>
      <c r="L339" s="6">
        <v>13201</v>
      </c>
      <c r="M339" s="1">
        <v>41883</v>
      </c>
      <c r="N339">
        <v>9</v>
      </c>
      <c r="O339" t="s">
        <v>34</v>
      </c>
      <c r="P339">
        <v>2014</v>
      </c>
    </row>
    <row r="340" spans="1:16" hidden="1">
      <c r="A340" t="s">
        <v>32</v>
      </c>
      <c r="B340" t="s">
        <v>21</v>
      </c>
      <c r="C340" t="s">
        <v>37</v>
      </c>
      <c r="D340" t="s">
        <v>46</v>
      </c>
      <c r="E340" s="5">
        <v>1123</v>
      </c>
      <c r="F340">
        <v>10</v>
      </c>
      <c r="G340">
        <v>300</v>
      </c>
      <c r="H340" s="6">
        <v>336900</v>
      </c>
      <c r="I340" s="6">
        <v>23583</v>
      </c>
      <c r="J340" s="6">
        <v>313317</v>
      </c>
      <c r="K340" s="6">
        <v>280750</v>
      </c>
      <c r="L340" s="6">
        <v>32567</v>
      </c>
      <c r="M340" s="1">
        <v>41518</v>
      </c>
      <c r="N340">
        <v>9</v>
      </c>
      <c r="O340" t="s">
        <v>34</v>
      </c>
      <c r="P340">
        <v>2013</v>
      </c>
    </row>
    <row r="341" spans="1:16" hidden="1">
      <c r="A341" t="s">
        <v>32</v>
      </c>
      <c r="B341" t="s">
        <v>17</v>
      </c>
      <c r="C341" t="s">
        <v>37</v>
      </c>
      <c r="D341" t="s">
        <v>46</v>
      </c>
      <c r="E341" s="5">
        <v>1404</v>
      </c>
      <c r="F341">
        <v>10</v>
      </c>
      <c r="G341">
        <v>300</v>
      </c>
      <c r="H341" s="6">
        <v>421200</v>
      </c>
      <c r="I341" s="6">
        <v>29484</v>
      </c>
      <c r="J341" s="6">
        <v>391716</v>
      </c>
      <c r="K341" s="6">
        <v>351000</v>
      </c>
      <c r="L341" s="6">
        <v>40716</v>
      </c>
      <c r="M341" s="1">
        <v>41579</v>
      </c>
      <c r="N341">
        <v>11</v>
      </c>
      <c r="O341" t="s">
        <v>39</v>
      </c>
      <c r="P341">
        <v>2013</v>
      </c>
    </row>
    <row r="342" spans="1:16" hidden="1">
      <c r="A342" t="s">
        <v>29</v>
      </c>
      <c r="B342" t="s">
        <v>25</v>
      </c>
      <c r="C342" t="s">
        <v>37</v>
      </c>
      <c r="D342" t="s">
        <v>46</v>
      </c>
      <c r="E342" s="5">
        <v>2763</v>
      </c>
      <c r="F342">
        <v>10</v>
      </c>
      <c r="G342">
        <v>12</v>
      </c>
      <c r="H342" s="6">
        <v>33156</v>
      </c>
      <c r="I342" s="6">
        <v>2320.92</v>
      </c>
      <c r="J342" s="6">
        <v>30835.08</v>
      </c>
      <c r="K342" s="6">
        <v>8289</v>
      </c>
      <c r="L342" s="6">
        <v>22546.080000000002</v>
      </c>
      <c r="M342" s="1">
        <v>41579</v>
      </c>
      <c r="N342">
        <v>11</v>
      </c>
      <c r="O342" t="s">
        <v>39</v>
      </c>
      <c r="P342">
        <v>2013</v>
      </c>
    </row>
    <row r="343" spans="1:16" hidden="1">
      <c r="A343" t="s">
        <v>16</v>
      </c>
      <c r="B343" t="s">
        <v>21</v>
      </c>
      <c r="C343" t="s">
        <v>37</v>
      </c>
      <c r="D343" t="s">
        <v>46</v>
      </c>
      <c r="E343" s="5">
        <v>2125</v>
      </c>
      <c r="F343">
        <v>10</v>
      </c>
      <c r="G343">
        <v>7</v>
      </c>
      <c r="H343" s="6">
        <v>14875</v>
      </c>
      <c r="I343" s="6">
        <v>1041.25</v>
      </c>
      <c r="J343" s="6">
        <v>13833.75</v>
      </c>
      <c r="K343" s="6">
        <v>10625</v>
      </c>
      <c r="L343" s="6">
        <v>3208.75</v>
      </c>
      <c r="M343" s="1">
        <v>41609</v>
      </c>
      <c r="N343">
        <v>12</v>
      </c>
      <c r="O343" t="s">
        <v>26</v>
      </c>
      <c r="P343">
        <v>2013</v>
      </c>
    </row>
    <row r="344" spans="1:16" hidden="1">
      <c r="A344" t="s">
        <v>32</v>
      </c>
      <c r="B344" t="s">
        <v>23</v>
      </c>
      <c r="C344" t="s">
        <v>40</v>
      </c>
      <c r="D344" t="s">
        <v>46</v>
      </c>
      <c r="E344" s="5">
        <v>1659</v>
      </c>
      <c r="F344">
        <v>120</v>
      </c>
      <c r="G344">
        <v>300</v>
      </c>
      <c r="H344" s="6">
        <v>497700</v>
      </c>
      <c r="I344" s="6">
        <v>34839</v>
      </c>
      <c r="J344" s="6">
        <v>462861</v>
      </c>
      <c r="K344" s="6">
        <v>414750</v>
      </c>
      <c r="L344" s="6">
        <v>48111</v>
      </c>
      <c r="M344" s="1">
        <v>41821</v>
      </c>
      <c r="N344">
        <v>7</v>
      </c>
      <c r="O344" t="s">
        <v>31</v>
      </c>
      <c r="P344">
        <v>2014</v>
      </c>
    </row>
    <row r="345" spans="1:16" hidden="1">
      <c r="A345" t="s">
        <v>16</v>
      </c>
      <c r="B345" t="s">
        <v>25</v>
      </c>
      <c r="C345" t="s">
        <v>40</v>
      </c>
      <c r="D345" t="s">
        <v>46</v>
      </c>
      <c r="E345" s="5">
        <v>609</v>
      </c>
      <c r="F345">
        <v>120</v>
      </c>
      <c r="G345">
        <v>20</v>
      </c>
      <c r="H345" s="6">
        <v>12180</v>
      </c>
      <c r="I345">
        <v>852.6</v>
      </c>
      <c r="J345" s="6">
        <v>11327.4</v>
      </c>
      <c r="K345" s="6">
        <v>6090</v>
      </c>
      <c r="L345" s="6">
        <v>5237.3999999999996</v>
      </c>
      <c r="M345" s="1">
        <v>41852</v>
      </c>
      <c r="N345">
        <v>8</v>
      </c>
      <c r="O345" t="s">
        <v>33</v>
      </c>
      <c r="P345">
        <v>2014</v>
      </c>
    </row>
    <row r="346" spans="1:16" hidden="1">
      <c r="A346" t="s">
        <v>30</v>
      </c>
      <c r="B346" t="s">
        <v>21</v>
      </c>
      <c r="C346" t="s">
        <v>40</v>
      </c>
      <c r="D346" t="s">
        <v>46</v>
      </c>
      <c r="E346" s="5">
        <v>2087</v>
      </c>
      <c r="F346">
        <v>120</v>
      </c>
      <c r="G346">
        <v>125</v>
      </c>
      <c r="H346" s="6">
        <v>260875</v>
      </c>
      <c r="I346" s="6">
        <v>18261.25</v>
      </c>
      <c r="J346" s="6">
        <v>242613.75</v>
      </c>
      <c r="K346" s="6">
        <v>250440</v>
      </c>
      <c r="L346" s="6">
        <v>-7826.25</v>
      </c>
      <c r="M346" s="1">
        <v>41883</v>
      </c>
      <c r="N346">
        <v>9</v>
      </c>
      <c r="O346" t="s">
        <v>34</v>
      </c>
      <c r="P346">
        <v>2014</v>
      </c>
    </row>
    <row r="347" spans="1:16" hidden="1">
      <c r="A347" t="s">
        <v>16</v>
      </c>
      <c r="B347" t="s">
        <v>23</v>
      </c>
      <c r="C347" t="s">
        <v>40</v>
      </c>
      <c r="D347" t="s">
        <v>46</v>
      </c>
      <c r="E347" s="5">
        <v>1976</v>
      </c>
      <c r="F347">
        <v>120</v>
      </c>
      <c r="G347">
        <v>20</v>
      </c>
      <c r="H347" s="6">
        <v>39520</v>
      </c>
      <c r="I347" s="6">
        <v>2766.4</v>
      </c>
      <c r="J347" s="6">
        <v>36753.599999999999</v>
      </c>
      <c r="K347" s="6">
        <v>19760</v>
      </c>
      <c r="L347" s="6">
        <v>16993.599999999999</v>
      </c>
      <c r="M347" s="1">
        <v>41913</v>
      </c>
      <c r="N347">
        <v>10</v>
      </c>
      <c r="O347" t="s">
        <v>35</v>
      </c>
      <c r="P347">
        <v>2014</v>
      </c>
    </row>
    <row r="348" spans="1:16" hidden="1">
      <c r="A348" t="s">
        <v>16</v>
      </c>
      <c r="B348" t="s">
        <v>36</v>
      </c>
      <c r="C348" t="s">
        <v>40</v>
      </c>
      <c r="D348" t="s">
        <v>46</v>
      </c>
      <c r="E348" s="5">
        <v>1421</v>
      </c>
      <c r="F348">
        <v>120</v>
      </c>
      <c r="G348">
        <v>20</v>
      </c>
      <c r="H348" s="6">
        <v>28420</v>
      </c>
      <c r="I348" s="6">
        <v>1989.4</v>
      </c>
      <c r="J348" s="6">
        <v>26430.6</v>
      </c>
      <c r="K348" s="6">
        <v>14210</v>
      </c>
      <c r="L348" s="6">
        <v>12220.6</v>
      </c>
      <c r="M348" s="1">
        <v>41609</v>
      </c>
      <c r="N348">
        <v>12</v>
      </c>
      <c r="O348" t="s">
        <v>26</v>
      </c>
      <c r="P348">
        <v>2013</v>
      </c>
    </row>
    <row r="349" spans="1:16" hidden="1">
      <c r="A349" t="s">
        <v>32</v>
      </c>
      <c r="B349" t="s">
        <v>36</v>
      </c>
      <c r="C349" t="s">
        <v>40</v>
      </c>
      <c r="D349" t="s">
        <v>46</v>
      </c>
      <c r="E349" s="5">
        <v>1372</v>
      </c>
      <c r="F349">
        <v>120</v>
      </c>
      <c r="G349">
        <v>300</v>
      </c>
      <c r="H349" s="6">
        <v>411600</v>
      </c>
      <c r="I349" s="6">
        <v>28812</v>
      </c>
      <c r="J349" s="6">
        <v>382788</v>
      </c>
      <c r="K349" s="6">
        <v>343000</v>
      </c>
      <c r="L349" s="6">
        <v>39788</v>
      </c>
      <c r="M349" s="1">
        <v>41974</v>
      </c>
      <c r="N349">
        <v>12</v>
      </c>
      <c r="O349" t="s">
        <v>26</v>
      </c>
      <c r="P349">
        <v>2014</v>
      </c>
    </row>
    <row r="350" spans="1:16" hidden="1">
      <c r="A350" t="s">
        <v>16</v>
      </c>
      <c r="B350" t="s">
        <v>21</v>
      </c>
      <c r="C350" t="s">
        <v>40</v>
      </c>
      <c r="D350" t="s">
        <v>46</v>
      </c>
      <c r="E350" s="5">
        <v>588</v>
      </c>
      <c r="F350">
        <v>120</v>
      </c>
      <c r="G350">
        <v>20</v>
      </c>
      <c r="H350" s="6">
        <v>11760</v>
      </c>
      <c r="I350">
        <v>823.2</v>
      </c>
      <c r="J350" s="6">
        <v>10936.8</v>
      </c>
      <c r="K350" s="6">
        <v>5880</v>
      </c>
      <c r="L350" s="6">
        <v>5056.8</v>
      </c>
      <c r="M350" s="1">
        <v>41609</v>
      </c>
      <c r="N350">
        <v>12</v>
      </c>
      <c r="O350" t="s">
        <v>26</v>
      </c>
      <c r="P350">
        <v>2013</v>
      </c>
    </row>
    <row r="351" spans="1:16">
      <c r="A351" t="s">
        <v>29</v>
      </c>
      <c r="B351" t="s">
        <v>17</v>
      </c>
      <c r="C351" t="s">
        <v>41</v>
      </c>
      <c r="D351" t="s">
        <v>46</v>
      </c>
      <c r="E351" s="5">
        <v>3244.5</v>
      </c>
      <c r="F351">
        <v>250</v>
      </c>
      <c r="G351">
        <v>12</v>
      </c>
      <c r="H351" s="6">
        <v>38934</v>
      </c>
      <c r="I351" s="6">
        <v>2725.38</v>
      </c>
      <c r="J351" s="6">
        <v>36208.620000000003</v>
      </c>
      <c r="K351" s="6">
        <v>9733.5</v>
      </c>
      <c r="L351" s="6">
        <v>26475.119999999999</v>
      </c>
      <c r="M351" s="1">
        <v>41640</v>
      </c>
      <c r="N351">
        <v>1</v>
      </c>
      <c r="O351" t="s">
        <v>20</v>
      </c>
      <c r="P351">
        <v>2014</v>
      </c>
    </row>
    <row r="352" spans="1:16">
      <c r="A352" t="s">
        <v>32</v>
      </c>
      <c r="B352" t="s">
        <v>23</v>
      </c>
      <c r="C352" t="s">
        <v>41</v>
      </c>
      <c r="D352" t="s">
        <v>46</v>
      </c>
      <c r="E352" s="5">
        <v>959</v>
      </c>
      <c r="F352">
        <v>250</v>
      </c>
      <c r="G352">
        <v>300</v>
      </c>
      <c r="H352" s="6">
        <v>287700</v>
      </c>
      <c r="I352" s="6">
        <v>20139</v>
      </c>
      <c r="J352" s="6">
        <v>267561</v>
      </c>
      <c r="K352" s="6">
        <v>239750</v>
      </c>
      <c r="L352" s="6">
        <v>27811</v>
      </c>
      <c r="M352" s="1">
        <v>41671</v>
      </c>
      <c r="N352">
        <v>2</v>
      </c>
      <c r="O352" t="s">
        <v>38</v>
      </c>
      <c r="P352">
        <v>2014</v>
      </c>
    </row>
    <row r="353" spans="1:16">
      <c r="A353" t="s">
        <v>32</v>
      </c>
      <c r="B353" t="s">
        <v>25</v>
      </c>
      <c r="C353" t="s">
        <v>41</v>
      </c>
      <c r="D353" t="s">
        <v>46</v>
      </c>
      <c r="E353" s="5">
        <v>2747</v>
      </c>
      <c r="F353">
        <v>250</v>
      </c>
      <c r="G353">
        <v>300</v>
      </c>
      <c r="H353" s="6">
        <v>824100</v>
      </c>
      <c r="I353" s="6">
        <v>57687</v>
      </c>
      <c r="J353" s="6">
        <v>766413</v>
      </c>
      <c r="K353" s="6">
        <v>686750</v>
      </c>
      <c r="L353" s="6">
        <v>79663</v>
      </c>
      <c r="M353" s="1">
        <v>41671</v>
      </c>
      <c r="N353">
        <v>2</v>
      </c>
      <c r="O353" t="s">
        <v>38</v>
      </c>
      <c r="P353">
        <v>2014</v>
      </c>
    </row>
    <row r="354" spans="1:16" hidden="1">
      <c r="A354" t="s">
        <v>30</v>
      </c>
      <c r="B354" t="s">
        <v>17</v>
      </c>
      <c r="C354" t="s">
        <v>43</v>
      </c>
      <c r="D354" t="s">
        <v>46</v>
      </c>
      <c r="E354" s="5">
        <v>1645</v>
      </c>
      <c r="F354">
        <v>260</v>
      </c>
      <c r="G354">
        <v>125</v>
      </c>
      <c r="H354" s="6">
        <v>205625</v>
      </c>
      <c r="I354" s="6">
        <v>14393.75</v>
      </c>
      <c r="J354" s="6">
        <v>191231.25</v>
      </c>
      <c r="K354" s="6">
        <v>197400</v>
      </c>
      <c r="L354" s="6">
        <v>-6168.75</v>
      </c>
      <c r="M354" s="1">
        <v>41760</v>
      </c>
      <c r="N354">
        <v>5</v>
      </c>
      <c r="O354" t="s">
        <v>45</v>
      </c>
      <c r="P354">
        <v>2014</v>
      </c>
    </row>
    <row r="355" spans="1:16" hidden="1">
      <c r="A355" t="s">
        <v>16</v>
      </c>
      <c r="B355" t="s">
        <v>23</v>
      </c>
      <c r="C355" t="s">
        <v>43</v>
      </c>
      <c r="D355" t="s">
        <v>46</v>
      </c>
      <c r="E355" s="5">
        <v>2876</v>
      </c>
      <c r="F355">
        <v>260</v>
      </c>
      <c r="G355">
        <v>350</v>
      </c>
      <c r="H355" s="6">
        <v>1006600</v>
      </c>
      <c r="I355" s="6">
        <v>70462</v>
      </c>
      <c r="J355" s="6">
        <v>936138</v>
      </c>
      <c r="K355" s="6">
        <v>747760</v>
      </c>
      <c r="L355" s="6">
        <v>188378</v>
      </c>
      <c r="M355" s="1">
        <v>41883</v>
      </c>
      <c r="N355">
        <v>9</v>
      </c>
      <c r="O355" t="s">
        <v>34</v>
      </c>
      <c r="P355">
        <v>2014</v>
      </c>
    </row>
    <row r="356" spans="1:16" hidden="1">
      <c r="A356" t="s">
        <v>30</v>
      </c>
      <c r="B356" t="s">
        <v>21</v>
      </c>
      <c r="C356" t="s">
        <v>43</v>
      </c>
      <c r="D356" t="s">
        <v>46</v>
      </c>
      <c r="E356" s="5">
        <v>994</v>
      </c>
      <c r="F356">
        <v>260</v>
      </c>
      <c r="G356">
        <v>125</v>
      </c>
      <c r="H356" s="6">
        <v>124250</v>
      </c>
      <c r="I356" s="6">
        <v>8697.5</v>
      </c>
      <c r="J356" s="6">
        <v>115552.5</v>
      </c>
      <c r="K356" s="6">
        <v>119280</v>
      </c>
      <c r="L356" s="6">
        <v>-3727.5</v>
      </c>
      <c r="M356" s="1">
        <v>41518</v>
      </c>
      <c r="N356">
        <v>9</v>
      </c>
      <c r="O356" t="s">
        <v>34</v>
      </c>
      <c r="P356">
        <v>2013</v>
      </c>
    </row>
    <row r="357" spans="1:16" hidden="1">
      <c r="A357" t="s">
        <v>16</v>
      </c>
      <c r="B357" t="s">
        <v>17</v>
      </c>
      <c r="C357" t="s">
        <v>43</v>
      </c>
      <c r="D357" t="s">
        <v>46</v>
      </c>
      <c r="E357" s="5">
        <v>1118</v>
      </c>
      <c r="F357">
        <v>260</v>
      </c>
      <c r="G357">
        <v>20</v>
      </c>
      <c r="H357" s="6">
        <v>22360</v>
      </c>
      <c r="I357" s="6">
        <v>1565.2</v>
      </c>
      <c r="J357" s="6">
        <v>20794.8</v>
      </c>
      <c r="K357" s="6">
        <v>11180</v>
      </c>
      <c r="L357" s="6">
        <v>9614.7999999999993</v>
      </c>
      <c r="M357" s="1">
        <v>41944</v>
      </c>
      <c r="N357">
        <v>11</v>
      </c>
      <c r="O357" t="s">
        <v>39</v>
      </c>
      <c r="P357">
        <v>2014</v>
      </c>
    </row>
    <row r="358" spans="1:16" hidden="1">
      <c r="A358" t="s">
        <v>32</v>
      </c>
      <c r="B358" t="s">
        <v>36</v>
      </c>
      <c r="C358" t="s">
        <v>43</v>
      </c>
      <c r="D358" t="s">
        <v>46</v>
      </c>
      <c r="E358" s="5">
        <v>1372</v>
      </c>
      <c r="F358">
        <v>260</v>
      </c>
      <c r="G358">
        <v>300</v>
      </c>
      <c r="H358" s="6">
        <v>411600</v>
      </c>
      <c r="I358" s="6">
        <v>28812</v>
      </c>
      <c r="J358" s="6">
        <v>382788</v>
      </c>
      <c r="K358" s="6">
        <v>343000</v>
      </c>
      <c r="L358" s="6">
        <v>39788</v>
      </c>
      <c r="M358" s="1">
        <v>41974</v>
      </c>
      <c r="N358">
        <v>12</v>
      </c>
      <c r="O358" t="s">
        <v>26</v>
      </c>
      <c r="P358">
        <v>2014</v>
      </c>
    </row>
    <row r="359" spans="1:16" hidden="1">
      <c r="A359" t="s">
        <v>16</v>
      </c>
      <c r="B359" t="s">
        <v>17</v>
      </c>
      <c r="C359" t="s">
        <v>27</v>
      </c>
      <c r="D359" t="s">
        <v>46</v>
      </c>
      <c r="E359" s="5">
        <v>488</v>
      </c>
      <c r="F359">
        <v>5</v>
      </c>
      <c r="G359">
        <v>7</v>
      </c>
      <c r="H359" s="6">
        <v>3416</v>
      </c>
      <c r="I359">
        <v>273.27999999999997</v>
      </c>
      <c r="J359" s="6">
        <v>3142.72</v>
      </c>
      <c r="K359" s="6">
        <v>2440</v>
      </c>
      <c r="L359">
        <v>702.72</v>
      </c>
      <c r="M359" s="1">
        <v>41671</v>
      </c>
      <c r="N359">
        <v>2</v>
      </c>
      <c r="O359" t="s">
        <v>38</v>
      </c>
      <c r="P359">
        <v>2014</v>
      </c>
    </row>
    <row r="360" spans="1:16" hidden="1">
      <c r="A360" t="s">
        <v>16</v>
      </c>
      <c r="B360" t="s">
        <v>36</v>
      </c>
      <c r="C360" t="s">
        <v>27</v>
      </c>
      <c r="D360" t="s">
        <v>46</v>
      </c>
      <c r="E360" s="5">
        <v>1282</v>
      </c>
      <c r="F360">
        <v>5</v>
      </c>
      <c r="G360">
        <v>20</v>
      </c>
      <c r="H360" s="6">
        <v>25640</v>
      </c>
      <c r="I360" s="6">
        <v>2051.1999999999998</v>
      </c>
      <c r="J360" s="6">
        <v>23588.799999999999</v>
      </c>
      <c r="K360" s="6">
        <v>12820</v>
      </c>
      <c r="L360" s="6">
        <v>10768.8</v>
      </c>
      <c r="M360" s="1">
        <v>41791</v>
      </c>
      <c r="N360">
        <v>6</v>
      </c>
      <c r="O360" t="s">
        <v>24</v>
      </c>
      <c r="P360">
        <v>2014</v>
      </c>
    </row>
    <row r="361" spans="1:16" hidden="1">
      <c r="A361" t="s">
        <v>16</v>
      </c>
      <c r="B361" t="s">
        <v>17</v>
      </c>
      <c r="C361" t="s">
        <v>37</v>
      </c>
      <c r="D361" t="s">
        <v>46</v>
      </c>
      <c r="E361" s="5">
        <v>257</v>
      </c>
      <c r="F361">
        <v>10</v>
      </c>
      <c r="G361">
        <v>7</v>
      </c>
      <c r="H361" s="6">
        <v>1799</v>
      </c>
      <c r="I361">
        <v>143.91999999999999</v>
      </c>
      <c r="J361" s="6">
        <v>1655.08</v>
      </c>
      <c r="K361" s="6">
        <v>1285</v>
      </c>
      <c r="L361">
        <v>370.08</v>
      </c>
      <c r="M361" s="1">
        <v>41760</v>
      </c>
      <c r="N361">
        <v>5</v>
      </c>
      <c r="O361" t="s">
        <v>45</v>
      </c>
      <c r="P361">
        <v>2014</v>
      </c>
    </row>
    <row r="362" spans="1:16" hidden="1">
      <c r="A362" t="s">
        <v>16</v>
      </c>
      <c r="B362" t="s">
        <v>36</v>
      </c>
      <c r="C362" t="s">
        <v>43</v>
      </c>
      <c r="D362" t="s">
        <v>46</v>
      </c>
      <c r="E362" s="5">
        <v>1282</v>
      </c>
      <c r="F362">
        <v>260</v>
      </c>
      <c r="G362">
        <v>20</v>
      </c>
      <c r="H362" s="6">
        <v>25640</v>
      </c>
      <c r="I362" s="6">
        <v>2051.1999999999998</v>
      </c>
      <c r="J362" s="6">
        <v>23588.799999999999</v>
      </c>
      <c r="K362" s="6">
        <v>12820</v>
      </c>
      <c r="L362" s="6">
        <v>10768.8</v>
      </c>
      <c r="M362" s="1">
        <v>41791</v>
      </c>
      <c r="N362">
        <v>6</v>
      </c>
      <c r="O362" t="s">
        <v>24</v>
      </c>
      <c r="P362">
        <v>2014</v>
      </c>
    </row>
    <row r="363" spans="1:16" hidden="1">
      <c r="A363" t="s">
        <v>30</v>
      </c>
      <c r="B363" t="s">
        <v>25</v>
      </c>
      <c r="C363" t="s">
        <v>18</v>
      </c>
      <c r="D363" t="s">
        <v>46</v>
      </c>
      <c r="E363" s="5">
        <v>1540</v>
      </c>
      <c r="F363">
        <v>3</v>
      </c>
      <c r="G363">
        <v>125</v>
      </c>
      <c r="H363" s="6">
        <v>192500</v>
      </c>
      <c r="I363" s="6">
        <v>15400</v>
      </c>
      <c r="J363" s="6">
        <v>177100</v>
      </c>
      <c r="K363" s="6">
        <v>184800</v>
      </c>
      <c r="L363" s="6">
        <v>-7700</v>
      </c>
      <c r="M363" s="1">
        <v>41852</v>
      </c>
      <c r="N363">
        <v>8</v>
      </c>
      <c r="O363" t="s">
        <v>33</v>
      </c>
      <c r="P363">
        <v>2014</v>
      </c>
    </row>
    <row r="364" spans="1:16" hidden="1">
      <c r="A364" t="s">
        <v>22</v>
      </c>
      <c r="B364" t="s">
        <v>23</v>
      </c>
      <c r="C364" t="s">
        <v>18</v>
      </c>
      <c r="D364" t="s">
        <v>46</v>
      </c>
      <c r="E364" s="5">
        <v>490</v>
      </c>
      <c r="F364">
        <v>3</v>
      </c>
      <c r="G364">
        <v>15</v>
      </c>
      <c r="H364" s="6">
        <v>7350</v>
      </c>
      <c r="I364">
        <v>588</v>
      </c>
      <c r="J364" s="6">
        <v>6762</v>
      </c>
      <c r="K364" s="6">
        <v>4900</v>
      </c>
      <c r="L364" s="6">
        <v>1862</v>
      </c>
      <c r="M364" s="1">
        <v>41944</v>
      </c>
      <c r="N364">
        <v>11</v>
      </c>
      <c r="O364" t="s">
        <v>39</v>
      </c>
      <c r="P364">
        <v>2014</v>
      </c>
    </row>
    <row r="365" spans="1:16" hidden="1">
      <c r="A365" t="s">
        <v>16</v>
      </c>
      <c r="B365" t="s">
        <v>25</v>
      </c>
      <c r="C365" t="s">
        <v>18</v>
      </c>
      <c r="D365" t="s">
        <v>46</v>
      </c>
      <c r="E365" s="5">
        <v>1362</v>
      </c>
      <c r="F365">
        <v>3</v>
      </c>
      <c r="G365">
        <v>350</v>
      </c>
      <c r="H365" s="6">
        <v>476700</v>
      </c>
      <c r="I365" s="6">
        <v>38136</v>
      </c>
      <c r="J365" s="6">
        <v>438564</v>
      </c>
      <c r="K365" s="6">
        <v>354120</v>
      </c>
      <c r="L365" s="6">
        <v>84444</v>
      </c>
      <c r="M365" s="1">
        <v>41974</v>
      </c>
      <c r="N365">
        <v>12</v>
      </c>
      <c r="O365" t="s">
        <v>26</v>
      </c>
      <c r="P365">
        <v>2014</v>
      </c>
    </row>
    <row r="366" spans="1:16" hidden="1">
      <c r="A366" t="s">
        <v>22</v>
      </c>
      <c r="B366" t="s">
        <v>23</v>
      </c>
      <c r="C366" t="s">
        <v>27</v>
      </c>
      <c r="D366" t="s">
        <v>46</v>
      </c>
      <c r="E366" s="5">
        <v>2501</v>
      </c>
      <c r="F366">
        <v>5</v>
      </c>
      <c r="G366">
        <v>15</v>
      </c>
      <c r="H366" s="6">
        <v>37515</v>
      </c>
      <c r="I366" s="6">
        <v>3001.2</v>
      </c>
      <c r="J366" s="6">
        <v>34513.800000000003</v>
      </c>
      <c r="K366" s="6">
        <v>25010</v>
      </c>
      <c r="L366" s="6">
        <v>9503.7999999999993</v>
      </c>
      <c r="M366" s="1">
        <v>41699</v>
      </c>
      <c r="N366">
        <v>3</v>
      </c>
      <c r="O366" t="s">
        <v>28</v>
      </c>
      <c r="P366">
        <v>2014</v>
      </c>
    </row>
    <row r="367" spans="1:16" hidden="1">
      <c r="A367" t="s">
        <v>16</v>
      </c>
      <c r="B367" t="s">
        <v>17</v>
      </c>
      <c r="C367" t="s">
        <v>27</v>
      </c>
      <c r="D367" t="s">
        <v>46</v>
      </c>
      <c r="E367" s="5">
        <v>708</v>
      </c>
      <c r="F367">
        <v>5</v>
      </c>
      <c r="G367">
        <v>20</v>
      </c>
      <c r="H367" s="6">
        <v>14160</v>
      </c>
      <c r="I367" s="6">
        <v>1132.8</v>
      </c>
      <c r="J367" s="6">
        <v>13027.2</v>
      </c>
      <c r="K367" s="6">
        <v>7080</v>
      </c>
      <c r="L367" s="6">
        <v>5947.2</v>
      </c>
      <c r="M367" s="1">
        <v>41791</v>
      </c>
      <c r="N367">
        <v>6</v>
      </c>
      <c r="O367" t="s">
        <v>24</v>
      </c>
      <c r="P367">
        <v>2014</v>
      </c>
    </row>
    <row r="368" spans="1:16" hidden="1">
      <c r="A368" t="s">
        <v>16</v>
      </c>
      <c r="B368" t="s">
        <v>21</v>
      </c>
      <c r="C368" t="s">
        <v>27</v>
      </c>
      <c r="D368" t="s">
        <v>46</v>
      </c>
      <c r="E368" s="5">
        <v>645</v>
      </c>
      <c r="F368">
        <v>5</v>
      </c>
      <c r="G368">
        <v>20</v>
      </c>
      <c r="H368" s="6">
        <v>12900</v>
      </c>
      <c r="I368" s="6">
        <v>1032</v>
      </c>
      <c r="J368" s="6">
        <v>11868</v>
      </c>
      <c r="K368" s="6">
        <v>6450</v>
      </c>
      <c r="L368" s="6">
        <v>5418</v>
      </c>
      <c r="M368" s="1">
        <v>41821</v>
      </c>
      <c r="N368">
        <v>7</v>
      </c>
      <c r="O368" t="s">
        <v>31</v>
      </c>
      <c r="P368">
        <v>2014</v>
      </c>
    </row>
    <row r="369" spans="1:16" hidden="1">
      <c r="A369" t="s">
        <v>32</v>
      </c>
      <c r="B369" t="s">
        <v>23</v>
      </c>
      <c r="C369" t="s">
        <v>27</v>
      </c>
      <c r="D369" t="s">
        <v>46</v>
      </c>
      <c r="E369" s="5">
        <v>1562</v>
      </c>
      <c r="F369">
        <v>5</v>
      </c>
      <c r="G369">
        <v>300</v>
      </c>
      <c r="H369" s="6">
        <v>468600</v>
      </c>
      <c r="I369" s="6">
        <v>37488</v>
      </c>
      <c r="J369" s="6">
        <v>431112</v>
      </c>
      <c r="K369" s="6">
        <v>390500</v>
      </c>
      <c r="L369" s="6">
        <v>40612</v>
      </c>
      <c r="M369" s="1">
        <v>41852</v>
      </c>
      <c r="N369">
        <v>8</v>
      </c>
      <c r="O369" t="s">
        <v>33</v>
      </c>
      <c r="P369">
        <v>2014</v>
      </c>
    </row>
    <row r="370" spans="1:16" hidden="1">
      <c r="A370" t="s">
        <v>32</v>
      </c>
      <c r="B370" t="s">
        <v>17</v>
      </c>
      <c r="C370" t="s">
        <v>27</v>
      </c>
      <c r="D370" t="s">
        <v>46</v>
      </c>
      <c r="E370" s="5">
        <v>1283</v>
      </c>
      <c r="F370">
        <v>5</v>
      </c>
      <c r="G370">
        <v>300</v>
      </c>
      <c r="H370" s="6">
        <v>384900</v>
      </c>
      <c r="I370" s="6">
        <v>30792</v>
      </c>
      <c r="J370" s="6">
        <v>354108</v>
      </c>
      <c r="K370" s="6">
        <v>320750</v>
      </c>
      <c r="L370" s="6">
        <v>33358</v>
      </c>
      <c r="M370" s="1">
        <v>41518</v>
      </c>
      <c r="N370">
        <v>9</v>
      </c>
      <c r="O370" t="s">
        <v>34</v>
      </c>
      <c r="P370">
        <v>2013</v>
      </c>
    </row>
    <row r="371" spans="1:16" hidden="1">
      <c r="A371" t="s">
        <v>22</v>
      </c>
      <c r="B371" t="s">
        <v>21</v>
      </c>
      <c r="C371" t="s">
        <v>27</v>
      </c>
      <c r="D371" t="s">
        <v>46</v>
      </c>
      <c r="E371" s="5">
        <v>711</v>
      </c>
      <c r="F371">
        <v>5</v>
      </c>
      <c r="G371">
        <v>15</v>
      </c>
      <c r="H371" s="6">
        <v>10665</v>
      </c>
      <c r="I371">
        <v>853.2</v>
      </c>
      <c r="J371" s="6">
        <v>9811.7999999999993</v>
      </c>
      <c r="K371" s="6">
        <v>7110</v>
      </c>
      <c r="L371" s="6">
        <v>2701.8</v>
      </c>
      <c r="M371" s="1">
        <v>41974</v>
      </c>
      <c r="N371">
        <v>12</v>
      </c>
      <c r="O371" t="s">
        <v>26</v>
      </c>
      <c r="P371">
        <v>2014</v>
      </c>
    </row>
    <row r="372" spans="1:16" hidden="1">
      <c r="A372" t="s">
        <v>30</v>
      </c>
      <c r="B372" t="s">
        <v>25</v>
      </c>
      <c r="C372" t="s">
        <v>37</v>
      </c>
      <c r="D372" t="s">
        <v>46</v>
      </c>
      <c r="E372" s="5">
        <v>1114</v>
      </c>
      <c r="F372">
        <v>10</v>
      </c>
      <c r="G372">
        <v>125</v>
      </c>
      <c r="H372" s="6">
        <v>139250</v>
      </c>
      <c r="I372" s="6">
        <v>11140</v>
      </c>
      <c r="J372" s="6">
        <v>128110</v>
      </c>
      <c r="K372" s="6">
        <v>133680</v>
      </c>
      <c r="L372" s="6">
        <v>-5570</v>
      </c>
      <c r="M372" s="1">
        <v>41699</v>
      </c>
      <c r="N372">
        <v>3</v>
      </c>
      <c r="O372" t="s">
        <v>28</v>
      </c>
      <c r="P372">
        <v>2014</v>
      </c>
    </row>
    <row r="373" spans="1:16" hidden="1">
      <c r="A373" t="s">
        <v>16</v>
      </c>
      <c r="B373" t="s">
        <v>21</v>
      </c>
      <c r="C373" t="s">
        <v>37</v>
      </c>
      <c r="D373" t="s">
        <v>46</v>
      </c>
      <c r="E373" s="5">
        <v>1259</v>
      </c>
      <c r="F373">
        <v>10</v>
      </c>
      <c r="G373">
        <v>7</v>
      </c>
      <c r="H373" s="6">
        <v>8813</v>
      </c>
      <c r="I373">
        <v>705.04</v>
      </c>
      <c r="J373" s="6">
        <v>8107.96</v>
      </c>
      <c r="K373" s="6">
        <v>6295</v>
      </c>
      <c r="L373" s="6">
        <v>1812.96</v>
      </c>
      <c r="M373" s="1">
        <v>41730</v>
      </c>
      <c r="N373">
        <v>4</v>
      </c>
      <c r="O373" t="s">
        <v>42</v>
      </c>
      <c r="P373">
        <v>2014</v>
      </c>
    </row>
    <row r="374" spans="1:16" hidden="1">
      <c r="A374" t="s">
        <v>16</v>
      </c>
      <c r="B374" t="s">
        <v>21</v>
      </c>
      <c r="C374" t="s">
        <v>37</v>
      </c>
      <c r="D374" t="s">
        <v>46</v>
      </c>
      <c r="E374" s="5">
        <v>1095</v>
      </c>
      <c r="F374">
        <v>10</v>
      </c>
      <c r="G374">
        <v>7</v>
      </c>
      <c r="H374" s="6">
        <v>7665</v>
      </c>
      <c r="I374">
        <v>613.20000000000005</v>
      </c>
      <c r="J374" s="6">
        <v>7051.8</v>
      </c>
      <c r="K374" s="6">
        <v>5475</v>
      </c>
      <c r="L374" s="6">
        <v>1576.8</v>
      </c>
      <c r="M374" s="1">
        <v>41760</v>
      </c>
      <c r="N374">
        <v>5</v>
      </c>
      <c r="O374" t="s">
        <v>45</v>
      </c>
      <c r="P374">
        <v>2014</v>
      </c>
    </row>
    <row r="375" spans="1:16" hidden="1">
      <c r="A375" t="s">
        <v>16</v>
      </c>
      <c r="B375" t="s">
        <v>21</v>
      </c>
      <c r="C375" t="s">
        <v>37</v>
      </c>
      <c r="D375" t="s">
        <v>46</v>
      </c>
      <c r="E375" s="5">
        <v>1366</v>
      </c>
      <c r="F375">
        <v>10</v>
      </c>
      <c r="G375">
        <v>20</v>
      </c>
      <c r="H375" s="6">
        <v>27320</v>
      </c>
      <c r="I375" s="6">
        <v>2185.6</v>
      </c>
      <c r="J375" s="6">
        <v>25134.400000000001</v>
      </c>
      <c r="K375" s="6">
        <v>13660</v>
      </c>
      <c r="L375" s="6">
        <v>11474.4</v>
      </c>
      <c r="M375" s="1">
        <v>41791</v>
      </c>
      <c r="N375">
        <v>6</v>
      </c>
      <c r="O375" t="s">
        <v>24</v>
      </c>
      <c r="P375">
        <v>2014</v>
      </c>
    </row>
    <row r="376" spans="1:16" hidden="1">
      <c r="A376" t="s">
        <v>32</v>
      </c>
      <c r="B376" t="s">
        <v>25</v>
      </c>
      <c r="C376" t="s">
        <v>37</v>
      </c>
      <c r="D376" t="s">
        <v>46</v>
      </c>
      <c r="E376" s="5">
        <v>2460</v>
      </c>
      <c r="F376">
        <v>10</v>
      </c>
      <c r="G376">
        <v>300</v>
      </c>
      <c r="H376" s="6">
        <v>738000</v>
      </c>
      <c r="I376" s="6">
        <v>59040</v>
      </c>
      <c r="J376" s="6">
        <v>678960</v>
      </c>
      <c r="K376" s="6">
        <v>615000</v>
      </c>
      <c r="L376" s="6">
        <v>63960</v>
      </c>
      <c r="M376" s="1">
        <v>41791</v>
      </c>
      <c r="N376">
        <v>6</v>
      </c>
      <c r="O376" t="s">
        <v>24</v>
      </c>
      <c r="P376">
        <v>2014</v>
      </c>
    </row>
    <row r="377" spans="1:16" hidden="1">
      <c r="A377" t="s">
        <v>16</v>
      </c>
      <c r="B377" t="s">
        <v>36</v>
      </c>
      <c r="C377" t="s">
        <v>37</v>
      </c>
      <c r="D377" t="s">
        <v>46</v>
      </c>
      <c r="E377" s="5">
        <v>678</v>
      </c>
      <c r="F377">
        <v>10</v>
      </c>
      <c r="G377">
        <v>7</v>
      </c>
      <c r="H377" s="6">
        <v>4746</v>
      </c>
      <c r="I377">
        <v>379.68</v>
      </c>
      <c r="J377" s="6">
        <v>4366.32</v>
      </c>
      <c r="K377" s="6">
        <v>3390</v>
      </c>
      <c r="L377">
        <v>976.32</v>
      </c>
      <c r="M377" s="1">
        <v>41852</v>
      </c>
      <c r="N377">
        <v>8</v>
      </c>
      <c r="O377" t="s">
        <v>33</v>
      </c>
      <c r="P377">
        <v>2014</v>
      </c>
    </row>
    <row r="378" spans="1:16" hidden="1">
      <c r="A378" t="s">
        <v>16</v>
      </c>
      <c r="B378" t="s">
        <v>21</v>
      </c>
      <c r="C378" t="s">
        <v>37</v>
      </c>
      <c r="D378" t="s">
        <v>46</v>
      </c>
      <c r="E378" s="5">
        <v>1598</v>
      </c>
      <c r="F378">
        <v>10</v>
      </c>
      <c r="G378">
        <v>7</v>
      </c>
      <c r="H378" s="6">
        <v>11186</v>
      </c>
      <c r="I378">
        <v>894.88</v>
      </c>
      <c r="J378" s="6">
        <v>10291.120000000001</v>
      </c>
      <c r="K378" s="6">
        <v>7990</v>
      </c>
      <c r="L378" s="6">
        <v>2301.12</v>
      </c>
      <c r="M378" s="1">
        <v>41852</v>
      </c>
      <c r="N378">
        <v>8</v>
      </c>
      <c r="O378" t="s">
        <v>33</v>
      </c>
      <c r="P378">
        <v>2014</v>
      </c>
    </row>
    <row r="379" spans="1:16" hidden="1">
      <c r="A379" t="s">
        <v>16</v>
      </c>
      <c r="B379" t="s">
        <v>21</v>
      </c>
      <c r="C379" t="s">
        <v>37</v>
      </c>
      <c r="D379" t="s">
        <v>46</v>
      </c>
      <c r="E379" s="5">
        <v>2409</v>
      </c>
      <c r="F379">
        <v>10</v>
      </c>
      <c r="G379">
        <v>7</v>
      </c>
      <c r="H379" s="6">
        <v>16863</v>
      </c>
      <c r="I379" s="6">
        <v>1349.04</v>
      </c>
      <c r="J379" s="6">
        <v>15513.96</v>
      </c>
      <c r="K379" s="6">
        <v>12045</v>
      </c>
      <c r="L379" s="6">
        <v>3468.96</v>
      </c>
      <c r="M379" s="1">
        <v>41518</v>
      </c>
      <c r="N379">
        <v>9</v>
      </c>
      <c r="O379" t="s">
        <v>34</v>
      </c>
      <c r="P379">
        <v>2013</v>
      </c>
    </row>
    <row r="380" spans="1:16" hidden="1">
      <c r="A380" t="s">
        <v>16</v>
      </c>
      <c r="B380" t="s">
        <v>21</v>
      </c>
      <c r="C380" t="s">
        <v>37</v>
      </c>
      <c r="D380" t="s">
        <v>46</v>
      </c>
      <c r="E380" s="5">
        <v>1934</v>
      </c>
      <c r="F380">
        <v>10</v>
      </c>
      <c r="G380">
        <v>20</v>
      </c>
      <c r="H380" s="6">
        <v>38680</v>
      </c>
      <c r="I380" s="6">
        <v>3094.4</v>
      </c>
      <c r="J380" s="6">
        <v>35585.599999999999</v>
      </c>
      <c r="K380" s="6">
        <v>19340</v>
      </c>
      <c r="L380" s="6">
        <v>16245.6</v>
      </c>
      <c r="M380" s="1">
        <v>41883</v>
      </c>
      <c r="N380">
        <v>9</v>
      </c>
      <c r="O380" t="s">
        <v>34</v>
      </c>
      <c r="P380">
        <v>2014</v>
      </c>
    </row>
    <row r="381" spans="1:16" hidden="1">
      <c r="A381" t="s">
        <v>16</v>
      </c>
      <c r="B381" t="s">
        <v>25</v>
      </c>
      <c r="C381" t="s">
        <v>37</v>
      </c>
      <c r="D381" t="s">
        <v>46</v>
      </c>
      <c r="E381" s="5">
        <v>2993</v>
      </c>
      <c r="F381">
        <v>10</v>
      </c>
      <c r="G381">
        <v>20</v>
      </c>
      <c r="H381" s="6">
        <v>59860</v>
      </c>
      <c r="I381" s="6">
        <v>4788.8</v>
      </c>
      <c r="J381" s="6">
        <v>55071.199999999997</v>
      </c>
      <c r="K381" s="6">
        <v>29930</v>
      </c>
      <c r="L381" s="6">
        <v>25141.200000000001</v>
      </c>
      <c r="M381" s="1">
        <v>41883</v>
      </c>
      <c r="N381">
        <v>9</v>
      </c>
      <c r="O381" t="s">
        <v>34</v>
      </c>
      <c r="P381">
        <v>2014</v>
      </c>
    </row>
    <row r="382" spans="1:16" hidden="1">
      <c r="A382" t="s">
        <v>16</v>
      </c>
      <c r="B382" t="s">
        <v>21</v>
      </c>
      <c r="C382" t="s">
        <v>37</v>
      </c>
      <c r="D382" t="s">
        <v>46</v>
      </c>
      <c r="E382" s="5">
        <v>2146</v>
      </c>
      <c r="F382">
        <v>10</v>
      </c>
      <c r="G382">
        <v>350</v>
      </c>
      <c r="H382" s="6">
        <v>751100</v>
      </c>
      <c r="I382" s="6">
        <v>60088</v>
      </c>
      <c r="J382" s="6">
        <v>691012</v>
      </c>
      <c r="K382" s="6">
        <v>557960</v>
      </c>
      <c r="L382" s="6">
        <v>133052</v>
      </c>
      <c r="M382" s="1">
        <v>41579</v>
      </c>
      <c r="N382">
        <v>11</v>
      </c>
      <c r="O382" t="s">
        <v>39</v>
      </c>
      <c r="P382">
        <v>2013</v>
      </c>
    </row>
    <row r="383" spans="1:16" hidden="1">
      <c r="A383" t="s">
        <v>16</v>
      </c>
      <c r="B383" t="s">
        <v>25</v>
      </c>
      <c r="C383" t="s">
        <v>37</v>
      </c>
      <c r="D383" t="s">
        <v>46</v>
      </c>
      <c r="E383" s="5">
        <v>1946</v>
      </c>
      <c r="F383">
        <v>10</v>
      </c>
      <c r="G383">
        <v>7</v>
      </c>
      <c r="H383" s="6">
        <v>13622</v>
      </c>
      <c r="I383" s="6">
        <v>1089.76</v>
      </c>
      <c r="J383" s="6">
        <v>12532.24</v>
      </c>
      <c r="K383" s="6">
        <v>9730</v>
      </c>
      <c r="L383" s="6">
        <v>2802.24</v>
      </c>
      <c r="M383" s="1">
        <v>41609</v>
      </c>
      <c r="N383">
        <v>12</v>
      </c>
      <c r="O383" t="s">
        <v>26</v>
      </c>
      <c r="P383">
        <v>2013</v>
      </c>
    </row>
    <row r="384" spans="1:16" hidden="1">
      <c r="A384" t="s">
        <v>16</v>
      </c>
      <c r="B384" t="s">
        <v>25</v>
      </c>
      <c r="C384" t="s">
        <v>37</v>
      </c>
      <c r="D384" t="s">
        <v>46</v>
      </c>
      <c r="E384" s="5">
        <v>1362</v>
      </c>
      <c r="F384">
        <v>10</v>
      </c>
      <c r="G384">
        <v>350</v>
      </c>
      <c r="H384" s="6">
        <v>476700</v>
      </c>
      <c r="I384" s="6">
        <v>38136</v>
      </c>
      <c r="J384" s="6">
        <v>438564</v>
      </c>
      <c r="K384" s="6">
        <v>354120</v>
      </c>
      <c r="L384" s="6">
        <v>84444</v>
      </c>
      <c r="M384" s="1">
        <v>41974</v>
      </c>
      <c r="N384">
        <v>12</v>
      </c>
      <c r="O384" t="s">
        <v>26</v>
      </c>
      <c r="P384">
        <v>2014</v>
      </c>
    </row>
    <row r="385" spans="1:16" hidden="1">
      <c r="A385" t="s">
        <v>29</v>
      </c>
      <c r="B385" t="s">
        <v>17</v>
      </c>
      <c r="C385" t="s">
        <v>40</v>
      </c>
      <c r="D385" t="s">
        <v>46</v>
      </c>
      <c r="E385" s="5">
        <v>598</v>
      </c>
      <c r="F385">
        <v>120</v>
      </c>
      <c r="G385">
        <v>12</v>
      </c>
      <c r="H385" s="6">
        <v>7176</v>
      </c>
      <c r="I385">
        <v>574.08000000000004</v>
      </c>
      <c r="J385" s="6">
        <v>6601.92</v>
      </c>
      <c r="K385" s="6">
        <v>1794</v>
      </c>
      <c r="L385" s="6">
        <v>4807.92</v>
      </c>
      <c r="M385" s="1">
        <v>41699</v>
      </c>
      <c r="N385">
        <v>3</v>
      </c>
      <c r="O385" t="s">
        <v>28</v>
      </c>
      <c r="P385">
        <v>2014</v>
      </c>
    </row>
    <row r="386" spans="1:16" hidden="1">
      <c r="A386" t="s">
        <v>16</v>
      </c>
      <c r="B386" t="s">
        <v>36</v>
      </c>
      <c r="C386" t="s">
        <v>40</v>
      </c>
      <c r="D386" t="s">
        <v>46</v>
      </c>
      <c r="E386" s="5">
        <v>2907</v>
      </c>
      <c r="F386">
        <v>120</v>
      </c>
      <c r="G386">
        <v>7</v>
      </c>
      <c r="H386" s="6">
        <v>20349</v>
      </c>
      <c r="I386" s="6">
        <v>1627.92</v>
      </c>
      <c r="J386" s="6">
        <v>18721.080000000002</v>
      </c>
      <c r="K386" s="6">
        <v>14535</v>
      </c>
      <c r="L386" s="6">
        <v>4186.08</v>
      </c>
      <c r="M386" s="1">
        <v>41791</v>
      </c>
      <c r="N386">
        <v>6</v>
      </c>
      <c r="O386" t="s">
        <v>24</v>
      </c>
      <c r="P386">
        <v>2014</v>
      </c>
    </row>
    <row r="387" spans="1:16" hidden="1">
      <c r="A387" t="s">
        <v>16</v>
      </c>
      <c r="B387" t="s">
        <v>21</v>
      </c>
      <c r="C387" t="s">
        <v>40</v>
      </c>
      <c r="D387" t="s">
        <v>46</v>
      </c>
      <c r="E387" s="5">
        <v>2338</v>
      </c>
      <c r="F387">
        <v>120</v>
      </c>
      <c r="G387">
        <v>7</v>
      </c>
      <c r="H387" s="6">
        <v>16366</v>
      </c>
      <c r="I387" s="6">
        <v>1309.28</v>
      </c>
      <c r="J387" s="6">
        <v>15056.72</v>
      </c>
      <c r="K387" s="6">
        <v>11690</v>
      </c>
      <c r="L387" s="6">
        <v>3366.72</v>
      </c>
      <c r="M387" s="1">
        <v>41791</v>
      </c>
      <c r="N387">
        <v>6</v>
      </c>
      <c r="O387" t="s">
        <v>24</v>
      </c>
      <c r="P387">
        <v>2014</v>
      </c>
    </row>
    <row r="388" spans="1:16" hidden="1">
      <c r="A388" t="s">
        <v>32</v>
      </c>
      <c r="B388" t="s">
        <v>23</v>
      </c>
      <c r="C388" t="s">
        <v>40</v>
      </c>
      <c r="D388" t="s">
        <v>46</v>
      </c>
      <c r="E388" s="5">
        <v>386</v>
      </c>
      <c r="F388">
        <v>120</v>
      </c>
      <c r="G388">
        <v>300</v>
      </c>
      <c r="H388" s="6">
        <v>115800</v>
      </c>
      <c r="I388" s="6">
        <v>9264</v>
      </c>
      <c r="J388" s="6">
        <v>106536</v>
      </c>
      <c r="K388" s="6">
        <v>96500</v>
      </c>
      <c r="L388" s="6">
        <v>10036</v>
      </c>
      <c r="M388" s="1">
        <v>41579</v>
      </c>
      <c r="N388">
        <v>11</v>
      </c>
      <c r="O388" t="s">
        <v>39</v>
      </c>
      <c r="P388">
        <v>2013</v>
      </c>
    </row>
    <row r="389" spans="1:16" hidden="1">
      <c r="A389" t="s">
        <v>32</v>
      </c>
      <c r="B389" t="s">
        <v>25</v>
      </c>
      <c r="C389" t="s">
        <v>40</v>
      </c>
      <c r="D389" t="s">
        <v>46</v>
      </c>
      <c r="E389" s="5">
        <v>635</v>
      </c>
      <c r="F389">
        <v>120</v>
      </c>
      <c r="G389">
        <v>300</v>
      </c>
      <c r="H389" s="6">
        <v>190500</v>
      </c>
      <c r="I389" s="6">
        <v>15240</v>
      </c>
      <c r="J389" s="6">
        <v>175260</v>
      </c>
      <c r="K389" s="6">
        <v>158750</v>
      </c>
      <c r="L389" s="6">
        <v>16510</v>
      </c>
      <c r="M389" s="1">
        <v>41974</v>
      </c>
      <c r="N389">
        <v>12</v>
      </c>
      <c r="O389" t="s">
        <v>26</v>
      </c>
      <c r="P389">
        <v>2014</v>
      </c>
    </row>
    <row r="390" spans="1:16">
      <c r="A390" t="s">
        <v>16</v>
      </c>
      <c r="B390" t="s">
        <v>23</v>
      </c>
      <c r="C390" t="s">
        <v>41</v>
      </c>
      <c r="D390" t="s">
        <v>46</v>
      </c>
      <c r="E390" s="5">
        <v>574.5</v>
      </c>
      <c r="F390">
        <v>250</v>
      </c>
      <c r="G390">
        <v>350</v>
      </c>
      <c r="H390" s="6">
        <v>201075</v>
      </c>
      <c r="I390" s="6">
        <v>16086</v>
      </c>
      <c r="J390" s="6">
        <v>184989</v>
      </c>
      <c r="K390" s="6">
        <v>149370</v>
      </c>
      <c r="L390" s="6">
        <v>35619</v>
      </c>
      <c r="M390" s="1">
        <v>41730</v>
      </c>
      <c r="N390">
        <v>4</v>
      </c>
      <c r="O390" t="s">
        <v>42</v>
      </c>
      <c r="P390">
        <v>2014</v>
      </c>
    </row>
    <row r="391" spans="1:16">
      <c r="A391" t="s">
        <v>16</v>
      </c>
      <c r="B391" t="s">
        <v>21</v>
      </c>
      <c r="C391" t="s">
        <v>41</v>
      </c>
      <c r="D391" t="s">
        <v>46</v>
      </c>
      <c r="E391" s="5">
        <v>2338</v>
      </c>
      <c r="F391">
        <v>250</v>
      </c>
      <c r="G391">
        <v>7</v>
      </c>
      <c r="H391" s="6">
        <v>16366</v>
      </c>
      <c r="I391" s="6">
        <v>1309.28</v>
      </c>
      <c r="J391" s="6">
        <v>15056.72</v>
      </c>
      <c r="K391" s="6">
        <v>11690</v>
      </c>
      <c r="L391" s="6">
        <v>3366.72</v>
      </c>
      <c r="M391" s="1">
        <v>41791</v>
      </c>
      <c r="N391">
        <v>6</v>
      </c>
      <c r="O391" t="s">
        <v>24</v>
      </c>
      <c r="P391">
        <v>2014</v>
      </c>
    </row>
    <row r="392" spans="1:16">
      <c r="A392" t="s">
        <v>16</v>
      </c>
      <c r="B392" t="s">
        <v>23</v>
      </c>
      <c r="C392" t="s">
        <v>41</v>
      </c>
      <c r="D392" t="s">
        <v>46</v>
      </c>
      <c r="E392" s="5">
        <v>381</v>
      </c>
      <c r="F392">
        <v>250</v>
      </c>
      <c r="G392">
        <v>350</v>
      </c>
      <c r="H392" s="6">
        <v>133350</v>
      </c>
      <c r="I392" s="6">
        <v>10668</v>
      </c>
      <c r="J392" s="6">
        <v>122682</v>
      </c>
      <c r="K392" s="6">
        <v>99060</v>
      </c>
      <c r="L392" s="6">
        <v>23622</v>
      </c>
      <c r="M392" s="1">
        <v>41852</v>
      </c>
      <c r="N392">
        <v>8</v>
      </c>
      <c r="O392" t="s">
        <v>33</v>
      </c>
      <c r="P392">
        <v>2014</v>
      </c>
    </row>
    <row r="393" spans="1:16">
      <c r="A393" t="s">
        <v>16</v>
      </c>
      <c r="B393" t="s">
        <v>21</v>
      </c>
      <c r="C393" t="s">
        <v>41</v>
      </c>
      <c r="D393" t="s">
        <v>46</v>
      </c>
      <c r="E393" s="5">
        <v>422</v>
      </c>
      <c r="F393">
        <v>250</v>
      </c>
      <c r="G393">
        <v>350</v>
      </c>
      <c r="H393" s="6">
        <v>147700</v>
      </c>
      <c r="I393" s="6">
        <v>11816</v>
      </c>
      <c r="J393" s="6">
        <v>135884</v>
      </c>
      <c r="K393" s="6">
        <v>109720</v>
      </c>
      <c r="L393" s="6">
        <v>26164</v>
      </c>
      <c r="M393" s="1">
        <v>41852</v>
      </c>
      <c r="N393">
        <v>8</v>
      </c>
      <c r="O393" t="s">
        <v>33</v>
      </c>
      <c r="P393">
        <v>2014</v>
      </c>
    </row>
    <row r="394" spans="1:16">
      <c r="A394" t="s">
        <v>32</v>
      </c>
      <c r="B394" t="s">
        <v>17</v>
      </c>
      <c r="C394" t="s">
        <v>41</v>
      </c>
      <c r="D394" t="s">
        <v>46</v>
      </c>
      <c r="E394" s="5">
        <v>2134</v>
      </c>
      <c r="F394">
        <v>250</v>
      </c>
      <c r="G394">
        <v>300</v>
      </c>
      <c r="H394" s="6">
        <v>640200</v>
      </c>
      <c r="I394" s="6">
        <v>51216</v>
      </c>
      <c r="J394" s="6">
        <v>588984</v>
      </c>
      <c r="K394" s="6">
        <v>533500</v>
      </c>
      <c r="L394" s="6">
        <v>55484</v>
      </c>
      <c r="M394" s="1">
        <v>41883</v>
      </c>
      <c r="N394">
        <v>9</v>
      </c>
      <c r="O394" t="s">
        <v>34</v>
      </c>
      <c r="P394">
        <v>2014</v>
      </c>
    </row>
    <row r="395" spans="1:16" hidden="1">
      <c r="A395" t="s">
        <v>32</v>
      </c>
      <c r="B395" t="s">
        <v>36</v>
      </c>
      <c r="C395" t="s">
        <v>41</v>
      </c>
      <c r="D395" t="s">
        <v>46</v>
      </c>
      <c r="E395" s="5">
        <v>808</v>
      </c>
      <c r="F395">
        <v>250</v>
      </c>
      <c r="G395">
        <v>300</v>
      </c>
      <c r="H395" s="6">
        <v>242400</v>
      </c>
      <c r="I395" s="6">
        <v>19392</v>
      </c>
      <c r="J395" s="6">
        <v>223008</v>
      </c>
      <c r="K395" s="6">
        <v>202000</v>
      </c>
      <c r="L395" s="6">
        <v>21008</v>
      </c>
      <c r="M395" s="1">
        <v>41609</v>
      </c>
      <c r="N395">
        <v>12</v>
      </c>
      <c r="O395" t="s">
        <v>26</v>
      </c>
      <c r="P395">
        <v>2013</v>
      </c>
    </row>
    <row r="396" spans="1:16" hidden="1">
      <c r="A396" t="s">
        <v>16</v>
      </c>
      <c r="B396" t="s">
        <v>17</v>
      </c>
      <c r="C396" t="s">
        <v>43</v>
      </c>
      <c r="D396" t="s">
        <v>46</v>
      </c>
      <c r="E396" s="5">
        <v>708</v>
      </c>
      <c r="F396">
        <v>260</v>
      </c>
      <c r="G396">
        <v>20</v>
      </c>
      <c r="H396" s="6">
        <v>14160</v>
      </c>
      <c r="I396" s="6">
        <v>1132.8</v>
      </c>
      <c r="J396" s="6">
        <v>13027.2</v>
      </c>
      <c r="K396" s="6">
        <v>7080</v>
      </c>
      <c r="L396" s="6">
        <v>5947.2</v>
      </c>
      <c r="M396" s="1">
        <v>41791</v>
      </c>
      <c r="N396">
        <v>6</v>
      </c>
      <c r="O396" t="s">
        <v>24</v>
      </c>
      <c r="P396">
        <v>2014</v>
      </c>
    </row>
    <row r="397" spans="1:16" hidden="1">
      <c r="A397" t="s">
        <v>16</v>
      </c>
      <c r="B397" t="s">
        <v>36</v>
      </c>
      <c r="C397" t="s">
        <v>43</v>
      </c>
      <c r="D397" t="s">
        <v>46</v>
      </c>
      <c r="E397" s="5">
        <v>2907</v>
      </c>
      <c r="F397">
        <v>260</v>
      </c>
      <c r="G397">
        <v>7</v>
      </c>
      <c r="H397" s="6">
        <v>20349</v>
      </c>
      <c r="I397" s="6">
        <v>1627.92</v>
      </c>
      <c r="J397" s="6">
        <v>18721.080000000002</v>
      </c>
      <c r="K397" s="6">
        <v>14535</v>
      </c>
      <c r="L397" s="6">
        <v>4186.08</v>
      </c>
      <c r="M397" s="1">
        <v>41791</v>
      </c>
      <c r="N397">
        <v>6</v>
      </c>
      <c r="O397" t="s">
        <v>24</v>
      </c>
      <c r="P397">
        <v>2014</v>
      </c>
    </row>
    <row r="398" spans="1:16" hidden="1">
      <c r="A398" t="s">
        <v>16</v>
      </c>
      <c r="B398" t="s">
        <v>21</v>
      </c>
      <c r="C398" t="s">
        <v>43</v>
      </c>
      <c r="D398" t="s">
        <v>46</v>
      </c>
      <c r="E398" s="5">
        <v>1366</v>
      </c>
      <c r="F398">
        <v>260</v>
      </c>
      <c r="G398">
        <v>20</v>
      </c>
      <c r="H398" s="6">
        <v>27320</v>
      </c>
      <c r="I398" s="6">
        <v>2185.6</v>
      </c>
      <c r="J398" s="6">
        <v>25134.400000000001</v>
      </c>
      <c r="K398" s="6">
        <v>13660</v>
      </c>
      <c r="L398" s="6">
        <v>11474.4</v>
      </c>
      <c r="M398" s="1">
        <v>41791</v>
      </c>
      <c r="N398">
        <v>6</v>
      </c>
      <c r="O398" t="s">
        <v>24</v>
      </c>
      <c r="P398">
        <v>2014</v>
      </c>
    </row>
    <row r="399" spans="1:16" hidden="1">
      <c r="A399" t="s">
        <v>32</v>
      </c>
      <c r="B399" t="s">
        <v>25</v>
      </c>
      <c r="C399" t="s">
        <v>43</v>
      </c>
      <c r="D399" t="s">
        <v>46</v>
      </c>
      <c r="E399" s="5">
        <v>2460</v>
      </c>
      <c r="F399">
        <v>260</v>
      </c>
      <c r="G399">
        <v>300</v>
      </c>
      <c r="H399" s="6">
        <v>738000</v>
      </c>
      <c r="I399" s="6">
        <v>59040</v>
      </c>
      <c r="J399" s="6">
        <v>678960</v>
      </c>
      <c r="K399" s="6">
        <v>615000</v>
      </c>
      <c r="L399" s="6">
        <v>63960</v>
      </c>
      <c r="M399" s="1">
        <v>41791</v>
      </c>
      <c r="N399">
        <v>6</v>
      </c>
      <c r="O399" t="s">
        <v>24</v>
      </c>
      <c r="P399">
        <v>2014</v>
      </c>
    </row>
    <row r="400" spans="1:16" hidden="1">
      <c r="A400" t="s">
        <v>16</v>
      </c>
      <c r="B400" t="s">
        <v>21</v>
      </c>
      <c r="C400" t="s">
        <v>43</v>
      </c>
      <c r="D400" t="s">
        <v>46</v>
      </c>
      <c r="E400" s="5">
        <v>1520</v>
      </c>
      <c r="F400">
        <v>260</v>
      </c>
      <c r="G400">
        <v>20</v>
      </c>
      <c r="H400" s="6">
        <v>30400</v>
      </c>
      <c r="I400" s="6">
        <v>2432</v>
      </c>
      <c r="J400" s="6">
        <v>27968</v>
      </c>
      <c r="K400" s="6">
        <v>15200</v>
      </c>
      <c r="L400" s="6">
        <v>12768</v>
      </c>
      <c r="M400" s="1">
        <v>41944</v>
      </c>
      <c r="N400">
        <v>11</v>
      </c>
      <c r="O400" t="s">
        <v>39</v>
      </c>
      <c r="P400">
        <v>2014</v>
      </c>
    </row>
    <row r="401" spans="1:16" hidden="1">
      <c r="A401" t="s">
        <v>22</v>
      </c>
      <c r="B401" t="s">
        <v>21</v>
      </c>
      <c r="C401" t="s">
        <v>43</v>
      </c>
      <c r="D401" t="s">
        <v>46</v>
      </c>
      <c r="E401" s="5">
        <v>711</v>
      </c>
      <c r="F401">
        <v>260</v>
      </c>
      <c r="G401">
        <v>15</v>
      </c>
      <c r="H401" s="6">
        <v>10665</v>
      </c>
      <c r="I401">
        <v>853.2</v>
      </c>
      <c r="J401" s="6">
        <v>9811.7999999999993</v>
      </c>
      <c r="K401" s="6">
        <v>7110</v>
      </c>
      <c r="L401" s="6">
        <v>2701.8</v>
      </c>
      <c r="M401" s="1">
        <v>41974</v>
      </c>
      <c r="N401">
        <v>12</v>
      </c>
      <c r="O401" t="s">
        <v>26</v>
      </c>
      <c r="P401">
        <v>2014</v>
      </c>
    </row>
    <row r="402" spans="1:16" hidden="1">
      <c r="A402" t="s">
        <v>29</v>
      </c>
      <c r="B402" t="s">
        <v>25</v>
      </c>
      <c r="C402" t="s">
        <v>43</v>
      </c>
      <c r="D402" t="s">
        <v>46</v>
      </c>
      <c r="E402" s="5">
        <v>1375</v>
      </c>
      <c r="F402">
        <v>260</v>
      </c>
      <c r="G402">
        <v>12</v>
      </c>
      <c r="H402" s="6">
        <v>16500</v>
      </c>
      <c r="I402" s="6">
        <v>1320</v>
      </c>
      <c r="J402" s="6">
        <v>15180</v>
      </c>
      <c r="K402" s="6">
        <v>4125</v>
      </c>
      <c r="L402" s="6">
        <v>11055</v>
      </c>
      <c r="M402" s="1">
        <v>41609</v>
      </c>
      <c r="N402">
        <v>12</v>
      </c>
      <c r="O402" t="s">
        <v>26</v>
      </c>
      <c r="P402">
        <v>2013</v>
      </c>
    </row>
    <row r="403" spans="1:16" hidden="1">
      <c r="A403" t="s">
        <v>32</v>
      </c>
      <c r="B403" t="s">
        <v>25</v>
      </c>
      <c r="C403" t="s">
        <v>43</v>
      </c>
      <c r="D403" t="s">
        <v>46</v>
      </c>
      <c r="E403" s="5">
        <v>635</v>
      </c>
      <c r="F403">
        <v>260</v>
      </c>
      <c r="G403">
        <v>300</v>
      </c>
      <c r="H403" s="6">
        <v>190500</v>
      </c>
      <c r="I403" s="6">
        <v>15240</v>
      </c>
      <c r="J403" s="6">
        <v>175260</v>
      </c>
      <c r="K403" s="6">
        <v>158750</v>
      </c>
      <c r="L403" s="6">
        <v>16510</v>
      </c>
      <c r="M403" s="1">
        <v>41974</v>
      </c>
      <c r="N403">
        <v>12</v>
      </c>
      <c r="O403" t="s">
        <v>26</v>
      </c>
      <c r="P403">
        <v>2014</v>
      </c>
    </row>
    <row r="404" spans="1:16">
      <c r="A404" t="s">
        <v>16</v>
      </c>
      <c r="B404" t="s">
        <v>36</v>
      </c>
      <c r="C404" t="s">
        <v>41</v>
      </c>
      <c r="D404" t="s">
        <v>46</v>
      </c>
      <c r="E404" s="5">
        <v>436.5</v>
      </c>
      <c r="F404">
        <v>250</v>
      </c>
      <c r="G404">
        <v>20</v>
      </c>
      <c r="H404" s="6">
        <v>8730</v>
      </c>
      <c r="I404">
        <v>698.4</v>
      </c>
      <c r="J404" s="6">
        <v>8031.6</v>
      </c>
      <c r="K404" s="6">
        <v>4365</v>
      </c>
      <c r="L404" s="6">
        <v>3666.6</v>
      </c>
      <c r="M404" s="1">
        <v>41821</v>
      </c>
      <c r="N404">
        <v>7</v>
      </c>
      <c r="O404" t="s">
        <v>31</v>
      </c>
      <c r="P404">
        <v>2014</v>
      </c>
    </row>
    <row r="405" spans="1:16" hidden="1">
      <c r="A405" t="s">
        <v>32</v>
      </c>
      <c r="B405" t="s">
        <v>17</v>
      </c>
      <c r="C405" t="s">
        <v>18</v>
      </c>
      <c r="D405" t="s">
        <v>46</v>
      </c>
      <c r="E405" s="5">
        <v>1094</v>
      </c>
      <c r="F405">
        <v>3</v>
      </c>
      <c r="G405">
        <v>300</v>
      </c>
      <c r="H405" s="6">
        <v>328200</v>
      </c>
      <c r="I405" s="6">
        <v>29538</v>
      </c>
      <c r="J405" s="6">
        <v>298662</v>
      </c>
      <c r="K405" s="6">
        <v>273500</v>
      </c>
      <c r="L405" s="6">
        <v>25162</v>
      </c>
      <c r="M405" s="1">
        <v>41791</v>
      </c>
      <c r="N405">
        <v>6</v>
      </c>
      <c r="O405" t="s">
        <v>24</v>
      </c>
      <c r="P405">
        <v>2014</v>
      </c>
    </row>
    <row r="406" spans="1:16" hidden="1">
      <c r="A406" t="s">
        <v>29</v>
      </c>
      <c r="B406" t="s">
        <v>25</v>
      </c>
      <c r="C406" t="s">
        <v>18</v>
      </c>
      <c r="D406" t="s">
        <v>46</v>
      </c>
      <c r="E406" s="5">
        <v>367</v>
      </c>
      <c r="F406">
        <v>3</v>
      </c>
      <c r="G406">
        <v>12</v>
      </c>
      <c r="H406" s="6">
        <v>4404</v>
      </c>
      <c r="I406">
        <v>396.36</v>
      </c>
      <c r="J406" s="6">
        <v>4007.64</v>
      </c>
      <c r="K406" s="6">
        <v>1101</v>
      </c>
      <c r="L406" s="6">
        <v>2906.64</v>
      </c>
      <c r="M406" s="1">
        <v>41548</v>
      </c>
      <c r="N406">
        <v>10</v>
      </c>
      <c r="O406" t="s">
        <v>35</v>
      </c>
      <c r="P406">
        <v>2013</v>
      </c>
    </row>
    <row r="407" spans="1:16" hidden="1">
      <c r="A407" t="s">
        <v>32</v>
      </c>
      <c r="B407" t="s">
        <v>17</v>
      </c>
      <c r="C407" t="s">
        <v>27</v>
      </c>
      <c r="D407" t="s">
        <v>46</v>
      </c>
      <c r="E407" s="5">
        <v>3802.5</v>
      </c>
      <c r="F407">
        <v>5</v>
      </c>
      <c r="G407">
        <v>300</v>
      </c>
      <c r="H407" s="6">
        <v>1140750</v>
      </c>
      <c r="I407" s="6">
        <v>102667.5</v>
      </c>
      <c r="J407" s="6">
        <v>1038082.5</v>
      </c>
      <c r="K407" s="6">
        <v>950625</v>
      </c>
      <c r="L407" s="6">
        <v>87457.5</v>
      </c>
      <c r="M407" s="1">
        <v>41730</v>
      </c>
      <c r="N407">
        <v>4</v>
      </c>
      <c r="O407" t="s">
        <v>42</v>
      </c>
      <c r="P407">
        <v>2014</v>
      </c>
    </row>
    <row r="408" spans="1:16" hidden="1">
      <c r="A408" t="s">
        <v>16</v>
      </c>
      <c r="B408" t="s">
        <v>23</v>
      </c>
      <c r="C408" t="s">
        <v>27</v>
      </c>
      <c r="D408" t="s">
        <v>46</v>
      </c>
      <c r="E408" s="5">
        <v>1666</v>
      </c>
      <c r="F408">
        <v>5</v>
      </c>
      <c r="G408">
        <v>350</v>
      </c>
      <c r="H408" s="6">
        <v>583100</v>
      </c>
      <c r="I408" s="6">
        <v>52479</v>
      </c>
      <c r="J408" s="6">
        <v>530621</v>
      </c>
      <c r="K408" s="6">
        <v>433160</v>
      </c>
      <c r="L408" s="6">
        <v>97461</v>
      </c>
      <c r="M408" s="1">
        <v>41760</v>
      </c>
      <c r="N408">
        <v>5</v>
      </c>
      <c r="O408" t="s">
        <v>45</v>
      </c>
      <c r="P408">
        <v>2014</v>
      </c>
    </row>
    <row r="409" spans="1:16" hidden="1">
      <c r="A409" t="s">
        <v>32</v>
      </c>
      <c r="B409" t="s">
        <v>23</v>
      </c>
      <c r="C409" t="s">
        <v>27</v>
      </c>
      <c r="D409" t="s">
        <v>46</v>
      </c>
      <c r="E409" s="5">
        <v>322</v>
      </c>
      <c r="F409">
        <v>5</v>
      </c>
      <c r="G409">
        <v>300</v>
      </c>
      <c r="H409" s="6">
        <v>96600</v>
      </c>
      <c r="I409" s="6">
        <v>8694</v>
      </c>
      <c r="J409" s="6">
        <v>87906</v>
      </c>
      <c r="K409" s="6">
        <v>80500</v>
      </c>
      <c r="L409" s="6">
        <v>7406</v>
      </c>
      <c r="M409" s="1">
        <v>41518</v>
      </c>
      <c r="N409">
        <v>9</v>
      </c>
      <c r="O409" t="s">
        <v>34</v>
      </c>
      <c r="P409">
        <v>2013</v>
      </c>
    </row>
    <row r="410" spans="1:16" hidden="1">
      <c r="A410" t="s">
        <v>29</v>
      </c>
      <c r="B410" t="s">
        <v>17</v>
      </c>
      <c r="C410" t="s">
        <v>27</v>
      </c>
      <c r="D410" t="s">
        <v>46</v>
      </c>
      <c r="E410" s="5">
        <v>2321</v>
      </c>
      <c r="F410">
        <v>5</v>
      </c>
      <c r="G410">
        <v>12</v>
      </c>
      <c r="H410" s="6">
        <v>27852</v>
      </c>
      <c r="I410" s="6">
        <v>2506.6799999999998</v>
      </c>
      <c r="J410" s="6">
        <v>25345.32</v>
      </c>
      <c r="K410" s="6">
        <v>6963</v>
      </c>
      <c r="L410" s="6">
        <v>18382.32</v>
      </c>
      <c r="M410" s="1">
        <v>41944</v>
      </c>
      <c r="N410">
        <v>11</v>
      </c>
      <c r="O410" t="s">
        <v>39</v>
      </c>
      <c r="P410">
        <v>2014</v>
      </c>
    </row>
    <row r="411" spans="1:16" hidden="1">
      <c r="A411" t="s">
        <v>30</v>
      </c>
      <c r="B411" t="s">
        <v>23</v>
      </c>
      <c r="C411" t="s">
        <v>27</v>
      </c>
      <c r="D411" t="s">
        <v>46</v>
      </c>
      <c r="E411" s="5">
        <v>1857</v>
      </c>
      <c r="F411">
        <v>5</v>
      </c>
      <c r="G411">
        <v>125</v>
      </c>
      <c r="H411" s="6">
        <v>232125</v>
      </c>
      <c r="I411" s="6">
        <v>20891.25</v>
      </c>
      <c r="J411" s="6">
        <v>211233.75</v>
      </c>
      <c r="K411" s="6">
        <v>222840</v>
      </c>
      <c r="L411" s="6">
        <v>-11606.25</v>
      </c>
      <c r="M411" s="1">
        <v>41579</v>
      </c>
      <c r="N411">
        <v>11</v>
      </c>
      <c r="O411" t="s">
        <v>39</v>
      </c>
      <c r="P411">
        <v>2013</v>
      </c>
    </row>
    <row r="412" spans="1:16" hidden="1">
      <c r="A412" t="s">
        <v>16</v>
      </c>
      <c r="B412" t="s">
        <v>17</v>
      </c>
      <c r="C412" t="s">
        <v>27</v>
      </c>
      <c r="D412" t="s">
        <v>46</v>
      </c>
      <c r="E412" s="5">
        <v>1611</v>
      </c>
      <c r="F412">
        <v>5</v>
      </c>
      <c r="G412">
        <v>7</v>
      </c>
      <c r="H412" s="6">
        <v>11277</v>
      </c>
      <c r="I412" s="6">
        <v>1014.93</v>
      </c>
      <c r="J412" s="6">
        <v>10262.07</v>
      </c>
      <c r="K412" s="6">
        <v>8055</v>
      </c>
      <c r="L412" s="6">
        <v>2207.0700000000002</v>
      </c>
      <c r="M412" s="1">
        <v>41609</v>
      </c>
      <c r="N412">
        <v>12</v>
      </c>
      <c r="O412" t="s">
        <v>26</v>
      </c>
      <c r="P412">
        <v>2013</v>
      </c>
    </row>
    <row r="413" spans="1:16" hidden="1">
      <c r="A413" t="s">
        <v>30</v>
      </c>
      <c r="B413" t="s">
        <v>36</v>
      </c>
      <c r="C413" t="s">
        <v>27</v>
      </c>
      <c r="D413" t="s">
        <v>46</v>
      </c>
      <c r="E413" s="5">
        <v>2797</v>
      </c>
      <c r="F413">
        <v>5</v>
      </c>
      <c r="G413">
        <v>125</v>
      </c>
      <c r="H413" s="6">
        <v>349625</v>
      </c>
      <c r="I413" s="6">
        <v>31466.25</v>
      </c>
      <c r="J413" s="6">
        <v>318158.75</v>
      </c>
      <c r="K413" s="6">
        <v>335640</v>
      </c>
      <c r="L413" s="6">
        <v>-17481.25</v>
      </c>
      <c r="M413" s="1">
        <v>41974</v>
      </c>
      <c r="N413">
        <v>12</v>
      </c>
      <c r="O413" t="s">
        <v>26</v>
      </c>
      <c r="P413">
        <v>2014</v>
      </c>
    </row>
    <row r="414" spans="1:16" hidden="1">
      <c r="A414" t="s">
        <v>32</v>
      </c>
      <c r="B414" t="s">
        <v>21</v>
      </c>
      <c r="C414" t="s">
        <v>27</v>
      </c>
      <c r="D414" t="s">
        <v>46</v>
      </c>
      <c r="E414" s="5">
        <v>334</v>
      </c>
      <c r="F414">
        <v>5</v>
      </c>
      <c r="G414">
        <v>300</v>
      </c>
      <c r="H414" s="6">
        <v>100200</v>
      </c>
      <c r="I414" s="6">
        <v>9018</v>
      </c>
      <c r="J414" s="6">
        <v>91182</v>
      </c>
      <c r="K414" s="6">
        <v>83500</v>
      </c>
      <c r="L414" s="6">
        <v>7682</v>
      </c>
      <c r="M414" s="1">
        <v>41609</v>
      </c>
      <c r="N414">
        <v>12</v>
      </c>
      <c r="O414" t="s">
        <v>26</v>
      </c>
      <c r="P414">
        <v>2013</v>
      </c>
    </row>
    <row r="415" spans="1:16" hidden="1">
      <c r="A415" t="s">
        <v>32</v>
      </c>
      <c r="B415" t="s">
        <v>25</v>
      </c>
      <c r="C415" t="s">
        <v>37</v>
      </c>
      <c r="D415" t="s">
        <v>46</v>
      </c>
      <c r="E415" s="5">
        <v>2565</v>
      </c>
      <c r="F415">
        <v>10</v>
      </c>
      <c r="G415">
        <v>300</v>
      </c>
      <c r="H415" s="6">
        <v>769500</v>
      </c>
      <c r="I415" s="6">
        <v>69255</v>
      </c>
      <c r="J415" s="6">
        <v>700245</v>
      </c>
      <c r="K415" s="6">
        <v>641250</v>
      </c>
      <c r="L415" s="6">
        <v>58995</v>
      </c>
      <c r="M415" s="1">
        <v>41640</v>
      </c>
      <c r="N415">
        <v>1</v>
      </c>
      <c r="O415" t="s">
        <v>20</v>
      </c>
      <c r="P415">
        <v>2014</v>
      </c>
    </row>
    <row r="416" spans="1:16" hidden="1">
      <c r="A416" t="s">
        <v>16</v>
      </c>
      <c r="B416" t="s">
        <v>25</v>
      </c>
      <c r="C416" t="s">
        <v>37</v>
      </c>
      <c r="D416" t="s">
        <v>46</v>
      </c>
      <c r="E416" s="5">
        <v>2417</v>
      </c>
      <c r="F416">
        <v>10</v>
      </c>
      <c r="G416">
        <v>350</v>
      </c>
      <c r="H416" s="6">
        <v>845950</v>
      </c>
      <c r="I416" s="6">
        <v>76135.5</v>
      </c>
      <c r="J416" s="6">
        <v>769814.5</v>
      </c>
      <c r="K416" s="6">
        <v>628420</v>
      </c>
      <c r="L416" s="6">
        <v>141394.5</v>
      </c>
      <c r="M416" s="1">
        <v>41640</v>
      </c>
      <c r="N416">
        <v>1</v>
      </c>
      <c r="O416" t="s">
        <v>20</v>
      </c>
      <c r="P416">
        <v>2014</v>
      </c>
    </row>
    <row r="417" spans="1:16" hidden="1">
      <c r="A417" t="s">
        <v>22</v>
      </c>
      <c r="B417" t="s">
        <v>36</v>
      </c>
      <c r="C417" t="s">
        <v>37</v>
      </c>
      <c r="D417" t="s">
        <v>46</v>
      </c>
      <c r="E417" s="5">
        <v>3675</v>
      </c>
      <c r="F417">
        <v>10</v>
      </c>
      <c r="G417">
        <v>15</v>
      </c>
      <c r="H417" s="6">
        <v>55125</v>
      </c>
      <c r="I417" s="6">
        <v>4961.25</v>
      </c>
      <c r="J417" s="6">
        <v>50163.75</v>
      </c>
      <c r="K417" s="6">
        <v>36750</v>
      </c>
      <c r="L417" s="6">
        <v>13413.75</v>
      </c>
      <c r="M417" s="1">
        <v>41730</v>
      </c>
      <c r="N417">
        <v>4</v>
      </c>
      <c r="O417" t="s">
        <v>42</v>
      </c>
      <c r="P417">
        <v>2014</v>
      </c>
    </row>
    <row r="418" spans="1:16" hidden="1">
      <c r="A418" t="s">
        <v>32</v>
      </c>
      <c r="B418" t="s">
        <v>17</v>
      </c>
      <c r="C418" t="s">
        <v>37</v>
      </c>
      <c r="D418" t="s">
        <v>46</v>
      </c>
      <c r="E418" s="5">
        <v>1094</v>
      </c>
      <c r="F418">
        <v>10</v>
      </c>
      <c r="G418">
        <v>300</v>
      </c>
      <c r="H418" s="6">
        <v>328200</v>
      </c>
      <c r="I418" s="6">
        <v>29538</v>
      </c>
      <c r="J418" s="6">
        <v>298662</v>
      </c>
      <c r="K418" s="6">
        <v>273500</v>
      </c>
      <c r="L418" s="6">
        <v>25162</v>
      </c>
      <c r="M418" s="1">
        <v>41791</v>
      </c>
      <c r="N418">
        <v>6</v>
      </c>
      <c r="O418" t="s">
        <v>24</v>
      </c>
      <c r="P418">
        <v>2014</v>
      </c>
    </row>
    <row r="419" spans="1:16" hidden="1">
      <c r="A419" t="s">
        <v>22</v>
      </c>
      <c r="B419" t="s">
        <v>23</v>
      </c>
      <c r="C419" t="s">
        <v>37</v>
      </c>
      <c r="D419" t="s">
        <v>46</v>
      </c>
      <c r="E419" s="5">
        <v>1227</v>
      </c>
      <c r="F419">
        <v>10</v>
      </c>
      <c r="G419">
        <v>15</v>
      </c>
      <c r="H419" s="6">
        <v>18405</v>
      </c>
      <c r="I419" s="6">
        <v>1656.45</v>
      </c>
      <c r="J419" s="6">
        <v>16748.55</v>
      </c>
      <c r="K419" s="6">
        <v>12270</v>
      </c>
      <c r="L419" s="6">
        <v>4478.55</v>
      </c>
      <c r="M419" s="1">
        <v>41913</v>
      </c>
      <c r="N419">
        <v>10</v>
      </c>
      <c r="O419" t="s">
        <v>35</v>
      </c>
      <c r="P419">
        <v>2014</v>
      </c>
    </row>
    <row r="420" spans="1:16" hidden="1">
      <c r="A420" t="s">
        <v>29</v>
      </c>
      <c r="B420" t="s">
        <v>25</v>
      </c>
      <c r="C420" t="s">
        <v>37</v>
      </c>
      <c r="D420" t="s">
        <v>46</v>
      </c>
      <c r="E420" s="5">
        <v>367</v>
      </c>
      <c r="F420">
        <v>10</v>
      </c>
      <c r="G420">
        <v>12</v>
      </c>
      <c r="H420" s="6">
        <v>4404</v>
      </c>
      <c r="I420">
        <v>396.36</v>
      </c>
      <c r="J420" s="6">
        <v>4007.64</v>
      </c>
      <c r="K420" s="6">
        <v>1101</v>
      </c>
      <c r="L420" s="6">
        <v>2906.64</v>
      </c>
      <c r="M420" s="1">
        <v>41548</v>
      </c>
      <c r="N420">
        <v>10</v>
      </c>
      <c r="O420" t="s">
        <v>35</v>
      </c>
      <c r="P420">
        <v>2013</v>
      </c>
    </row>
    <row r="421" spans="1:16" hidden="1">
      <c r="A421" t="s">
        <v>32</v>
      </c>
      <c r="B421" t="s">
        <v>23</v>
      </c>
      <c r="C421" t="s">
        <v>37</v>
      </c>
      <c r="D421" t="s">
        <v>46</v>
      </c>
      <c r="E421" s="5">
        <v>1324</v>
      </c>
      <c r="F421">
        <v>10</v>
      </c>
      <c r="G421">
        <v>300</v>
      </c>
      <c r="H421" s="6">
        <v>397200</v>
      </c>
      <c r="I421" s="6">
        <v>35748</v>
      </c>
      <c r="J421" s="6">
        <v>361452</v>
      </c>
      <c r="K421" s="6">
        <v>331000</v>
      </c>
      <c r="L421" s="6">
        <v>30452</v>
      </c>
      <c r="M421" s="1">
        <v>41944</v>
      </c>
      <c r="N421">
        <v>11</v>
      </c>
      <c r="O421" t="s">
        <v>39</v>
      </c>
      <c r="P421">
        <v>2014</v>
      </c>
    </row>
    <row r="422" spans="1:16" hidden="1">
      <c r="A422" t="s">
        <v>29</v>
      </c>
      <c r="B422" t="s">
        <v>21</v>
      </c>
      <c r="C422" t="s">
        <v>37</v>
      </c>
      <c r="D422" t="s">
        <v>46</v>
      </c>
      <c r="E422" s="5">
        <v>1775</v>
      </c>
      <c r="F422">
        <v>10</v>
      </c>
      <c r="G422">
        <v>12</v>
      </c>
      <c r="H422" s="6">
        <v>21300</v>
      </c>
      <c r="I422" s="6">
        <v>1917</v>
      </c>
      <c r="J422" s="6">
        <v>19383</v>
      </c>
      <c r="K422" s="6">
        <v>5325</v>
      </c>
      <c r="L422" s="6">
        <v>14058</v>
      </c>
      <c r="M422" s="1">
        <v>41579</v>
      </c>
      <c r="N422">
        <v>11</v>
      </c>
      <c r="O422" t="s">
        <v>39</v>
      </c>
      <c r="P422">
        <v>2013</v>
      </c>
    </row>
    <row r="423" spans="1:16" hidden="1">
      <c r="A423" t="s">
        <v>30</v>
      </c>
      <c r="B423" t="s">
        <v>36</v>
      </c>
      <c r="C423" t="s">
        <v>37</v>
      </c>
      <c r="D423" t="s">
        <v>46</v>
      </c>
      <c r="E423" s="5">
        <v>2797</v>
      </c>
      <c r="F423">
        <v>10</v>
      </c>
      <c r="G423">
        <v>125</v>
      </c>
      <c r="H423" s="6">
        <v>349625</v>
      </c>
      <c r="I423" s="6">
        <v>31466.25</v>
      </c>
      <c r="J423" s="6">
        <v>318158.75</v>
      </c>
      <c r="K423" s="6">
        <v>335640</v>
      </c>
      <c r="L423" s="6">
        <v>-17481.25</v>
      </c>
      <c r="M423" s="1">
        <v>41974</v>
      </c>
      <c r="N423">
        <v>12</v>
      </c>
      <c r="O423" t="s">
        <v>26</v>
      </c>
      <c r="P423">
        <v>2014</v>
      </c>
    </row>
    <row r="424" spans="1:16" hidden="1">
      <c r="A424" t="s">
        <v>22</v>
      </c>
      <c r="B424" t="s">
        <v>25</v>
      </c>
      <c r="C424" t="s">
        <v>40</v>
      </c>
      <c r="D424" t="s">
        <v>46</v>
      </c>
      <c r="E424" s="5">
        <v>245</v>
      </c>
      <c r="F424">
        <v>120</v>
      </c>
      <c r="G424">
        <v>15</v>
      </c>
      <c r="H424" s="6">
        <v>3675</v>
      </c>
      <c r="I424">
        <v>330.75</v>
      </c>
      <c r="J424" s="6">
        <v>3344.25</v>
      </c>
      <c r="K424" s="6">
        <v>2450</v>
      </c>
      <c r="L424">
        <v>894.25</v>
      </c>
      <c r="M424" s="1">
        <v>41760</v>
      </c>
      <c r="N424">
        <v>5</v>
      </c>
      <c r="O424" t="s">
        <v>45</v>
      </c>
      <c r="P424">
        <v>2014</v>
      </c>
    </row>
    <row r="425" spans="1:16" hidden="1">
      <c r="A425" t="s">
        <v>32</v>
      </c>
      <c r="B425" t="s">
        <v>17</v>
      </c>
      <c r="C425" t="s">
        <v>40</v>
      </c>
      <c r="D425" t="s">
        <v>46</v>
      </c>
      <c r="E425" s="5">
        <v>3793.5</v>
      </c>
      <c r="F425">
        <v>120</v>
      </c>
      <c r="G425">
        <v>300</v>
      </c>
      <c r="H425" s="6">
        <v>1138050</v>
      </c>
      <c r="I425" s="6">
        <v>102424.5</v>
      </c>
      <c r="J425" s="6">
        <v>1035625.5</v>
      </c>
      <c r="K425" s="6">
        <v>948375</v>
      </c>
      <c r="L425" s="6">
        <v>87250.5</v>
      </c>
      <c r="M425" s="1">
        <v>41821</v>
      </c>
      <c r="N425">
        <v>7</v>
      </c>
      <c r="O425" t="s">
        <v>31</v>
      </c>
      <c r="P425">
        <v>2014</v>
      </c>
    </row>
    <row r="426" spans="1:16" hidden="1">
      <c r="A426" t="s">
        <v>16</v>
      </c>
      <c r="B426" t="s">
        <v>21</v>
      </c>
      <c r="C426" t="s">
        <v>40</v>
      </c>
      <c r="D426" t="s">
        <v>46</v>
      </c>
      <c r="E426" s="5">
        <v>1307</v>
      </c>
      <c r="F426">
        <v>120</v>
      </c>
      <c r="G426">
        <v>350</v>
      </c>
      <c r="H426" s="6">
        <v>457450</v>
      </c>
      <c r="I426" s="6">
        <v>41170.5</v>
      </c>
      <c r="J426" s="6">
        <v>416279.5</v>
      </c>
      <c r="K426" s="6">
        <v>339820</v>
      </c>
      <c r="L426" s="6">
        <v>76459.5</v>
      </c>
      <c r="M426" s="1">
        <v>41821</v>
      </c>
      <c r="N426">
        <v>7</v>
      </c>
      <c r="O426" t="s">
        <v>31</v>
      </c>
      <c r="P426">
        <v>2014</v>
      </c>
    </row>
    <row r="427" spans="1:16" hidden="1">
      <c r="A427" t="s">
        <v>30</v>
      </c>
      <c r="B427" t="s">
        <v>17</v>
      </c>
      <c r="C427" t="s">
        <v>40</v>
      </c>
      <c r="D427" t="s">
        <v>46</v>
      </c>
      <c r="E427" s="5">
        <v>567</v>
      </c>
      <c r="F427">
        <v>120</v>
      </c>
      <c r="G427">
        <v>125</v>
      </c>
      <c r="H427" s="6">
        <v>70875</v>
      </c>
      <c r="I427" s="6">
        <v>6378.75</v>
      </c>
      <c r="J427" s="6">
        <v>64496.25</v>
      </c>
      <c r="K427" s="6">
        <v>68040</v>
      </c>
      <c r="L427" s="6">
        <v>-3543.75</v>
      </c>
      <c r="M427" s="1">
        <v>41883</v>
      </c>
      <c r="N427">
        <v>9</v>
      </c>
      <c r="O427" t="s">
        <v>34</v>
      </c>
      <c r="P427">
        <v>2014</v>
      </c>
    </row>
    <row r="428" spans="1:16" hidden="1">
      <c r="A428" t="s">
        <v>30</v>
      </c>
      <c r="B428" t="s">
        <v>25</v>
      </c>
      <c r="C428" t="s">
        <v>40</v>
      </c>
      <c r="D428" t="s">
        <v>46</v>
      </c>
      <c r="E428" s="5">
        <v>2110</v>
      </c>
      <c r="F428">
        <v>120</v>
      </c>
      <c r="G428">
        <v>125</v>
      </c>
      <c r="H428" s="6">
        <v>263750</v>
      </c>
      <c r="I428" s="6">
        <v>23737.5</v>
      </c>
      <c r="J428" s="6">
        <v>240012.5</v>
      </c>
      <c r="K428" s="6">
        <v>253200</v>
      </c>
      <c r="L428" s="6">
        <v>-13187.5</v>
      </c>
      <c r="M428" s="1">
        <v>41883</v>
      </c>
      <c r="N428">
        <v>9</v>
      </c>
      <c r="O428" t="s">
        <v>34</v>
      </c>
      <c r="P428">
        <v>2014</v>
      </c>
    </row>
    <row r="429" spans="1:16" hidden="1">
      <c r="A429" t="s">
        <v>16</v>
      </c>
      <c r="B429" t="s">
        <v>17</v>
      </c>
      <c r="C429" t="s">
        <v>40</v>
      </c>
      <c r="D429" t="s">
        <v>46</v>
      </c>
      <c r="E429" s="5">
        <v>1269</v>
      </c>
      <c r="F429">
        <v>120</v>
      </c>
      <c r="G429">
        <v>350</v>
      </c>
      <c r="H429" s="6">
        <v>444150</v>
      </c>
      <c r="I429" s="6">
        <v>39973.5</v>
      </c>
      <c r="J429" s="6">
        <v>404176.5</v>
      </c>
      <c r="K429" s="6">
        <v>329940</v>
      </c>
      <c r="L429" s="6">
        <v>74236.5</v>
      </c>
      <c r="M429" s="1">
        <v>41913</v>
      </c>
      <c r="N429">
        <v>10</v>
      </c>
      <c r="O429" t="s">
        <v>35</v>
      </c>
      <c r="P429">
        <v>2014</v>
      </c>
    </row>
    <row r="430" spans="1:16">
      <c r="A430" t="s">
        <v>29</v>
      </c>
      <c r="B430" t="s">
        <v>36</v>
      </c>
      <c r="C430" t="s">
        <v>41</v>
      </c>
      <c r="D430" t="s">
        <v>46</v>
      </c>
      <c r="E430" s="5">
        <v>1956</v>
      </c>
      <c r="F430">
        <v>250</v>
      </c>
      <c r="G430">
        <v>12</v>
      </c>
      <c r="H430" s="6">
        <v>23472</v>
      </c>
      <c r="I430" s="6">
        <v>2112.48</v>
      </c>
      <c r="J430" s="6">
        <v>21359.52</v>
      </c>
      <c r="K430" s="6">
        <v>5868</v>
      </c>
      <c r="L430" s="6">
        <v>15491.52</v>
      </c>
      <c r="M430" s="1">
        <v>41640</v>
      </c>
      <c r="N430">
        <v>1</v>
      </c>
      <c r="O430" t="s">
        <v>20</v>
      </c>
      <c r="P430">
        <v>2014</v>
      </c>
    </row>
    <row r="431" spans="1:16">
      <c r="A431" t="s">
        <v>32</v>
      </c>
      <c r="B431" t="s">
        <v>21</v>
      </c>
      <c r="C431" t="s">
        <v>41</v>
      </c>
      <c r="D431" t="s">
        <v>46</v>
      </c>
      <c r="E431" s="5">
        <v>2659</v>
      </c>
      <c r="F431">
        <v>250</v>
      </c>
      <c r="G431">
        <v>300</v>
      </c>
      <c r="H431" s="6">
        <v>797700</v>
      </c>
      <c r="I431" s="6">
        <v>71793</v>
      </c>
      <c r="J431" s="6">
        <v>725907</v>
      </c>
      <c r="K431" s="6">
        <v>664750</v>
      </c>
      <c r="L431" s="6">
        <v>61157</v>
      </c>
      <c r="M431" s="1">
        <v>41671</v>
      </c>
      <c r="N431">
        <v>2</v>
      </c>
      <c r="O431" t="s">
        <v>38</v>
      </c>
      <c r="P431">
        <v>2014</v>
      </c>
    </row>
    <row r="432" spans="1:16">
      <c r="A432" t="s">
        <v>16</v>
      </c>
      <c r="B432" t="s">
        <v>36</v>
      </c>
      <c r="C432" t="s">
        <v>41</v>
      </c>
      <c r="D432" t="s">
        <v>46</v>
      </c>
      <c r="E432" s="5">
        <v>1351.5</v>
      </c>
      <c r="F432">
        <v>250</v>
      </c>
      <c r="G432">
        <v>350</v>
      </c>
      <c r="H432" s="6">
        <v>473025</v>
      </c>
      <c r="I432" s="6">
        <v>42572.25</v>
      </c>
      <c r="J432" s="6">
        <v>430452.75</v>
      </c>
      <c r="K432" s="6">
        <v>351390</v>
      </c>
      <c r="L432" s="6">
        <v>79062.75</v>
      </c>
      <c r="M432" s="1">
        <v>41730</v>
      </c>
      <c r="N432">
        <v>4</v>
      </c>
      <c r="O432" t="s">
        <v>42</v>
      </c>
      <c r="P432">
        <v>2014</v>
      </c>
    </row>
    <row r="433" spans="1:16">
      <c r="A433" t="s">
        <v>29</v>
      </c>
      <c r="B433" t="s">
        <v>21</v>
      </c>
      <c r="C433" t="s">
        <v>41</v>
      </c>
      <c r="D433" t="s">
        <v>46</v>
      </c>
      <c r="E433" s="5">
        <v>880</v>
      </c>
      <c r="F433">
        <v>250</v>
      </c>
      <c r="G433">
        <v>12</v>
      </c>
      <c r="H433" s="6">
        <v>10560</v>
      </c>
      <c r="I433">
        <v>950.4</v>
      </c>
      <c r="J433" s="6">
        <v>9609.6</v>
      </c>
      <c r="K433" s="6">
        <v>2640</v>
      </c>
      <c r="L433" s="6">
        <v>6969.6</v>
      </c>
      <c r="M433" s="1">
        <v>41760</v>
      </c>
      <c r="N433">
        <v>5</v>
      </c>
      <c r="O433" t="s">
        <v>45</v>
      </c>
      <c r="P433">
        <v>2014</v>
      </c>
    </row>
    <row r="434" spans="1:16">
      <c r="A434" t="s">
        <v>32</v>
      </c>
      <c r="B434" t="s">
        <v>36</v>
      </c>
      <c r="C434" t="s">
        <v>41</v>
      </c>
      <c r="D434" t="s">
        <v>46</v>
      </c>
      <c r="E434" s="5">
        <v>1867</v>
      </c>
      <c r="F434">
        <v>250</v>
      </c>
      <c r="G434">
        <v>300</v>
      </c>
      <c r="H434" s="6">
        <v>560100</v>
      </c>
      <c r="I434" s="6">
        <v>50409</v>
      </c>
      <c r="J434" s="6">
        <v>509691</v>
      </c>
      <c r="K434" s="6">
        <v>466750</v>
      </c>
      <c r="L434" s="6">
        <v>42941</v>
      </c>
      <c r="M434" s="1">
        <v>41883</v>
      </c>
      <c r="N434">
        <v>9</v>
      </c>
      <c r="O434" t="s">
        <v>34</v>
      </c>
      <c r="P434">
        <v>2014</v>
      </c>
    </row>
    <row r="435" spans="1:16" hidden="1">
      <c r="A435" t="s">
        <v>29</v>
      </c>
      <c r="B435" t="s">
        <v>23</v>
      </c>
      <c r="C435" t="s">
        <v>41</v>
      </c>
      <c r="D435" t="s">
        <v>46</v>
      </c>
      <c r="E435" s="5">
        <v>2234</v>
      </c>
      <c r="F435">
        <v>250</v>
      </c>
      <c r="G435">
        <v>12</v>
      </c>
      <c r="H435" s="6">
        <v>26808</v>
      </c>
      <c r="I435" s="6">
        <v>2412.7199999999998</v>
      </c>
      <c r="J435" s="6">
        <v>24395.279999999999</v>
      </c>
      <c r="K435" s="6">
        <v>6702</v>
      </c>
      <c r="L435" s="6">
        <v>17693.28</v>
      </c>
      <c r="M435" s="1">
        <v>41518</v>
      </c>
      <c r="N435">
        <v>9</v>
      </c>
      <c r="O435" t="s">
        <v>34</v>
      </c>
      <c r="P435">
        <v>2013</v>
      </c>
    </row>
    <row r="436" spans="1:16">
      <c r="A436" t="s">
        <v>22</v>
      </c>
      <c r="B436" t="s">
        <v>23</v>
      </c>
      <c r="C436" t="s">
        <v>41</v>
      </c>
      <c r="D436" t="s">
        <v>46</v>
      </c>
      <c r="E436" s="5">
        <v>1227</v>
      </c>
      <c r="F436">
        <v>250</v>
      </c>
      <c r="G436">
        <v>15</v>
      </c>
      <c r="H436" s="6">
        <v>18405</v>
      </c>
      <c r="I436" s="6">
        <v>1656.45</v>
      </c>
      <c r="J436" s="6">
        <v>16748.55</v>
      </c>
      <c r="K436" s="6">
        <v>12270</v>
      </c>
      <c r="L436" s="6">
        <v>4478.55</v>
      </c>
      <c r="M436" s="1">
        <v>41913</v>
      </c>
      <c r="N436">
        <v>10</v>
      </c>
      <c r="O436" t="s">
        <v>35</v>
      </c>
      <c r="P436">
        <v>2014</v>
      </c>
    </row>
    <row r="437" spans="1:16">
      <c r="A437" t="s">
        <v>30</v>
      </c>
      <c r="B437" t="s">
        <v>25</v>
      </c>
      <c r="C437" t="s">
        <v>41</v>
      </c>
      <c r="D437" t="s">
        <v>46</v>
      </c>
      <c r="E437" s="5">
        <v>877</v>
      </c>
      <c r="F437">
        <v>250</v>
      </c>
      <c r="G437">
        <v>125</v>
      </c>
      <c r="H437" s="6">
        <v>109625</v>
      </c>
      <c r="I437" s="6">
        <v>9866.25</v>
      </c>
      <c r="J437" s="6">
        <v>99758.75</v>
      </c>
      <c r="K437" s="6">
        <v>105240</v>
      </c>
      <c r="L437" s="6">
        <v>-5481.25</v>
      </c>
      <c r="M437" s="1">
        <v>41944</v>
      </c>
      <c r="N437">
        <v>11</v>
      </c>
      <c r="O437" t="s">
        <v>39</v>
      </c>
      <c r="P437">
        <v>2014</v>
      </c>
    </row>
    <row r="438" spans="1:16" hidden="1">
      <c r="A438" t="s">
        <v>16</v>
      </c>
      <c r="B438" t="s">
        <v>36</v>
      </c>
      <c r="C438" t="s">
        <v>43</v>
      </c>
      <c r="D438" t="s">
        <v>46</v>
      </c>
      <c r="E438" s="5">
        <v>2071</v>
      </c>
      <c r="F438">
        <v>260</v>
      </c>
      <c r="G438">
        <v>350</v>
      </c>
      <c r="H438" s="6">
        <v>724850</v>
      </c>
      <c r="I438" s="6">
        <v>65236.5</v>
      </c>
      <c r="J438" s="6">
        <v>659613.5</v>
      </c>
      <c r="K438" s="6">
        <v>538460</v>
      </c>
      <c r="L438" s="6">
        <v>121153.5</v>
      </c>
      <c r="M438" s="1">
        <v>41883</v>
      </c>
      <c r="N438">
        <v>9</v>
      </c>
      <c r="O438" t="s">
        <v>34</v>
      </c>
      <c r="P438">
        <v>2014</v>
      </c>
    </row>
    <row r="439" spans="1:16" hidden="1">
      <c r="A439" t="s">
        <v>16</v>
      </c>
      <c r="B439" t="s">
        <v>17</v>
      </c>
      <c r="C439" t="s">
        <v>43</v>
      </c>
      <c r="D439" t="s">
        <v>46</v>
      </c>
      <c r="E439" s="5">
        <v>1269</v>
      </c>
      <c r="F439">
        <v>260</v>
      </c>
      <c r="G439">
        <v>350</v>
      </c>
      <c r="H439" s="6">
        <v>444150</v>
      </c>
      <c r="I439" s="6">
        <v>39973.5</v>
      </c>
      <c r="J439" s="6">
        <v>404176.5</v>
      </c>
      <c r="K439" s="6">
        <v>329940</v>
      </c>
      <c r="L439" s="6">
        <v>74236.5</v>
      </c>
      <c r="M439" s="1">
        <v>41913</v>
      </c>
      <c r="N439">
        <v>10</v>
      </c>
      <c r="O439" t="s">
        <v>35</v>
      </c>
      <c r="P439">
        <v>2014</v>
      </c>
    </row>
    <row r="440" spans="1:16" hidden="1">
      <c r="A440" t="s">
        <v>22</v>
      </c>
      <c r="B440" t="s">
        <v>21</v>
      </c>
      <c r="C440" t="s">
        <v>43</v>
      </c>
      <c r="D440" t="s">
        <v>46</v>
      </c>
      <c r="E440" s="5">
        <v>970</v>
      </c>
      <c r="F440">
        <v>260</v>
      </c>
      <c r="G440">
        <v>15</v>
      </c>
      <c r="H440" s="6">
        <v>14550</v>
      </c>
      <c r="I440" s="6">
        <v>1309.5</v>
      </c>
      <c r="J440" s="6">
        <v>13240.5</v>
      </c>
      <c r="K440" s="6">
        <v>9700</v>
      </c>
      <c r="L440" s="6">
        <v>3540.5</v>
      </c>
      <c r="M440" s="1">
        <v>41579</v>
      </c>
      <c r="N440">
        <v>11</v>
      </c>
      <c r="O440" t="s">
        <v>39</v>
      </c>
      <c r="P440">
        <v>2013</v>
      </c>
    </row>
    <row r="441" spans="1:16" hidden="1">
      <c r="A441" t="s">
        <v>16</v>
      </c>
      <c r="B441" t="s">
        <v>25</v>
      </c>
      <c r="C441" t="s">
        <v>43</v>
      </c>
      <c r="D441" t="s">
        <v>46</v>
      </c>
      <c r="E441" s="5">
        <v>1694</v>
      </c>
      <c r="F441">
        <v>260</v>
      </c>
      <c r="G441">
        <v>20</v>
      </c>
      <c r="H441" s="6">
        <v>33880</v>
      </c>
      <c r="I441" s="6">
        <v>3049.2</v>
      </c>
      <c r="J441" s="6">
        <v>30830.799999999999</v>
      </c>
      <c r="K441" s="6">
        <v>16940</v>
      </c>
      <c r="L441" s="6">
        <v>13890.8</v>
      </c>
      <c r="M441" s="1">
        <v>41944</v>
      </c>
      <c r="N441">
        <v>11</v>
      </c>
      <c r="O441" t="s">
        <v>39</v>
      </c>
      <c r="P441">
        <v>2014</v>
      </c>
    </row>
    <row r="442" spans="1:16" hidden="1">
      <c r="A442" t="s">
        <v>16</v>
      </c>
      <c r="B442" t="s">
        <v>21</v>
      </c>
      <c r="C442" t="s">
        <v>18</v>
      </c>
      <c r="D442" t="s">
        <v>46</v>
      </c>
      <c r="E442" s="5">
        <v>663</v>
      </c>
      <c r="F442">
        <v>3</v>
      </c>
      <c r="G442">
        <v>20</v>
      </c>
      <c r="H442" s="6">
        <v>13260</v>
      </c>
      <c r="I442" s="6">
        <v>1193.4000000000001</v>
      </c>
      <c r="J442" s="6">
        <v>12066.6</v>
      </c>
      <c r="K442" s="6">
        <v>6630</v>
      </c>
      <c r="L442" s="6">
        <v>5436.6</v>
      </c>
      <c r="M442" s="1">
        <v>41760</v>
      </c>
      <c r="N442">
        <v>5</v>
      </c>
      <c r="O442" t="s">
        <v>45</v>
      </c>
      <c r="P442">
        <v>2014</v>
      </c>
    </row>
    <row r="443" spans="1:16" hidden="1">
      <c r="A443" t="s">
        <v>16</v>
      </c>
      <c r="B443" t="s">
        <v>17</v>
      </c>
      <c r="C443" t="s">
        <v>18</v>
      </c>
      <c r="D443" t="s">
        <v>46</v>
      </c>
      <c r="E443" s="5">
        <v>819</v>
      </c>
      <c r="F443">
        <v>3</v>
      </c>
      <c r="G443">
        <v>7</v>
      </c>
      <c r="H443" s="6">
        <v>5733</v>
      </c>
      <c r="I443">
        <v>515.97</v>
      </c>
      <c r="J443" s="6">
        <v>5217.03</v>
      </c>
      <c r="K443" s="6">
        <v>4095</v>
      </c>
      <c r="L443" s="6">
        <v>1122.03</v>
      </c>
      <c r="M443" s="1">
        <v>41821</v>
      </c>
      <c r="N443">
        <v>7</v>
      </c>
      <c r="O443" t="s">
        <v>31</v>
      </c>
      <c r="P443">
        <v>2014</v>
      </c>
    </row>
    <row r="444" spans="1:16" hidden="1">
      <c r="A444" t="s">
        <v>29</v>
      </c>
      <c r="B444" t="s">
        <v>21</v>
      </c>
      <c r="C444" t="s">
        <v>18</v>
      </c>
      <c r="D444" t="s">
        <v>46</v>
      </c>
      <c r="E444" s="5">
        <v>1580</v>
      </c>
      <c r="F444">
        <v>3</v>
      </c>
      <c r="G444">
        <v>12</v>
      </c>
      <c r="H444" s="6">
        <v>18960</v>
      </c>
      <c r="I444" s="6">
        <v>1706.4</v>
      </c>
      <c r="J444" s="6">
        <v>17253.599999999999</v>
      </c>
      <c r="K444" s="6">
        <v>4740</v>
      </c>
      <c r="L444" s="6">
        <v>12513.6</v>
      </c>
      <c r="M444" s="1">
        <v>41883</v>
      </c>
      <c r="N444">
        <v>9</v>
      </c>
      <c r="O444" t="s">
        <v>34</v>
      </c>
      <c r="P444">
        <v>2014</v>
      </c>
    </row>
    <row r="445" spans="1:16" hidden="1">
      <c r="A445" t="s">
        <v>16</v>
      </c>
      <c r="B445" t="s">
        <v>25</v>
      </c>
      <c r="C445" t="s">
        <v>18</v>
      </c>
      <c r="D445" t="s">
        <v>46</v>
      </c>
      <c r="E445" s="5">
        <v>521</v>
      </c>
      <c r="F445">
        <v>3</v>
      </c>
      <c r="G445">
        <v>7</v>
      </c>
      <c r="H445" s="6">
        <v>3647</v>
      </c>
      <c r="I445">
        <v>328.23</v>
      </c>
      <c r="J445" s="6">
        <v>3318.77</v>
      </c>
      <c r="K445" s="6">
        <v>2605</v>
      </c>
      <c r="L445">
        <v>713.77</v>
      </c>
      <c r="M445" s="1">
        <v>41974</v>
      </c>
      <c r="N445">
        <v>12</v>
      </c>
      <c r="O445" t="s">
        <v>26</v>
      </c>
      <c r="P445">
        <v>2014</v>
      </c>
    </row>
    <row r="446" spans="1:16" hidden="1">
      <c r="A446" t="s">
        <v>16</v>
      </c>
      <c r="B446" t="s">
        <v>36</v>
      </c>
      <c r="C446" t="s">
        <v>37</v>
      </c>
      <c r="D446" t="s">
        <v>46</v>
      </c>
      <c r="E446" s="5">
        <v>973</v>
      </c>
      <c r="F446">
        <v>10</v>
      </c>
      <c r="G446">
        <v>20</v>
      </c>
      <c r="H446" s="6">
        <v>19460</v>
      </c>
      <c r="I446" s="6">
        <v>1751.4</v>
      </c>
      <c r="J446" s="6">
        <v>17708.599999999999</v>
      </c>
      <c r="K446" s="6">
        <v>9730</v>
      </c>
      <c r="L446" s="6">
        <v>7978.6</v>
      </c>
      <c r="M446" s="1">
        <v>41699</v>
      </c>
      <c r="N446">
        <v>3</v>
      </c>
      <c r="O446" t="s">
        <v>28</v>
      </c>
      <c r="P446">
        <v>2014</v>
      </c>
    </row>
    <row r="447" spans="1:16" hidden="1">
      <c r="A447" t="s">
        <v>16</v>
      </c>
      <c r="B447" t="s">
        <v>25</v>
      </c>
      <c r="C447" t="s">
        <v>37</v>
      </c>
      <c r="D447" t="s">
        <v>46</v>
      </c>
      <c r="E447" s="5">
        <v>1038</v>
      </c>
      <c r="F447">
        <v>10</v>
      </c>
      <c r="G447">
        <v>20</v>
      </c>
      <c r="H447" s="6">
        <v>20760</v>
      </c>
      <c r="I447" s="6">
        <v>1868.4</v>
      </c>
      <c r="J447" s="6">
        <v>18891.599999999999</v>
      </c>
      <c r="K447" s="6">
        <v>10380</v>
      </c>
      <c r="L447" s="6">
        <v>8511.6</v>
      </c>
      <c r="M447" s="1">
        <v>41791</v>
      </c>
      <c r="N447">
        <v>6</v>
      </c>
      <c r="O447" t="s">
        <v>24</v>
      </c>
      <c r="P447">
        <v>2014</v>
      </c>
    </row>
    <row r="448" spans="1:16" hidden="1">
      <c r="A448" t="s">
        <v>16</v>
      </c>
      <c r="B448" t="s">
        <v>21</v>
      </c>
      <c r="C448" t="s">
        <v>37</v>
      </c>
      <c r="D448" t="s">
        <v>46</v>
      </c>
      <c r="E448" s="5">
        <v>360</v>
      </c>
      <c r="F448">
        <v>10</v>
      </c>
      <c r="G448">
        <v>7</v>
      </c>
      <c r="H448" s="6">
        <v>2520</v>
      </c>
      <c r="I448">
        <v>226.8</v>
      </c>
      <c r="J448" s="6">
        <v>2293.1999999999998</v>
      </c>
      <c r="K448" s="6">
        <v>1800</v>
      </c>
      <c r="L448">
        <v>493.2</v>
      </c>
      <c r="M448" s="1">
        <v>41913</v>
      </c>
      <c r="N448">
        <v>10</v>
      </c>
      <c r="O448" t="s">
        <v>35</v>
      </c>
      <c r="P448">
        <v>2014</v>
      </c>
    </row>
    <row r="449" spans="1:16" hidden="1">
      <c r="A449" t="s">
        <v>29</v>
      </c>
      <c r="B449" t="s">
        <v>23</v>
      </c>
      <c r="C449" t="s">
        <v>40</v>
      </c>
      <c r="D449" t="s">
        <v>46</v>
      </c>
      <c r="E449" s="5">
        <v>1967</v>
      </c>
      <c r="F449">
        <v>120</v>
      </c>
      <c r="G449">
        <v>12</v>
      </c>
      <c r="H449" s="6">
        <v>23604</v>
      </c>
      <c r="I449" s="6">
        <v>2124.36</v>
      </c>
      <c r="J449" s="6">
        <v>21479.64</v>
      </c>
      <c r="K449" s="6">
        <v>5901</v>
      </c>
      <c r="L449" s="6">
        <v>15578.64</v>
      </c>
      <c r="M449" s="1">
        <v>41699</v>
      </c>
      <c r="N449">
        <v>3</v>
      </c>
      <c r="O449" t="s">
        <v>28</v>
      </c>
      <c r="P449">
        <v>2014</v>
      </c>
    </row>
    <row r="450" spans="1:16" hidden="1">
      <c r="A450" t="s">
        <v>22</v>
      </c>
      <c r="B450" t="s">
        <v>25</v>
      </c>
      <c r="C450" t="s">
        <v>40</v>
      </c>
      <c r="D450" t="s">
        <v>46</v>
      </c>
      <c r="E450" s="5">
        <v>2628</v>
      </c>
      <c r="F450">
        <v>120</v>
      </c>
      <c r="G450">
        <v>15</v>
      </c>
      <c r="H450" s="6">
        <v>39420</v>
      </c>
      <c r="I450" s="6">
        <v>3547.8</v>
      </c>
      <c r="J450" s="6">
        <v>35872.199999999997</v>
      </c>
      <c r="K450" s="6">
        <v>26280</v>
      </c>
      <c r="L450" s="6">
        <v>9592.2000000000007</v>
      </c>
      <c r="M450" s="1">
        <v>41730</v>
      </c>
      <c r="N450">
        <v>4</v>
      </c>
      <c r="O450" t="s">
        <v>42</v>
      </c>
      <c r="P450">
        <v>2014</v>
      </c>
    </row>
    <row r="451" spans="1:16">
      <c r="A451" t="s">
        <v>16</v>
      </c>
      <c r="B451" t="s">
        <v>21</v>
      </c>
      <c r="C451" t="s">
        <v>41</v>
      </c>
      <c r="D451" t="s">
        <v>46</v>
      </c>
      <c r="E451" s="5">
        <v>360</v>
      </c>
      <c r="F451">
        <v>250</v>
      </c>
      <c r="G451">
        <v>7</v>
      </c>
      <c r="H451" s="6">
        <v>2520</v>
      </c>
      <c r="I451">
        <v>226.8</v>
      </c>
      <c r="J451" s="6">
        <v>2293.1999999999998</v>
      </c>
      <c r="K451" s="6">
        <v>1800</v>
      </c>
      <c r="L451">
        <v>493.2</v>
      </c>
      <c r="M451" s="1">
        <v>41913</v>
      </c>
      <c r="N451">
        <v>10</v>
      </c>
      <c r="O451" t="s">
        <v>35</v>
      </c>
      <c r="P451">
        <v>2014</v>
      </c>
    </row>
    <row r="452" spans="1:16" hidden="1">
      <c r="A452" t="s">
        <v>16</v>
      </c>
      <c r="B452" t="s">
        <v>23</v>
      </c>
      <c r="C452" t="s">
        <v>41</v>
      </c>
      <c r="D452" t="s">
        <v>46</v>
      </c>
      <c r="E452" s="5">
        <v>2682</v>
      </c>
      <c r="F452">
        <v>250</v>
      </c>
      <c r="G452">
        <v>20</v>
      </c>
      <c r="H452" s="6">
        <v>53640</v>
      </c>
      <c r="I452" s="6">
        <v>4827.6000000000004</v>
      </c>
      <c r="J452" s="6">
        <v>48812.4</v>
      </c>
      <c r="K452" s="6">
        <v>26820</v>
      </c>
      <c r="L452" s="6">
        <v>21992.400000000001</v>
      </c>
      <c r="M452" s="1">
        <v>41579</v>
      </c>
      <c r="N452">
        <v>11</v>
      </c>
      <c r="O452" t="s">
        <v>39</v>
      </c>
      <c r="P452">
        <v>2013</v>
      </c>
    </row>
    <row r="453" spans="1:16">
      <c r="A453" t="s">
        <v>16</v>
      </c>
      <c r="B453" t="s">
        <v>25</v>
      </c>
      <c r="C453" t="s">
        <v>41</v>
      </c>
      <c r="D453" t="s">
        <v>46</v>
      </c>
      <c r="E453" s="5">
        <v>521</v>
      </c>
      <c r="F453">
        <v>250</v>
      </c>
      <c r="G453">
        <v>7</v>
      </c>
      <c r="H453" s="6">
        <v>3647</v>
      </c>
      <c r="I453">
        <v>328.23</v>
      </c>
      <c r="J453" s="6">
        <v>3318.77</v>
      </c>
      <c r="K453" s="6">
        <v>2605</v>
      </c>
      <c r="L453">
        <v>713.77</v>
      </c>
      <c r="M453" s="1">
        <v>41974</v>
      </c>
      <c r="N453">
        <v>12</v>
      </c>
      <c r="O453" t="s">
        <v>26</v>
      </c>
      <c r="P453">
        <v>2014</v>
      </c>
    </row>
    <row r="454" spans="1:16" hidden="1">
      <c r="A454" t="s">
        <v>16</v>
      </c>
      <c r="B454" t="s">
        <v>25</v>
      </c>
      <c r="C454" t="s">
        <v>43</v>
      </c>
      <c r="D454" t="s">
        <v>46</v>
      </c>
      <c r="E454" s="5">
        <v>1038</v>
      </c>
      <c r="F454">
        <v>260</v>
      </c>
      <c r="G454">
        <v>20</v>
      </c>
      <c r="H454" s="6">
        <v>20760</v>
      </c>
      <c r="I454" s="6">
        <v>1868.4</v>
      </c>
      <c r="J454" s="6">
        <v>18891.599999999999</v>
      </c>
      <c r="K454" s="6">
        <v>10380</v>
      </c>
      <c r="L454" s="6">
        <v>8511.6</v>
      </c>
      <c r="M454" s="1">
        <v>41791</v>
      </c>
      <c r="N454">
        <v>6</v>
      </c>
      <c r="O454" t="s">
        <v>24</v>
      </c>
      <c r="P454">
        <v>2014</v>
      </c>
    </row>
    <row r="455" spans="1:16" hidden="1">
      <c r="A455" t="s">
        <v>22</v>
      </c>
      <c r="B455" t="s">
        <v>17</v>
      </c>
      <c r="C455" t="s">
        <v>43</v>
      </c>
      <c r="D455" t="s">
        <v>46</v>
      </c>
      <c r="E455" s="5">
        <v>1630.5</v>
      </c>
      <c r="F455">
        <v>260</v>
      </c>
      <c r="G455">
        <v>15</v>
      </c>
      <c r="H455" s="6">
        <v>24457.5</v>
      </c>
      <c r="I455" s="6">
        <v>2201.1799999999998</v>
      </c>
      <c r="J455" s="6">
        <v>22256.33</v>
      </c>
      <c r="K455" s="6">
        <v>16305</v>
      </c>
      <c r="L455" s="6">
        <v>5951.33</v>
      </c>
      <c r="M455" s="1">
        <v>41821</v>
      </c>
      <c r="N455">
        <v>7</v>
      </c>
      <c r="O455" t="s">
        <v>31</v>
      </c>
      <c r="P455">
        <v>2014</v>
      </c>
    </row>
    <row r="456" spans="1:16" hidden="1">
      <c r="A456" t="s">
        <v>29</v>
      </c>
      <c r="B456" t="s">
        <v>23</v>
      </c>
      <c r="C456" t="s">
        <v>43</v>
      </c>
      <c r="D456" t="s">
        <v>46</v>
      </c>
      <c r="E456" s="5">
        <v>306</v>
      </c>
      <c r="F456">
        <v>260</v>
      </c>
      <c r="G456">
        <v>12</v>
      </c>
      <c r="H456" s="6">
        <v>3672</v>
      </c>
      <c r="I456">
        <v>330.48</v>
      </c>
      <c r="J456" s="6">
        <v>3341.52</v>
      </c>
      <c r="K456">
        <v>918</v>
      </c>
      <c r="L456" s="6">
        <v>2423.52</v>
      </c>
      <c r="M456" s="1">
        <v>41609</v>
      </c>
      <c r="N456">
        <v>12</v>
      </c>
      <c r="O456" t="s">
        <v>26</v>
      </c>
      <c r="P456">
        <v>2013</v>
      </c>
    </row>
    <row r="457" spans="1:16" hidden="1">
      <c r="A457" t="s">
        <v>29</v>
      </c>
      <c r="B457" t="s">
        <v>36</v>
      </c>
      <c r="C457" t="s">
        <v>18</v>
      </c>
      <c r="D457" t="s">
        <v>47</v>
      </c>
      <c r="E457" s="5">
        <v>386</v>
      </c>
      <c r="F457">
        <v>3</v>
      </c>
      <c r="G457">
        <v>12</v>
      </c>
      <c r="H457" s="6">
        <v>4632</v>
      </c>
      <c r="I457">
        <v>463.2</v>
      </c>
      <c r="J457" s="6">
        <v>4168.8</v>
      </c>
      <c r="K457" s="6">
        <v>1158</v>
      </c>
      <c r="L457" s="6">
        <v>3010.8</v>
      </c>
      <c r="M457" s="1">
        <v>41548</v>
      </c>
      <c r="N457">
        <v>10</v>
      </c>
      <c r="O457" t="s">
        <v>35</v>
      </c>
      <c r="P457">
        <v>2013</v>
      </c>
    </row>
    <row r="458" spans="1:16" hidden="1">
      <c r="A458" t="s">
        <v>16</v>
      </c>
      <c r="B458" t="s">
        <v>36</v>
      </c>
      <c r="C458" t="s">
        <v>27</v>
      </c>
      <c r="D458" t="s">
        <v>47</v>
      </c>
      <c r="E458" s="5">
        <v>2328</v>
      </c>
      <c r="F458">
        <v>5</v>
      </c>
      <c r="G458">
        <v>7</v>
      </c>
      <c r="H458" s="6">
        <v>16296</v>
      </c>
      <c r="I458" s="6">
        <v>1629.6</v>
      </c>
      <c r="J458" s="6">
        <v>14666.4</v>
      </c>
      <c r="K458" s="6">
        <v>11640</v>
      </c>
      <c r="L458" s="6">
        <v>3026.4</v>
      </c>
      <c r="M458" s="1">
        <v>41883</v>
      </c>
      <c r="N458">
        <v>9</v>
      </c>
      <c r="O458" t="s">
        <v>34</v>
      </c>
      <c r="P458">
        <v>2014</v>
      </c>
    </row>
    <row r="459" spans="1:16" hidden="1">
      <c r="A459" t="s">
        <v>29</v>
      </c>
      <c r="B459" t="s">
        <v>36</v>
      </c>
      <c r="C459" t="s">
        <v>37</v>
      </c>
      <c r="D459" t="s">
        <v>47</v>
      </c>
      <c r="E459" s="5">
        <v>386</v>
      </c>
      <c r="F459">
        <v>10</v>
      </c>
      <c r="G459">
        <v>12</v>
      </c>
      <c r="H459" s="6">
        <v>4632</v>
      </c>
      <c r="I459">
        <v>463.2</v>
      </c>
      <c r="J459" s="6">
        <v>4168.8</v>
      </c>
      <c r="K459" s="6">
        <v>1158</v>
      </c>
      <c r="L459" s="6">
        <v>3010.8</v>
      </c>
      <c r="M459" s="1">
        <v>41548</v>
      </c>
      <c r="N459">
        <v>10</v>
      </c>
      <c r="O459" t="s">
        <v>35</v>
      </c>
      <c r="P459">
        <v>2013</v>
      </c>
    </row>
    <row r="460" spans="1:16" hidden="1">
      <c r="A460" t="s">
        <v>30</v>
      </c>
      <c r="B460" t="s">
        <v>36</v>
      </c>
      <c r="C460" t="s">
        <v>18</v>
      </c>
      <c r="D460" t="s">
        <v>47</v>
      </c>
      <c r="E460" s="5">
        <v>3445.5</v>
      </c>
      <c r="F460">
        <v>3</v>
      </c>
      <c r="G460">
        <v>125</v>
      </c>
      <c r="H460" s="6">
        <v>430687.5</v>
      </c>
      <c r="I460" s="6">
        <v>43068.75</v>
      </c>
      <c r="J460" s="6">
        <v>387618.75</v>
      </c>
      <c r="K460" s="6">
        <v>413460</v>
      </c>
      <c r="L460" s="6">
        <v>-25841.25</v>
      </c>
      <c r="M460" s="1">
        <v>41730</v>
      </c>
      <c r="N460">
        <v>4</v>
      </c>
      <c r="O460" t="s">
        <v>42</v>
      </c>
      <c r="P460">
        <v>2014</v>
      </c>
    </row>
    <row r="461" spans="1:16" hidden="1">
      <c r="A461" t="s">
        <v>30</v>
      </c>
      <c r="B461" t="s">
        <v>23</v>
      </c>
      <c r="C461" t="s">
        <v>18</v>
      </c>
      <c r="D461" t="s">
        <v>47</v>
      </c>
      <c r="E461" s="5">
        <v>1482</v>
      </c>
      <c r="F461">
        <v>3</v>
      </c>
      <c r="G461">
        <v>125</v>
      </c>
      <c r="H461" s="6">
        <v>185250</v>
      </c>
      <c r="I461" s="6">
        <v>18525</v>
      </c>
      <c r="J461" s="6">
        <v>166725</v>
      </c>
      <c r="K461" s="6">
        <v>177840</v>
      </c>
      <c r="L461" s="6">
        <v>-11115</v>
      </c>
      <c r="M461" s="1">
        <v>41609</v>
      </c>
      <c r="N461">
        <v>12</v>
      </c>
      <c r="O461" t="s">
        <v>26</v>
      </c>
      <c r="P461">
        <v>2013</v>
      </c>
    </row>
    <row r="462" spans="1:16" hidden="1">
      <c r="A462" t="s">
        <v>16</v>
      </c>
      <c r="B462" t="s">
        <v>36</v>
      </c>
      <c r="C462" t="s">
        <v>27</v>
      </c>
      <c r="D462" t="s">
        <v>47</v>
      </c>
      <c r="E462" s="5">
        <v>2313</v>
      </c>
      <c r="F462">
        <v>5</v>
      </c>
      <c r="G462">
        <v>350</v>
      </c>
      <c r="H462" s="6">
        <v>809550</v>
      </c>
      <c r="I462" s="6">
        <v>80955</v>
      </c>
      <c r="J462" s="6">
        <v>728595</v>
      </c>
      <c r="K462" s="6">
        <v>601380</v>
      </c>
      <c r="L462" s="6">
        <v>127215</v>
      </c>
      <c r="M462" s="1">
        <v>41760</v>
      </c>
      <c r="N462">
        <v>5</v>
      </c>
      <c r="O462" t="s">
        <v>45</v>
      </c>
      <c r="P462">
        <v>2014</v>
      </c>
    </row>
    <row r="463" spans="1:16" hidden="1">
      <c r="A463" t="s">
        <v>30</v>
      </c>
      <c r="B463" t="s">
        <v>36</v>
      </c>
      <c r="C463" t="s">
        <v>27</v>
      </c>
      <c r="D463" t="s">
        <v>47</v>
      </c>
      <c r="E463" s="5">
        <v>1804</v>
      </c>
      <c r="F463">
        <v>5</v>
      </c>
      <c r="G463">
        <v>125</v>
      </c>
      <c r="H463" s="6">
        <v>225500</v>
      </c>
      <c r="I463" s="6">
        <v>22550</v>
      </c>
      <c r="J463" s="6">
        <v>202950</v>
      </c>
      <c r="K463" s="6">
        <v>216480</v>
      </c>
      <c r="L463" s="6">
        <v>-13530</v>
      </c>
      <c r="M463" s="1">
        <v>41579</v>
      </c>
      <c r="N463">
        <v>11</v>
      </c>
      <c r="O463" t="s">
        <v>39</v>
      </c>
      <c r="P463">
        <v>2013</v>
      </c>
    </row>
    <row r="464" spans="1:16" hidden="1">
      <c r="A464" t="s">
        <v>22</v>
      </c>
      <c r="B464" t="s">
        <v>23</v>
      </c>
      <c r="C464" t="s">
        <v>27</v>
      </c>
      <c r="D464" t="s">
        <v>47</v>
      </c>
      <c r="E464" s="5">
        <v>2072</v>
      </c>
      <c r="F464">
        <v>5</v>
      </c>
      <c r="G464">
        <v>15</v>
      </c>
      <c r="H464" s="6">
        <v>31080</v>
      </c>
      <c r="I464" s="6">
        <v>3108</v>
      </c>
      <c r="J464" s="6">
        <v>27972</v>
      </c>
      <c r="K464" s="6">
        <v>20720</v>
      </c>
      <c r="L464" s="6">
        <v>7252</v>
      </c>
      <c r="M464" s="1">
        <v>41974</v>
      </c>
      <c r="N464">
        <v>12</v>
      </c>
      <c r="O464" t="s">
        <v>26</v>
      </c>
      <c r="P464">
        <v>2014</v>
      </c>
    </row>
    <row r="465" spans="1:16" hidden="1">
      <c r="A465" t="s">
        <v>16</v>
      </c>
      <c r="B465" t="s">
        <v>23</v>
      </c>
      <c r="C465" t="s">
        <v>37</v>
      </c>
      <c r="D465" t="s">
        <v>47</v>
      </c>
      <c r="E465" s="5">
        <v>1954</v>
      </c>
      <c r="F465">
        <v>10</v>
      </c>
      <c r="G465">
        <v>20</v>
      </c>
      <c r="H465" s="6">
        <v>39080</v>
      </c>
      <c r="I465" s="6">
        <v>3908</v>
      </c>
      <c r="J465" s="6">
        <v>35172</v>
      </c>
      <c r="K465" s="6">
        <v>19540</v>
      </c>
      <c r="L465" s="6">
        <v>15632</v>
      </c>
      <c r="M465" s="1">
        <v>41699</v>
      </c>
      <c r="N465">
        <v>3</v>
      </c>
      <c r="O465" t="s">
        <v>28</v>
      </c>
      <c r="P465">
        <v>2014</v>
      </c>
    </row>
    <row r="466" spans="1:16" hidden="1">
      <c r="A466" t="s">
        <v>32</v>
      </c>
      <c r="B466" t="s">
        <v>25</v>
      </c>
      <c r="C466" t="s">
        <v>37</v>
      </c>
      <c r="D466" t="s">
        <v>47</v>
      </c>
      <c r="E466" s="5">
        <v>591</v>
      </c>
      <c r="F466">
        <v>10</v>
      </c>
      <c r="G466">
        <v>300</v>
      </c>
      <c r="H466" s="6">
        <v>177300</v>
      </c>
      <c r="I466" s="6">
        <v>17730</v>
      </c>
      <c r="J466" s="6">
        <v>159570</v>
      </c>
      <c r="K466" s="6">
        <v>147750</v>
      </c>
      <c r="L466" s="6">
        <v>11820</v>
      </c>
      <c r="M466" s="1">
        <v>41760</v>
      </c>
      <c r="N466">
        <v>5</v>
      </c>
      <c r="O466" t="s">
        <v>45</v>
      </c>
      <c r="P466">
        <v>2014</v>
      </c>
    </row>
    <row r="467" spans="1:16" hidden="1">
      <c r="A467" t="s">
        <v>22</v>
      </c>
      <c r="B467" t="s">
        <v>23</v>
      </c>
      <c r="C467" t="s">
        <v>37</v>
      </c>
      <c r="D467" t="s">
        <v>47</v>
      </c>
      <c r="E467" s="5">
        <v>2167</v>
      </c>
      <c r="F467">
        <v>10</v>
      </c>
      <c r="G467">
        <v>15</v>
      </c>
      <c r="H467" s="6">
        <v>32505</v>
      </c>
      <c r="I467" s="6">
        <v>3250.5</v>
      </c>
      <c r="J467" s="6">
        <v>29254.5</v>
      </c>
      <c r="K467" s="6">
        <v>21670</v>
      </c>
      <c r="L467" s="6">
        <v>7584.5</v>
      </c>
      <c r="M467" s="1">
        <v>41548</v>
      </c>
      <c r="N467">
        <v>10</v>
      </c>
      <c r="O467" t="s">
        <v>35</v>
      </c>
      <c r="P467">
        <v>2013</v>
      </c>
    </row>
    <row r="468" spans="1:16" hidden="1">
      <c r="A468" t="s">
        <v>16</v>
      </c>
      <c r="B468" t="s">
        <v>21</v>
      </c>
      <c r="C468" t="s">
        <v>37</v>
      </c>
      <c r="D468" t="s">
        <v>47</v>
      </c>
      <c r="E468" s="5">
        <v>241</v>
      </c>
      <c r="F468">
        <v>10</v>
      </c>
      <c r="G468">
        <v>20</v>
      </c>
      <c r="H468" s="6">
        <v>4820</v>
      </c>
      <c r="I468">
        <v>482</v>
      </c>
      <c r="J468" s="6">
        <v>4338</v>
      </c>
      <c r="K468" s="6">
        <v>2410</v>
      </c>
      <c r="L468" s="6">
        <v>1928</v>
      </c>
      <c r="M468" s="1">
        <v>41913</v>
      </c>
      <c r="N468">
        <v>10</v>
      </c>
      <c r="O468" t="s">
        <v>35</v>
      </c>
      <c r="P468">
        <v>2014</v>
      </c>
    </row>
    <row r="469" spans="1:16" hidden="1">
      <c r="A469" t="s">
        <v>22</v>
      </c>
      <c r="B469" t="s">
        <v>21</v>
      </c>
      <c r="C469" t="s">
        <v>40</v>
      </c>
      <c r="D469" t="s">
        <v>47</v>
      </c>
      <c r="E469" s="5">
        <v>681</v>
      </c>
      <c r="F469">
        <v>120</v>
      </c>
      <c r="G469">
        <v>15</v>
      </c>
      <c r="H469" s="6">
        <v>10215</v>
      </c>
      <c r="I469" s="6">
        <v>1021.5</v>
      </c>
      <c r="J469" s="6">
        <v>9193.5</v>
      </c>
      <c r="K469" s="6">
        <v>6810</v>
      </c>
      <c r="L469" s="6">
        <v>2383.5</v>
      </c>
      <c r="M469" s="1">
        <v>41640</v>
      </c>
      <c r="N469">
        <v>1</v>
      </c>
      <c r="O469" t="s">
        <v>20</v>
      </c>
      <c r="P469">
        <v>2014</v>
      </c>
    </row>
    <row r="470" spans="1:16" hidden="1">
      <c r="A470" t="s">
        <v>22</v>
      </c>
      <c r="B470" t="s">
        <v>21</v>
      </c>
      <c r="C470" t="s">
        <v>40</v>
      </c>
      <c r="D470" t="s">
        <v>47</v>
      </c>
      <c r="E470" s="5">
        <v>510</v>
      </c>
      <c r="F470">
        <v>120</v>
      </c>
      <c r="G470">
        <v>15</v>
      </c>
      <c r="H470" s="6">
        <v>7650</v>
      </c>
      <c r="I470">
        <v>765</v>
      </c>
      <c r="J470" s="6">
        <v>6885</v>
      </c>
      <c r="K470" s="6">
        <v>5100</v>
      </c>
      <c r="L470" s="6">
        <v>1785</v>
      </c>
      <c r="M470" s="1">
        <v>41730</v>
      </c>
      <c r="N470">
        <v>4</v>
      </c>
      <c r="O470" t="s">
        <v>42</v>
      </c>
      <c r="P470">
        <v>2014</v>
      </c>
    </row>
    <row r="471" spans="1:16" hidden="1">
      <c r="A471" t="s">
        <v>22</v>
      </c>
      <c r="B471" t="s">
        <v>36</v>
      </c>
      <c r="C471" t="s">
        <v>40</v>
      </c>
      <c r="D471" t="s">
        <v>47</v>
      </c>
      <c r="E471" s="5">
        <v>790</v>
      </c>
      <c r="F471">
        <v>120</v>
      </c>
      <c r="G471">
        <v>15</v>
      </c>
      <c r="H471" s="6">
        <v>11850</v>
      </c>
      <c r="I471" s="6">
        <v>1185</v>
      </c>
      <c r="J471" s="6">
        <v>10665</v>
      </c>
      <c r="K471" s="6">
        <v>7900</v>
      </c>
      <c r="L471" s="6">
        <v>2765</v>
      </c>
      <c r="M471" s="1">
        <v>41760</v>
      </c>
      <c r="N471">
        <v>5</v>
      </c>
      <c r="O471" t="s">
        <v>45</v>
      </c>
      <c r="P471">
        <v>2014</v>
      </c>
    </row>
    <row r="472" spans="1:16" hidden="1">
      <c r="A472" t="s">
        <v>16</v>
      </c>
      <c r="B472" t="s">
        <v>23</v>
      </c>
      <c r="C472" t="s">
        <v>40</v>
      </c>
      <c r="D472" t="s">
        <v>47</v>
      </c>
      <c r="E472" s="5">
        <v>639</v>
      </c>
      <c r="F472">
        <v>120</v>
      </c>
      <c r="G472">
        <v>350</v>
      </c>
      <c r="H472" s="6">
        <v>223650</v>
      </c>
      <c r="I472" s="6">
        <v>22365</v>
      </c>
      <c r="J472" s="6">
        <v>201285</v>
      </c>
      <c r="K472" s="6">
        <v>166140</v>
      </c>
      <c r="L472" s="6">
        <v>35145</v>
      </c>
      <c r="M472" s="1">
        <v>41821</v>
      </c>
      <c r="N472">
        <v>7</v>
      </c>
      <c r="O472" t="s">
        <v>31</v>
      </c>
      <c r="P472">
        <v>2014</v>
      </c>
    </row>
    <row r="473" spans="1:16" hidden="1">
      <c r="A473" t="s">
        <v>30</v>
      </c>
      <c r="B473" t="s">
        <v>36</v>
      </c>
      <c r="C473" t="s">
        <v>40</v>
      </c>
      <c r="D473" t="s">
        <v>47</v>
      </c>
      <c r="E473" s="5">
        <v>1596</v>
      </c>
      <c r="F473">
        <v>120</v>
      </c>
      <c r="G473">
        <v>125</v>
      </c>
      <c r="H473" s="6">
        <v>199500</v>
      </c>
      <c r="I473" s="6">
        <v>19950</v>
      </c>
      <c r="J473" s="6">
        <v>179550</v>
      </c>
      <c r="K473" s="6">
        <v>191520</v>
      </c>
      <c r="L473" s="6">
        <v>-11970</v>
      </c>
      <c r="M473" s="1">
        <v>41883</v>
      </c>
      <c r="N473">
        <v>9</v>
      </c>
      <c r="O473" t="s">
        <v>34</v>
      </c>
      <c r="P473">
        <v>2014</v>
      </c>
    </row>
    <row r="474" spans="1:16" hidden="1">
      <c r="A474" t="s">
        <v>32</v>
      </c>
      <c r="B474" t="s">
        <v>36</v>
      </c>
      <c r="C474" t="s">
        <v>40</v>
      </c>
      <c r="D474" t="s">
        <v>47</v>
      </c>
      <c r="E474" s="5">
        <v>2294</v>
      </c>
      <c r="F474">
        <v>120</v>
      </c>
      <c r="G474">
        <v>300</v>
      </c>
      <c r="H474" s="6">
        <v>688200</v>
      </c>
      <c r="I474" s="6">
        <v>68820</v>
      </c>
      <c r="J474" s="6">
        <v>619380</v>
      </c>
      <c r="K474" s="6">
        <v>573500</v>
      </c>
      <c r="L474" s="6">
        <v>45880</v>
      </c>
      <c r="M474" s="1">
        <v>41548</v>
      </c>
      <c r="N474">
        <v>10</v>
      </c>
      <c r="O474" t="s">
        <v>35</v>
      </c>
      <c r="P474">
        <v>2013</v>
      </c>
    </row>
    <row r="475" spans="1:16" hidden="1">
      <c r="A475" t="s">
        <v>16</v>
      </c>
      <c r="B475" t="s">
        <v>21</v>
      </c>
      <c r="C475" t="s">
        <v>40</v>
      </c>
      <c r="D475" t="s">
        <v>47</v>
      </c>
      <c r="E475" s="5">
        <v>241</v>
      </c>
      <c r="F475">
        <v>120</v>
      </c>
      <c r="G475">
        <v>20</v>
      </c>
      <c r="H475" s="6">
        <v>4820</v>
      </c>
      <c r="I475">
        <v>482</v>
      </c>
      <c r="J475" s="6">
        <v>4338</v>
      </c>
      <c r="K475" s="6">
        <v>2410</v>
      </c>
      <c r="L475" s="6">
        <v>1928</v>
      </c>
      <c r="M475" s="1">
        <v>41913</v>
      </c>
      <c r="N475">
        <v>10</v>
      </c>
      <c r="O475" t="s">
        <v>35</v>
      </c>
      <c r="P475">
        <v>2014</v>
      </c>
    </row>
    <row r="476" spans="1:16" hidden="1">
      <c r="A476" t="s">
        <v>16</v>
      </c>
      <c r="B476" t="s">
        <v>21</v>
      </c>
      <c r="C476" t="s">
        <v>40</v>
      </c>
      <c r="D476" t="s">
        <v>47</v>
      </c>
      <c r="E476" s="5">
        <v>2665</v>
      </c>
      <c r="F476">
        <v>120</v>
      </c>
      <c r="G476">
        <v>7</v>
      </c>
      <c r="H476" s="6">
        <v>18655</v>
      </c>
      <c r="I476" s="6">
        <v>1865.5</v>
      </c>
      <c r="J476" s="6">
        <v>16789.5</v>
      </c>
      <c r="K476" s="6">
        <v>13325</v>
      </c>
      <c r="L476" s="6">
        <v>3464.5</v>
      </c>
      <c r="M476" s="1">
        <v>41944</v>
      </c>
      <c r="N476">
        <v>11</v>
      </c>
      <c r="O476" t="s">
        <v>39</v>
      </c>
      <c r="P476">
        <v>2014</v>
      </c>
    </row>
    <row r="477" spans="1:16" hidden="1">
      <c r="A477" t="s">
        <v>30</v>
      </c>
      <c r="B477" t="s">
        <v>17</v>
      </c>
      <c r="C477" t="s">
        <v>40</v>
      </c>
      <c r="D477" t="s">
        <v>47</v>
      </c>
      <c r="E477" s="5">
        <v>1916</v>
      </c>
      <c r="F477">
        <v>120</v>
      </c>
      <c r="G477">
        <v>125</v>
      </c>
      <c r="H477" s="6">
        <v>239500</v>
      </c>
      <c r="I477" s="6">
        <v>23950</v>
      </c>
      <c r="J477" s="6">
        <v>215550</v>
      </c>
      <c r="K477" s="6">
        <v>229920</v>
      </c>
      <c r="L477" s="6">
        <v>-14370</v>
      </c>
      <c r="M477" s="1">
        <v>41609</v>
      </c>
      <c r="N477">
        <v>12</v>
      </c>
      <c r="O477" t="s">
        <v>26</v>
      </c>
      <c r="P477">
        <v>2013</v>
      </c>
    </row>
    <row r="478" spans="1:16" hidden="1">
      <c r="A478" t="s">
        <v>32</v>
      </c>
      <c r="B478" t="s">
        <v>23</v>
      </c>
      <c r="C478" t="s">
        <v>40</v>
      </c>
      <c r="D478" t="s">
        <v>47</v>
      </c>
      <c r="E478" s="5">
        <v>853</v>
      </c>
      <c r="F478">
        <v>120</v>
      </c>
      <c r="G478">
        <v>300</v>
      </c>
      <c r="H478" s="6">
        <v>255900</v>
      </c>
      <c r="I478" s="6">
        <v>25590</v>
      </c>
      <c r="J478" s="6">
        <v>230310</v>
      </c>
      <c r="K478" s="6">
        <v>213250</v>
      </c>
      <c r="L478" s="6">
        <v>17060</v>
      </c>
      <c r="M478" s="1">
        <v>41974</v>
      </c>
      <c r="N478">
        <v>12</v>
      </c>
      <c r="O478" t="s">
        <v>26</v>
      </c>
      <c r="P478">
        <v>2014</v>
      </c>
    </row>
    <row r="479" spans="1:16">
      <c r="A479" t="s">
        <v>30</v>
      </c>
      <c r="B479" t="s">
        <v>25</v>
      </c>
      <c r="C479" t="s">
        <v>41</v>
      </c>
      <c r="D479" t="s">
        <v>47</v>
      </c>
      <c r="E479" s="5">
        <v>341</v>
      </c>
      <c r="F479">
        <v>250</v>
      </c>
      <c r="G479">
        <v>125</v>
      </c>
      <c r="H479" s="6">
        <v>42625</v>
      </c>
      <c r="I479" s="6">
        <v>4262.5</v>
      </c>
      <c r="J479" s="6">
        <v>38362.5</v>
      </c>
      <c r="K479" s="6">
        <v>40920</v>
      </c>
      <c r="L479" s="6">
        <v>-2557.5</v>
      </c>
      <c r="M479" s="1">
        <v>41760</v>
      </c>
      <c r="N479">
        <v>5</v>
      </c>
      <c r="O479" t="s">
        <v>45</v>
      </c>
      <c r="P479">
        <v>2014</v>
      </c>
    </row>
    <row r="480" spans="1:16">
      <c r="A480" t="s">
        <v>22</v>
      </c>
      <c r="B480" t="s">
        <v>25</v>
      </c>
      <c r="C480" t="s">
        <v>41</v>
      </c>
      <c r="D480" t="s">
        <v>47</v>
      </c>
      <c r="E480" s="5">
        <v>641</v>
      </c>
      <c r="F480">
        <v>250</v>
      </c>
      <c r="G480">
        <v>15</v>
      </c>
      <c r="H480" s="6">
        <v>9615</v>
      </c>
      <c r="I480">
        <v>961.5</v>
      </c>
      <c r="J480" s="6">
        <v>8653.5</v>
      </c>
      <c r="K480" s="6">
        <v>6410</v>
      </c>
      <c r="L480" s="6">
        <v>2243.5</v>
      </c>
      <c r="M480" s="1">
        <v>41821</v>
      </c>
      <c r="N480">
        <v>7</v>
      </c>
      <c r="O480" t="s">
        <v>31</v>
      </c>
      <c r="P480">
        <v>2014</v>
      </c>
    </row>
    <row r="481" spans="1:16">
      <c r="A481" t="s">
        <v>16</v>
      </c>
      <c r="B481" t="s">
        <v>36</v>
      </c>
      <c r="C481" t="s">
        <v>41</v>
      </c>
      <c r="D481" t="s">
        <v>47</v>
      </c>
      <c r="E481" s="5">
        <v>2807</v>
      </c>
      <c r="F481">
        <v>250</v>
      </c>
      <c r="G481">
        <v>350</v>
      </c>
      <c r="H481" s="6">
        <v>982450</v>
      </c>
      <c r="I481" s="6">
        <v>98245</v>
      </c>
      <c r="J481" s="6">
        <v>884205</v>
      </c>
      <c r="K481" s="6">
        <v>729820</v>
      </c>
      <c r="L481" s="6">
        <v>154385</v>
      </c>
      <c r="M481" s="1">
        <v>41852</v>
      </c>
      <c r="N481">
        <v>8</v>
      </c>
      <c r="O481" t="s">
        <v>33</v>
      </c>
      <c r="P481">
        <v>2014</v>
      </c>
    </row>
    <row r="482" spans="1:16">
      <c r="A482" t="s">
        <v>32</v>
      </c>
      <c r="B482" t="s">
        <v>25</v>
      </c>
      <c r="C482" t="s">
        <v>41</v>
      </c>
      <c r="D482" t="s">
        <v>47</v>
      </c>
      <c r="E482" s="5">
        <v>432</v>
      </c>
      <c r="F482">
        <v>250</v>
      </c>
      <c r="G482">
        <v>300</v>
      </c>
      <c r="H482" s="6">
        <v>129600</v>
      </c>
      <c r="I482" s="6">
        <v>12960</v>
      </c>
      <c r="J482" s="6">
        <v>116640</v>
      </c>
      <c r="K482" s="6">
        <v>108000</v>
      </c>
      <c r="L482" s="6">
        <v>8640</v>
      </c>
      <c r="M482" s="1">
        <v>41883</v>
      </c>
      <c r="N482">
        <v>9</v>
      </c>
      <c r="O482" t="s">
        <v>34</v>
      </c>
      <c r="P482">
        <v>2014</v>
      </c>
    </row>
    <row r="483" spans="1:16" hidden="1">
      <c r="A483" t="s">
        <v>32</v>
      </c>
      <c r="B483" t="s">
        <v>36</v>
      </c>
      <c r="C483" t="s">
        <v>41</v>
      </c>
      <c r="D483" t="s">
        <v>47</v>
      </c>
      <c r="E483" s="5">
        <v>2294</v>
      </c>
      <c r="F483">
        <v>250</v>
      </c>
      <c r="G483">
        <v>300</v>
      </c>
      <c r="H483" s="6">
        <v>688200</v>
      </c>
      <c r="I483" s="6">
        <v>68820</v>
      </c>
      <c r="J483" s="6">
        <v>619380</v>
      </c>
      <c r="K483" s="6">
        <v>573500</v>
      </c>
      <c r="L483" s="6">
        <v>45880</v>
      </c>
      <c r="M483" s="1">
        <v>41548</v>
      </c>
      <c r="N483">
        <v>10</v>
      </c>
      <c r="O483" t="s">
        <v>35</v>
      </c>
      <c r="P483">
        <v>2013</v>
      </c>
    </row>
    <row r="484" spans="1:16" hidden="1">
      <c r="A484" t="s">
        <v>22</v>
      </c>
      <c r="B484" t="s">
        <v>23</v>
      </c>
      <c r="C484" t="s">
        <v>41</v>
      </c>
      <c r="D484" t="s">
        <v>47</v>
      </c>
      <c r="E484" s="5">
        <v>2167</v>
      </c>
      <c r="F484">
        <v>250</v>
      </c>
      <c r="G484">
        <v>15</v>
      </c>
      <c r="H484" s="6">
        <v>32505</v>
      </c>
      <c r="I484" s="6">
        <v>3250.5</v>
      </c>
      <c r="J484" s="6">
        <v>29254.5</v>
      </c>
      <c r="K484" s="6">
        <v>21670</v>
      </c>
      <c r="L484" s="6">
        <v>7584.5</v>
      </c>
      <c r="M484" s="1">
        <v>41548</v>
      </c>
      <c r="N484">
        <v>10</v>
      </c>
      <c r="O484" t="s">
        <v>35</v>
      </c>
      <c r="P484">
        <v>2013</v>
      </c>
    </row>
    <row r="485" spans="1:16">
      <c r="A485" t="s">
        <v>30</v>
      </c>
      <c r="B485" t="s">
        <v>17</v>
      </c>
      <c r="C485" t="s">
        <v>41</v>
      </c>
      <c r="D485" t="s">
        <v>47</v>
      </c>
      <c r="E485" s="5">
        <v>2529</v>
      </c>
      <c r="F485">
        <v>250</v>
      </c>
      <c r="G485">
        <v>125</v>
      </c>
      <c r="H485" s="6">
        <v>316125</v>
      </c>
      <c r="I485" s="6">
        <v>31612.5</v>
      </c>
      <c r="J485" s="6">
        <v>284512.5</v>
      </c>
      <c r="K485" s="6">
        <v>303480</v>
      </c>
      <c r="L485" s="6">
        <v>-18967.5</v>
      </c>
      <c r="M485" s="1">
        <v>41944</v>
      </c>
      <c r="N485">
        <v>11</v>
      </c>
      <c r="O485" t="s">
        <v>39</v>
      </c>
      <c r="P485">
        <v>2014</v>
      </c>
    </row>
    <row r="486" spans="1:16" hidden="1">
      <c r="A486" t="s">
        <v>16</v>
      </c>
      <c r="B486" t="s">
        <v>21</v>
      </c>
      <c r="C486" t="s">
        <v>41</v>
      </c>
      <c r="D486" t="s">
        <v>47</v>
      </c>
      <c r="E486" s="5">
        <v>1870</v>
      </c>
      <c r="F486">
        <v>250</v>
      </c>
      <c r="G486">
        <v>350</v>
      </c>
      <c r="H486" s="6">
        <v>654500</v>
      </c>
      <c r="I486" s="6">
        <v>65450</v>
      </c>
      <c r="J486" s="6">
        <v>589050</v>
      </c>
      <c r="K486" s="6">
        <v>486200</v>
      </c>
      <c r="L486" s="6">
        <v>102850</v>
      </c>
      <c r="M486" s="1">
        <v>41609</v>
      </c>
      <c r="N486">
        <v>12</v>
      </c>
      <c r="O486" t="s">
        <v>26</v>
      </c>
      <c r="P486">
        <v>2013</v>
      </c>
    </row>
    <row r="487" spans="1:16" hidden="1">
      <c r="A487" t="s">
        <v>30</v>
      </c>
      <c r="B487" t="s">
        <v>36</v>
      </c>
      <c r="C487" t="s">
        <v>43</v>
      </c>
      <c r="D487" t="s">
        <v>47</v>
      </c>
      <c r="E487" s="5">
        <v>579</v>
      </c>
      <c r="F487">
        <v>260</v>
      </c>
      <c r="G487">
        <v>125</v>
      </c>
      <c r="H487" s="6">
        <v>72375</v>
      </c>
      <c r="I487" s="6">
        <v>7237.5</v>
      </c>
      <c r="J487" s="6">
        <v>65137.5</v>
      </c>
      <c r="K487" s="6">
        <v>69480</v>
      </c>
      <c r="L487" s="6">
        <v>-4342.5</v>
      </c>
      <c r="M487" s="1">
        <v>41640</v>
      </c>
      <c r="N487">
        <v>1</v>
      </c>
      <c r="O487" t="s">
        <v>20</v>
      </c>
      <c r="P487">
        <v>2014</v>
      </c>
    </row>
    <row r="488" spans="1:16" hidden="1">
      <c r="A488" t="s">
        <v>16</v>
      </c>
      <c r="B488" t="s">
        <v>17</v>
      </c>
      <c r="C488" t="s">
        <v>43</v>
      </c>
      <c r="D488" t="s">
        <v>47</v>
      </c>
      <c r="E488" s="5">
        <v>2240</v>
      </c>
      <c r="F488">
        <v>260</v>
      </c>
      <c r="G488">
        <v>350</v>
      </c>
      <c r="H488" s="6">
        <v>784000</v>
      </c>
      <c r="I488" s="6">
        <v>78400</v>
      </c>
      <c r="J488" s="6">
        <v>705600</v>
      </c>
      <c r="K488" s="6">
        <v>582400</v>
      </c>
      <c r="L488" s="6">
        <v>123200</v>
      </c>
      <c r="M488" s="1">
        <v>41671</v>
      </c>
      <c r="N488">
        <v>2</v>
      </c>
      <c r="O488" t="s">
        <v>38</v>
      </c>
      <c r="P488">
        <v>2014</v>
      </c>
    </row>
    <row r="489" spans="1:16" hidden="1">
      <c r="A489" t="s">
        <v>32</v>
      </c>
      <c r="B489" t="s">
        <v>36</v>
      </c>
      <c r="C489" t="s">
        <v>43</v>
      </c>
      <c r="D489" t="s">
        <v>47</v>
      </c>
      <c r="E489" s="5">
        <v>2993</v>
      </c>
      <c r="F489">
        <v>260</v>
      </c>
      <c r="G489">
        <v>300</v>
      </c>
      <c r="H489" s="6">
        <v>897900</v>
      </c>
      <c r="I489" s="6">
        <v>89790</v>
      </c>
      <c r="J489" s="6">
        <v>808110</v>
      </c>
      <c r="K489" s="6">
        <v>748250</v>
      </c>
      <c r="L489" s="6">
        <v>59860</v>
      </c>
      <c r="M489" s="1">
        <v>41699</v>
      </c>
      <c r="N489">
        <v>3</v>
      </c>
      <c r="O489" t="s">
        <v>28</v>
      </c>
      <c r="P489">
        <v>2014</v>
      </c>
    </row>
    <row r="490" spans="1:16" hidden="1">
      <c r="A490" t="s">
        <v>29</v>
      </c>
      <c r="B490" t="s">
        <v>17</v>
      </c>
      <c r="C490" t="s">
        <v>43</v>
      </c>
      <c r="D490" t="s">
        <v>47</v>
      </c>
      <c r="E490" s="5">
        <v>3520.5</v>
      </c>
      <c r="F490">
        <v>260</v>
      </c>
      <c r="G490">
        <v>12</v>
      </c>
      <c r="H490" s="6">
        <v>42246</v>
      </c>
      <c r="I490" s="6">
        <v>4224.6000000000004</v>
      </c>
      <c r="J490" s="6">
        <v>38021.4</v>
      </c>
      <c r="K490" s="6">
        <v>10561.5</v>
      </c>
      <c r="L490" s="6">
        <v>27459.9</v>
      </c>
      <c r="M490" s="1">
        <v>41730</v>
      </c>
      <c r="N490">
        <v>4</v>
      </c>
      <c r="O490" t="s">
        <v>42</v>
      </c>
      <c r="P490">
        <v>2014</v>
      </c>
    </row>
    <row r="491" spans="1:16" hidden="1">
      <c r="A491" t="s">
        <v>16</v>
      </c>
      <c r="B491" t="s">
        <v>25</v>
      </c>
      <c r="C491" t="s">
        <v>43</v>
      </c>
      <c r="D491" t="s">
        <v>47</v>
      </c>
      <c r="E491" s="5">
        <v>2039</v>
      </c>
      <c r="F491">
        <v>260</v>
      </c>
      <c r="G491">
        <v>20</v>
      </c>
      <c r="H491" s="6">
        <v>40780</v>
      </c>
      <c r="I491" s="6">
        <v>4078</v>
      </c>
      <c r="J491" s="6">
        <v>36702</v>
      </c>
      <c r="K491" s="6">
        <v>20390</v>
      </c>
      <c r="L491" s="6">
        <v>16312</v>
      </c>
      <c r="M491" s="1">
        <v>41760</v>
      </c>
      <c r="N491">
        <v>5</v>
      </c>
      <c r="O491" t="s">
        <v>45</v>
      </c>
      <c r="P491">
        <v>2014</v>
      </c>
    </row>
    <row r="492" spans="1:16" hidden="1">
      <c r="A492" t="s">
        <v>29</v>
      </c>
      <c r="B492" t="s">
        <v>21</v>
      </c>
      <c r="C492" t="s">
        <v>43</v>
      </c>
      <c r="D492" t="s">
        <v>47</v>
      </c>
      <c r="E492" s="5">
        <v>2574</v>
      </c>
      <c r="F492">
        <v>260</v>
      </c>
      <c r="G492">
        <v>12</v>
      </c>
      <c r="H492" s="6">
        <v>30888</v>
      </c>
      <c r="I492" s="6">
        <v>3088.8</v>
      </c>
      <c r="J492" s="6">
        <v>27799.200000000001</v>
      </c>
      <c r="K492" s="6">
        <v>7722</v>
      </c>
      <c r="L492" s="6">
        <v>20077.2</v>
      </c>
      <c r="M492" s="1">
        <v>41852</v>
      </c>
      <c r="N492">
        <v>8</v>
      </c>
      <c r="O492" t="s">
        <v>33</v>
      </c>
      <c r="P492">
        <v>2014</v>
      </c>
    </row>
    <row r="493" spans="1:16" hidden="1">
      <c r="A493" t="s">
        <v>16</v>
      </c>
      <c r="B493" t="s">
        <v>17</v>
      </c>
      <c r="C493" t="s">
        <v>43</v>
      </c>
      <c r="D493" t="s">
        <v>47</v>
      </c>
      <c r="E493" s="5">
        <v>707</v>
      </c>
      <c r="F493">
        <v>260</v>
      </c>
      <c r="G493">
        <v>350</v>
      </c>
      <c r="H493" s="6">
        <v>247450</v>
      </c>
      <c r="I493" s="6">
        <v>24745</v>
      </c>
      <c r="J493" s="6">
        <v>222705</v>
      </c>
      <c r="K493" s="6">
        <v>183820</v>
      </c>
      <c r="L493" s="6">
        <v>38885</v>
      </c>
      <c r="M493" s="1">
        <v>41883</v>
      </c>
      <c r="N493">
        <v>9</v>
      </c>
      <c r="O493" t="s">
        <v>34</v>
      </c>
      <c r="P493">
        <v>2014</v>
      </c>
    </row>
    <row r="494" spans="1:16" hidden="1">
      <c r="A494" t="s">
        <v>22</v>
      </c>
      <c r="B494" t="s">
        <v>23</v>
      </c>
      <c r="C494" t="s">
        <v>43</v>
      </c>
      <c r="D494" t="s">
        <v>47</v>
      </c>
      <c r="E494" s="5">
        <v>2072</v>
      </c>
      <c r="F494">
        <v>260</v>
      </c>
      <c r="G494">
        <v>15</v>
      </c>
      <c r="H494" s="6">
        <v>31080</v>
      </c>
      <c r="I494" s="6">
        <v>3108</v>
      </c>
      <c r="J494" s="6">
        <v>27972</v>
      </c>
      <c r="K494" s="6">
        <v>20720</v>
      </c>
      <c r="L494" s="6">
        <v>7252</v>
      </c>
      <c r="M494" s="1">
        <v>41974</v>
      </c>
      <c r="N494">
        <v>12</v>
      </c>
      <c r="O494" t="s">
        <v>26</v>
      </c>
      <c r="P494">
        <v>2014</v>
      </c>
    </row>
    <row r="495" spans="1:16" hidden="1">
      <c r="A495" t="s">
        <v>32</v>
      </c>
      <c r="B495" t="s">
        <v>23</v>
      </c>
      <c r="C495" t="s">
        <v>43</v>
      </c>
      <c r="D495" t="s">
        <v>47</v>
      </c>
      <c r="E495" s="5">
        <v>853</v>
      </c>
      <c r="F495">
        <v>260</v>
      </c>
      <c r="G495">
        <v>300</v>
      </c>
      <c r="H495" s="6">
        <v>255900</v>
      </c>
      <c r="I495" s="6">
        <v>25590</v>
      </c>
      <c r="J495" s="6">
        <v>230310</v>
      </c>
      <c r="K495" s="6">
        <v>213250</v>
      </c>
      <c r="L495" s="6">
        <v>17060</v>
      </c>
      <c r="M495" s="1">
        <v>41974</v>
      </c>
      <c r="N495">
        <v>12</v>
      </c>
      <c r="O495" t="s">
        <v>26</v>
      </c>
      <c r="P495">
        <v>2014</v>
      </c>
    </row>
    <row r="496" spans="1:16" hidden="1">
      <c r="A496" t="s">
        <v>29</v>
      </c>
      <c r="B496" t="s">
        <v>23</v>
      </c>
      <c r="C496" t="s">
        <v>18</v>
      </c>
      <c r="D496" t="s">
        <v>47</v>
      </c>
      <c r="E496" s="5">
        <v>1198</v>
      </c>
      <c r="F496">
        <v>3</v>
      </c>
      <c r="G496">
        <v>12</v>
      </c>
      <c r="H496" s="6">
        <v>14376</v>
      </c>
      <c r="I496" s="6">
        <v>1581.36</v>
      </c>
      <c r="J496" s="6">
        <v>12794.64</v>
      </c>
      <c r="K496" s="6">
        <v>3594</v>
      </c>
      <c r="L496" s="6">
        <v>9200.64</v>
      </c>
      <c r="M496" s="1">
        <v>41548</v>
      </c>
      <c r="N496">
        <v>10</v>
      </c>
      <c r="O496" t="s">
        <v>35</v>
      </c>
      <c r="P496">
        <v>2013</v>
      </c>
    </row>
    <row r="497" spans="1:16" hidden="1">
      <c r="A497" t="s">
        <v>16</v>
      </c>
      <c r="B497" t="s">
        <v>23</v>
      </c>
      <c r="C497" t="s">
        <v>37</v>
      </c>
      <c r="D497" t="s">
        <v>47</v>
      </c>
      <c r="E497" s="5">
        <v>2532</v>
      </c>
      <c r="F497">
        <v>10</v>
      </c>
      <c r="G497">
        <v>7</v>
      </c>
      <c r="H497" s="6">
        <v>17724</v>
      </c>
      <c r="I497" s="6">
        <v>1949.64</v>
      </c>
      <c r="J497" s="6">
        <v>15774.36</v>
      </c>
      <c r="K497" s="6">
        <v>12660</v>
      </c>
      <c r="L497" s="6">
        <v>3114.36</v>
      </c>
      <c r="M497" s="1">
        <v>41730</v>
      </c>
      <c r="N497">
        <v>4</v>
      </c>
      <c r="O497" t="s">
        <v>42</v>
      </c>
      <c r="P497">
        <v>2014</v>
      </c>
    </row>
    <row r="498" spans="1:16" hidden="1">
      <c r="A498" t="s">
        <v>29</v>
      </c>
      <c r="B498" t="s">
        <v>23</v>
      </c>
      <c r="C498" t="s">
        <v>37</v>
      </c>
      <c r="D498" t="s">
        <v>47</v>
      </c>
      <c r="E498" s="5">
        <v>1198</v>
      </c>
      <c r="F498">
        <v>10</v>
      </c>
      <c r="G498">
        <v>12</v>
      </c>
      <c r="H498" s="6">
        <v>14376</v>
      </c>
      <c r="I498" s="6">
        <v>1581.36</v>
      </c>
      <c r="J498" s="6">
        <v>12794.64</v>
      </c>
      <c r="K498" s="6">
        <v>3594</v>
      </c>
      <c r="L498" s="6">
        <v>9200.64</v>
      </c>
      <c r="M498" s="1">
        <v>41548</v>
      </c>
      <c r="N498">
        <v>10</v>
      </c>
      <c r="O498" t="s">
        <v>35</v>
      </c>
      <c r="P498">
        <v>2013</v>
      </c>
    </row>
    <row r="499" spans="1:16" hidden="1">
      <c r="A499" t="s">
        <v>22</v>
      </c>
      <c r="B499" t="s">
        <v>17</v>
      </c>
      <c r="C499" t="s">
        <v>40</v>
      </c>
      <c r="D499" t="s">
        <v>47</v>
      </c>
      <c r="E499" s="5">
        <v>384</v>
      </c>
      <c r="F499">
        <v>120</v>
      </c>
      <c r="G499">
        <v>15</v>
      </c>
      <c r="H499" s="6">
        <v>5760</v>
      </c>
      <c r="I499">
        <v>633.6</v>
      </c>
      <c r="J499" s="6">
        <v>5126.3999999999996</v>
      </c>
      <c r="K499" s="6">
        <v>3840</v>
      </c>
      <c r="L499" s="6">
        <v>1286.4000000000001</v>
      </c>
      <c r="M499" s="1">
        <v>41640</v>
      </c>
      <c r="N499">
        <v>1</v>
      </c>
      <c r="O499" t="s">
        <v>20</v>
      </c>
      <c r="P499">
        <v>2014</v>
      </c>
    </row>
    <row r="500" spans="1:16" hidden="1">
      <c r="A500" t="s">
        <v>29</v>
      </c>
      <c r="B500" t="s">
        <v>21</v>
      </c>
      <c r="C500" t="s">
        <v>40</v>
      </c>
      <c r="D500" t="s">
        <v>47</v>
      </c>
      <c r="E500" s="5">
        <v>472</v>
      </c>
      <c r="F500">
        <v>120</v>
      </c>
      <c r="G500">
        <v>12</v>
      </c>
      <c r="H500" s="6">
        <v>5664</v>
      </c>
      <c r="I500">
        <v>623.04</v>
      </c>
      <c r="J500" s="6">
        <v>5040.96</v>
      </c>
      <c r="K500" s="6">
        <v>1416</v>
      </c>
      <c r="L500" s="6">
        <v>3624.96</v>
      </c>
      <c r="M500" s="1">
        <v>41913</v>
      </c>
      <c r="N500">
        <v>10</v>
      </c>
      <c r="O500" t="s">
        <v>35</v>
      </c>
      <c r="P500">
        <v>2014</v>
      </c>
    </row>
    <row r="501" spans="1:16">
      <c r="A501" t="s">
        <v>16</v>
      </c>
      <c r="B501" t="s">
        <v>36</v>
      </c>
      <c r="C501" t="s">
        <v>41</v>
      </c>
      <c r="D501" t="s">
        <v>47</v>
      </c>
      <c r="E501" s="5">
        <v>1579</v>
      </c>
      <c r="F501">
        <v>250</v>
      </c>
      <c r="G501">
        <v>7</v>
      </c>
      <c r="H501" s="6">
        <v>11053</v>
      </c>
      <c r="I501" s="6">
        <v>1215.83</v>
      </c>
      <c r="J501" s="6">
        <v>9837.17</v>
      </c>
      <c r="K501" s="6">
        <v>7895</v>
      </c>
      <c r="L501" s="6">
        <v>1942.17</v>
      </c>
      <c r="M501" s="1">
        <v>41699</v>
      </c>
      <c r="N501">
        <v>3</v>
      </c>
      <c r="O501" t="s">
        <v>28</v>
      </c>
      <c r="P501">
        <v>2014</v>
      </c>
    </row>
    <row r="502" spans="1:16" hidden="1">
      <c r="A502" t="s">
        <v>29</v>
      </c>
      <c r="B502" t="s">
        <v>25</v>
      </c>
      <c r="C502" t="s">
        <v>41</v>
      </c>
      <c r="D502" t="s">
        <v>47</v>
      </c>
      <c r="E502" s="5">
        <v>1005</v>
      </c>
      <c r="F502">
        <v>250</v>
      </c>
      <c r="G502">
        <v>12</v>
      </c>
      <c r="H502" s="6">
        <v>12060</v>
      </c>
      <c r="I502" s="6">
        <v>1326.6</v>
      </c>
      <c r="J502" s="6">
        <v>10733.4</v>
      </c>
      <c r="K502" s="6">
        <v>3015</v>
      </c>
      <c r="L502" s="6">
        <v>7718.4</v>
      </c>
      <c r="M502" s="1">
        <v>41518</v>
      </c>
      <c r="N502">
        <v>9</v>
      </c>
      <c r="O502" t="s">
        <v>34</v>
      </c>
      <c r="P502">
        <v>2013</v>
      </c>
    </row>
    <row r="503" spans="1:16" hidden="1">
      <c r="A503" t="s">
        <v>22</v>
      </c>
      <c r="B503" t="s">
        <v>36</v>
      </c>
      <c r="C503" t="s">
        <v>43</v>
      </c>
      <c r="D503" t="s">
        <v>47</v>
      </c>
      <c r="E503" s="5">
        <v>3199.5</v>
      </c>
      <c r="F503">
        <v>260</v>
      </c>
      <c r="G503">
        <v>15</v>
      </c>
      <c r="H503" s="6">
        <v>47992.5</v>
      </c>
      <c r="I503" s="6">
        <v>5279.18</v>
      </c>
      <c r="J503" s="6">
        <v>42713.33</v>
      </c>
      <c r="K503" s="6">
        <v>31995</v>
      </c>
      <c r="L503" s="6">
        <v>10718.33</v>
      </c>
      <c r="M503" s="1">
        <v>41821</v>
      </c>
      <c r="N503">
        <v>7</v>
      </c>
      <c r="O503" t="s">
        <v>31</v>
      </c>
      <c r="P503">
        <v>2014</v>
      </c>
    </row>
    <row r="504" spans="1:16" hidden="1">
      <c r="A504" t="s">
        <v>29</v>
      </c>
      <c r="B504" t="s">
        <v>21</v>
      </c>
      <c r="C504" t="s">
        <v>43</v>
      </c>
      <c r="D504" t="s">
        <v>47</v>
      </c>
      <c r="E504" s="5">
        <v>472</v>
      </c>
      <c r="F504">
        <v>260</v>
      </c>
      <c r="G504">
        <v>12</v>
      </c>
      <c r="H504" s="6">
        <v>5664</v>
      </c>
      <c r="I504">
        <v>623.04</v>
      </c>
      <c r="J504" s="6">
        <v>5040.96</v>
      </c>
      <c r="K504" s="6">
        <v>1416</v>
      </c>
      <c r="L504" s="6">
        <v>3624.96</v>
      </c>
      <c r="M504" s="1">
        <v>41913</v>
      </c>
      <c r="N504">
        <v>10</v>
      </c>
      <c r="O504" t="s">
        <v>35</v>
      </c>
      <c r="P504">
        <v>2014</v>
      </c>
    </row>
    <row r="505" spans="1:16" hidden="1">
      <c r="A505" t="s">
        <v>29</v>
      </c>
      <c r="B505" t="s">
        <v>17</v>
      </c>
      <c r="C505" t="s">
        <v>18</v>
      </c>
      <c r="D505" t="s">
        <v>47</v>
      </c>
      <c r="E505" s="5">
        <v>1937</v>
      </c>
      <c r="F505">
        <v>3</v>
      </c>
      <c r="G505">
        <v>12</v>
      </c>
      <c r="H505" s="6">
        <v>23244</v>
      </c>
      <c r="I505" s="6">
        <v>2556.84</v>
      </c>
      <c r="J505" s="6">
        <v>20687.16</v>
      </c>
      <c r="K505" s="6">
        <v>5811</v>
      </c>
      <c r="L505" s="6">
        <v>14876.16</v>
      </c>
      <c r="M505" s="1">
        <v>41671</v>
      </c>
      <c r="N505">
        <v>2</v>
      </c>
      <c r="O505" t="s">
        <v>38</v>
      </c>
      <c r="P505">
        <v>2014</v>
      </c>
    </row>
    <row r="506" spans="1:16" hidden="1">
      <c r="A506" t="s">
        <v>16</v>
      </c>
      <c r="B506" t="s">
        <v>21</v>
      </c>
      <c r="C506" t="s">
        <v>18</v>
      </c>
      <c r="D506" t="s">
        <v>47</v>
      </c>
      <c r="E506" s="5">
        <v>792</v>
      </c>
      <c r="F506">
        <v>3</v>
      </c>
      <c r="G506">
        <v>350</v>
      </c>
      <c r="H506" s="6">
        <v>277200</v>
      </c>
      <c r="I506" s="6">
        <v>30492</v>
      </c>
      <c r="J506" s="6">
        <v>246708</v>
      </c>
      <c r="K506" s="6">
        <v>205920</v>
      </c>
      <c r="L506" s="6">
        <v>40788</v>
      </c>
      <c r="M506" s="1">
        <v>41699</v>
      </c>
      <c r="N506">
        <v>3</v>
      </c>
      <c r="O506" t="s">
        <v>28</v>
      </c>
      <c r="P506">
        <v>2014</v>
      </c>
    </row>
    <row r="507" spans="1:16" hidden="1">
      <c r="A507" t="s">
        <v>32</v>
      </c>
      <c r="B507" t="s">
        <v>21</v>
      </c>
      <c r="C507" t="s">
        <v>18</v>
      </c>
      <c r="D507" t="s">
        <v>47</v>
      </c>
      <c r="E507" s="5">
        <v>2811</v>
      </c>
      <c r="F507">
        <v>3</v>
      </c>
      <c r="G507">
        <v>300</v>
      </c>
      <c r="H507" s="6">
        <v>843300</v>
      </c>
      <c r="I507" s="6">
        <v>92763</v>
      </c>
      <c r="J507" s="6">
        <v>750537</v>
      </c>
      <c r="K507" s="6">
        <v>702750</v>
      </c>
      <c r="L507" s="6">
        <v>47787</v>
      </c>
      <c r="M507" s="1">
        <v>41821</v>
      </c>
      <c r="N507">
        <v>7</v>
      </c>
      <c r="O507" t="s">
        <v>31</v>
      </c>
      <c r="P507">
        <v>2014</v>
      </c>
    </row>
    <row r="508" spans="1:16" hidden="1">
      <c r="A508" t="s">
        <v>30</v>
      </c>
      <c r="B508" t="s">
        <v>23</v>
      </c>
      <c r="C508" t="s">
        <v>18</v>
      </c>
      <c r="D508" t="s">
        <v>47</v>
      </c>
      <c r="E508" s="5">
        <v>2441</v>
      </c>
      <c r="F508">
        <v>3</v>
      </c>
      <c r="G508">
        <v>125</v>
      </c>
      <c r="H508" s="6">
        <v>305125</v>
      </c>
      <c r="I508" s="6">
        <v>33563.75</v>
      </c>
      <c r="J508" s="6">
        <v>271561.25</v>
      </c>
      <c r="K508" s="6">
        <v>292920</v>
      </c>
      <c r="L508" s="6">
        <v>-21358.75</v>
      </c>
      <c r="M508" s="1">
        <v>41913</v>
      </c>
      <c r="N508">
        <v>10</v>
      </c>
      <c r="O508" t="s">
        <v>35</v>
      </c>
      <c r="P508">
        <v>2014</v>
      </c>
    </row>
    <row r="509" spans="1:16" hidden="1">
      <c r="A509" t="s">
        <v>22</v>
      </c>
      <c r="B509" t="s">
        <v>17</v>
      </c>
      <c r="C509" t="s">
        <v>18</v>
      </c>
      <c r="D509" t="s">
        <v>47</v>
      </c>
      <c r="E509" s="5">
        <v>1560</v>
      </c>
      <c r="F509">
        <v>3</v>
      </c>
      <c r="G509">
        <v>15</v>
      </c>
      <c r="H509" s="6">
        <v>23400</v>
      </c>
      <c r="I509" s="6">
        <v>2574</v>
      </c>
      <c r="J509" s="6">
        <v>20826</v>
      </c>
      <c r="K509" s="6">
        <v>15600</v>
      </c>
      <c r="L509" s="6">
        <v>5226</v>
      </c>
      <c r="M509" s="1">
        <v>41579</v>
      </c>
      <c r="N509">
        <v>11</v>
      </c>
      <c r="O509" t="s">
        <v>39</v>
      </c>
      <c r="P509">
        <v>2013</v>
      </c>
    </row>
    <row r="510" spans="1:16" hidden="1">
      <c r="A510" t="s">
        <v>16</v>
      </c>
      <c r="B510" t="s">
        <v>25</v>
      </c>
      <c r="C510" t="s">
        <v>18</v>
      </c>
      <c r="D510" t="s">
        <v>47</v>
      </c>
      <c r="E510" s="5">
        <v>2706</v>
      </c>
      <c r="F510">
        <v>3</v>
      </c>
      <c r="G510">
        <v>7</v>
      </c>
      <c r="H510" s="6">
        <v>18942</v>
      </c>
      <c r="I510" s="6">
        <v>2083.62</v>
      </c>
      <c r="J510" s="6">
        <v>16858.38</v>
      </c>
      <c r="K510" s="6">
        <v>13530</v>
      </c>
      <c r="L510" s="6">
        <v>3328.38</v>
      </c>
      <c r="M510" s="1">
        <v>41579</v>
      </c>
      <c r="N510">
        <v>11</v>
      </c>
      <c r="O510" t="s">
        <v>39</v>
      </c>
      <c r="P510">
        <v>2013</v>
      </c>
    </row>
    <row r="511" spans="1:16" hidden="1">
      <c r="A511" t="s">
        <v>16</v>
      </c>
      <c r="B511" t="s">
        <v>21</v>
      </c>
      <c r="C511" t="s">
        <v>27</v>
      </c>
      <c r="D511" t="s">
        <v>47</v>
      </c>
      <c r="E511" s="5">
        <v>766</v>
      </c>
      <c r="F511">
        <v>5</v>
      </c>
      <c r="G511">
        <v>350</v>
      </c>
      <c r="H511" s="6">
        <v>268100</v>
      </c>
      <c r="I511" s="6">
        <v>29491</v>
      </c>
      <c r="J511" s="6">
        <v>238609</v>
      </c>
      <c r="K511" s="6">
        <v>199160</v>
      </c>
      <c r="L511" s="6">
        <v>39449</v>
      </c>
      <c r="M511" s="1">
        <v>41640</v>
      </c>
      <c r="N511">
        <v>1</v>
      </c>
      <c r="O511" t="s">
        <v>20</v>
      </c>
      <c r="P511">
        <v>2014</v>
      </c>
    </row>
    <row r="512" spans="1:16" hidden="1">
      <c r="A512" t="s">
        <v>16</v>
      </c>
      <c r="B512" t="s">
        <v>21</v>
      </c>
      <c r="C512" t="s">
        <v>27</v>
      </c>
      <c r="D512" t="s">
        <v>47</v>
      </c>
      <c r="E512" s="5">
        <v>2992</v>
      </c>
      <c r="F512">
        <v>5</v>
      </c>
      <c r="G512">
        <v>20</v>
      </c>
      <c r="H512" s="6">
        <v>59840</v>
      </c>
      <c r="I512" s="6">
        <v>6582.4</v>
      </c>
      <c r="J512" s="6">
        <v>53257.599999999999</v>
      </c>
      <c r="K512" s="6">
        <v>29920</v>
      </c>
      <c r="L512" s="6">
        <v>23337.599999999999</v>
      </c>
      <c r="M512" s="1">
        <v>41548</v>
      </c>
      <c r="N512">
        <v>10</v>
      </c>
      <c r="O512" t="s">
        <v>35</v>
      </c>
      <c r="P512">
        <v>2013</v>
      </c>
    </row>
    <row r="513" spans="1:16" hidden="1">
      <c r="A513" t="s">
        <v>22</v>
      </c>
      <c r="B513" t="s">
        <v>25</v>
      </c>
      <c r="C513" t="s">
        <v>27</v>
      </c>
      <c r="D513" t="s">
        <v>47</v>
      </c>
      <c r="E513" s="5">
        <v>2157</v>
      </c>
      <c r="F513">
        <v>5</v>
      </c>
      <c r="G513">
        <v>15</v>
      </c>
      <c r="H513" s="6">
        <v>32355</v>
      </c>
      <c r="I513" s="6">
        <v>3559.05</v>
      </c>
      <c r="J513" s="6">
        <v>28795.95</v>
      </c>
      <c r="K513" s="6">
        <v>21570</v>
      </c>
      <c r="L513" s="6">
        <v>7225.95</v>
      </c>
      <c r="M513" s="1">
        <v>41974</v>
      </c>
      <c r="N513">
        <v>12</v>
      </c>
      <c r="O513" t="s">
        <v>26</v>
      </c>
      <c r="P513">
        <v>2014</v>
      </c>
    </row>
    <row r="514" spans="1:16" hidden="1">
      <c r="A514" t="s">
        <v>32</v>
      </c>
      <c r="B514" t="s">
        <v>17</v>
      </c>
      <c r="C514" t="s">
        <v>37</v>
      </c>
      <c r="D514" t="s">
        <v>47</v>
      </c>
      <c r="E514" s="5">
        <v>873</v>
      </c>
      <c r="F514">
        <v>10</v>
      </c>
      <c r="G514">
        <v>300</v>
      </c>
      <c r="H514" s="6">
        <v>261900</v>
      </c>
      <c r="I514" s="6">
        <v>28809</v>
      </c>
      <c r="J514" s="6">
        <v>233091</v>
      </c>
      <c r="K514" s="6">
        <v>218250</v>
      </c>
      <c r="L514" s="6">
        <v>14841</v>
      </c>
      <c r="M514" s="1">
        <v>41640</v>
      </c>
      <c r="N514">
        <v>1</v>
      </c>
      <c r="O514" t="s">
        <v>20</v>
      </c>
      <c r="P514">
        <v>2014</v>
      </c>
    </row>
    <row r="515" spans="1:16" hidden="1">
      <c r="A515" t="s">
        <v>16</v>
      </c>
      <c r="B515" t="s">
        <v>25</v>
      </c>
      <c r="C515" t="s">
        <v>37</v>
      </c>
      <c r="D515" t="s">
        <v>47</v>
      </c>
      <c r="E515" s="5">
        <v>1122</v>
      </c>
      <c r="F515">
        <v>10</v>
      </c>
      <c r="G515">
        <v>20</v>
      </c>
      <c r="H515" s="6">
        <v>22440</v>
      </c>
      <c r="I515" s="6">
        <v>2468.4</v>
      </c>
      <c r="J515" s="6">
        <v>19971.599999999999</v>
      </c>
      <c r="K515" s="6">
        <v>11220</v>
      </c>
      <c r="L515" s="6">
        <v>8751.6</v>
      </c>
      <c r="M515" s="1">
        <v>41699</v>
      </c>
      <c r="N515">
        <v>3</v>
      </c>
      <c r="O515" t="s">
        <v>28</v>
      </c>
      <c r="P515">
        <v>2014</v>
      </c>
    </row>
    <row r="516" spans="1:16" hidden="1">
      <c r="A516" t="s">
        <v>16</v>
      </c>
      <c r="B516" t="s">
        <v>17</v>
      </c>
      <c r="C516" t="s">
        <v>37</v>
      </c>
      <c r="D516" t="s">
        <v>47</v>
      </c>
      <c r="E516" s="5">
        <v>2104.5</v>
      </c>
      <c r="F516">
        <v>10</v>
      </c>
      <c r="G516">
        <v>350</v>
      </c>
      <c r="H516" s="6">
        <v>736575</v>
      </c>
      <c r="I516" s="6">
        <v>81023.25</v>
      </c>
      <c r="J516" s="6">
        <v>655551.75</v>
      </c>
      <c r="K516" s="6">
        <v>547170</v>
      </c>
      <c r="L516" s="6">
        <v>108381.75</v>
      </c>
      <c r="M516" s="1">
        <v>41821</v>
      </c>
      <c r="N516">
        <v>7</v>
      </c>
      <c r="O516" t="s">
        <v>31</v>
      </c>
      <c r="P516">
        <v>2014</v>
      </c>
    </row>
    <row r="517" spans="1:16" hidden="1">
      <c r="A517" t="s">
        <v>29</v>
      </c>
      <c r="B517" t="s">
        <v>17</v>
      </c>
      <c r="C517" t="s">
        <v>37</v>
      </c>
      <c r="D517" t="s">
        <v>47</v>
      </c>
      <c r="E517" s="5">
        <v>4026</v>
      </c>
      <c r="F517">
        <v>10</v>
      </c>
      <c r="G517">
        <v>12</v>
      </c>
      <c r="H517" s="6">
        <v>48312</v>
      </c>
      <c r="I517" s="6">
        <v>5314.32</v>
      </c>
      <c r="J517" s="6">
        <v>42997.68</v>
      </c>
      <c r="K517" s="6">
        <v>12078</v>
      </c>
      <c r="L517" s="6">
        <v>30919.68</v>
      </c>
      <c r="M517" s="1">
        <v>41821</v>
      </c>
      <c r="N517">
        <v>7</v>
      </c>
      <c r="O517" t="s">
        <v>31</v>
      </c>
      <c r="P517">
        <v>2014</v>
      </c>
    </row>
    <row r="518" spans="1:16" hidden="1">
      <c r="A518" t="s">
        <v>29</v>
      </c>
      <c r="B518" t="s">
        <v>23</v>
      </c>
      <c r="C518" t="s">
        <v>37</v>
      </c>
      <c r="D518" t="s">
        <v>47</v>
      </c>
      <c r="E518" s="5">
        <v>2425.5</v>
      </c>
      <c r="F518">
        <v>10</v>
      </c>
      <c r="G518">
        <v>12</v>
      </c>
      <c r="H518" s="6">
        <v>29106</v>
      </c>
      <c r="I518" s="6">
        <v>3201.66</v>
      </c>
      <c r="J518" s="6">
        <v>25904.34</v>
      </c>
      <c r="K518" s="6">
        <v>7276.5</v>
      </c>
      <c r="L518" s="6">
        <v>18627.84</v>
      </c>
      <c r="M518" s="1">
        <v>41821</v>
      </c>
      <c r="N518">
        <v>7</v>
      </c>
      <c r="O518" t="s">
        <v>31</v>
      </c>
      <c r="P518">
        <v>2014</v>
      </c>
    </row>
    <row r="519" spans="1:16" hidden="1">
      <c r="A519" t="s">
        <v>16</v>
      </c>
      <c r="B519" t="s">
        <v>17</v>
      </c>
      <c r="C519" t="s">
        <v>37</v>
      </c>
      <c r="D519" t="s">
        <v>47</v>
      </c>
      <c r="E519" s="5">
        <v>2394</v>
      </c>
      <c r="F519">
        <v>10</v>
      </c>
      <c r="G519">
        <v>20</v>
      </c>
      <c r="H519" s="6">
        <v>47880</v>
      </c>
      <c r="I519" s="6">
        <v>5266.8</v>
      </c>
      <c r="J519" s="6">
        <v>42613.2</v>
      </c>
      <c r="K519" s="6">
        <v>23940</v>
      </c>
      <c r="L519" s="6">
        <v>18673.2</v>
      </c>
      <c r="M519" s="1">
        <v>41852</v>
      </c>
      <c r="N519">
        <v>8</v>
      </c>
      <c r="O519" t="s">
        <v>33</v>
      </c>
      <c r="P519">
        <v>2014</v>
      </c>
    </row>
    <row r="520" spans="1:16" hidden="1">
      <c r="A520" t="s">
        <v>22</v>
      </c>
      <c r="B520" t="s">
        <v>25</v>
      </c>
      <c r="C520" t="s">
        <v>37</v>
      </c>
      <c r="D520" t="s">
        <v>47</v>
      </c>
      <c r="E520" s="5">
        <v>1984</v>
      </c>
      <c r="F520">
        <v>10</v>
      </c>
      <c r="G520">
        <v>15</v>
      </c>
      <c r="H520" s="6">
        <v>29760</v>
      </c>
      <c r="I520" s="6">
        <v>3273.6</v>
      </c>
      <c r="J520" s="6">
        <v>26486.400000000001</v>
      </c>
      <c r="K520" s="6">
        <v>19840</v>
      </c>
      <c r="L520" s="6">
        <v>6646.4</v>
      </c>
      <c r="M520" s="1">
        <v>41852</v>
      </c>
      <c r="N520">
        <v>8</v>
      </c>
      <c r="O520" t="s">
        <v>33</v>
      </c>
      <c r="P520">
        <v>2014</v>
      </c>
    </row>
    <row r="521" spans="1:16" hidden="1">
      <c r="A521" t="s">
        <v>30</v>
      </c>
      <c r="B521" t="s">
        <v>23</v>
      </c>
      <c r="C521" t="s">
        <v>37</v>
      </c>
      <c r="D521" t="s">
        <v>47</v>
      </c>
      <c r="E521" s="5">
        <v>2441</v>
      </c>
      <c r="F521">
        <v>10</v>
      </c>
      <c r="G521">
        <v>125</v>
      </c>
      <c r="H521" s="6">
        <v>305125</v>
      </c>
      <c r="I521" s="6">
        <v>33563.75</v>
      </c>
      <c r="J521" s="6">
        <v>271561.25</v>
      </c>
      <c r="K521" s="6">
        <v>292920</v>
      </c>
      <c r="L521" s="6">
        <v>-21358.75</v>
      </c>
      <c r="M521" s="1">
        <v>41913</v>
      </c>
      <c r="N521">
        <v>10</v>
      </c>
      <c r="O521" t="s">
        <v>35</v>
      </c>
      <c r="P521">
        <v>2014</v>
      </c>
    </row>
    <row r="522" spans="1:16" hidden="1">
      <c r="A522" t="s">
        <v>16</v>
      </c>
      <c r="B522" t="s">
        <v>21</v>
      </c>
      <c r="C522" t="s">
        <v>37</v>
      </c>
      <c r="D522" t="s">
        <v>47</v>
      </c>
      <c r="E522" s="5">
        <v>2992</v>
      </c>
      <c r="F522">
        <v>10</v>
      </c>
      <c r="G522">
        <v>20</v>
      </c>
      <c r="H522" s="6">
        <v>59840</v>
      </c>
      <c r="I522" s="6">
        <v>6582.4</v>
      </c>
      <c r="J522" s="6">
        <v>53257.599999999999</v>
      </c>
      <c r="K522" s="6">
        <v>29920</v>
      </c>
      <c r="L522" s="6">
        <v>23337.599999999999</v>
      </c>
      <c r="M522" s="1">
        <v>41548</v>
      </c>
      <c r="N522">
        <v>10</v>
      </c>
      <c r="O522" t="s">
        <v>35</v>
      </c>
      <c r="P522">
        <v>2013</v>
      </c>
    </row>
    <row r="523" spans="1:16" hidden="1">
      <c r="A523" t="s">
        <v>32</v>
      </c>
      <c r="B523" t="s">
        <v>17</v>
      </c>
      <c r="C523" t="s">
        <v>37</v>
      </c>
      <c r="D523" t="s">
        <v>47</v>
      </c>
      <c r="E523" s="5">
        <v>1366</v>
      </c>
      <c r="F523">
        <v>10</v>
      </c>
      <c r="G523">
        <v>300</v>
      </c>
      <c r="H523" s="6">
        <v>409800</v>
      </c>
      <c r="I523" s="6">
        <v>45078</v>
      </c>
      <c r="J523" s="6">
        <v>364722</v>
      </c>
      <c r="K523" s="6">
        <v>341500</v>
      </c>
      <c r="L523" s="6">
        <v>23222</v>
      </c>
      <c r="M523" s="1">
        <v>41944</v>
      </c>
      <c r="N523">
        <v>11</v>
      </c>
      <c r="O523" t="s">
        <v>39</v>
      </c>
      <c r="P523">
        <v>2014</v>
      </c>
    </row>
    <row r="524" spans="1:16" hidden="1">
      <c r="A524" t="s">
        <v>16</v>
      </c>
      <c r="B524" t="s">
        <v>23</v>
      </c>
      <c r="C524" t="s">
        <v>40</v>
      </c>
      <c r="D524" t="s">
        <v>47</v>
      </c>
      <c r="E524" s="5">
        <v>2805</v>
      </c>
      <c r="F524">
        <v>120</v>
      </c>
      <c r="G524">
        <v>20</v>
      </c>
      <c r="H524" s="6">
        <v>56100</v>
      </c>
      <c r="I524" s="6">
        <v>6171</v>
      </c>
      <c r="J524" s="6">
        <v>49929</v>
      </c>
      <c r="K524" s="6">
        <v>28050</v>
      </c>
      <c r="L524" s="6">
        <v>21879</v>
      </c>
      <c r="M524" s="1">
        <v>41518</v>
      </c>
      <c r="N524">
        <v>9</v>
      </c>
      <c r="O524" t="s">
        <v>34</v>
      </c>
      <c r="P524">
        <v>2013</v>
      </c>
    </row>
    <row r="525" spans="1:16" hidden="1">
      <c r="A525" t="s">
        <v>22</v>
      </c>
      <c r="B525" t="s">
        <v>25</v>
      </c>
      <c r="C525" t="s">
        <v>40</v>
      </c>
      <c r="D525" t="s">
        <v>47</v>
      </c>
      <c r="E525" s="5">
        <v>655</v>
      </c>
      <c r="F525">
        <v>120</v>
      </c>
      <c r="G525">
        <v>15</v>
      </c>
      <c r="H525" s="6">
        <v>9825</v>
      </c>
      <c r="I525" s="6">
        <v>1080.75</v>
      </c>
      <c r="J525" s="6">
        <v>8744.25</v>
      </c>
      <c r="K525" s="6">
        <v>6550</v>
      </c>
      <c r="L525" s="6">
        <v>2194.25</v>
      </c>
      <c r="M525" s="1">
        <v>41518</v>
      </c>
      <c r="N525">
        <v>9</v>
      </c>
      <c r="O525" t="s">
        <v>34</v>
      </c>
      <c r="P525">
        <v>2013</v>
      </c>
    </row>
    <row r="526" spans="1:16" hidden="1">
      <c r="A526" t="s">
        <v>16</v>
      </c>
      <c r="B526" t="s">
        <v>25</v>
      </c>
      <c r="C526" t="s">
        <v>40</v>
      </c>
      <c r="D526" t="s">
        <v>47</v>
      </c>
      <c r="E526" s="5">
        <v>344</v>
      </c>
      <c r="F526">
        <v>120</v>
      </c>
      <c r="G526">
        <v>350</v>
      </c>
      <c r="H526" s="6">
        <v>120400</v>
      </c>
      <c r="I526" s="6">
        <v>13244</v>
      </c>
      <c r="J526" s="6">
        <v>107156</v>
      </c>
      <c r="K526" s="6">
        <v>89440</v>
      </c>
      <c r="L526" s="6">
        <v>17716</v>
      </c>
      <c r="M526" s="1">
        <v>41548</v>
      </c>
      <c r="N526">
        <v>10</v>
      </c>
      <c r="O526" t="s">
        <v>35</v>
      </c>
      <c r="P526">
        <v>2013</v>
      </c>
    </row>
    <row r="527" spans="1:16" hidden="1">
      <c r="A527" t="s">
        <v>16</v>
      </c>
      <c r="B527" t="s">
        <v>17</v>
      </c>
      <c r="C527" t="s">
        <v>40</v>
      </c>
      <c r="D527" t="s">
        <v>47</v>
      </c>
      <c r="E527" s="5">
        <v>1808</v>
      </c>
      <c r="F527">
        <v>120</v>
      </c>
      <c r="G527">
        <v>7</v>
      </c>
      <c r="H527" s="6">
        <v>12656</v>
      </c>
      <c r="I527" s="6">
        <v>1392.16</v>
      </c>
      <c r="J527" s="6">
        <v>11263.84</v>
      </c>
      <c r="K527" s="6">
        <v>9040</v>
      </c>
      <c r="L527" s="6">
        <v>2223.84</v>
      </c>
      <c r="M527" s="1">
        <v>41944</v>
      </c>
      <c r="N527">
        <v>11</v>
      </c>
      <c r="O527" t="s">
        <v>39</v>
      </c>
      <c r="P527">
        <v>2014</v>
      </c>
    </row>
    <row r="528" spans="1:16">
      <c r="A528" t="s">
        <v>29</v>
      </c>
      <c r="B528" t="s">
        <v>23</v>
      </c>
      <c r="C528" t="s">
        <v>41</v>
      </c>
      <c r="D528" t="s">
        <v>47</v>
      </c>
      <c r="E528" s="5">
        <v>1734</v>
      </c>
      <c r="F528">
        <v>250</v>
      </c>
      <c r="G528">
        <v>12</v>
      </c>
      <c r="H528" s="6">
        <v>20808</v>
      </c>
      <c r="I528" s="6">
        <v>2288.88</v>
      </c>
      <c r="J528" s="6">
        <v>18519.12</v>
      </c>
      <c r="K528" s="6">
        <v>5202</v>
      </c>
      <c r="L528" s="6">
        <v>13317.12</v>
      </c>
      <c r="M528" s="1">
        <v>41640</v>
      </c>
      <c r="N528">
        <v>1</v>
      </c>
      <c r="O528" t="s">
        <v>20</v>
      </c>
      <c r="P528">
        <v>2014</v>
      </c>
    </row>
    <row r="529" spans="1:16">
      <c r="A529" t="s">
        <v>30</v>
      </c>
      <c r="B529" t="s">
        <v>25</v>
      </c>
      <c r="C529" t="s">
        <v>41</v>
      </c>
      <c r="D529" t="s">
        <v>47</v>
      </c>
      <c r="E529" s="5">
        <v>554</v>
      </c>
      <c r="F529">
        <v>250</v>
      </c>
      <c r="G529">
        <v>125</v>
      </c>
      <c r="H529" s="6">
        <v>69250</v>
      </c>
      <c r="I529" s="6">
        <v>7617.5</v>
      </c>
      <c r="J529" s="6">
        <v>61632.5</v>
      </c>
      <c r="K529" s="6">
        <v>66480</v>
      </c>
      <c r="L529" s="6">
        <v>-4847.5</v>
      </c>
      <c r="M529" s="1">
        <v>41640</v>
      </c>
      <c r="N529">
        <v>1</v>
      </c>
      <c r="O529" t="s">
        <v>20</v>
      </c>
      <c r="P529">
        <v>2014</v>
      </c>
    </row>
    <row r="530" spans="1:16" hidden="1">
      <c r="A530" t="s">
        <v>16</v>
      </c>
      <c r="B530" t="s">
        <v>17</v>
      </c>
      <c r="C530" t="s">
        <v>41</v>
      </c>
      <c r="D530" t="s">
        <v>47</v>
      </c>
      <c r="E530" s="5">
        <v>2935</v>
      </c>
      <c r="F530">
        <v>250</v>
      </c>
      <c r="G530">
        <v>20</v>
      </c>
      <c r="H530" s="6">
        <v>58700</v>
      </c>
      <c r="I530" s="6">
        <v>6457</v>
      </c>
      <c r="J530" s="6">
        <v>52243</v>
      </c>
      <c r="K530" s="6">
        <v>29350</v>
      </c>
      <c r="L530" s="6">
        <v>22893</v>
      </c>
      <c r="M530" s="1">
        <v>41579</v>
      </c>
      <c r="N530">
        <v>11</v>
      </c>
      <c r="O530" t="s">
        <v>39</v>
      </c>
      <c r="P530">
        <v>2013</v>
      </c>
    </row>
    <row r="531" spans="1:16" hidden="1">
      <c r="A531" t="s">
        <v>30</v>
      </c>
      <c r="B531" t="s">
        <v>21</v>
      </c>
      <c r="C531" t="s">
        <v>43</v>
      </c>
      <c r="D531" t="s">
        <v>47</v>
      </c>
      <c r="E531" s="5">
        <v>3165</v>
      </c>
      <c r="F531">
        <v>260</v>
      </c>
      <c r="G531">
        <v>125</v>
      </c>
      <c r="H531" s="6">
        <v>395625</v>
      </c>
      <c r="I531" s="6">
        <v>43518.75</v>
      </c>
      <c r="J531" s="6">
        <v>352106.25</v>
      </c>
      <c r="K531" s="6">
        <v>379800</v>
      </c>
      <c r="L531" s="6">
        <v>-27693.75</v>
      </c>
      <c r="M531" s="1">
        <v>41640</v>
      </c>
      <c r="N531">
        <v>1</v>
      </c>
      <c r="O531" t="s">
        <v>20</v>
      </c>
      <c r="P531">
        <v>2014</v>
      </c>
    </row>
    <row r="532" spans="1:16" hidden="1">
      <c r="A532" t="s">
        <v>16</v>
      </c>
      <c r="B532" t="s">
        <v>25</v>
      </c>
      <c r="C532" t="s">
        <v>43</v>
      </c>
      <c r="D532" t="s">
        <v>47</v>
      </c>
      <c r="E532" s="5">
        <v>2629</v>
      </c>
      <c r="F532">
        <v>260</v>
      </c>
      <c r="G532">
        <v>20</v>
      </c>
      <c r="H532" s="6">
        <v>52580</v>
      </c>
      <c r="I532" s="6">
        <v>5783.8</v>
      </c>
      <c r="J532" s="6">
        <v>46796.2</v>
      </c>
      <c r="K532" s="6">
        <v>26290</v>
      </c>
      <c r="L532" s="6">
        <v>20506.2</v>
      </c>
      <c r="M532" s="1">
        <v>41640</v>
      </c>
      <c r="N532">
        <v>1</v>
      </c>
      <c r="O532" t="s">
        <v>20</v>
      </c>
      <c r="P532">
        <v>2014</v>
      </c>
    </row>
    <row r="533" spans="1:16" hidden="1">
      <c r="A533" t="s">
        <v>30</v>
      </c>
      <c r="B533" t="s">
        <v>23</v>
      </c>
      <c r="C533" t="s">
        <v>43</v>
      </c>
      <c r="D533" t="s">
        <v>47</v>
      </c>
      <c r="E533" s="5">
        <v>1433</v>
      </c>
      <c r="F533">
        <v>260</v>
      </c>
      <c r="G533">
        <v>125</v>
      </c>
      <c r="H533" s="6">
        <v>179125</v>
      </c>
      <c r="I533" s="6">
        <v>19703.75</v>
      </c>
      <c r="J533" s="6">
        <v>159421.25</v>
      </c>
      <c r="K533" s="6">
        <v>171960</v>
      </c>
      <c r="L533" s="6">
        <v>-12538.75</v>
      </c>
      <c r="M533" s="1">
        <v>41760</v>
      </c>
      <c r="N533">
        <v>5</v>
      </c>
      <c r="O533" t="s">
        <v>45</v>
      </c>
      <c r="P533">
        <v>2014</v>
      </c>
    </row>
    <row r="534" spans="1:16" hidden="1">
      <c r="A534" t="s">
        <v>30</v>
      </c>
      <c r="B534" t="s">
        <v>25</v>
      </c>
      <c r="C534" t="s">
        <v>43</v>
      </c>
      <c r="D534" t="s">
        <v>47</v>
      </c>
      <c r="E534" s="5">
        <v>947</v>
      </c>
      <c r="F534">
        <v>260</v>
      </c>
      <c r="G534">
        <v>125</v>
      </c>
      <c r="H534" s="6">
        <v>118375</v>
      </c>
      <c r="I534" s="6">
        <v>13021.25</v>
      </c>
      <c r="J534" s="6">
        <v>105353.75</v>
      </c>
      <c r="K534" s="6">
        <v>113640</v>
      </c>
      <c r="L534" s="6">
        <v>-8286.25</v>
      </c>
      <c r="M534" s="1">
        <v>41518</v>
      </c>
      <c r="N534">
        <v>9</v>
      </c>
      <c r="O534" t="s">
        <v>34</v>
      </c>
      <c r="P534">
        <v>2013</v>
      </c>
    </row>
    <row r="535" spans="1:16" hidden="1">
      <c r="A535" t="s">
        <v>16</v>
      </c>
      <c r="B535" t="s">
        <v>25</v>
      </c>
      <c r="C535" t="s">
        <v>43</v>
      </c>
      <c r="D535" t="s">
        <v>47</v>
      </c>
      <c r="E535" s="5">
        <v>344</v>
      </c>
      <c r="F535">
        <v>260</v>
      </c>
      <c r="G535">
        <v>350</v>
      </c>
      <c r="H535" s="6">
        <v>120400</v>
      </c>
      <c r="I535" s="6">
        <v>13244</v>
      </c>
      <c r="J535" s="6">
        <v>107156</v>
      </c>
      <c r="K535" s="6">
        <v>89440</v>
      </c>
      <c r="L535" s="6">
        <v>17716</v>
      </c>
      <c r="M535" s="1">
        <v>41548</v>
      </c>
      <c r="N535">
        <v>10</v>
      </c>
      <c r="O535" t="s">
        <v>35</v>
      </c>
      <c r="P535">
        <v>2013</v>
      </c>
    </row>
    <row r="536" spans="1:16" hidden="1">
      <c r="A536" t="s">
        <v>22</v>
      </c>
      <c r="B536" t="s">
        <v>25</v>
      </c>
      <c r="C536" t="s">
        <v>43</v>
      </c>
      <c r="D536" t="s">
        <v>47</v>
      </c>
      <c r="E536" s="5">
        <v>2157</v>
      </c>
      <c r="F536">
        <v>260</v>
      </c>
      <c r="G536">
        <v>15</v>
      </c>
      <c r="H536" s="6">
        <v>32355</v>
      </c>
      <c r="I536" s="6">
        <v>3559.05</v>
      </c>
      <c r="J536" s="6">
        <v>28795.95</v>
      </c>
      <c r="K536" s="6">
        <v>21570</v>
      </c>
      <c r="L536" s="6">
        <v>7225.95</v>
      </c>
      <c r="M536" s="1">
        <v>41974</v>
      </c>
      <c r="N536">
        <v>12</v>
      </c>
      <c r="O536" t="s">
        <v>26</v>
      </c>
      <c r="P536">
        <v>2014</v>
      </c>
    </row>
    <row r="537" spans="1:16" hidden="1">
      <c r="A537" t="s">
        <v>16</v>
      </c>
      <c r="B537" t="s">
        <v>36</v>
      </c>
      <c r="C537" t="s">
        <v>37</v>
      </c>
      <c r="D537" t="s">
        <v>47</v>
      </c>
      <c r="E537" s="5">
        <v>380</v>
      </c>
      <c r="F537">
        <v>10</v>
      </c>
      <c r="G537">
        <v>7</v>
      </c>
      <c r="H537" s="6">
        <v>2660</v>
      </c>
      <c r="I537">
        <v>292.60000000000002</v>
      </c>
      <c r="J537" s="6">
        <v>2367.4</v>
      </c>
      <c r="K537" s="6">
        <v>1900</v>
      </c>
      <c r="L537">
        <v>467.4</v>
      </c>
      <c r="M537" s="1">
        <v>41518</v>
      </c>
      <c r="N537">
        <v>9</v>
      </c>
      <c r="O537" t="s">
        <v>34</v>
      </c>
      <c r="P537">
        <v>2013</v>
      </c>
    </row>
    <row r="538" spans="1:16" hidden="1">
      <c r="A538" t="s">
        <v>16</v>
      </c>
      <c r="B538" t="s">
        <v>25</v>
      </c>
      <c r="C538" t="s">
        <v>18</v>
      </c>
      <c r="D538" t="s">
        <v>47</v>
      </c>
      <c r="E538" s="5">
        <v>886</v>
      </c>
      <c r="F538">
        <v>3</v>
      </c>
      <c r="G538">
        <v>350</v>
      </c>
      <c r="H538" s="6">
        <v>310100</v>
      </c>
      <c r="I538" s="6">
        <v>37212</v>
      </c>
      <c r="J538" s="6">
        <v>272888</v>
      </c>
      <c r="K538" s="6">
        <v>230360</v>
      </c>
      <c r="L538" s="6">
        <v>42528</v>
      </c>
      <c r="M538" s="1">
        <v>41791</v>
      </c>
      <c r="N538">
        <v>6</v>
      </c>
      <c r="O538" t="s">
        <v>24</v>
      </c>
      <c r="P538">
        <v>2014</v>
      </c>
    </row>
    <row r="539" spans="1:16" hidden="1">
      <c r="A539" t="s">
        <v>30</v>
      </c>
      <c r="B539" t="s">
        <v>17</v>
      </c>
      <c r="C539" t="s">
        <v>18</v>
      </c>
      <c r="D539" t="s">
        <v>47</v>
      </c>
      <c r="E539" s="5">
        <v>2416</v>
      </c>
      <c r="F539">
        <v>3</v>
      </c>
      <c r="G539">
        <v>125</v>
      </c>
      <c r="H539" s="6">
        <v>302000</v>
      </c>
      <c r="I539" s="6">
        <v>36240</v>
      </c>
      <c r="J539" s="6">
        <v>265760</v>
      </c>
      <c r="K539" s="6">
        <v>289920</v>
      </c>
      <c r="L539" s="6">
        <v>-24160</v>
      </c>
      <c r="M539" s="1">
        <v>41518</v>
      </c>
      <c r="N539">
        <v>9</v>
      </c>
      <c r="O539" t="s">
        <v>34</v>
      </c>
      <c r="P539">
        <v>2013</v>
      </c>
    </row>
    <row r="540" spans="1:16" hidden="1">
      <c r="A540" t="s">
        <v>30</v>
      </c>
      <c r="B540" t="s">
        <v>25</v>
      </c>
      <c r="C540" t="s">
        <v>18</v>
      </c>
      <c r="D540" t="s">
        <v>47</v>
      </c>
      <c r="E540" s="5">
        <v>2156</v>
      </c>
      <c r="F540">
        <v>3</v>
      </c>
      <c r="G540">
        <v>125</v>
      </c>
      <c r="H540" s="6">
        <v>269500</v>
      </c>
      <c r="I540" s="6">
        <v>32340</v>
      </c>
      <c r="J540" s="6">
        <v>237160</v>
      </c>
      <c r="K540" s="6">
        <v>258720</v>
      </c>
      <c r="L540" s="6">
        <v>-21560</v>
      </c>
      <c r="M540" s="1">
        <v>41913</v>
      </c>
      <c r="N540">
        <v>10</v>
      </c>
      <c r="O540" t="s">
        <v>35</v>
      </c>
      <c r="P540">
        <v>2014</v>
      </c>
    </row>
    <row r="541" spans="1:16" hidden="1">
      <c r="A541" t="s">
        <v>22</v>
      </c>
      <c r="B541" t="s">
        <v>17</v>
      </c>
      <c r="C541" t="s">
        <v>18</v>
      </c>
      <c r="D541" t="s">
        <v>47</v>
      </c>
      <c r="E541" s="5">
        <v>2689</v>
      </c>
      <c r="F541">
        <v>3</v>
      </c>
      <c r="G541">
        <v>15</v>
      </c>
      <c r="H541" s="6">
        <v>40335</v>
      </c>
      <c r="I541" s="6">
        <v>4840.2</v>
      </c>
      <c r="J541" s="6">
        <v>35494.800000000003</v>
      </c>
      <c r="K541" s="6">
        <v>26890</v>
      </c>
      <c r="L541" s="6">
        <v>8604.7999999999993</v>
      </c>
      <c r="M541" s="1">
        <v>41944</v>
      </c>
      <c r="N541">
        <v>11</v>
      </c>
      <c r="O541" t="s">
        <v>39</v>
      </c>
      <c r="P541">
        <v>2014</v>
      </c>
    </row>
    <row r="542" spans="1:16" hidden="1">
      <c r="A542" t="s">
        <v>22</v>
      </c>
      <c r="B542" t="s">
        <v>36</v>
      </c>
      <c r="C542" t="s">
        <v>27</v>
      </c>
      <c r="D542" t="s">
        <v>47</v>
      </c>
      <c r="E542" s="5">
        <v>677</v>
      </c>
      <c r="F542">
        <v>5</v>
      </c>
      <c r="G542">
        <v>15</v>
      </c>
      <c r="H542" s="6">
        <v>10155</v>
      </c>
      <c r="I542" s="6">
        <v>1218.5999999999999</v>
      </c>
      <c r="J542" s="6">
        <v>8936.4</v>
      </c>
      <c r="K542" s="6">
        <v>6770</v>
      </c>
      <c r="L542" s="6">
        <v>2166.4</v>
      </c>
      <c r="M542" s="1">
        <v>41699</v>
      </c>
      <c r="N542">
        <v>3</v>
      </c>
      <c r="O542" t="s">
        <v>28</v>
      </c>
      <c r="P542">
        <v>2014</v>
      </c>
    </row>
    <row r="543" spans="1:16" hidden="1">
      <c r="A543" t="s">
        <v>32</v>
      </c>
      <c r="B543" t="s">
        <v>23</v>
      </c>
      <c r="C543" t="s">
        <v>27</v>
      </c>
      <c r="D543" t="s">
        <v>47</v>
      </c>
      <c r="E543" s="5">
        <v>1773</v>
      </c>
      <c r="F543">
        <v>5</v>
      </c>
      <c r="G543">
        <v>300</v>
      </c>
      <c r="H543" s="6">
        <v>531900</v>
      </c>
      <c r="I543" s="6">
        <v>63828</v>
      </c>
      <c r="J543" s="6">
        <v>468072</v>
      </c>
      <c r="K543" s="6">
        <v>443250</v>
      </c>
      <c r="L543" s="6">
        <v>24822</v>
      </c>
      <c r="M543" s="1">
        <v>41730</v>
      </c>
      <c r="N543">
        <v>4</v>
      </c>
      <c r="O543" t="s">
        <v>42</v>
      </c>
      <c r="P543">
        <v>2014</v>
      </c>
    </row>
    <row r="544" spans="1:16" hidden="1">
      <c r="A544" t="s">
        <v>16</v>
      </c>
      <c r="B544" t="s">
        <v>25</v>
      </c>
      <c r="C544" t="s">
        <v>27</v>
      </c>
      <c r="D544" t="s">
        <v>47</v>
      </c>
      <c r="E544" s="5">
        <v>2420</v>
      </c>
      <c r="F544">
        <v>5</v>
      </c>
      <c r="G544">
        <v>7</v>
      </c>
      <c r="H544" s="6">
        <v>16940</v>
      </c>
      <c r="I544" s="6">
        <v>2032.8</v>
      </c>
      <c r="J544" s="6">
        <v>14907.2</v>
      </c>
      <c r="K544" s="6">
        <v>12100</v>
      </c>
      <c r="L544" s="6">
        <v>2807.2</v>
      </c>
      <c r="M544" s="1">
        <v>41883</v>
      </c>
      <c r="N544">
        <v>9</v>
      </c>
      <c r="O544" t="s">
        <v>34</v>
      </c>
      <c r="P544">
        <v>2014</v>
      </c>
    </row>
    <row r="545" spans="1:16" hidden="1">
      <c r="A545" t="s">
        <v>16</v>
      </c>
      <c r="B545" t="s">
        <v>17</v>
      </c>
      <c r="C545" t="s">
        <v>27</v>
      </c>
      <c r="D545" t="s">
        <v>47</v>
      </c>
      <c r="E545" s="5">
        <v>2734</v>
      </c>
      <c r="F545">
        <v>5</v>
      </c>
      <c r="G545">
        <v>7</v>
      </c>
      <c r="H545" s="6">
        <v>19138</v>
      </c>
      <c r="I545" s="6">
        <v>2296.56</v>
      </c>
      <c r="J545" s="6">
        <v>16841.439999999999</v>
      </c>
      <c r="K545" s="6">
        <v>13670</v>
      </c>
      <c r="L545" s="6">
        <v>3171.44</v>
      </c>
      <c r="M545" s="1">
        <v>41913</v>
      </c>
      <c r="N545">
        <v>10</v>
      </c>
      <c r="O545" t="s">
        <v>35</v>
      </c>
      <c r="P545">
        <v>2014</v>
      </c>
    </row>
    <row r="546" spans="1:16" hidden="1">
      <c r="A546" t="s">
        <v>16</v>
      </c>
      <c r="B546" t="s">
        <v>25</v>
      </c>
      <c r="C546" t="s">
        <v>27</v>
      </c>
      <c r="D546" t="s">
        <v>47</v>
      </c>
      <c r="E546" s="5">
        <v>1715</v>
      </c>
      <c r="F546">
        <v>5</v>
      </c>
      <c r="G546">
        <v>20</v>
      </c>
      <c r="H546" s="6">
        <v>34300</v>
      </c>
      <c r="I546" s="6">
        <v>4116</v>
      </c>
      <c r="J546" s="6">
        <v>30184</v>
      </c>
      <c r="K546" s="6">
        <v>17150</v>
      </c>
      <c r="L546" s="6">
        <v>13034</v>
      </c>
      <c r="M546" s="1">
        <v>41548</v>
      </c>
      <c r="N546">
        <v>10</v>
      </c>
      <c r="O546" t="s">
        <v>35</v>
      </c>
      <c r="P546">
        <v>2013</v>
      </c>
    </row>
    <row r="547" spans="1:16" hidden="1">
      <c r="A547" t="s">
        <v>32</v>
      </c>
      <c r="B547" t="s">
        <v>23</v>
      </c>
      <c r="C547" t="s">
        <v>27</v>
      </c>
      <c r="D547" t="s">
        <v>47</v>
      </c>
      <c r="E547" s="5">
        <v>1186</v>
      </c>
      <c r="F547">
        <v>5</v>
      </c>
      <c r="G547">
        <v>300</v>
      </c>
      <c r="H547" s="6">
        <v>355800</v>
      </c>
      <c r="I547" s="6">
        <v>42696</v>
      </c>
      <c r="J547" s="6">
        <v>313104</v>
      </c>
      <c r="K547" s="6">
        <v>296500</v>
      </c>
      <c r="L547" s="6">
        <v>16604</v>
      </c>
      <c r="M547" s="1">
        <v>41609</v>
      </c>
      <c r="N547">
        <v>12</v>
      </c>
      <c r="O547" t="s">
        <v>26</v>
      </c>
      <c r="P547">
        <v>2013</v>
      </c>
    </row>
    <row r="548" spans="1:16" hidden="1">
      <c r="A548" t="s">
        <v>32</v>
      </c>
      <c r="B548" t="s">
        <v>36</v>
      </c>
      <c r="C548" t="s">
        <v>37</v>
      </c>
      <c r="D548" t="s">
        <v>47</v>
      </c>
      <c r="E548" s="5">
        <v>3495</v>
      </c>
      <c r="F548">
        <v>10</v>
      </c>
      <c r="G548">
        <v>300</v>
      </c>
      <c r="H548" s="6">
        <v>1048500</v>
      </c>
      <c r="I548" s="6">
        <v>125820</v>
      </c>
      <c r="J548" s="6">
        <v>922680</v>
      </c>
      <c r="K548" s="6">
        <v>873750</v>
      </c>
      <c r="L548" s="6">
        <v>48930</v>
      </c>
      <c r="M548" s="1">
        <v>41640</v>
      </c>
      <c r="N548">
        <v>1</v>
      </c>
      <c r="O548" t="s">
        <v>20</v>
      </c>
      <c r="P548">
        <v>2014</v>
      </c>
    </row>
    <row r="549" spans="1:16" hidden="1">
      <c r="A549" t="s">
        <v>16</v>
      </c>
      <c r="B549" t="s">
        <v>25</v>
      </c>
      <c r="C549" t="s">
        <v>37</v>
      </c>
      <c r="D549" t="s">
        <v>47</v>
      </c>
      <c r="E549" s="5">
        <v>886</v>
      </c>
      <c r="F549">
        <v>10</v>
      </c>
      <c r="G549">
        <v>350</v>
      </c>
      <c r="H549" s="6">
        <v>310100</v>
      </c>
      <c r="I549" s="6">
        <v>37212</v>
      </c>
      <c r="J549" s="6">
        <v>272888</v>
      </c>
      <c r="K549" s="6">
        <v>230360</v>
      </c>
      <c r="L549" s="6">
        <v>42528</v>
      </c>
      <c r="M549" s="1">
        <v>41791</v>
      </c>
      <c r="N549">
        <v>6</v>
      </c>
      <c r="O549" t="s">
        <v>24</v>
      </c>
      <c r="P549">
        <v>2014</v>
      </c>
    </row>
    <row r="550" spans="1:16" hidden="1">
      <c r="A550" t="s">
        <v>30</v>
      </c>
      <c r="B550" t="s">
        <v>25</v>
      </c>
      <c r="C550" t="s">
        <v>37</v>
      </c>
      <c r="D550" t="s">
        <v>47</v>
      </c>
      <c r="E550" s="5">
        <v>2156</v>
      </c>
      <c r="F550">
        <v>10</v>
      </c>
      <c r="G550">
        <v>125</v>
      </c>
      <c r="H550" s="6">
        <v>269500</v>
      </c>
      <c r="I550" s="6">
        <v>32340</v>
      </c>
      <c r="J550" s="6">
        <v>237160</v>
      </c>
      <c r="K550" s="6">
        <v>258720</v>
      </c>
      <c r="L550" s="6">
        <v>-21560</v>
      </c>
      <c r="M550" s="1">
        <v>41913</v>
      </c>
      <c r="N550">
        <v>10</v>
      </c>
      <c r="O550" t="s">
        <v>35</v>
      </c>
      <c r="P550">
        <v>2014</v>
      </c>
    </row>
    <row r="551" spans="1:16" hidden="1">
      <c r="A551" t="s">
        <v>16</v>
      </c>
      <c r="B551" t="s">
        <v>25</v>
      </c>
      <c r="C551" t="s">
        <v>37</v>
      </c>
      <c r="D551" t="s">
        <v>47</v>
      </c>
      <c r="E551" s="5">
        <v>905</v>
      </c>
      <c r="F551">
        <v>10</v>
      </c>
      <c r="G551">
        <v>20</v>
      </c>
      <c r="H551" s="6">
        <v>18100</v>
      </c>
      <c r="I551" s="6">
        <v>2172</v>
      </c>
      <c r="J551" s="6">
        <v>15928</v>
      </c>
      <c r="K551" s="6">
        <v>9050</v>
      </c>
      <c r="L551" s="6">
        <v>6878</v>
      </c>
      <c r="M551" s="1">
        <v>41913</v>
      </c>
      <c r="N551">
        <v>10</v>
      </c>
      <c r="O551" t="s">
        <v>35</v>
      </c>
      <c r="P551">
        <v>2014</v>
      </c>
    </row>
    <row r="552" spans="1:16" hidden="1">
      <c r="A552" t="s">
        <v>16</v>
      </c>
      <c r="B552" t="s">
        <v>25</v>
      </c>
      <c r="C552" t="s">
        <v>37</v>
      </c>
      <c r="D552" t="s">
        <v>47</v>
      </c>
      <c r="E552" s="5">
        <v>1715</v>
      </c>
      <c r="F552">
        <v>10</v>
      </c>
      <c r="G552">
        <v>20</v>
      </c>
      <c r="H552" s="6">
        <v>34300</v>
      </c>
      <c r="I552" s="6">
        <v>4116</v>
      </c>
      <c r="J552" s="6">
        <v>30184</v>
      </c>
      <c r="K552" s="6">
        <v>17150</v>
      </c>
      <c r="L552" s="6">
        <v>13034</v>
      </c>
      <c r="M552" s="1">
        <v>41548</v>
      </c>
      <c r="N552">
        <v>10</v>
      </c>
      <c r="O552" t="s">
        <v>35</v>
      </c>
      <c r="P552">
        <v>2013</v>
      </c>
    </row>
    <row r="553" spans="1:16" hidden="1">
      <c r="A553" t="s">
        <v>16</v>
      </c>
      <c r="B553" t="s">
        <v>23</v>
      </c>
      <c r="C553" t="s">
        <v>37</v>
      </c>
      <c r="D553" t="s">
        <v>47</v>
      </c>
      <c r="E553" s="5">
        <v>1594</v>
      </c>
      <c r="F553">
        <v>10</v>
      </c>
      <c r="G553">
        <v>350</v>
      </c>
      <c r="H553" s="6">
        <v>557900</v>
      </c>
      <c r="I553" s="6">
        <v>66948</v>
      </c>
      <c r="J553" s="6">
        <v>490952</v>
      </c>
      <c r="K553" s="6">
        <v>414440</v>
      </c>
      <c r="L553" s="6">
        <v>76512</v>
      </c>
      <c r="M553" s="1">
        <v>41944</v>
      </c>
      <c r="N553">
        <v>11</v>
      </c>
      <c r="O553" t="s">
        <v>39</v>
      </c>
      <c r="P553">
        <v>2014</v>
      </c>
    </row>
    <row r="554" spans="1:16" hidden="1">
      <c r="A554" t="s">
        <v>32</v>
      </c>
      <c r="B554" t="s">
        <v>21</v>
      </c>
      <c r="C554" t="s">
        <v>37</v>
      </c>
      <c r="D554" t="s">
        <v>47</v>
      </c>
      <c r="E554" s="5">
        <v>1359</v>
      </c>
      <c r="F554">
        <v>10</v>
      </c>
      <c r="G554">
        <v>300</v>
      </c>
      <c r="H554" s="6">
        <v>407700</v>
      </c>
      <c r="I554" s="6">
        <v>48924</v>
      </c>
      <c r="J554" s="6">
        <v>358776</v>
      </c>
      <c r="K554" s="6">
        <v>339750</v>
      </c>
      <c r="L554" s="6">
        <v>19026</v>
      </c>
      <c r="M554" s="1">
        <v>41944</v>
      </c>
      <c r="N554">
        <v>11</v>
      </c>
      <c r="O554" t="s">
        <v>39</v>
      </c>
      <c r="P554">
        <v>2014</v>
      </c>
    </row>
    <row r="555" spans="1:16" hidden="1">
      <c r="A555" t="s">
        <v>32</v>
      </c>
      <c r="B555" t="s">
        <v>25</v>
      </c>
      <c r="C555" t="s">
        <v>37</v>
      </c>
      <c r="D555" t="s">
        <v>47</v>
      </c>
      <c r="E555" s="5">
        <v>2150</v>
      </c>
      <c r="F555">
        <v>10</v>
      </c>
      <c r="G555">
        <v>300</v>
      </c>
      <c r="H555" s="6">
        <v>645000</v>
      </c>
      <c r="I555" s="6">
        <v>77400</v>
      </c>
      <c r="J555" s="6">
        <v>567600</v>
      </c>
      <c r="K555" s="6">
        <v>537500</v>
      </c>
      <c r="L555" s="6">
        <v>30100</v>
      </c>
      <c r="M555" s="1">
        <v>41944</v>
      </c>
      <c r="N555">
        <v>11</v>
      </c>
      <c r="O555" t="s">
        <v>39</v>
      </c>
      <c r="P555">
        <v>2014</v>
      </c>
    </row>
    <row r="556" spans="1:16" hidden="1">
      <c r="A556" t="s">
        <v>16</v>
      </c>
      <c r="B556" t="s">
        <v>25</v>
      </c>
      <c r="C556" t="s">
        <v>37</v>
      </c>
      <c r="D556" t="s">
        <v>47</v>
      </c>
      <c r="E556" s="5">
        <v>1197</v>
      </c>
      <c r="F556">
        <v>10</v>
      </c>
      <c r="G556">
        <v>350</v>
      </c>
      <c r="H556" s="6">
        <v>418950</v>
      </c>
      <c r="I556" s="6">
        <v>50274</v>
      </c>
      <c r="J556" s="6">
        <v>368676</v>
      </c>
      <c r="K556" s="6">
        <v>311220</v>
      </c>
      <c r="L556" s="6">
        <v>57456</v>
      </c>
      <c r="M556" s="1">
        <v>41944</v>
      </c>
      <c r="N556">
        <v>11</v>
      </c>
      <c r="O556" t="s">
        <v>39</v>
      </c>
      <c r="P556">
        <v>2014</v>
      </c>
    </row>
    <row r="557" spans="1:16" hidden="1">
      <c r="A557" t="s">
        <v>22</v>
      </c>
      <c r="B557" t="s">
        <v>25</v>
      </c>
      <c r="C557" t="s">
        <v>37</v>
      </c>
      <c r="D557" t="s">
        <v>47</v>
      </c>
      <c r="E557" s="5">
        <v>380</v>
      </c>
      <c r="F557">
        <v>10</v>
      </c>
      <c r="G557">
        <v>15</v>
      </c>
      <c r="H557" s="6">
        <v>5700</v>
      </c>
      <c r="I557">
        <v>684</v>
      </c>
      <c r="J557" s="6">
        <v>5016</v>
      </c>
      <c r="K557" s="6">
        <v>3800</v>
      </c>
      <c r="L557" s="6">
        <v>1216</v>
      </c>
      <c r="M557" s="1">
        <v>41609</v>
      </c>
      <c r="N557">
        <v>12</v>
      </c>
      <c r="O557" t="s">
        <v>26</v>
      </c>
      <c r="P557">
        <v>2013</v>
      </c>
    </row>
    <row r="558" spans="1:16" hidden="1">
      <c r="A558" t="s">
        <v>16</v>
      </c>
      <c r="B558" t="s">
        <v>25</v>
      </c>
      <c r="C558" t="s">
        <v>37</v>
      </c>
      <c r="D558" t="s">
        <v>47</v>
      </c>
      <c r="E558" s="5">
        <v>1233</v>
      </c>
      <c r="F558">
        <v>10</v>
      </c>
      <c r="G558">
        <v>20</v>
      </c>
      <c r="H558" s="6">
        <v>24660</v>
      </c>
      <c r="I558" s="6">
        <v>2959.2</v>
      </c>
      <c r="J558" s="6">
        <v>21700.799999999999</v>
      </c>
      <c r="K558" s="6">
        <v>12330</v>
      </c>
      <c r="L558" s="6">
        <v>9370.7999999999993</v>
      </c>
      <c r="M558" s="1">
        <v>41974</v>
      </c>
      <c r="N558">
        <v>12</v>
      </c>
      <c r="O558" t="s">
        <v>26</v>
      </c>
      <c r="P558">
        <v>2014</v>
      </c>
    </row>
    <row r="559" spans="1:16" hidden="1">
      <c r="A559" t="s">
        <v>16</v>
      </c>
      <c r="B559" t="s">
        <v>25</v>
      </c>
      <c r="C559" t="s">
        <v>40</v>
      </c>
      <c r="D559" t="s">
        <v>47</v>
      </c>
      <c r="E559" s="5">
        <v>1395</v>
      </c>
      <c r="F559">
        <v>120</v>
      </c>
      <c r="G559">
        <v>350</v>
      </c>
      <c r="H559" s="6">
        <v>488250</v>
      </c>
      <c r="I559" s="6">
        <v>58590</v>
      </c>
      <c r="J559" s="6">
        <v>429660</v>
      </c>
      <c r="K559" s="6">
        <v>362700</v>
      </c>
      <c r="L559" s="6">
        <v>66960</v>
      </c>
      <c r="M559" s="1">
        <v>41821</v>
      </c>
      <c r="N559">
        <v>7</v>
      </c>
      <c r="O559" t="s">
        <v>31</v>
      </c>
      <c r="P559">
        <v>2014</v>
      </c>
    </row>
    <row r="560" spans="1:16" hidden="1">
      <c r="A560" t="s">
        <v>16</v>
      </c>
      <c r="B560" t="s">
        <v>36</v>
      </c>
      <c r="C560" t="s">
        <v>40</v>
      </c>
      <c r="D560" t="s">
        <v>47</v>
      </c>
      <c r="E560" s="5">
        <v>986</v>
      </c>
      <c r="F560">
        <v>120</v>
      </c>
      <c r="G560">
        <v>350</v>
      </c>
      <c r="H560" s="6">
        <v>345100</v>
      </c>
      <c r="I560" s="6">
        <v>41412</v>
      </c>
      <c r="J560" s="6">
        <v>303688</v>
      </c>
      <c r="K560" s="6">
        <v>256360</v>
      </c>
      <c r="L560" s="6">
        <v>47328</v>
      </c>
      <c r="M560" s="1">
        <v>41913</v>
      </c>
      <c r="N560">
        <v>10</v>
      </c>
      <c r="O560" t="s">
        <v>35</v>
      </c>
      <c r="P560">
        <v>2014</v>
      </c>
    </row>
    <row r="561" spans="1:16" hidden="1">
      <c r="A561" t="s">
        <v>16</v>
      </c>
      <c r="B561" t="s">
        <v>25</v>
      </c>
      <c r="C561" t="s">
        <v>40</v>
      </c>
      <c r="D561" t="s">
        <v>47</v>
      </c>
      <c r="E561" s="5">
        <v>905</v>
      </c>
      <c r="F561">
        <v>120</v>
      </c>
      <c r="G561">
        <v>20</v>
      </c>
      <c r="H561" s="6">
        <v>18100</v>
      </c>
      <c r="I561" s="6">
        <v>2172</v>
      </c>
      <c r="J561" s="6">
        <v>15928</v>
      </c>
      <c r="K561" s="6">
        <v>9050</v>
      </c>
      <c r="L561" s="6">
        <v>6878</v>
      </c>
      <c r="M561" s="1">
        <v>41913</v>
      </c>
      <c r="N561">
        <v>10</v>
      </c>
      <c r="O561" t="s">
        <v>35</v>
      </c>
      <c r="P561">
        <v>2014</v>
      </c>
    </row>
    <row r="562" spans="1:16">
      <c r="A562" t="s">
        <v>29</v>
      </c>
      <c r="B562" t="s">
        <v>17</v>
      </c>
      <c r="C562" t="s">
        <v>41</v>
      </c>
      <c r="D562" t="s">
        <v>47</v>
      </c>
      <c r="E562" s="5">
        <v>2109</v>
      </c>
      <c r="F562">
        <v>250</v>
      </c>
      <c r="G562">
        <v>12</v>
      </c>
      <c r="H562" s="6">
        <v>25308</v>
      </c>
      <c r="I562" s="6">
        <v>3036.96</v>
      </c>
      <c r="J562" s="6">
        <v>22271.040000000001</v>
      </c>
      <c r="K562" s="6">
        <v>6327</v>
      </c>
      <c r="L562" s="6">
        <v>15944.04</v>
      </c>
      <c r="M562" s="1">
        <v>41760</v>
      </c>
      <c r="N562">
        <v>5</v>
      </c>
      <c r="O562" t="s">
        <v>45</v>
      </c>
      <c r="P562">
        <v>2014</v>
      </c>
    </row>
    <row r="563" spans="1:16">
      <c r="A563" t="s">
        <v>22</v>
      </c>
      <c r="B563" t="s">
        <v>23</v>
      </c>
      <c r="C563" t="s">
        <v>41</v>
      </c>
      <c r="D563" t="s">
        <v>47</v>
      </c>
      <c r="E563" s="5">
        <v>3874.5</v>
      </c>
      <c r="F563">
        <v>250</v>
      </c>
      <c r="G563">
        <v>15</v>
      </c>
      <c r="H563" s="6">
        <v>58117.5</v>
      </c>
      <c r="I563" s="6">
        <v>6974.1</v>
      </c>
      <c r="J563" s="6">
        <v>51143.4</v>
      </c>
      <c r="K563" s="6">
        <v>38745</v>
      </c>
      <c r="L563" s="6">
        <v>12398.4</v>
      </c>
      <c r="M563" s="1">
        <v>41821</v>
      </c>
      <c r="N563">
        <v>7</v>
      </c>
      <c r="O563" t="s">
        <v>31</v>
      </c>
      <c r="P563">
        <v>2014</v>
      </c>
    </row>
    <row r="564" spans="1:16" hidden="1">
      <c r="A564" t="s">
        <v>16</v>
      </c>
      <c r="B564" t="s">
        <v>17</v>
      </c>
      <c r="C564" t="s">
        <v>41</v>
      </c>
      <c r="D564" t="s">
        <v>47</v>
      </c>
      <c r="E564" s="5">
        <v>623</v>
      </c>
      <c r="F564">
        <v>250</v>
      </c>
      <c r="G564">
        <v>350</v>
      </c>
      <c r="H564" s="6">
        <v>218050</v>
      </c>
      <c r="I564" s="6">
        <v>26166</v>
      </c>
      <c r="J564" s="6">
        <v>191884</v>
      </c>
      <c r="K564" s="6">
        <v>161980</v>
      </c>
      <c r="L564" s="6">
        <v>29904</v>
      </c>
      <c r="M564" s="1">
        <v>41518</v>
      </c>
      <c r="N564">
        <v>9</v>
      </c>
      <c r="O564" t="s">
        <v>34</v>
      </c>
      <c r="P564">
        <v>2013</v>
      </c>
    </row>
    <row r="565" spans="1:16">
      <c r="A565" t="s">
        <v>16</v>
      </c>
      <c r="B565" t="s">
        <v>36</v>
      </c>
      <c r="C565" t="s">
        <v>41</v>
      </c>
      <c r="D565" t="s">
        <v>47</v>
      </c>
      <c r="E565" s="5">
        <v>986</v>
      </c>
      <c r="F565">
        <v>250</v>
      </c>
      <c r="G565">
        <v>350</v>
      </c>
      <c r="H565" s="6">
        <v>345100</v>
      </c>
      <c r="I565" s="6">
        <v>41412</v>
      </c>
      <c r="J565" s="6">
        <v>303688</v>
      </c>
      <c r="K565" s="6">
        <v>256360</v>
      </c>
      <c r="L565" s="6">
        <v>47328</v>
      </c>
      <c r="M565" s="1">
        <v>41913</v>
      </c>
      <c r="N565">
        <v>10</v>
      </c>
      <c r="O565" t="s">
        <v>35</v>
      </c>
      <c r="P565">
        <v>2014</v>
      </c>
    </row>
    <row r="566" spans="1:16">
      <c r="A566" t="s">
        <v>30</v>
      </c>
      <c r="B566" t="s">
        <v>36</v>
      </c>
      <c r="C566" t="s">
        <v>41</v>
      </c>
      <c r="D566" t="s">
        <v>47</v>
      </c>
      <c r="E566" s="5">
        <v>2387</v>
      </c>
      <c r="F566">
        <v>250</v>
      </c>
      <c r="G566">
        <v>125</v>
      </c>
      <c r="H566" s="6">
        <v>298375</v>
      </c>
      <c r="I566" s="6">
        <v>35805</v>
      </c>
      <c r="J566" s="6">
        <v>262570</v>
      </c>
      <c r="K566" s="6">
        <v>286440</v>
      </c>
      <c r="L566" s="6">
        <v>-23870</v>
      </c>
      <c r="M566" s="1">
        <v>41944</v>
      </c>
      <c r="N566">
        <v>11</v>
      </c>
      <c r="O566" t="s">
        <v>39</v>
      </c>
      <c r="P566">
        <v>2014</v>
      </c>
    </row>
    <row r="567" spans="1:16">
      <c r="A567" t="s">
        <v>16</v>
      </c>
      <c r="B567" t="s">
        <v>25</v>
      </c>
      <c r="C567" t="s">
        <v>41</v>
      </c>
      <c r="D567" t="s">
        <v>47</v>
      </c>
      <c r="E567" s="5">
        <v>1233</v>
      </c>
      <c r="F567">
        <v>250</v>
      </c>
      <c r="G567">
        <v>20</v>
      </c>
      <c r="H567" s="6">
        <v>24660</v>
      </c>
      <c r="I567" s="6">
        <v>2959.2</v>
      </c>
      <c r="J567" s="6">
        <v>21700.799999999999</v>
      </c>
      <c r="K567" s="6">
        <v>12330</v>
      </c>
      <c r="L567" s="6">
        <v>9370.7999999999993</v>
      </c>
      <c r="M567" s="1">
        <v>41974</v>
      </c>
      <c r="N567">
        <v>12</v>
      </c>
      <c r="O567" t="s">
        <v>26</v>
      </c>
      <c r="P567">
        <v>2014</v>
      </c>
    </row>
    <row r="568" spans="1:16" hidden="1">
      <c r="A568" t="s">
        <v>16</v>
      </c>
      <c r="B568" t="s">
        <v>36</v>
      </c>
      <c r="C568" t="s">
        <v>43</v>
      </c>
      <c r="D568" t="s">
        <v>47</v>
      </c>
      <c r="E568" s="5">
        <v>270</v>
      </c>
      <c r="F568">
        <v>260</v>
      </c>
      <c r="G568">
        <v>350</v>
      </c>
      <c r="H568" s="6">
        <v>94500</v>
      </c>
      <c r="I568" s="6">
        <v>11340</v>
      </c>
      <c r="J568" s="6">
        <v>83160</v>
      </c>
      <c r="K568" s="6">
        <v>70200</v>
      </c>
      <c r="L568" s="6">
        <v>12960</v>
      </c>
      <c r="M568" s="1">
        <v>41671</v>
      </c>
      <c r="N568">
        <v>2</v>
      </c>
      <c r="O568" t="s">
        <v>38</v>
      </c>
      <c r="P568">
        <v>2014</v>
      </c>
    </row>
    <row r="569" spans="1:16" hidden="1">
      <c r="A569" t="s">
        <v>16</v>
      </c>
      <c r="B569" t="s">
        <v>23</v>
      </c>
      <c r="C569" t="s">
        <v>43</v>
      </c>
      <c r="D569" t="s">
        <v>47</v>
      </c>
      <c r="E569" s="5">
        <v>3421.5</v>
      </c>
      <c r="F569">
        <v>260</v>
      </c>
      <c r="G569">
        <v>7</v>
      </c>
      <c r="H569" s="6">
        <v>23950.5</v>
      </c>
      <c r="I569" s="6">
        <v>2874.06</v>
      </c>
      <c r="J569" s="6">
        <v>21076.44</v>
      </c>
      <c r="K569" s="6">
        <v>17107.5</v>
      </c>
      <c r="L569" s="6">
        <v>3968.94</v>
      </c>
      <c r="M569" s="1">
        <v>41821</v>
      </c>
      <c r="N569">
        <v>7</v>
      </c>
      <c r="O569" t="s">
        <v>31</v>
      </c>
      <c r="P569">
        <v>2014</v>
      </c>
    </row>
    <row r="570" spans="1:16" hidden="1">
      <c r="A570" t="s">
        <v>16</v>
      </c>
      <c r="B570" t="s">
        <v>17</v>
      </c>
      <c r="C570" t="s">
        <v>43</v>
      </c>
      <c r="D570" t="s">
        <v>47</v>
      </c>
      <c r="E570" s="5">
        <v>2734</v>
      </c>
      <c r="F570">
        <v>260</v>
      </c>
      <c r="G570">
        <v>7</v>
      </c>
      <c r="H570" s="6">
        <v>19138</v>
      </c>
      <c r="I570" s="6">
        <v>2296.56</v>
      </c>
      <c r="J570" s="6">
        <v>16841.439999999999</v>
      </c>
      <c r="K570" s="6">
        <v>13670</v>
      </c>
      <c r="L570" s="6">
        <v>3171.44</v>
      </c>
      <c r="M570" s="1">
        <v>41913</v>
      </c>
      <c r="N570">
        <v>10</v>
      </c>
      <c r="O570" t="s">
        <v>35</v>
      </c>
      <c r="P570">
        <v>2014</v>
      </c>
    </row>
    <row r="571" spans="1:16" hidden="1">
      <c r="A571" t="s">
        <v>22</v>
      </c>
      <c r="B571" t="s">
        <v>36</v>
      </c>
      <c r="C571" t="s">
        <v>43</v>
      </c>
      <c r="D571" t="s">
        <v>47</v>
      </c>
      <c r="E571" s="5">
        <v>2548</v>
      </c>
      <c r="F571">
        <v>260</v>
      </c>
      <c r="G571">
        <v>15</v>
      </c>
      <c r="H571" s="6">
        <v>38220</v>
      </c>
      <c r="I571" s="6">
        <v>4586.3999999999996</v>
      </c>
      <c r="J571" s="6">
        <v>33633.599999999999</v>
      </c>
      <c r="K571" s="6">
        <v>25480</v>
      </c>
      <c r="L571" s="6">
        <v>8153.6</v>
      </c>
      <c r="M571" s="1">
        <v>41579</v>
      </c>
      <c r="N571">
        <v>11</v>
      </c>
      <c r="O571" t="s">
        <v>39</v>
      </c>
      <c r="P571">
        <v>2013</v>
      </c>
    </row>
    <row r="572" spans="1:16" hidden="1">
      <c r="A572" t="s">
        <v>16</v>
      </c>
      <c r="B572" t="s">
        <v>23</v>
      </c>
      <c r="C572" t="s">
        <v>18</v>
      </c>
      <c r="D572" t="s">
        <v>47</v>
      </c>
      <c r="E572" s="5">
        <v>2521.5</v>
      </c>
      <c r="F572">
        <v>3</v>
      </c>
      <c r="G572">
        <v>20</v>
      </c>
      <c r="H572" s="6">
        <v>50430</v>
      </c>
      <c r="I572" s="6">
        <v>6051.6</v>
      </c>
      <c r="J572" s="6">
        <v>44378.400000000001</v>
      </c>
      <c r="K572" s="6">
        <v>25215</v>
      </c>
      <c r="L572" s="6">
        <v>19163.400000000001</v>
      </c>
      <c r="M572" s="1">
        <v>41640</v>
      </c>
      <c r="N572">
        <v>1</v>
      </c>
      <c r="O572" t="s">
        <v>20</v>
      </c>
      <c r="P572">
        <v>2014</v>
      </c>
    </row>
    <row r="573" spans="1:16" hidden="1">
      <c r="A573" t="s">
        <v>29</v>
      </c>
      <c r="B573" t="s">
        <v>25</v>
      </c>
      <c r="C573" t="s">
        <v>27</v>
      </c>
      <c r="D573" t="s">
        <v>47</v>
      </c>
      <c r="E573" s="5">
        <v>2661</v>
      </c>
      <c r="F573">
        <v>5</v>
      </c>
      <c r="G573">
        <v>12</v>
      </c>
      <c r="H573" s="6">
        <v>31932</v>
      </c>
      <c r="I573" s="6">
        <v>3831.84</v>
      </c>
      <c r="J573" s="6">
        <v>28100.16</v>
      </c>
      <c r="K573" s="6">
        <v>7983</v>
      </c>
      <c r="L573" s="6">
        <v>20117.16</v>
      </c>
      <c r="M573" s="1">
        <v>41760</v>
      </c>
      <c r="N573">
        <v>5</v>
      </c>
      <c r="O573" t="s">
        <v>45</v>
      </c>
      <c r="P573">
        <v>2014</v>
      </c>
    </row>
    <row r="574" spans="1:16" hidden="1">
      <c r="A574" t="s">
        <v>16</v>
      </c>
      <c r="B574" t="s">
        <v>21</v>
      </c>
      <c r="C574" t="s">
        <v>37</v>
      </c>
      <c r="D574" t="s">
        <v>47</v>
      </c>
      <c r="E574" s="5">
        <v>1531</v>
      </c>
      <c r="F574">
        <v>10</v>
      </c>
      <c r="G574">
        <v>20</v>
      </c>
      <c r="H574" s="6">
        <v>30620</v>
      </c>
      <c r="I574" s="6">
        <v>3674.4</v>
      </c>
      <c r="J574" s="6">
        <v>26945.599999999999</v>
      </c>
      <c r="K574" s="6">
        <v>15310</v>
      </c>
      <c r="L574" s="6">
        <v>11635.6</v>
      </c>
      <c r="M574" s="1">
        <v>41974</v>
      </c>
      <c r="N574">
        <v>12</v>
      </c>
      <c r="O574" t="s">
        <v>26</v>
      </c>
      <c r="P574">
        <v>2014</v>
      </c>
    </row>
    <row r="575" spans="1:16">
      <c r="A575" t="s">
        <v>16</v>
      </c>
      <c r="B575" t="s">
        <v>23</v>
      </c>
      <c r="C575" t="s">
        <v>41</v>
      </c>
      <c r="D575" t="s">
        <v>47</v>
      </c>
      <c r="E575" s="5">
        <v>1491</v>
      </c>
      <c r="F575">
        <v>250</v>
      </c>
      <c r="G575">
        <v>7</v>
      </c>
      <c r="H575" s="6">
        <v>10437</v>
      </c>
      <c r="I575" s="6">
        <v>1252.44</v>
      </c>
      <c r="J575" s="6">
        <v>9184.56</v>
      </c>
      <c r="K575" s="6">
        <v>7455</v>
      </c>
      <c r="L575" s="6">
        <v>1729.56</v>
      </c>
      <c r="M575" s="1">
        <v>41699</v>
      </c>
      <c r="N575">
        <v>3</v>
      </c>
      <c r="O575" t="s">
        <v>28</v>
      </c>
      <c r="P575">
        <v>2014</v>
      </c>
    </row>
    <row r="576" spans="1:16">
      <c r="A576" t="s">
        <v>16</v>
      </c>
      <c r="B576" t="s">
        <v>21</v>
      </c>
      <c r="C576" t="s">
        <v>41</v>
      </c>
      <c r="D576" t="s">
        <v>47</v>
      </c>
      <c r="E576" s="5">
        <v>1531</v>
      </c>
      <c r="F576">
        <v>250</v>
      </c>
      <c r="G576">
        <v>20</v>
      </c>
      <c r="H576" s="6">
        <v>30620</v>
      </c>
      <c r="I576" s="6">
        <v>3674.4</v>
      </c>
      <c r="J576" s="6">
        <v>26945.599999999999</v>
      </c>
      <c r="K576" s="6">
        <v>15310</v>
      </c>
      <c r="L576" s="6">
        <v>11635.6</v>
      </c>
      <c r="M576" s="1">
        <v>41974</v>
      </c>
      <c r="N576">
        <v>12</v>
      </c>
      <c r="O576" t="s">
        <v>26</v>
      </c>
      <c r="P576">
        <v>2014</v>
      </c>
    </row>
    <row r="577" spans="1:16" hidden="1">
      <c r="A577" t="s">
        <v>29</v>
      </c>
      <c r="B577" t="s">
        <v>17</v>
      </c>
      <c r="C577" t="s">
        <v>43</v>
      </c>
      <c r="D577" t="s">
        <v>47</v>
      </c>
      <c r="E577" s="5">
        <v>2761</v>
      </c>
      <c r="F577">
        <v>260</v>
      </c>
      <c r="G577">
        <v>12</v>
      </c>
      <c r="H577" s="6">
        <v>33132</v>
      </c>
      <c r="I577" s="6">
        <v>3975.84</v>
      </c>
      <c r="J577" s="6">
        <v>29156.16</v>
      </c>
      <c r="K577" s="6">
        <v>8283</v>
      </c>
      <c r="L577" s="6">
        <v>20873.16</v>
      </c>
      <c r="M577" s="1">
        <v>41518</v>
      </c>
      <c r="N577">
        <v>9</v>
      </c>
      <c r="O577" t="s">
        <v>34</v>
      </c>
      <c r="P577">
        <v>2013</v>
      </c>
    </row>
    <row r="578" spans="1:16" hidden="1">
      <c r="A578" t="s">
        <v>22</v>
      </c>
      <c r="B578" t="s">
        <v>36</v>
      </c>
      <c r="C578" t="s">
        <v>18</v>
      </c>
      <c r="D578" t="s">
        <v>47</v>
      </c>
      <c r="E578" s="5">
        <v>2567</v>
      </c>
      <c r="F578">
        <v>3</v>
      </c>
      <c r="G578">
        <v>15</v>
      </c>
      <c r="H578" s="6">
        <v>38505</v>
      </c>
      <c r="I578" s="6">
        <v>5005.6499999999996</v>
      </c>
      <c r="J578" s="6">
        <v>33499.35</v>
      </c>
      <c r="K578" s="6">
        <v>25670</v>
      </c>
      <c r="L578" s="6">
        <v>7829.35</v>
      </c>
      <c r="M578" s="1">
        <v>41791</v>
      </c>
      <c r="N578">
        <v>6</v>
      </c>
      <c r="O578" t="s">
        <v>24</v>
      </c>
      <c r="P578">
        <v>2014</v>
      </c>
    </row>
    <row r="579" spans="1:16">
      <c r="A579" t="s">
        <v>22</v>
      </c>
      <c r="B579" t="s">
        <v>36</v>
      </c>
      <c r="C579" t="s">
        <v>41</v>
      </c>
      <c r="D579" t="s">
        <v>47</v>
      </c>
      <c r="E579" s="5">
        <v>2567</v>
      </c>
      <c r="F579">
        <v>250</v>
      </c>
      <c r="G579">
        <v>15</v>
      </c>
      <c r="H579" s="6">
        <v>38505</v>
      </c>
      <c r="I579" s="6">
        <v>5005.6499999999996</v>
      </c>
      <c r="J579" s="6">
        <v>33499.35</v>
      </c>
      <c r="K579" s="6">
        <v>25670</v>
      </c>
      <c r="L579" s="6">
        <v>7829.35</v>
      </c>
      <c r="M579" s="1">
        <v>41791</v>
      </c>
      <c r="N579">
        <v>6</v>
      </c>
      <c r="O579" t="s">
        <v>24</v>
      </c>
      <c r="P579">
        <v>2014</v>
      </c>
    </row>
    <row r="580" spans="1:16" hidden="1">
      <c r="A580" t="s">
        <v>16</v>
      </c>
      <c r="B580" t="s">
        <v>17</v>
      </c>
      <c r="C580" t="s">
        <v>18</v>
      </c>
      <c r="D580" t="s">
        <v>47</v>
      </c>
      <c r="E580" s="5">
        <v>923</v>
      </c>
      <c r="F580">
        <v>3</v>
      </c>
      <c r="G580">
        <v>350</v>
      </c>
      <c r="H580" s="6">
        <v>323050</v>
      </c>
      <c r="I580" s="6">
        <v>41996.5</v>
      </c>
      <c r="J580" s="6">
        <v>281053.5</v>
      </c>
      <c r="K580" s="6">
        <v>239980</v>
      </c>
      <c r="L580" s="6">
        <v>41073.5</v>
      </c>
      <c r="M580" s="1">
        <v>41699</v>
      </c>
      <c r="N580">
        <v>3</v>
      </c>
      <c r="O580" t="s">
        <v>28</v>
      </c>
      <c r="P580">
        <v>2014</v>
      </c>
    </row>
    <row r="581" spans="1:16" hidden="1">
      <c r="A581" t="s">
        <v>16</v>
      </c>
      <c r="B581" t="s">
        <v>23</v>
      </c>
      <c r="C581" t="s">
        <v>18</v>
      </c>
      <c r="D581" t="s">
        <v>47</v>
      </c>
      <c r="E581" s="5">
        <v>1790</v>
      </c>
      <c r="F581">
        <v>3</v>
      </c>
      <c r="G581">
        <v>350</v>
      </c>
      <c r="H581" s="6">
        <v>626500</v>
      </c>
      <c r="I581" s="6">
        <v>81445</v>
      </c>
      <c r="J581" s="6">
        <v>545055</v>
      </c>
      <c r="K581" s="6">
        <v>465400</v>
      </c>
      <c r="L581" s="6">
        <v>79655</v>
      </c>
      <c r="M581" s="1">
        <v>41699</v>
      </c>
      <c r="N581">
        <v>3</v>
      </c>
      <c r="O581" t="s">
        <v>28</v>
      </c>
      <c r="P581">
        <v>2014</v>
      </c>
    </row>
    <row r="582" spans="1:16" hidden="1">
      <c r="A582" t="s">
        <v>16</v>
      </c>
      <c r="B582" t="s">
        <v>21</v>
      </c>
      <c r="C582" t="s">
        <v>18</v>
      </c>
      <c r="D582" t="s">
        <v>47</v>
      </c>
      <c r="E582" s="5">
        <v>442</v>
      </c>
      <c r="F582">
        <v>3</v>
      </c>
      <c r="G582">
        <v>20</v>
      </c>
      <c r="H582" s="6">
        <v>8840</v>
      </c>
      <c r="I582" s="6">
        <v>1149.2</v>
      </c>
      <c r="J582" s="6">
        <v>7690.8</v>
      </c>
      <c r="K582" s="6">
        <v>4420</v>
      </c>
      <c r="L582" s="6">
        <v>3270.8</v>
      </c>
      <c r="M582" s="1">
        <v>41518</v>
      </c>
      <c r="N582">
        <v>9</v>
      </c>
      <c r="O582" t="s">
        <v>34</v>
      </c>
      <c r="P582">
        <v>2013</v>
      </c>
    </row>
    <row r="583" spans="1:16" hidden="1">
      <c r="A583" t="s">
        <v>16</v>
      </c>
      <c r="B583" t="s">
        <v>36</v>
      </c>
      <c r="C583" t="s">
        <v>27</v>
      </c>
      <c r="D583" t="s">
        <v>47</v>
      </c>
      <c r="E583" s="5">
        <v>982.5</v>
      </c>
      <c r="F583">
        <v>5</v>
      </c>
      <c r="G583">
        <v>350</v>
      </c>
      <c r="H583" s="6">
        <v>343875</v>
      </c>
      <c r="I583" s="6">
        <v>44703.75</v>
      </c>
      <c r="J583" s="6">
        <v>299171.25</v>
      </c>
      <c r="K583" s="6">
        <v>255450</v>
      </c>
      <c r="L583" s="6">
        <v>43721.25</v>
      </c>
      <c r="M583" s="1">
        <v>41640</v>
      </c>
      <c r="N583">
        <v>1</v>
      </c>
      <c r="O583" t="s">
        <v>20</v>
      </c>
      <c r="P583">
        <v>2014</v>
      </c>
    </row>
    <row r="584" spans="1:16" hidden="1">
      <c r="A584" t="s">
        <v>16</v>
      </c>
      <c r="B584" t="s">
        <v>36</v>
      </c>
      <c r="C584" t="s">
        <v>27</v>
      </c>
      <c r="D584" t="s">
        <v>47</v>
      </c>
      <c r="E584" s="5">
        <v>1298</v>
      </c>
      <c r="F584">
        <v>5</v>
      </c>
      <c r="G584">
        <v>7</v>
      </c>
      <c r="H584" s="6">
        <v>9086</v>
      </c>
      <c r="I584" s="6">
        <v>1181.18</v>
      </c>
      <c r="J584" s="6">
        <v>7904.82</v>
      </c>
      <c r="K584" s="6">
        <v>6490</v>
      </c>
      <c r="L584" s="6">
        <v>1414.82</v>
      </c>
      <c r="M584" s="1">
        <v>41671</v>
      </c>
      <c r="N584">
        <v>2</v>
      </c>
      <c r="O584" t="s">
        <v>38</v>
      </c>
      <c r="P584">
        <v>2014</v>
      </c>
    </row>
    <row r="585" spans="1:16" hidden="1">
      <c r="A585" t="s">
        <v>29</v>
      </c>
      <c r="B585" t="s">
        <v>25</v>
      </c>
      <c r="C585" t="s">
        <v>27</v>
      </c>
      <c r="D585" t="s">
        <v>47</v>
      </c>
      <c r="E585" s="5">
        <v>604</v>
      </c>
      <c r="F585">
        <v>5</v>
      </c>
      <c r="G585">
        <v>12</v>
      </c>
      <c r="H585" s="6">
        <v>7248</v>
      </c>
      <c r="I585">
        <v>942.24</v>
      </c>
      <c r="J585" s="6">
        <v>6305.76</v>
      </c>
      <c r="K585" s="6">
        <v>1812</v>
      </c>
      <c r="L585" s="6">
        <v>4493.76</v>
      </c>
      <c r="M585" s="1">
        <v>41791</v>
      </c>
      <c r="N585">
        <v>6</v>
      </c>
      <c r="O585" t="s">
        <v>24</v>
      </c>
      <c r="P585">
        <v>2014</v>
      </c>
    </row>
    <row r="586" spans="1:16" hidden="1">
      <c r="A586" t="s">
        <v>16</v>
      </c>
      <c r="B586" t="s">
        <v>25</v>
      </c>
      <c r="C586" t="s">
        <v>27</v>
      </c>
      <c r="D586" t="s">
        <v>47</v>
      </c>
      <c r="E586" s="5">
        <v>2255</v>
      </c>
      <c r="F586">
        <v>5</v>
      </c>
      <c r="G586">
        <v>20</v>
      </c>
      <c r="H586" s="6">
        <v>45100</v>
      </c>
      <c r="I586" s="6">
        <v>5863</v>
      </c>
      <c r="J586" s="6">
        <v>39237</v>
      </c>
      <c r="K586" s="6">
        <v>22550</v>
      </c>
      <c r="L586" s="6">
        <v>16687</v>
      </c>
      <c r="M586" s="1">
        <v>41821</v>
      </c>
      <c r="N586">
        <v>7</v>
      </c>
      <c r="O586" t="s">
        <v>31</v>
      </c>
      <c r="P586">
        <v>2014</v>
      </c>
    </row>
    <row r="587" spans="1:16" hidden="1">
      <c r="A587" t="s">
        <v>16</v>
      </c>
      <c r="B587" t="s">
        <v>17</v>
      </c>
      <c r="C587" t="s">
        <v>27</v>
      </c>
      <c r="D587" t="s">
        <v>47</v>
      </c>
      <c r="E587" s="5">
        <v>1249</v>
      </c>
      <c r="F587">
        <v>5</v>
      </c>
      <c r="G587">
        <v>20</v>
      </c>
      <c r="H587" s="6">
        <v>24980</v>
      </c>
      <c r="I587" s="6">
        <v>3247.4</v>
      </c>
      <c r="J587" s="6">
        <v>21732.6</v>
      </c>
      <c r="K587" s="6">
        <v>12490</v>
      </c>
      <c r="L587" s="6">
        <v>9242.6</v>
      </c>
      <c r="M587" s="1">
        <v>41913</v>
      </c>
      <c r="N587">
        <v>10</v>
      </c>
      <c r="O587" t="s">
        <v>35</v>
      </c>
      <c r="P587">
        <v>2014</v>
      </c>
    </row>
    <row r="588" spans="1:16" hidden="1">
      <c r="A588" t="s">
        <v>16</v>
      </c>
      <c r="B588" t="s">
        <v>36</v>
      </c>
      <c r="C588" t="s">
        <v>37</v>
      </c>
      <c r="D588" t="s">
        <v>47</v>
      </c>
      <c r="E588" s="5">
        <v>1438.5</v>
      </c>
      <c r="F588">
        <v>10</v>
      </c>
      <c r="G588">
        <v>7</v>
      </c>
      <c r="H588" s="6">
        <v>10069.5</v>
      </c>
      <c r="I588" s="6">
        <v>1309.04</v>
      </c>
      <c r="J588" s="6">
        <v>8760.4699999999993</v>
      </c>
      <c r="K588" s="6">
        <v>7192.5</v>
      </c>
      <c r="L588" s="6">
        <v>1567.97</v>
      </c>
      <c r="M588" s="1">
        <v>41640</v>
      </c>
      <c r="N588">
        <v>1</v>
      </c>
      <c r="O588" t="s">
        <v>20</v>
      </c>
      <c r="P588">
        <v>2014</v>
      </c>
    </row>
    <row r="589" spans="1:16" hidden="1">
      <c r="A589" t="s">
        <v>32</v>
      </c>
      <c r="B589" t="s">
        <v>21</v>
      </c>
      <c r="C589" t="s">
        <v>37</v>
      </c>
      <c r="D589" t="s">
        <v>47</v>
      </c>
      <c r="E589" s="5">
        <v>807</v>
      </c>
      <c r="F589">
        <v>10</v>
      </c>
      <c r="G589">
        <v>300</v>
      </c>
      <c r="H589" s="6">
        <v>242100</v>
      </c>
      <c r="I589" s="6">
        <v>31473</v>
      </c>
      <c r="J589" s="6">
        <v>210627</v>
      </c>
      <c r="K589" s="6">
        <v>201750</v>
      </c>
      <c r="L589" s="6">
        <v>8877</v>
      </c>
      <c r="M589" s="1">
        <v>41640</v>
      </c>
      <c r="N589">
        <v>1</v>
      </c>
      <c r="O589" t="s">
        <v>20</v>
      </c>
      <c r="P589">
        <v>2014</v>
      </c>
    </row>
    <row r="590" spans="1:16" hidden="1">
      <c r="A590" t="s">
        <v>16</v>
      </c>
      <c r="B590" t="s">
        <v>36</v>
      </c>
      <c r="C590" t="s">
        <v>37</v>
      </c>
      <c r="D590" t="s">
        <v>47</v>
      </c>
      <c r="E590" s="5">
        <v>2641</v>
      </c>
      <c r="F590">
        <v>10</v>
      </c>
      <c r="G590">
        <v>20</v>
      </c>
      <c r="H590" s="6">
        <v>52820</v>
      </c>
      <c r="I590" s="6">
        <v>6866.6</v>
      </c>
      <c r="J590" s="6">
        <v>45953.4</v>
      </c>
      <c r="K590" s="6">
        <v>26410</v>
      </c>
      <c r="L590" s="6">
        <v>19543.400000000001</v>
      </c>
      <c r="M590" s="1">
        <v>41671</v>
      </c>
      <c r="N590">
        <v>2</v>
      </c>
      <c r="O590" t="s">
        <v>38</v>
      </c>
      <c r="P590">
        <v>2014</v>
      </c>
    </row>
    <row r="591" spans="1:16" hidden="1">
      <c r="A591" t="s">
        <v>16</v>
      </c>
      <c r="B591" t="s">
        <v>21</v>
      </c>
      <c r="C591" t="s">
        <v>37</v>
      </c>
      <c r="D591" t="s">
        <v>47</v>
      </c>
      <c r="E591" s="5">
        <v>2708</v>
      </c>
      <c r="F591">
        <v>10</v>
      </c>
      <c r="G591">
        <v>20</v>
      </c>
      <c r="H591" s="6">
        <v>54160</v>
      </c>
      <c r="I591" s="6">
        <v>7040.8</v>
      </c>
      <c r="J591" s="6">
        <v>47119.199999999997</v>
      </c>
      <c r="K591" s="6">
        <v>27080</v>
      </c>
      <c r="L591" s="6">
        <v>20039.2</v>
      </c>
      <c r="M591" s="1">
        <v>41671</v>
      </c>
      <c r="N591">
        <v>2</v>
      </c>
      <c r="O591" t="s">
        <v>38</v>
      </c>
      <c r="P591">
        <v>2014</v>
      </c>
    </row>
    <row r="592" spans="1:16" hidden="1">
      <c r="A592" t="s">
        <v>16</v>
      </c>
      <c r="B592" t="s">
        <v>17</v>
      </c>
      <c r="C592" t="s">
        <v>37</v>
      </c>
      <c r="D592" t="s">
        <v>47</v>
      </c>
      <c r="E592" s="5">
        <v>2632</v>
      </c>
      <c r="F592">
        <v>10</v>
      </c>
      <c r="G592">
        <v>350</v>
      </c>
      <c r="H592" s="6">
        <v>921200</v>
      </c>
      <c r="I592" s="6">
        <v>119756</v>
      </c>
      <c r="J592" s="6">
        <v>801444</v>
      </c>
      <c r="K592" s="6">
        <v>684320</v>
      </c>
      <c r="L592" s="6">
        <v>117124</v>
      </c>
      <c r="M592" s="1">
        <v>41791</v>
      </c>
      <c r="N592">
        <v>6</v>
      </c>
      <c r="O592" t="s">
        <v>24</v>
      </c>
      <c r="P592">
        <v>2014</v>
      </c>
    </row>
    <row r="593" spans="1:16" hidden="1">
      <c r="A593" t="s">
        <v>30</v>
      </c>
      <c r="B593" t="s">
        <v>17</v>
      </c>
      <c r="C593" t="s">
        <v>37</v>
      </c>
      <c r="D593" t="s">
        <v>47</v>
      </c>
      <c r="E593" s="5">
        <v>1583</v>
      </c>
      <c r="F593">
        <v>10</v>
      </c>
      <c r="G593">
        <v>125</v>
      </c>
      <c r="H593" s="6">
        <v>197875</v>
      </c>
      <c r="I593" s="6">
        <v>25723.75</v>
      </c>
      <c r="J593" s="6">
        <v>172151.25</v>
      </c>
      <c r="K593" s="6">
        <v>189960</v>
      </c>
      <c r="L593" s="6">
        <v>-17808.75</v>
      </c>
      <c r="M593" s="1">
        <v>41791</v>
      </c>
      <c r="N593">
        <v>6</v>
      </c>
      <c r="O593" t="s">
        <v>24</v>
      </c>
      <c r="P593">
        <v>2014</v>
      </c>
    </row>
    <row r="594" spans="1:16" hidden="1">
      <c r="A594" t="s">
        <v>29</v>
      </c>
      <c r="B594" t="s">
        <v>25</v>
      </c>
      <c r="C594" t="s">
        <v>37</v>
      </c>
      <c r="D594" t="s">
        <v>47</v>
      </c>
      <c r="E594" s="5">
        <v>571</v>
      </c>
      <c r="F594">
        <v>10</v>
      </c>
      <c r="G594">
        <v>12</v>
      </c>
      <c r="H594" s="6">
        <v>6852</v>
      </c>
      <c r="I594">
        <v>890.76</v>
      </c>
      <c r="J594" s="6">
        <v>5961.24</v>
      </c>
      <c r="K594" s="6">
        <v>1713</v>
      </c>
      <c r="L594" s="6">
        <v>4248.24</v>
      </c>
      <c r="M594" s="1">
        <v>41821</v>
      </c>
      <c r="N594">
        <v>7</v>
      </c>
      <c r="O594" t="s">
        <v>31</v>
      </c>
      <c r="P594">
        <v>2014</v>
      </c>
    </row>
    <row r="595" spans="1:16" hidden="1">
      <c r="A595" t="s">
        <v>16</v>
      </c>
      <c r="B595" t="s">
        <v>23</v>
      </c>
      <c r="C595" t="s">
        <v>37</v>
      </c>
      <c r="D595" t="s">
        <v>47</v>
      </c>
      <c r="E595" s="5">
        <v>2696</v>
      </c>
      <c r="F595">
        <v>10</v>
      </c>
      <c r="G595">
        <v>7</v>
      </c>
      <c r="H595" s="6">
        <v>18872</v>
      </c>
      <c r="I595" s="6">
        <v>2453.36</v>
      </c>
      <c r="J595" s="6">
        <v>16418.64</v>
      </c>
      <c r="K595" s="6">
        <v>13480</v>
      </c>
      <c r="L595" s="6">
        <v>2938.64</v>
      </c>
      <c r="M595" s="1">
        <v>41852</v>
      </c>
      <c r="N595">
        <v>8</v>
      </c>
      <c r="O595" t="s">
        <v>33</v>
      </c>
      <c r="P595">
        <v>2014</v>
      </c>
    </row>
    <row r="596" spans="1:16" hidden="1">
      <c r="A596" t="s">
        <v>22</v>
      </c>
      <c r="B596" t="s">
        <v>17</v>
      </c>
      <c r="C596" t="s">
        <v>37</v>
      </c>
      <c r="D596" t="s">
        <v>47</v>
      </c>
      <c r="E596" s="5">
        <v>1565</v>
      </c>
      <c r="F596">
        <v>10</v>
      </c>
      <c r="G596">
        <v>15</v>
      </c>
      <c r="H596" s="6">
        <v>23475</v>
      </c>
      <c r="I596" s="6">
        <v>3051.75</v>
      </c>
      <c r="J596" s="6">
        <v>20423.25</v>
      </c>
      <c r="K596" s="6">
        <v>15650</v>
      </c>
      <c r="L596" s="6">
        <v>4773.25</v>
      </c>
      <c r="M596" s="1">
        <v>41913</v>
      </c>
      <c r="N596">
        <v>10</v>
      </c>
      <c r="O596" t="s">
        <v>35</v>
      </c>
      <c r="P596">
        <v>2014</v>
      </c>
    </row>
    <row r="597" spans="1:16" hidden="1">
      <c r="A597" t="s">
        <v>16</v>
      </c>
      <c r="B597" t="s">
        <v>17</v>
      </c>
      <c r="C597" t="s">
        <v>37</v>
      </c>
      <c r="D597" t="s">
        <v>47</v>
      </c>
      <c r="E597" s="5">
        <v>1249</v>
      </c>
      <c r="F597">
        <v>10</v>
      </c>
      <c r="G597">
        <v>20</v>
      </c>
      <c r="H597" s="6">
        <v>24980</v>
      </c>
      <c r="I597" s="6">
        <v>3247.4</v>
      </c>
      <c r="J597" s="6">
        <v>21732.6</v>
      </c>
      <c r="K597" s="6">
        <v>12490</v>
      </c>
      <c r="L597" s="6">
        <v>9242.6</v>
      </c>
      <c r="M597" s="1">
        <v>41913</v>
      </c>
      <c r="N597">
        <v>10</v>
      </c>
      <c r="O597" t="s">
        <v>35</v>
      </c>
      <c r="P597">
        <v>2014</v>
      </c>
    </row>
    <row r="598" spans="1:16" hidden="1">
      <c r="A598" t="s">
        <v>16</v>
      </c>
      <c r="B598" t="s">
        <v>21</v>
      </c>
      <c r="C598" t="s">
        <v>37</v>
      </c>
      <c r="D598" t="s">
        <v>47</v>
      </c>
      <c r="E598" s="5">
        <v>357</v>
      </c>
      <c r="F598">
        <v>10</v>
      </c>
      <c r="G598">
        <v>350</v>
      </c>
      <c r="H598" s="6">
        <v>124950</v>
      </c>
      <c r="I598" s="6">
        <v>16243.5</v>
      </c>
      <c r="J598" s="6">
        <v>108706.5</v>
      </c>
      <c r="K598" s="6">
        <v>92820</v>
      </c>
      <c r="L598" s="6">
        <v>15886.5</v>
      </c>
      <c r="M598" s="1">
        <v>41944</v>
      </c>
      <c r="N598">
        <v>11</v>
      </c>
      <c r="O598" t="s">
        <v>39</v>
      </c>
      <c r="P598">
        <v>2014</v>
      </c>
    </row>
    <row r="599" spans="1:16" hidden="1">
      <c r="A599" t="s">
        <v>29</v>
      </c>
      <c r="B599" t="s">
        <v>21</v>
      </c>
      <c r="C599" t="s">
        <v>37</v>
      </c>
      <c r="D599" t="s">
        <v>47</v>
      </c>
      <c r="E599" s="5">
        <v>1013</v>
      </c>
      <c r="F599">
        <v>10</v>
      </c>
      <c r="G599">
        <v>12</v>
      </c>
      <c r="H599" s="6">
        <v>12156</v>
      </c>
      <c r="I599" s="6">
        <v>1580.28</v>
      </c>
      <c r="J599" s="6">
        <v>10575.72</v>
      </c>
      <c r="K599" s="6">
        <v>3039</v>
      </c>
      <c r="L599" s="6">
        <v>7536.72</v>
      </c>
      <c r="M599" s="1">
        <v>41974</v>
      </c>
      <c r="N599">
        <v>12</v>
      </c>
      <c r="O599" t="s">
        <v>26</v>
      </c>
      <c r="P599">
        <v>2014</v>
      </c>
    </row>
    <row r="600" spans="1:16" hidden="1">
      <c r="A600" t="s">
        <v>22</v>
      </c>
      <c r="B600" t="s">
        <v>23</v>
      </c>
      <c r="C600" t="s">
        <v>40</v>
      </c>
      <c r="D600" t="s">
        <v>47</v>
      </c>
      <c r="E600" s="5">
        <v>3997.5</v>
      </c>
      <c r="F600">
        <v>120</v>
      </c>
      <c r="G600">
        <v>15</v>
      </c>
      <c r="H600" s="6">
        <v>59962.5</v>
      </c>
      <c r="I600" s="6">
        <v>7795.13</v>
      </c>
      <c r="J600" s="6">
        <v>52167.38</v>
      </c>
      <c r="K600" s="6">
        <v>39975</v>
      </c>
      <c r="L600" s="6">
        <v>12192.38</v>
      </c>
      <c r="M600" s="1">
        <v>41640</v>
      </c>
      <c r="N600">
        <v>1</v>
      </c>
      <c r="O600" t="s">
        <v>20</v>
      </c>
      <c r="P600">
        <v>2014</v>
      </c>
    </row>
    <row r="601" spans="1:16" hidden="1">
      <c r="A601" t="s">
        <v>16</v>
      </c>
      <c r="B601" t="s">
        <v>17</v>
      </c>
      <c r="C601" t="s">
        <v>40</v>
      </c>
      <c r="D601" t="s">
        <v>47</v>
      </c>
      <c r="E601" s="5">
        <v>2632</v>
      </c>
      <c r="F601">
        <v>120</v>
      </c>
      <c r="G601">
        <v>350</v>
      </c>
      <c r="H601" s="6">
        <v>921200</v>
      </c>
      <c r="I601" s="6">
        <v>119756</v>
      </c>
      <c r="J601" s="6">
        <v>801444</v>
      </c>
      <c r="K601" s="6">
        <v>684320</v>
      </c>
      <c r="L601" s="6">
        <v>117124</v>
      </c>
      <c r="M601" s="1">
        <v>41791</v>
      </c>
      <c r="N601">
        <v>6</v>
      </c>
      <c r="O601" t="s">
        <v>24</v>
      </c>
      <c r="P601">
        <v>2014</v>
      </c>
    </row>
    <row r="602" spans="1:16" hidden="1">
      <c r="A602" t="s">
        <v>16</v>
      </c>
      <c r="B602" t="s">
        <v>23</v>
      </c>
      <c r="C602" t="s">
        <v>40</v>
      </c>
      <c r="D602" t="s">
        <v>47</v>
      </c>
      <c r="E602" s="5">
        <v>1190</v>
      </c>
      <c r="F602">
        <v>120</v>
      </c>
      <c r="G602">
        <v>7</v>
      </c>
      <c r="H602" s="6">
        <v>8330</v>
      </c>
      <c r="I602" s="6">
        <v>1082.9000000000001</v>
      </c>
      <c r="J602" s="6">
        <v>7247.1</v>
      </c>
      <c r="K602" s="6">
        <v>5950</v>
      </c>
      <c r="L602" s="6">
        <v>1297.0999999999999</v>
      </c>
      <c r="M602" s="1">
        <v>41791</v>
      </c>
      <c r="N602">
        <v>6</v>
      </c>
      <c r="O602" t="s">
        <v>24</v>
      </c>
      <c r="P602">
        <v>2014</v>
      </c>
    </row>
    <row r="603" spans="1:16" hidden="1">
      <c r="A603" t="s">
        <v>29</v>
      </c>
      <c r="B603" t="s">
        <v>25</v>
      </c>
      <c r="C603" t="s">
        <v>40</v>
      </c>
      <c r="D603" t="s">
        <v>47</v>
      </c>
      <c r="E603" s="5">
        <v>604</v>
      </c>
      <c r="F603">
        <v>120</v>
      </c>
      <c r="G603">
        <v>12</v>
      </c>
      <c r="H603" s="6">
        <v>7248</v>
      </c>
      <c r="I603">
        <v>942.24</v>
      </c>
      <c r="J603" s="6">
        <v>6305.76</v>
      </c>
      <c r="K603" s="6">
        <v>1812</v>
      </c>
      <c r="L603" s="6">
        <v>4493.76</v>
      </c>
      <c r="M603" s="1">
        <v>41791</v>
      </c>
      <c r="N603">
        <v>6</v>
      </c>
      <c r="O603" t="s">
        <v>24</v>
      </c>
      <c r="P603">
        <v>2014</v>
      </c>
    </row>
    <row r="604" spans="1:16" hidden="1">
      <c r="A604" t="s">
        <v>22</v>
      </c>
      <c r="B604" t="s">
        <v>21</v>
      </c>
      <c r="C604" t="s">
        <v>40</v>
      </c>
      <c r="D604" t="s">
        <v>47</v>
      </c>
      <c r="E604" s="5">
        <v>660</v>
      </c>
      <c r="F604">
        <v>120</v>
      </c>
      <c r="G604">
        <v>15</v>
      </c>
      <c r="H604" s="6">
        <v>9900</v>
      </c>
      <c r="I604" s="6">
        <v>1287</v>
      </c>
      <c r="J604" s="6">
        <v>8613</v>
      </c>
      <c r="K604" s="6">
        <v>6600</v>
      </c>
      <c r="L604" s="6">
        <v>2013</v>
      </c>
      <c r="M604" s="1">
        <v>41518</v>
      </c>
      <c r="N604">
        <v>9</v>
      </c>
      <c r="O604" t="s">
        <v>34</v>
      </c>
      <c r="P604">
        <v>2013</v>
      </c>
    </row>
    <row r="605" spans="1:16" hidden="1">
      <c r="A605" t="s">
        <v>29</v>
      </c>
      <c r="B605" t="s">
        <v>25</v>
      </c>
      <c r="C605" t="s">
        <v>40</v>
      </c>
      <c r="D605" t="s">
        <v>47</v>
      </c>
      <c r="E605" s="5">
        <v>410</v>
      </c>
      <c r="F605">
        <v>120</v>
      </c>
      <c r="G605">
        <v>12</v>
      </c>
      <c r="H605" s="6">
        <v>4920</v>
      </c>
      <c r="I605">
        <v>639.6</v>
      </c>
      <c r="J605" s="6">
        <v>4280.3999999999996</v>
      </c>
      <c r="K605" s="6">
        <v>1230</v>
      </c>
      <c r="L605" s="6">
        <v>3050.4</v>
      </c>
      <c r="M605" s="1">
        <v>41913</v>
      </c>
      <c r="N605">
        <v>10</v>
      </c>
      <c r="O605" t="s">
        <v>35</v>
      </c>
      <c r="P605">
        <v>2014</v>
      </c>
    </row>
    <row r="606" spans="1:16" hidden="1">
      <c r="A606" t="s">
        <v>32</v>
      </c>
      <c r="B606" t="s">
        <v>25</v>
      </c>
      <c r="C606" t="s">
        <v>40</v>
      </c>
      <c r="D606" t="s">
        <v>47</v>
      </c>
      <c r="E606" s="5">
        <v>2605</v>
      </c>
      <c r="F606">
        <v>120</v>
      </c>
      <c r="G606">
        <v>300</v>
      </c>
      <c r="H606" s="6">
        <v>781500</v>
      </c>
      <c r="I606" s="6">
        <v>101595</v>
      </c>
      <c r="J606" s="6">
        <v>679905</v>
      </c>
      <c r="K606" s="6">
        <v>651250</v>
      </c>
      <c r="L606" s="6">
        <v>28655</v>
      </c>
      <c r="M606" s="1">
        <v>41579</v>
      </c>
      <c r="N606">
        <v>11</v>
      </c>
      <c r="O606" t="s">
        <v>39</v>
      </c>
      <c r="P606">
        <v>2013</v>
      </c>
    </row>
    <row r="607" spans="1:16" hidden="1">
      <c r="A607" t="s">
        <v>29</v>
      </c>
      <c r="B607" t="s">
        <v>21</v>
      </c>
      <c r="C607" t="s">
        <v>40</v>
      </c>
      <c r="D607" t="s">
        <v>47</v>
      </c>
      <c r="E607" s="5">
        <v>1013</v>
      </c>
      <c r="F607">
        <v>120</v>
      </c>
      <c r="G607">
        <v>12</v>
      </c>
      <c r="H607" s="6">
        <v>12156</v>
      </c>
      <c r="I607" s="6">
        <v>1580.28</v>
      </c>
      <c r="J607" s="6">
        <v>10575.72</v>
      </c>
      <c r="K607" s="6">
        <v>3039</v>
      </c>
      <c r="L607" s="6">
        <v>7536.72</v>
      </c>
      <c r="M607" s="1">
        <v>41974</v>
      </c>
      <c r="N607">
        <v>12</v>
      </c>
      <c r="O607" t="s">
        <v>26</v>
      </c>
      <c r="P607">
        <v>2014</v>
      </c>
    </row>
    <row r="608" spans="1:16">
      <c r="A608" t="s">
        <v>30</v>
      </c>
      <c r="B608" t="s">
        <v>17</v>
      </c>
      <c r="C608" t="s">
        <v>41</v>
      </c>
      <c r="D608" t="s">
        <v>47</v>
      </c>
      <c r="E608" s="5">
        <v>1583</v>
      </c>
      <c r="F608">
        <v>250</v>
      </c>
      <c r="G608">
        <v>125</v>
      </c>
      <c r="H608" s="6">
        <v>197875</v>
      </c>
      <c r="I608" s="6">
        <v>25723.75</v>
      </c>
      <c r="J608" s="6">
        <v>172151.25</v>
      </c>
      <c r="K608" s="6">
        <v>189960</v>
      </c>
      <c r="L608" s="6">
        <v>-17808.75</v>
      </c>
      <c r="M608" s="1">
        <v>41791</v>
      </c>
      <c r="N608">
        <v>6</v>
      </c>
      <c r="O608" t="s">
        <v>24</v>
      </c>
      <c r="P608">
        <v>2014</v>
      </c>
    </row>
    <row r="609" spans="1:16">
      <c r="A609" t="s">
        <v>22</v>
      </c>
      <c r="B609" t="s">
        <v>17</v>
      </c>
      <c r="C609" t="s">
        <v>41</v>
      </c>
      <c r="D609" t="s">
        <v>47</v>
      </c>
      <c r="E609" s="5">
        <v>1565</v>
      </c>
      <c r="F609">
        <v>250</v>
      </c>
      <c r="G609">
        <v>15</v>
      </c>
      <c r="H609" s="6">
        <v>23475</v>
      </c>
      <c r="I609" s="6">
        <v>3051.75</v>
      </c>
      <c r="J609" s="6">
        <v>20423.25</v>
      </c>
      <c r="K609" s="6">
        <v>15650</v>
      </c>
      <c r="L609" s="6">
        <v>4773.25</v>
      </c>
      <c r="M609" s="1">
        <v>41913</v>
      </c>
      <c r="N609">
        <v>10</v>
      </c>
      <c r="O609" t="s">
        <v>35</v>
      </c>
      <c r="P609">
        <v>2014</v>
      </c>
    </row>
    <row r="610" spans="1:16" hidden="1">
      <c r="A610" t="s">
        <v>30</v>
      </c>
      <c r="B610" t="s">
        <v>17</v>
      </c>
      <c r="C610" t="s">
        <v>43</v>
      </c>
      <c r="D610" t="s">
        <v>47</v>
      </c>
      <c r="E610" s="5">
        <v>1659</v>
      </c>
      <c r="F610">
        <v>260</v>
      </c>
      <c r="G610">
        <v>125</v>
      </c>
      <c r="H610" s="6">
        <v>207375</v>
      </c>
      <c r="I610" s="6">
        <v>26958.75</v>
      </c>
      <c r="J610" s="6">
        <v>180416.25</v>
      </c>
      <c r="K610" s="6">
        <v>199080</v>
      </c>
      <c r="L610" s="6">
        <v>-18663.75</v>
      </c>
      <c r="M610" s="1">
        <v>41640</v>
      </c>
      <c r="N610">
        <v>1</v>
      </c>
      <c r="O610" t="s">
        <v>20</v>
      </c>
      <c r="P610">
        <v>2014</v>
      </c>
    </row>
    <row r="611" spans="1:16" hidden="1">
      <c r="A611" t="s">
        <v>16</v>
      </c>
      <c r="B611" t="s">
        <v>23</v>
      </c>
      <c r="C611" t="s">
        <v>43</v>
      </c>
      <c r="D611" t="s">
        <v>47</v>
      </c>
      <c r="E611" s="5">
        <v>1190</v>
      </c>
      <c r="F611">
        <v>260</v>
      </c>
      <c r="G611">
        <v>7</v>
      </c>
      <c r="H611" s="6">
        <v>8330</v>
      </c>
      <c r="I611" s="6">
        <v>1082.9000000000001</v>
      </c>
      <c r="J611" s="6">
        <v>7247.1</v>
      </c>
      <c r="K611" s="6">
        <v>5950</v>
      </c>
      <c r="L611" s="6">
        <v>1297.0999999999999</v>
      </c>
      <c r="M611" s="1">
        <v>41791</v>
      </c>
      <c r="N611">
        <v>6</v>
      </c>
      <c r="O611" t="s">
        <v>24</v>
      </c>
      <c r="P611">
        <v>2014</v>
      </c>
    </row>
    <row r="612" spans="1:16" hidden="1">
      <c r="A612" t="s">
        <v>29</v>
      </c>
      <c r="B612" t="s">
        <v>25</v>
      </c>
      <c r="C612" t="s">
        <v>43</v>
      </c>
      <c r="D612" t="s">
        <v>47</v>
      </c>
      <c r="E612" s="5">
        <v>410</v>
      </c>
      <c r="F612">
        <v>260</v>
      </c>
      <c r="G612">
        <v>12</v>
      </c>
      <c r="H612" s="6">
        <v>4920</v>
      </c>
      <c r="I612">
        <v>639.6</v>
      </c>
      <c r="J612" s="6">
        <v>4280.3999999999996</v>
      </c>
      <c r="K612" s="6">
        <v>1230</v>
      </c>
      <c r="L612" s="6">
        <v>3050.4</v>
      </c>
      <c r="M612" s="1">
        <v>41913</v>
      </c>
      <c r="N612">
        <v>10</v>
      </c>
      <c r="O612" t="s">
        <v>35</v>
      </c>
      <c r="P612">
        <v>2014</v>
      </c>
    </row>
    <row r="613" spans="1:16" hidden="1">
      <c r="A613" t="s">
        <v>29</v>
      </c>
      <c r="B613" t="s">
        <v>21</v>
      </c>
      <c r="C613" t="s">
        <v>43</v>
      </c>
      <c r="D613" t="s">
        <v>47</v>
      </c>
      <c r="E613" s="5">
        <v>1770</v>
      </c>
      <c r="F613">
        <v>260</v>
      </c>
      <c r="G613">
        <v>12</v>
      </c>
      <c r="H613" s="6">
        <v>21240</v>
      </c>
      <c r="I613" s="6">
        <v>2761.2</v>
      </c>
      <c r="J613" s="6">
        <v>18478.8</v>
      </c>
      <c r="K613" s="6">
        <v>5310</v>
      </c>
      <c r="L613" s="6">
        <v>13168.8</v>
      </c>
      <c r="M613" s="1">
        <v>41609</v>
      </c>
      <c r="N613">
        <v>12</v>
      </c>
      <c r="O613" t="s">
        <v>26</v>
      </c>
      <c r="P613">
        <v>2013</v>
      </c>
    </row>
    <row r="614" spans="1:16" hidden="1">
      <c r="A614" t="s">
        <v>16</v>
      </c>
      <c r="B614" t="s">
        <v>25</v>
      </c>
      <c r="C614" t="s">
        <v>18</v>
      </c>
      <c r="D614" t="s">
        <v>47</v>
      </c>
      <c r="E614" s="5">
        <v>2579</v>
      </c>
      <c r="F614">
        <v>3</v>
      </c>
      <c r="G614">
        <v>20</v>
      </c>
      <c r="H614" s="6">
        <v>51580</v>
      </c>
      <c r="I614" s="6">
        <v>7221.2</v>
      </c>
      <c r="J614" s="6">
        <v>44358.8</v>
      </c>
      <c r="K614" s="6">
        <v>25790</v>
      </c>
      <c r="L614" s="6">
        <v>18568.8</v>
      </c>
      <c r="M614" s="1">
        <v>41730</v>
      </c>
      <c r="N614">
        <v>4</v>
      </c>
      <c r="O614" t="s">
        <v>42</v>
      </c>
      <c r="P614">
        <v>2014</v>
      </c>
    </row>
    <row r="615" spans="1:16" hidden="1">
      <c r="A615" t="s">
        <v>16</v>
      </c>
      <c r="B615" t="s">
        <v>36</v>
      </c>
      <c r="C615" t="s">
        <v>18</v>
      </c>
      <c r="D615" t="s">
        <v>47</v>
      </c>
      <c r="E615" s="5">
        <v>1743</v>
      </c>
      <c r="F615">
        <v>3</v>
      </c>
      <c r="G615">
        <v>20</v>
      </c>
      <c r="H615" s="6">
        <v>34860</v>
      </c>
      <c r="I615" s="6">
        <v>4880.3999999999996</v>
      </c>
      <c r="J615" s="6">
        <v>29979.599999999999</v>
      </c>
      <c r="K615" s="6">
        <v>17430</v>
      </c>
      <c r="L615" s="6">
        <v>12549.6</v>
      </c>
      <c r="M615" s="1">
        <v>41760</v>
      </c>
      <c r="N615">
        <v>5</v>
      </c>
      <c r="O615" t="s">
        <v>45</v>
      </c>
      <c r="P615">
        <v>2014</v>
      </c>
    </row>
    <row r="616" spans="1:16" hidden="1">
      <c r="A616" t="s">
        <v>16</v>
      </c>
      <c r="B616" t="s">
        <v>36</v>
      </c>
      <c r="C616" t="s">
        <v>18</v>
      </c>
      <c r="D616" t="s">
        <v>47</v>
      </c>
      <c r="E616" s="5">
        <v>2996</v>
      </c>
      <c r="F616">
        <v>3</v>
      </c>
      <c r="G616">
        <v>7</v>
      </c>
      <c r="H616" s="6">
        <v>20972</v>
      </c>
      <c r="I616" s="6">
        <v>2936.08</v>
      </c>
      <c r="J616" s="6">
        <v>18035.919999999998</v>
      </c>
      <c r="K616" s="6">
        <v>14980</v>
      </c>
      <c r="L616" s="6">
        <v>3055.92</v>
      </c>
      <c r="M616" s="1">
        <v>41548</v>
      </c>
      <c r="N616">
        <v>10</v>
      </c>
      <c r="O616" t="s">
        <v>35</v>
      </c>
      <c r="P616">
        <v>2013</v>
      </c>
    </row>
    <row r="617" spans="1:16" hidden="1">
      <c r="A617" t="s">
        <v>16</v>
      </c>
      <c r="B617" t="s">
        <v>21</v>
      </c>
      <c r="C617" t="s">
        <v>18</v>
      </c>
      <c r="D617" t="s">
        <v>47</v>
      </c>
      <c r="E617" s="5">
        <v>280</v>
      </c>
      <c r="F617">
        <v>3</v>
      </c>
      <c r="G617">
        <v>7</v>
      </c>
      <c r="H617" s="6">
        <v>1960</v>
      </c>
      <c r="I617">
        <v>274.39999999999998</v>
      </c>
      <c r="J617" s="6">
        <v>1685.6</v>
      </c>
      <c r="K617" s="6">
        <v>1400</v>
      </c>
      <c r="L617">
        <v>285.60000000000002</v>
      </c>
      <c r="M617" s="1">
        <v>41974</v>
      </c>
      <c r="N617">
        <v>12</v>
      </c>
      <c r="O617" t="s">
        <v>26</v>
      </c>
      <c r="P617">
        <v>2014</v>
      </c>
    </row>
    <row r="618" spans="1:16" hidden="1">
      <c r="A618" t="s">
        <v>16</v>
      </c>
      <c r="B618" t="s">
        <v>23</v>
      </c>
      <c r="C618" t="s">
        <v>27</v>
      </c>
      <c r="D618" t="s">
        <v>47</v>
      </c>
      <c r="E618" s="5">
        <v>293</v>
      </c>
      <c r="F618">
        <v>5</v>
      </c>
      <c r="G618">
        <v>7</v>
      </c>
      <c r="H618" s="6">
        <v>2051</v>
      </c>
      <c r="I618">
        <v>287.14</v>
      </c>
      <c r="J618" s="6">
        <v>1763.86</v>
      </c>
      <c r="K618" s="6">
        <v>1465</v>
      </c>
      <c r="L618">
        <v>298.86</v>
      </c>
      <c r="M618" s="1">
        <v>41671</v>
      </c>
      <c r="N618">
        <v>2</v>
      </c>
      <c r="O618" t="s">
        <v>38</v>
      </c>
      <c r="P618">
        <v>2014</v>
      </c>
    </row>
    <row r="619" spans="1:16" hidden="1">
      <c r="A619" t="s">
        <v>16</v>
      </c>
      <c r="B619" t="s">
        <v>36</v>
      </c>
      <c r="C619" t="s">
        <v>27</v>
      </c>
      <c r="D619" t="s">
        <v>47</v>
      </c>
      <c r="E619" s="5">
        <v>2996</v>
      </c>
      <c r="F619">
        <v>5</v>
      </c>
      <c r="G619">
        <v>7</v>
      </c>
      <c r="H619" s="6">
        <v>20972</v>
      </c>
      <c r="I619" s="6">
        <v>2936.08</v>
      </c>
      <c r="J619" s="6">
        <v>18035.919999999998</v>
      </c>
      <c r="K619" s="6">
        <v>14980</v>
      </c>
      <c r="L619" s="6">
        <v>3055.92</v>
      </c>
      <c r="M619" s="1">
        <v>41548</v>
      </c>
      <c r="N619">
        <v>10</v>
      </c>
      <c r="O619" t="s">
        <v>35</v>
      </c>
      <c r="P619">
        <v>2013</v>
      </c>
    </row>
    <row r="620" spans="1:16" hidden="1">
      <c r="A620" t="s">
        <v>22</v>
      </c>
      <c r="B620" t="s">
        <v>21</v>
      </c>
      <c r="C620" t="s">
        <v>37</v>
      </c>
      <c r="D620" t="s">
        <v>47</v>
      </c>
      <c r="E620" s="5">
        <v>278</v>
      </c>
      <c r="F620">
        <v>10</v>
      </c>
      <c r="G620">
        <v>15</v>
      </c>
      <c r="H620" s="6">
        <v>4170</v>
      </c>
      <c r="I620">
        <v>583.79999999999995</v>
      </c>
      <c r="J620" s="6">
        <v>3586.2</v>
      </c>
      <c r="K620" s="6">
        <v>2780</v>
      </c>
      <c r="L620">
        <v>806.2</v>
      </c>
      <c r="M620" s="1">
        <v>41671</v>
      </c>
      <c r="N620">
        <v>2</v>
      </c>
      <c r="O620" t="s">
        <v>38</v>
      </c>
      <c r="P620">
        <v>2014</v>
      </c>
    </row>
    <row r="621" spans="1:16" hidden="1">
      <c r="A621" t="s">
        <v>16</v>
      </c>
      <c r="B621" t="s">
        <v>17</v>
      </c>
      <c r="C621" t="s">
        <v>37</v>
      </c>
      <c r="D621" t="s">
        <v>47</v>
      </c>
      <c r="E621" s="5">
        <v>2428</v>
      </c>
      <c r="F621">
        <v>10</v>
      </c>
      <c r="G621">
        <v>20</v>
      </c>
      <c r="H621" s="6">
        <v>48560</v>
      </c>
      <c r="I621" s="6">
        <v>6798.4</v>
      </c>
      <c r="J621" s="6">
        <v>41761.599999999999</v>
      </c>
      <c r="K621" s="6">
        <v>24280</v>
      </c>
      <c r="L621" s="6">
        <v>17481.599999999999</v>
      </c>
      <c r="M621" s="1">
        <v>41699</v>
      </c>
      <c r="N621">
        <v>3</v>
      </c>
      <c r="O621" t="s">
        <v>28</v>
      </c>
      <c r="P621">
        <v>2014</v>
      </c>
    </row>
    <row r="622" spans="1:16" hidden="1">
      <c r="A622" t="s">
        <v>22</v>
      </c>
      <c r="B622" t="s">
        <v>36</v>
      </c>
      <c r="C622" t="s">
        <v>37</v>
      </c>
      <c r="D622" t="s">
        <v>47</v>
      </c>
      <c r="E622" s="5">
        <v>1767</v>
      </c>
      <c r="F622">
        <v>10</v>
      </c>
      <c r="G622">
        <v>15</v>
      </c>
      <c r="H622" s="6">
        <v>26505</v>
      </c>
      <c r="I622" s="6">
        <v>3710.7</v>
      </c>
      <c r="J622" s="6">
        <v>22794.3</v>
      </c>
      <c r="K622" s="6">
        <v>17670</v>
      </c>
      <c r="L622" s="6">
        <v>5124.3</v>
      </c>
      <c r="M622" s="1">
        <v>41883</v>
      </c>
      <c r="N622">
        <v>9</v>
      </c>
      <c r="O622" t="s">
        <v>34</v>
      </c>
      <c r="P622">
        <v>2014</v>
      </c>
    </row>
    <row r="623" spans="1:16" hidden="1">
      <c r="A623" t="s">
        <v>29</v>
      </c>
      <c r="B623" t="s">
        <v>23</v>
      </c>
      <c r="C623" t="s">
        <v>37</v>
      </c>
      <c r="D623" t="s">
        <v>47</v>
      </c>
      <c r="E623" s="5">
        <v>1393</v>
      </c>
      <c r="F623">
        <v>10</v>
      </c>
      <c r="G623">
        <v>12</v>
      </c>
      <c r="H623" s="6">
        <v>16716</v>
      </c>
      <c r="I623" s="6">
        <v>2340.2399999999998</v>
      </c>
      <c r="J623" s="6">
        <v>14375.76</v>
      </c>
      <c r="K623" s="6">
        <v>4179</v>
      </c>
      <c r="L623" s="6">
        <v>10196.76</v>
      </c>
      <c r="M623" s="1">
        <v>41913</v>
      </c>
      <c r="N623">
        <v>10</v>
      </c>
      <c r="O623" t="s">
        <v>35</v>
      </c>
      <c r="P623">
        <v>2014</v>
      </c>
    </row>
    <row r="624" spans="1:16">
      <c r="A624" t="s">
        <v>16</v>
      </c>
      <c r="B624" t="s">
        <v>21</v>
      </c>
      <c r="C624" t="s">
        <v>41</v>
      </c>
      <c r="D624" t="s">
        <v>47</v>
      </c>
      <c r="E624" s="5">
        <v>280</v>
      </c>
      <c r="F624">
        <v>250</v>
      </c>
      <c r="G624">
        <v>7</v>
      </c>
      <c r="H624" s="6">
        <v>1960</v>
      </c>
      <c r="I624">
        <v>274.39999999999998</v>
      </c>
      <c r="J624" s="6">
        <v>1685.6</v>
      </c>
      <c r="K624" s="6">
        <v>1400</v>
      </c>
      <c r="L624">
        <v>285.60000000000002</v>
      </c>
      <c r="M624" s="1">
        <v>41974</v>
      </c>
      <c r="N624">
        <v>12</v>
      </c>
      <c r="O624" t="s">
        <v>26</v>
      </c>
      <c r="P624">
        <v>2014</v>
      </c>
    </row>
    <row r="625" spans="1:16" hidden="1">
      <c r="A625" t="s">
        <v>29</v>
      </c>
      <c r="B625" t="s">
        <v>23</v>
      </c>
      <c r="C625" t="s">
        <v>43</v>
      </c>
      <c r="D625" t="s">
        <v>47</v>
      </c>
      <c r="E625" s="5">
        <v>1393</v>
      </c>
      <c r="F625">
        <v>260</v>
      </c>
      <c r="G625">
        <v>12</v>
      </c>
      <c r="H625" s="6">
        <v>16716</v>
      </c>
      <c r="I625" s="6">
        <v>2340.2399999999998</v>
      </c>
      <c r="J625" s="6">
        <v>14375.76</v>
      </c>
      <c r="K625" s="6">
        <v>4179</v>
      </c>
      <c r="L625" s="6">
        <v>10196.76</v>
      </c>
      <c r="M625" s="1">
        <v>41913</v>
      </c>
      <c r="N625">
        <v>10</v>
      </c>
      <c r="O625" t="s">
        <v>35</v>
      </c>
      <c r="P625">
        <v>2014</v>
      </c>
    </row>
    <row r="626" spans="1:16" hidden="1">
      <c r="A626" t="s">
        <v>29</v>
      </c>
      <c r="B626" t="s">
        <v>36</v>
      </c>
      <c r="C626" t="s">
        <v>43</v>
      </c>
      <c r="D626" t="s">
        <v>47</v>
      </c>
      <c r="E626" s="5">
        <v>2015</v>
      </c>
      <c r="F626">
        <v>260</v>
      </c>
      <c r="G626">
        <v>12</v>
      </c>
      <c r="H626" s="6">
        <v>24180</v>
      </c>
      <c r="I626" s="6">
        <v>3385.2</v>
      </c>
      <c r="J626" s="6">
        <v>20794.8</v>
      </c>
      <c r="K626" s="6">
        <v>6045</v>
      </c>
      <c r="L626" s="6">
        <v>14749.8</v>
      </c>
      <c r="M626" s="1">
        <v>41609</v>
      </c>
      <c r="N626">
        <v>12</v>
      </c>
      <c r="O626" t="s">
        <v>26</v>
      </c>
      <c r="P626">
        <v>2013</v>
      </c>
    </row>
    <row r="627" spans="1:16" hidden="1">
      <c r="A627" t="s">
        <v>32</v>
      </c>
      <c r="B627" t="s">
        <v>25</v>
      </c>
      <c r="C627" t="s">
        <v>18</v>
      </c>
      <c r="D627" t="s">
        <v>47</v>
      </c>
      <c r="E627" s="5">
        <v>801</v>
      </c>
      <c r="F627">
        <v>3</v>
      </c>
      <c r="G627">
        <v>300</v>
      </c>
      <c r="H627" s="6">
        <v>240300</v>
      </c>
      <c r="I627" s="6">
        <v>33642</v>
      </c>
      <c r="J627" s="6">
        <v>206658</v>
      </c>
      <c r="K627" s="6">
        <v>200250</v>
      </c>
      <c r="L627" s="6">
        <v>6408</v>
      </c>
      <c r="M627" s="1">
        <v>41821</v>
      </c>
      <c r="N627">
        <v>7</v>
      </c>
      <c r="O627" t="s">
        <v>31</v>
      </c>
      <c r="P627">
        <v>2014</v>
      </c>
    </row>
    <row r="628" spans="1:16" hidden="1">
      <c r="A628" t="s">
        <v>30</v>
      </c>
      <c r="B628" t="s">
        <v>23</v>
      </c>
      <c r="C628" t="s">
        <v>18</v>
      </c>
      <c r="D628" t="s">
        <v>47</v>
      </c>
      <c r="E628" s="5">
        <v>1023</v>
      </c>
      <c r="F628">
        <v>3</v>
      </c>
      <c r="G628">
        <v>125</v>
      </c>
      <c r="H628" s="6">
        <v>127875</v>
      </c>
      <c r="I628" s="6">
        <v>17902.5</v>
      </c>
      <c r="J628" s="6">
        <v>109972.5</v>
      </c>
      <c r="K628" s="6">
        <v>122760</v>
      </c>
      <c r="L628" s="6">
        <v>-12787.5</v>
      </c>
      <c r="M628" s="1">
        <v>41518</v>
      </c>
      <c r="N628">
        <v>9</v>
      </c>
      <c r="O628" t="s">
        <v>34</v>
      </c>
      <c r="P628">
        <v>2013</v>
      </c>
    </row>
    <row r="629" spans="1:16" hidden="1">
      <c r="A629" t="s">
        <v>32</v>
      </c>
      <c r="B629" t="s">
        <v>17</v>
      </c>
      <c r="C629" t="s">
        <v>18</v>
      </c>
      <c r="D629" t="s">
        <v>47</v>
      </c>
      <c r="E629" s="5">
        <v>1496</v>
      </c>
      <c r="F629">
        <v>3</v>
      </c>
      <c r="G629">
        <v>300</v>
      </c>
      <c r="H629" s="6">
        <v>448800</v>
      </c>
      <c r="I629" s="6">
        <v>62832</v>
      </c>
      <c r="J629" s="6">
        <v>385968</v>
      </c>
      <c r="K629" s="6">
        <v>374000</v>
      </c>
      <c r="L629" s="6">
        <v>11968</v>
      </c>
      <c r="M629" s="1">
        <v>41913</v>
      </c>
      <c r="N629">
        <v>10</v>
      </c>
      <c r="O629" t="s">
        <v>35</v>
      </c>
      <c r="P629">
        <v>2014</v>
      </c>
    </row>
    <row r="630" spans="1:16" hidden="1">
      <c r="A630" t="s">
        <v>32</v>
      </c>
      <c r="B630" t="s">
        <v>36</v>
      </c>
      <c r="C630" t="s">
        <v>18</v>
      </c>
      <c r="D630" t="s">
        <v>47</v>
      </c>
      <c r="E630" s="5">
        <v>1010</v>
      </c>
      <c r="F630">
        <v>3</v>
      </c>
      <c r="G630">
        <v>300</v>
      </c>
      <c r="H630" s="6">
        <v>303000</v>
      </c>
      <c r="I630" s="6">
        <v>42420</v>
      </c>
      <c r="J630" s="6">
        <v>260580</v>
      </c>
      <c r="K630" s="6">
        <v>252500</v>
      </c>
      <c r="L630" s="6">
        <v>8080</v>
      </c>
      <c r="M630" s="1">
        <v>41913</v>
      </c>
      <c r="N630">
        <v>10</v>
      </c>
      <c r="O630" t="s">
        <v>35</v>
      </c>
      <c r="P630">
        <v>2014</v>
      </c>
    </row>
    <row r="631" spans="1:16" hidden="1">
      <c r="A631" t="s">
        <v>22</v>
      </c>
      <c r="B631" t="s">
        <v>21</v>
      </c>
      <c r="C631" t="s">
        <v>18</v>
      </c>
      <c r="D631" t="s">
        <v>47</v>
      </c>
      <c r="E631" s="5">
        <v>1513</v>
      </c>
      <c r="F631">
        <v>3</v>
      </c>
      <c r="G631">
        <v>15</v>
      </c>
      <c r="H631" s="6">
        <v>22695</v>
      </c>
      <c r="I631" s="6">
        <v>3177.3</v>
      </c>
      <c r="J631" s="6">
        <v>19517.7</v>
      </c>
      <c r="K631" s="6">
        <v>15130</v>
      </c>
      <c r="L631" s="6">
        <v>4387.7</v>
      </c>
      <c r="M631" s="1">
        <v>41944</v>
      </c>
      <c r="N631">
        <v>11</v>
      </c>
      <c r="O631" t="s">
        <v>39</v>
      </c>
      <c r="P631">
        <v>2014</v>
      </c>
    </row>
    <row r="632" spans="1:16" hidden="1">
      <c r="A632" t="s">
        <v>22</v>
      </c>
      <c r="B632" t="s">
        <v>17</v>
      </c>
      <c r="C632" t="s">
        <v>18</v>
      </c>
      <c r="D632" t="s">
        <v>47</v>
      </c>
      <c r="E632" s="5">
        <v>2300</v>
      </c>
      <c r="F632">
        <v>3</v>
      </c>
      <c r="G632">
        <v>15</v>
      </c>
      <c r="H632" s="6">
        <v>34500</v>
      </c>
      <c r="I632" s="6">
        <v>4830</v>
      </c>
      <c r="J632" s="6">
        <v>29670</v>
      </c>
      <c r="K632" s="6">
        <v>23000</v>
      </c>
      <c r="L632" s="6">
        <v>6670</v>
      </c>
      <c r="M632" s="1">
        <v>41974</v>
      </c>
      <c r="N632">
        <v>12</v>
      </c>
      <c r="O632" t="s">
        <v>26</v>
      </c>
      <c r="P632">
        <v>2014</v>
      </c>
    </row>
    <row r="633" spans="1:16" hidden="1">
      <c r="A633" t="s">
        <v>30</v>
      </c>
      <c r="B633" t="s">
        <v>25</v>
      </c>
      <c r="C633" t="s">
        <v>18</v>
      </c>
      <c r="D633" t="s">
        <v>47</v>
      </c>
      <c r="E633" s="5">
        <v>2821</v>
      </c>
      <c r="F633">
        <v>3</v>
      </c>
      <c r="G633">
        <v>125</v>
      </c>
      <c r="H633" s="6">
        <v>352625</v>
      </c>
      <c r="I633" s="6">
        <v>49367.5</v>
      </c>
      <c r="J633" s="6">
        <v>303257.5</v>
      </c>
      <c r="K633" s="6">
        <v>338520</v>
      </c>
      <c r="L633" s="6">
        <v>-35262.5</v>
      </c>
      <c r="M633" s="1">
        <v>41609</v>
      </c>
      <c r="N633">
        <v>12</v>
      </c>
      <c r="O633" t="s">
        <v>26</v>
      </c>
      <c r="P633">
        <v>2013</v>
      </c>
    </row>
    <row r="634" spans="1:16" hidden="1">
      <c r="A634" t="s">
        <v>16</v>
      </c>
      <c r="B634" t="s">
        <v>17</v>
      </c>
      <c r="C634" t="s">
        <v>27</v>
      </c>
      <c r="D634" t="s">
        <v>47</v>
      </c>
      <c r="E634" s="5">
        <v>2227.5</v>
      </c>
      <c r="F634">
        <v>5</v>
      </c>
      <c r="G634">
        <v>350</v>
      </c>
      <c r="H634" s="6">
        <v>779625</v>
      </c>
      <c r="I634" s="6">
        <v>109147.5</v>
      </c>
      <c r="J634" s="6">
        <v>670477.5</v>
      </c>
      <c r="K634" s="6">
        <v>579150</v>
      </c>
      <c r="L634" s="6">
        <v>91327.5</v>
      </c>
      <c r="M634" s="1">
        <v>41640</v>
      </c>
      <c r="N634">
        <v>1</v>
      </c>
      <c r="O634" t="s">
        <v>20</v>
      </c>
      <c r="P634">
        <v>2014</v>
      </c>
    </row>
    <row r="635" spans="1:16" hidden="1">
      <c r="A635" t="s">
        <v>16</v>
      </c>
      <c r="B635" t="s">
        <v>21</v>
      </c>
      <c r="C635" t="s">
        <v>27</v>
      </c>
      <c r="D635" t="s">
        <v>47</v>
      </c>
      <c r="E635" s="5">
        <v>1199</v>
      </c>
      <c r="F635">
        <v>5</v>
      </c>
      <c r="G635">
        <v>350</v>
      </c>
      <c r="H635" s="6">
        <v>419650</v>
      </c>
      <c r="I635" s="6">
        <v>58751</v>
      </c>
      <c r="J635" s="6">
        <v>360899</v>
      </c>
      <c r="K635" s="6">
        <v>311740</v>
      </c>
      <c r="L635" s="6">
        <v>49159</v>
      </c>
      <c r="M635" s="1">
        <v>41730</v>
      </c>
      <c r="N635">
        <v>4</v>
      </c>
      <c r="O635" t="s">
        <v>42</v>
      </c>
      <c r="P635">
        <v>2014</v>
      </c>
    </row>
    <row r="636" spans="1:16" hidden="1">
      <c r="A636" t="s">
        <v>16</v>
      </c>
      <c r="B636" t="s">
        <v>17</v>
      </c>
      <c r="C636" t="s">
        <v>27</v>
      </c>
      <c r="D636" t="s">
        <v>47</v>
      </c>
      <c r="E636" s="5">
        <v>200</v>
      </c>
      <c r="F636">
        <v>5</v>
      </c>
      <c r="G636">
        <v>350</v>
      </c>
      <c r="H636" s="6">
        <v>70000</v>
      </c>
      <c r="I636" s="6">
        <v>9800</v>
      </c>
      <c r="J636" s="6">
        <v>60200</v>
      </c>
      <c r="K636" s="6">
        <v>52000</v>
      </c>
      <c r="L636" s="6">
        <v>8200</v>
      </c>
      <c r="M636" s="1">
        <v>41760</v>
      </c>
      <c r="N636">
        <v>5</v>
      </c>
      <c r="O636" t="s">
        <v>45</v>
      </c>
      <c r="P636">
        <v>2014</v>
      </c>
    </row>
    <row r="637" spans="1:16" hidden="1">
      <c r="A637" t="s">
        <v>16</v>
      </c>
      <c r="B637" t="s">
        <v>17</v>
      </c>
      <c r="C637" t="s">
        <v>27</v>
      </c>
      <c r="D637" t="s">
        <v>47</v>
      </c>
      <c r="E637" s="5">
        <v>388</v>
      </c>
      <c r="F637">
        <v>5</v>
      </c>
      <c r="G637">
        <v>7</v>
      </c>
      <c r="H637" s="6">
        <v>2716</v>
      </c>
      <c r="I637">
        <v>380.24</v>
      </c>
      <c r="J637" s="6">
        <v>2335.7600000000002</v>
      </c>
      <c r="K637" s="6">
        <v>1940</v>
      </c>
      <c r="L637">
        <v>395.76</v>
      </c>
      <c r="M637" s="1">
        <v>41883</v>
      </c>
      <c r="N637">
        <v>9</v>
      </c>
      <c r="O637" t="s">
        <v>34</v>
      </c>
      <c r="P637">
        <v>2014</v>
      </c>
    </row>
    <row r="638" spans="1:16" hidden="1">
      <c r="A638" t="s">
        <v>16</v>
      </c>
      <c r="B638" t="s">
        <v>25</v>
      </c>
      <c r="C638" t="s">
        <v>27</v>
      </c>
      <c r="D638" t="s">
        <v>47</v>
      </c>
      <c r="E638" s="5">
        <v>1727</v>
      </c>
      <c r="F638">
        <v>5</v>
      </c>
      <c r="G638">
        <v>7</v>
      </c>
      <c r="H638" s="6">
        <v>12089</v>
      </c>
      <c r="I638" s="6">
        <v>1692.46</v>
      </c>
      <c r="J638" s="6">
        <v>10396.540000000001</v>
      </c>
      <c r="K638" s="6">
        <v>8635</v>
      </c>
      <c r="L638" s="6">
        <v>1761.54</v>
      </c>
      <c r="M638" s="1">
        <v>41548</v>
      </c>
      <c r="N638">
        <v>10</v>
      </c>
      <c r="O638" t="s">
        <v>35</v>
      </c>
      <c r="P638">
        <v>2013</v>
      </c>
    </row>
    <row r="639" spans="1:16" hidden="1">
      <c r="A639" t="s">
        <v>22</v>
      </c>
      <c r="B639" t="s">
        <v>17</v>
      </c>
      <c r="C639" t="s">
        <v>27</v>
      </c>
      <c r="D639" t="s">
        <v>47</v>
      </c>
      <c r="E639" s="5">
        <v>2300</v>
      </c>
      <c r="F639">
        <v>5</v>
      </c>
      <c r="G639">
        <v>15</v>
      </c>
      <c r="H639" s="6">
        <v>34500</v>
      </c>
      <c r="I639" s="6">
        <v>4830</v>
      </c>
      <c r="J639" s="6">
        <v>29670</v>
      </c>
      <c r="K639" s="6">
        <v>23000</v>
      </c>
      <c r="L639" s="6">
        <v>6670</v>
      </c>
      <c r="M639" s="1">
        <v>41974</v>
      </c>
      <c r="N639">
        <v>12</v>
      </c>
      <c r="O639" t="s">
        <v>26</v>
      </c>
      <c r="P639">
        <v>2014</v>
      </c>
    </row>
    <row r="640" spans="1:16" hidden="1">
      <c r="A640" t="s">
        <v>16</v>
      </c>
      <c r="B640" t="s">
        <v>25</v>
      </c>
      <c r="C640" t="s">
        <v>37</v>
      </c>
      <c r="D640" t="s">
        <v>47</v>
      </c>
      <c r="E640" s="5">
        <v>260</v>
      </c>
      <c r="F640">
        <v>10</v>
      </c>
      <c r="G640">
        <v>20</v>
      </c>
      <c r="H640" s="6">
        <v>5200</v>
      </c>
      <c r="I640">
        <v>728</v>
      </c>
      <c r="J640" s="6">
        <v>4472</v>
      </c>
      <c r="K640" s="6">
        <v>2600</v>
      </c>
      <c r="L640" s="6">
        <v>1872</v>
      </c>
      <c r="M640" s="1">
        <v>41671</v>
      </c>
      <c r="N640">
        <v>2</v>
      </c>
      <c r="O640" t="s">
        <v>38</v>
      </c>
      <c r="P640">
        <v>2014</v>
      </c>
    </row>
    <row r="641" spans="1:16" hidden="1">
      <c r="A641" t="s">
        <v>22</v>
      </c>
      <c r="B641" t="s">
        <v>17</v>
      </c>
      <c r="C641" t="s">
        <v>37</v>
      </c>
      <c r="D641" t="s">
        <v>47</v>
      </c>
      <c r="E641" s="5">
        <v>2470</v>
      </c>
      <c r="F641">
        <v>10</v>
      </c>
      <c r="G641">
        <v>15</v>
      </c>
      <c r="H641" s="6">
        <v>37050</v>
      </c>
      <c r="I641" s="6">
        <v>5187</v>
      </c>
      <c r="J641" s="6">
        <v>31863</v>
      </c>
      <c r="K641" s="6">
        <v>24700</v>
      </c>
      <c r="L641" s="6">
        <v>7163</v>
      </c>
      <c r="M641" s="1">
        <v>41518</v>
      </c>
      <c r="N641">
        <v>9</v>
      </c>
      <c r="O641" t="s">
        <v>34</v>
      </c>
      <c r="P641">
        <v>2013</v>
      </c>
    </row>
    <row r="642" spans="1:16" hidden="1">
      <c r="A642" t="s">
        <v>22</v>
      </c>
      <c r="B642" t="s">
        <v>17</v>
      </c>
      <c r="C642" t="s">
        <v>37</v>
      </c>
      <c r="D642" t="s">
        <v>47</v>
      </c>
      <c r="E642" s="5">
        <v>1743</v>
      </c>
      <c r="F642">
        <v>10</v>
      </c>
      <c r="G642">
        <v>15</v>
      </c>
      <c r="H642" s="6">
        <v>26145</v>
      </c>
      <c r="I642" s="6">
        <v>3660.3</v>
      </c>
      <c r="J642" s="6">
        <v>22484.7</v>
      </c>
      <c r="K642" s="6">
        <v>17430</v>
      </c>
      <c r="L642" s="6">
        <v>5054.7</v>
      </c>
      <c r="M642" s="1">
        <v>41548</v>
      </c>
      <c r="N642">
        <v>10</v>
      </c>
      <c r="O642" t="s">
        <v>35</v>
      </c>
      <c r="P642">
        <v>2013</v>
      </c>
    </row>
    <row r="643" spans="1:16" hidden="1">
      <c r="A643" t="s">
        <v>29</v>
      </c>
      <c r="B643" t="s">
        <v>36</v>
      </c>
      <c r="C643" t="s">
        <v>37</v>
      </c>
      <c r="D643" t="s">
        <v>47</v>
      </c>
      <c r="E643" s="5">
        <v>2914</v>
      </c>
      <c r="F643">
        <v>10</v>
      </c>
      <c r="G643">
        <v>12</v>
      </c>
      <c r="H643" s="6">
        <v>34968</v>
      </c>
      <c r="I643" s="6">
        <v>4895.5200000000004</v>
      </c>
      <c r="J643" s="6">
        <v>30072.48</v>
      </c>
      <c r="K643" s="6">
        <v>8742</v>
      </c>
      <c r="L643" s="6">
        <v>21330.48</v>
      </c>
      <c r="M643" s="1">
        <v>41913</v>
      </c>
      <c r="N643">
        <v>10</v>
      </c>
      <c r="O643" t="s">
        <v>35</v>
      </c>
      <c r="P643">
        <v>2014</v>
      </c>
    </row>
    <row r="644" spans="1:16" hidden="1">
      <c r="A644" t="s">
        <v>16</v>
      </c>
      <c r="B644" t="s">
        <v>23</v>
      </c>
      <c r="C644" t="s">
        <v>37</v>
      </c>
      <c r="D644" t="s">
        <v>47</v>
      </c>
      <c r="E644" s="5">
        <v>1731</v>
      </c>
      <c r="F644">
        <v>10</v>
      </c>
      <c r="G644">
        <v>7</v>
      </c>
      <c r="H644" s="6">
        <v>12117</v>
      </c>
      <c r="I644" s="6">
        <v>1696.38</v>
      </c>
      <c r="J644" s="6">
        <v>10420.620000000001</v>
      </c>
      <c r="K644" s="6">
        <v>8655</v>
      </c>
      <c r="L644" s="6">
        <v>1765.62</v>
      </c>
      <c r="M644" s="1">
        <v>41913</v>
      </c>
      <c r="N644">
        <v>10</v>
      </c>
      <c r="O644" t="s">
        <v>35</v>
      </c>
      <c r="P644">
        <v>2014</v>
      </c>
    </row>
    <row r="645" spans="1:16" hidden="1">
      <c r="A645" t="s">
        <v>16</v>
      </c>
      <c r="B645" t="s">
        <v>17</v>
      </c>
      <c r="C645" t="s">
        <v>37</v>
      </c>
      <c r="D645" t="s">
        <v>47</v>
      </c>
      <c r="E645" s="5">
        <v>700</v>
      </c>
      <c r="F645">
        <v>10</v>
      </c>
      <c r="G645">
        <v>350</v>
      </c>
      <c r="H645" s="6">
        <v>245000</v>
      </c>
      <c r="I645" s="6">
        <v>34300</v>
      </c>
      <c r="J645" s="6">
        <v>210700</v>
      </c>
      <c r="K645" s="6">
        <v>182000</v>
      </c>
      <c r="L645" s="6">
        <v>28700</v>
      </c>
      <c r="M645" s="1">
        <v>41944</v>
      </c>
      <c r="N645">
        <v>11</v>
      </c>
      <c r="O645" t="s">
        <v>39</v>
      </c>
      <c r="P645">
        <v>2014</v>
      </c>
    </row>
    <row r="646" spans="1:16" hidden="1">
      <c r="A646" t="s">
        <v>29</v>
      </c>
      <c r="B646" t="s">
        <v>17</v>
      </c>
      <c r="C646" t="s">
        <v>37</v>
      </c>
      <c r="D646" t="s">
        <v>47</v>
      </c>
      <c r="E646" s="5">
        <v>2222</v>
      </c>
      <c r="F646">
        <v>10</v>
      </c>
      <c r="G646">
        <v>12</v>
      </c>
      <c r="H646" s="6">
        <v>26664</v>
      </c>
      <c r="I646" s="6">
        <v>3732.96</v>
      </c>
      <c r="J646" s="6">
        <v>22931.040000000001</v>
      </c>
      <c r="K646" s="6">
        <v>6666</v>
      </c>
      <c r="L646" s="6">
        <v>16265.04</v>
      </c>
      <c r="M646" s="1">
        <v>41579</v>
      </c>
      <c r="N646">
        <v>11</v>
      </c>
      <c r="O646" t="s">
        <v>39</v>
      </c>
      <c r="P646">
        <v>2013</v>
      </c>
    </row>
    <row r="647" spans="1:16" hidden="1">
      <c r="A647" t="s">
        <v>16</v>
      </c>
      <c r="B647" t="s">
        <v>36</v>
      </c>
      <c r="C647" t="s">
        <v>37</v>
      </c>
      <c r="D647" t="s">
        <v>47</v>
      </c>
      <c r="E647" s="5">
        <v>1177</v>
      </c>
      <c r="F647">
        <v>10</v>
      </c>
      <c r="G647">
        <v>350</v>
      </c>
      <c r="H647" s="6">
        <v>411950</v>
      </c>
      <c r="I647" s="6">
        <v>57673</v>
      </c>
      <c r="J647" s="6">
        <v>354277</v>
      </c>
      <c r="K647" s="6">
        <v>306020</v>
      </c>
      <c r="L647" s="6">
        <v>48257</v>
      </c>
      <c r="M647" s="1">
        <v>41944</v>
      </c>
      <c r="N647">
        <v>11</v>
      </c>
      <c r="O647" t="s">
        <v>39</v>
      </c>
      <c r="P647">
        <v>2014</v>
      </c>
    </row>
    <row r="648" spans="1:16" hidden="1">
      <c r="A648" t="s">
        <v>16</v>
      </c>
      <c r="B648" t="s">
        <v>23</v>
      </c>
      <c r="C648" t="s">
        <v>37</v>
      </c>
      <c r="D648" t="s">
        <v>47</v>
      </c>
      <c r="E648" s="5">
        <v>1922</v>
      </c>
      <c r="F648">
        <v>10</v>
      </c>
      <c r="G648">
        <v>350</v>
      </c>
      <c r="H648" s="6">
        <v>672700</v>
      </c>
      <c r="I648" s="6">
        <v>94178</v>
      </c>
      <c r="J648" s="6">
        <v>578522</v>
      </c>
      <c r="K648" s="6">
        <v>499720</v>
      </c>
      <c r="L648" s="6">
        <v>78802</v>
      </c>
      <c r="M648" s="1">
        <v>41579</v>
      </c>
      <c r="N648">
        <v>11</v>
      </c>
      <c r="O648" t="s">
        <v>39</v>
      </c>
      <c r="P648">
        <v>2013</v>
      </c>
    </row>
    <row r="649" spans="1:16" hidden="1">
      <c r="A649" t="s">
        <v>30</v>
      </c>
      <c r="B649" t="s">
        <v>25</v>
      </c>
      <c r="C649" t="s">
        <v>40</v>
      </c>
      <c r="D649" t="s">
        <v>47</v>
      </c>
      <c r="E649" s="5">
        <v>1575</v>
      </c>
      <c r="F649">
        <v>120</v>
      </c>
      <c r="G649">
        <v>125</v>
      </c>
      <c r="H649" s="6">
        <v>196875</v>
      </c>
      <c r="I649" s="6">
        <v>27562.5</v>
      </c>
      <c r="J649" s="6">
        <v>169312.5</v>
      </c>
      <c r="K649" s="6">
        <v>189000</v>
      </c>
      <c r="L649" s="6">
        <v>-19687.5</v>
      </c>
      <c r="M649" s="1">
        <v>41671</v>
      </c>
      <c r="N649">
        <v>2</v>
      </c>
      <c r="O649" t="s">
        <v>38</v>
      </c>
      <c r="P649">
        <v>2014</v>
      </c>
    </row>
    <row r="650" spans="1:16" hidden="1">
      <c r="A650" t="s">
        <v>16</v>
      </c>
      <c r="B650" t="s">
        <v>36</v>
      </c>
      <c r="C650" t="s">
        <v>40</v>
      </c>
      <c r="D650" t="s">
        <v>47</v>
      </c>
      <c r="E650" s="5">
        <v>606</v>
      </c>
      <c r="F650">
        <v>120</v>
      </c>
      <c r="G650">
        <v>20</v>
      </c>
      <c r="H650" s="6">
        <v>12120</v>
      </c>
      <c r="I650" s="6">
        <v>1696.8</v>
      </c>
      <c r="J650" s="6">
        <v>10423.200000000001</v>
      </c>
      <c r="K650" s="6">
        <v>6060</v>
      </c>
      <c r="L650" s="6">
        <v>4363.2</v>
      </c>
      <c r="M650" s="1">
        <v>41730</v>
      </c>
      <c r="N650">
        <v>4</v>
      </c>
      <c r="O650" t="s">
        <v>42</v>
      </c>
      <c r="P650">
        <v>2014</v>
      </c>
    </row>
    <row r="651" spans="1:16" hidden="1">
      <c r="A651" t="s">
        <v>32</v>
      </c>
      <c r="B651" t="s">
        <v>36</v>
      </c>
      <c r="C651" t="s">
        <v>40</v>
      </c>
      <c r="D651" t="s">
        <v>47</v>
      </c>
      <c r="E651" s="5">
        <v>2460</v>
      </c>
      <c r="F651">
        <v>120</v>
      </c>
      <c r="G651">
        <v>300</v>
      </c>
      <c r="H651" s="6">
        <v>738000</v>
      </c>
      <c r="I651" s="6">
        <v>103320</v>
      </c>
      <c r="J651" s="6">
        <v>634680</v>
      </c>
      <c r="K651" s="6">
        <v>615000</v>
      </c>
      <c r="L651" s="6">
        <v>19680</v>
      </c>
      <c r="M651" s="1">
        <v>41821</v>
      </c>
      <c r="N651">
        <v>7</v>
      </c>
      <c r="O651" t="s">
        <v>31</v>
      </c>
      <c r="P651">
        <v>2014</v>
      </c>
    </row>
    <row r="652" spans="1:16" hidden="1">
      <c r="A652" t="s">
        <v>32</v>
      </c>
      <c r="B652" t="s">
        <v>17</v>
      </c>
      <c r="C652" t="s">
        <v>40</v>
      </c>
      <c r="D652" t="s">
        <v>47</v>
      </c>
      <c r="E652" s="5">
        <v>269</v>
      </c>
      <c r="F652">
        <v>120</v>
      </c>
      <c r="G652">
        <v>300</v>
      </c>
      <c r="H652" s="6">
        <v>80700</v>
      </c>
      <c r="I652" s="6">
        <v>11298</v>
      </c>
      <c r="J652" s="6">
        <v>69402</v>
      </c>
      <c r="K652" s="6">
        <v>67250</v>
      </c>
      <c r="L652" s="6">
        <v>2152</v>
      </c>
      <c r="M652" s="1">
        <v>41548</v>
      </c>
      <c r="N652">
        <v>10</v>
      </c>
      <c r="O652" t="s">
        <v>35</v>
      </c>
      <c r="P652">
        <v>2013</v>
      </c>
    </row>
    <row r="653" spans="1:16" hidden="1">
      <c r="A653" t="s">
        <v>32</v>
      </c>
      <c r="B653" t="s">
        <v>21</v>
      </c>
      <c r="C653" t="s">
        <v>40</v>
      </c>
      <c r="D653" t="s">
        <v>47</v>
      </c>
      <c r="E653" s="5">
        <v>2536</v>
      </c>
      <c r="F653">
        <v>120</v>
      </c>
      <c r="G653">
        <v>300</v>
      </c>
      <c r="H653" s="6">
        <v>760800</v>
      </c>
      <c r="I653" s="6">
        <v>106512</v>
      </c>
      <c r="J653" s="6">
        <v>654288</v>
      </c>
      <c r="K653" s="6">
        <v>634000</v>
      </c>
      <c r="L653" s="6">
        <v>20288</v>
      </c>
      <c r="M653" s="1">
        <v>41579</v>
      </c>
      <c r="N653">
        <v>11</v>
      </c>
      <c r="O653" t="s">
        <v>39</v>
      </c>
      <c r="P653">
        <v>2013</v>
      </c>
    </row>
    <row r="654" spans="1:16">
      <c r="A654" t="s">
        <v>16</v>
      </c>
      <c r="B654" t="s">
        <v>25</v>
      </c>
      <c r="C654" t="s">
        <v>41</v>
      </c>
      <c r="D654" t="s">
        <v>47</v>
      </c>
      <c r="E654" s="5">
        <v>2903</v>
      </c>
      <c r="F654">
        <v>250</v>
      </c>
      <c r="G654">
        <v>7</v>
      </c>
      <c r="H654" s="6">
        <v>20321</v>
      </c>
      <c r="I654" s="6">
        <v>2844.94</v>
      </c>
      <c r="J654" s="6">
        <v>17476.060000000001</v>
      </c>
      <c r="K654" s="6">
        <v>14515</v>
      </c>
      <c r="L654" s="6">
        <v>2961.06</v>
      </c>
      <c r="M654" s="1">
        <v>41699</v>
      </c>
      <c r="N654">
        <v>3</v>
      </c>
      <c r="O654" t="s">
        <v>28</v>
      </c>
      <c r="P654">
        <v>2014</v>
      </c>
    </row>
    <row r="655" spans="1:16">
      <c r="A655" t="s">
        <v>32</v>
      </c>
      <c r="B655" t="s">
        <v>36</v>
      </c>
      <c r="C655" t="s">
        <v>41</v>
      </c>
      <c r="D655" t="s">
        <v>47</v>
      </c>
      <c r="E655" s="5">
        <v>2541</v>
      </c>
      <c r="F655">
        <v>250</v>
      </c>
      <c r="G655">
        <v>300</v>
      </c>
      <c r="H655" s="6">
        <v>762300</v>
      </c>
      <c r="I655" s="6">
        <v>106722</v>
      </c>
      <c r="J655" s="6">
        <v>655578</v>
      </c>
      <c r="K655" s="6">
        <v>635250</v>
      </c>
      <c r="L655" s="6">
        <v>20328</v>
      </c>
      <c r="M655" s="1">
        <v>41852</v>
      </c>
      <c r="N655">
        <v>8</v>
      </c>
      <c r="O655" t="s">
        <v>33</v>
      </c>
      <c r="P655">
        <v>2014</v>
      </c>
    </row>
    <row r="656" spans="1:16" hidden="1">
      <c r="A656" t="s">
        <v>32</v>
      </c>
      <c r="B656" t="s">
        <v>17</v>
      </c>
      <c r="C656" t="s">
        <v>41</v>
      </c>
      <c r="D656" t="s">
        <v>47</v>
      </c>
      <c r="E656" s="5">
        <v>269</v>
      </c>
      <c r="F656">
        <v>250</v>
      </c>
      <c r="G656">
        <v>300</v>
      </c>
      <c r="H656" s="6">
        <v>80700</v>
      </c>
      <c r="I656" s="6">
        <v>11298</v>
      </c>
      <c r="J656" s="6">
        <v>69402</v>
      </c>
      <c r="K656" s="6">
        <v>67250</v>
      </c>
      <c r="L656" s="6">
        <v>2152</v>
      </c>
      <c r="M656" s="1">
        <v>41548</v>
      </c>
      <c r="N656">
        <v>10</v>
      </c>
      <c r="O656" t="s">
        <v>35</v>
      </c>
      <c r="P656">
        <v>2013</v>
      </c>
    </row>
    <row r="657" spans="1:16">
      <c r="A657" t="s">
        <v>32</v>
      </c>
      <c r="B657" t="s">
        <v>17</v>
      </c>
      <c r="C657" t="s">
        <v>41</v>
      </c>
      <c r="D657" t="s">
        <v>47</v>
      </c>
      <c r="E657" s="5">
        <v>1496</v>
      </c>
      <c r="F657">
        <v>250</v>
      </c>
      <c r="G657">
        <v>300</v>
      </c>
      <c r="H657" s="6">
        <v>448800</v>
      </c>
      <c r="I657" s="6">
        <v>62832</v>
      </c>
      <c r="J657" s="6">
        <v>385968</v>
      </c>
      <c r="K657" s="6">
        <v>374000</v>
      </c>
      <c r="L657" s="6">
        <v>11968</v>
      </c>
      <c r="M657" s="1">
        <v>41913</v>
      </c>
      <c r="N657">
        <v>10</v>
      </c>
      <c r="O657" t="s">
        <v>35</v>
      </c>
      <c r="P657">
        <v>2014</v>
      </c>
    </row>
    <row r="658" spans="1:16">
      <c r="A658" t="s">
        <v>32</v>
      </c>
      <c r="B658" t="s">
        <v>36</v>
      </c>
      <c r="C658" t="s">
        <v>41</v>
      </c>
      <c r="D658" t="s">
        <v>47</v>
      </c>
      <c r="E658" s="5">
        <v>1010</v>
      </c>
      <c r="F658">
        <v>250</v>
      </c>
      <c r="G658">
        <v>300</v>
      </c>
      <c r="H658" s="6">
        <v>303000</v>
      </c>
      <c r="I658" s="6">
        <v>42420</v>
      </c>
      <c r="J658" s="6">
        <v>260580</v>
      </c>
      <c r="K658" s="6">
        <v>252500</v>
      </c>
      <c r="L658" s="6">
        <v>8080</v>
      </c>
      <c r="M658" s="1">
        <v>41913</v>
      </c>
      <c r="N658">
        <v>10</v>
      </c>
      <c r="O658" t="s">
        <v>35</v>
      </c>
      <c r="P658">
        <v>2014</v>
      </c>
    </row>
    <row r="659" spans="1:16" hidden="1">
      <c r="A659" t="s">
        <v>16</v>
      </c>
      <c r="B659" t="s">
        <v>23</v>
      </c>
      <c r="C659" t="s">
        <v>41</v>
      </c>
      <c r="D659" t="s">
        <v>47</v>
      </c>
      <c r="E659" s="5">
        <v>1281</v>
      </c>
      <c r="F659">
        <v>250</v>
      </c>
      <c r="G659">
        <v>350</v>
      </c>
      <c r="H659" s="6">
        <v>448350</v>
      </c>
      <c r="I659" s="6">
        <v>62769</v>
      </c>
      <c r="J659" s="6">
        <v>385581</v>
      </c>
      <c r="K659" s="6">
        <v>333060</v>
      </c>
      <c r="L659" s="6">
        <v>52521</v>
      </c>
      <c r="M659" s="1">
        <v>41609</v>
      </c>
      <c r="N659">
        <v>12</v>
      </c>
      <c r="O659" t="s">
        <v>26</v>
      </c>
      <c r="P659">
        <v>2013</v>
      </c>
    </row>
    <row r="660" spans="1:16" hidden="1">
      <c r="A660" t="s">
        <v>32</v>
      </c>
      <c r="B660" t="s">
        <v>17</v>
      </c>
      <c r="C660" t="s">
        <v>43</v>
      </c>
      <c r="D660" t="s">
        <v>47</v>
      </c>
      <c r="E660" s="5">
        <v>888</v>
      </c>
      <c r="F660">
        <v>260</v>
      </c>
      <c r="G660">
        <v>300</v>
      </c>
      <c r="H660" s="6">
        <v>266400</v>
      </c>
      <c r="I660" s="6">
        <v>37296</v>
      </c>
      <c r="J660" s="6">
        <v>229104</v>
      </c>
      <c r="K660" s="6">
        <v>222000</v>
      </c>
      <c r="L660" s="6">
        <v>7104</v>
      </c>
      <c r="M660" s="1">
        <v>41699</v>
      </c>
      <c r="N660">
        <v>3</v>
      </c>
      <c r="O660" t="s">
        <v>28</v>
      </c>
      <c r="P660">
        <v>2014</v>
      </c>
    </row>
    <row r="661" spans="1:16" hidden="1">
      <c r="A661" t="s">
        <v>30</v>
      </c>
      <c r="B661" t="s">
        <v>36</v>
      </c>
      <c r="C661" t="s">
        <v>43</v>
      </c>
      <c r="D661" t="s">
        <v>47</v>
      </c>
      <c r="E661" s="5">
        <v>2844</v>
      </c>
      <c r="F661">
        <v>260</v>
      </c>
      <c r="G661">
        <v>125</v>
      </c>
      <c r="H661" s="6">
        <v>355500</v>
      </c>
      <c r="I661" s="6">
        <v>49770</v>
      </c>
      <c r="J661" s="6">
        <v>305730</v>
      </c>
      <c r="K661" s="6">
        <v>341280</v>
      </c>
      <c r="L661" s="6">
        <v>-35550</v>
      </c>
      <c r="M661" s="1">
        <v>41760</v>
      </c>
      <c r="N661">
        <v>5</v>
      </c>
      <c r="O661" t="s">
        <v>45</v>
      </c>
      <c r="P661">
        <v>2014</v>
      </c>
    </row>
    <row r="662" spans="1:16" hidden="1">
      <c r="A662" t="s">
        <v>29</v>
      </c>
      <c r="B662" t="s">
        <v>23</v>
      </c>
      <c r="C662" t="s">
        <v>43</v>
      </c>
      <c r="D662" t="s">
        <v>47</v>
      </c>
      <c r="E662" s="5">
        <v>2475</v>
      </c>
      <c r="F662">
        <v>260</v>
      </c>
      <c r="G662">
        <v>12</v>
      </c>
      <c r="H662" s="6">
        <v>29700</v>
      </c>
      <c r="I662" s="6">
        <v>4158</v>
      </c>
      <c r="J662" s="6">
        <v>25542</v>
      </c>
      <c r="K662" s="6">
        <v>7425</v>
      </c>
      <c r="L662" s="6">
        <v>18117</v>
      </c>
      <c r="M662" s="1">
        <v>41852</v>
      </c>
      <c r="N662">
        <v>8</v>
      </c>
      <c r="O662" t="s">
        <v>33</v>
      </c>
      <c r="P662">
        <v>2014</v>
      </c>
    </row>
    <row r="663" spans="1:16" hidden="1">
      <c r="A663" t="s">
        <v>22</v>
      </c>
      <c r="B663" t="s">
        <v>17</v>
      </c>
      <c r="C663" t="s">
        <v>43</v>
      </c>
      <c r="D663" t="s">
        <v>47</v>
      </c>
      <c r="E663" s="5">
        <v>1743</v>
      </c>
      <c r="F663">
        <v>260</v>
      </c>
      <c r="G663">
        <v>15</v>
      </c>
      <c r="H663" s="6">
        <v>26145</v>
      </c>
      <c r="I663" s="6">
        <v>3660.3</v>
      </c>
      <c r="J663" s="6">
        <v>22484.7</v>
      </c>
      <c r="K663" s="6">
        <v>17430</v>
      </c>
      <c r="L663" s="6">
        <v>5054.7</v>
      </c>
      <c r="M663" s="1">
        <v>41548</v>
      </c>
      <c r="N663">
        <v>10</v>
      </c>
      <c r="O663" t="s">
        <v>35</v>
      </c>
      <c r="P663">
        <v>2013</v>
      </c>
    </row>
    <row r="664" spans="1:16" hidden="1">
      <c r="A664" t="s">
        <v>29</v>
      </c>
      <c r="B664" t="s">
        <v>36</v>
      </c>
      <c r="C664" t="s">
        <v>43</v>
      </c>
      <c r="D664" t="s">
        <v>47</v>
      </c>
      <c r="E664" s="5">
        <v>2914</v>
      </c>
      <c r="F664">
        <v>260</v>
      </c>
      <c r="G664">
        <v>12</v>
      </c>
      <c r="H664" s="6">
        <v>34968</v>
      </c>
      <c r="I664" s="6">
        <v>4895.5200000000004</v>
      </c>
      <c r="J664" s="6">
        <v>30072.48</v>
      </c>
      <c r="K664" s="6">
        <v>8742</v>
      </c>
      <c r="L664" s="6">
        <v>21330.48</v>
      </c>
      <c r="M664" s="1">
        <v>41913</v>
      </c>
      <c r="N664">
        <v>10</v>
      </c>
      <c r="O664" t="s">
        <v>35</v>
      </c>
      <c r="P664">
        <v>2014</v>
      </c>
    </row>
    <row r="665" spans="1:16" hidden="1">
      <c r="A665" t="s">
        <v>16</v>
      </c>
      <c r="B665" t="s">
        <v>23</v>
      </c>
      <c r="C665" t="s">
        <v>43</v>
      </c>
      <c r="D665" t="s">
        <v>47</v>
      </c>
      <c r="E665" s="5">
        <v>1731</v>
      </c>
      <c r="F665">
        <v>260</v>
      </c>
      <c r="G665">
        <v>7</v>
      </c>
      <c r="H665" s="6">
        <v>12117</v>
      </c>
      <c r="I665" s="6">
        <v>1696.38</v>
      </c>
      <c r="J665" s="6">
        <v>10420.620000000001</v>
      </c>
      <c r="K665" s="6">
        <v>8655</v>
      </c>
      <c r="L665" s="6">
        <v>1765.62</v>
      </c>
      <c r="M665" s="1">
        <v>41913</v>
      </c>
      <c r="N665">
        <v>10</v>
      </c>
      <c r="O665" t="s">
        <v>35</v>
      </c>
      <c r="P665">
        <v>2014</v>
      </c>
    </row>
    <row r="666" spans="1:16" hidden="1">
      <c r="A666" t="s">
        <v>16</v>
      </c>
      <c r="B666" t="s">
        <v>25</v>
      </c>
      <c r="C666" t="s">
        <v>43</v>
      </c>
      <c r="D666" t="s">
        <v>47</v>
      </c>
      <c r="E666" s="5">
        <v>1727</v>
      </c>
      <c r="F666">
        <v>260</v>
      </c>
      <c r="G666">
        <v>7</v>
      </c>
      <c r="H666" s="6">
        <v>12089</v>
      </c>
      <c r="I666" s="6">
        <v>1692.46</v>
      </c>
      <c r="J666" s="6">
        <v>10396.540000000001</v>
      </c>
      <c r="K666" s="6">
        <v>8635</v>
      </c>
      <c r="L666" s="6">
        <v>1761.54</v>
      </c>
      <c r="M666" s="1">
        <v>41548</v>
      </c>
      <c r="N666">
        <v>10</v>
      </c>
      <c r="O666" t="s">
        <v>35</v>
      </c>
      <c r="P666">
        <v>2013</v>
      </c>
    </row>
    <row r="667" spans="1:16" hidden="1">
      <c r="A667" t="s">
        <v>22</v>
      </c>
      <c r="B667" t="s">
        <v>25</v>
      </c>
      <c r="C667" t="s">
        <v>43</v>
      </c>
      <c r="D667" t="s">
        <v>47</v>
      </c>
      <c r="E667" s="5">
        <v>1870</v>
      </c>
      <c r="F667">
        <v>260</v>
      </c>
      <c r="G667">
        <v>15</v>
      </c>
      <c r="H667" s="6">
        <v>28050</v>
      </c>
      <c r="I667" s="6">
        <v>3927</v>
      </c>
      <c r="J667" s="6">
        <v>24123</v>
      </c>
      <c r="K667" s="6">
        <v>18700</v>
      </c>
      <c r="L667" s="6">
        <v>5423</v>
      </c>
      <c r="M667" s="1">
        <v>41579</v>
      </c>
      <c r="N667">
        <v>11</v>
      </c>
      <c r="O667" t="s">
        <v>39</v>
      </c>
      <c r="P667">
        <v>2013</v>
      </c>
    </row>
    <row r="668" spans="1:16" hidden="1">
      <c r="A668" t="s">
        <v>30</v>
      </c>
      <c r="B668" t="s">
        <v>23</v>
      </c>
      <c r="C668" t="s">
        <v>18</v>
      </c>
      <c r="D668" t="s">
        <v>47</v>
      </c>
      <c r="E668" s="5">
        <v>1174</v>
      </c>
      <c r="F668">
        <v>3</v>
      </c>
      <c r="G668">
        <v>125</v>
      </c>
      <c r="H668" s="6">
        <v>146750</v>
      </c>
      <c r="I668" s="6">
        <v>22012.5</v>
      </c>
      <c r="J668" s="6">
        <v>124737.5</v>
      </c>
      <c r="K668" s="6">
        <v>140880</v>
      </c>
      <c r="L668" s="6">
        <v>-16142.5</v>
      </c>
      <c r="M668" s="1">
        <v>41852</v>
      </c>
      <c r="N668">
        <v>8</v>
      </c>
      <c r="O668" t="s">
        <v>33</v>
      </c>
      <c r="P668">
        <v>2014</v>
      </c>
    </row>
    <row r="669" spans="1:16" hidden="1">
      <c r="A669" t="s">
        <v>30</v>
      </c>
      <c r="B669" t="s">
        <v>21</v>
      </c>
      <c r="C669" t="s">
        <v>18</v>
      </c>
      <c r="D669" t="s">
        <v>47</v>
      </c>
      <c r="E669" s="5">
        <v>2767</v>
      </c>
      <c r="F669">
        <v>3</v>
      </c>
      <c r="G669">
        <v>125</v>
      </c>
      <c r="H669" s="6">
        <v>345875</v>
      </c>
      <c r="I669" s="6">
        <v>51881.25</v>
      </c>
      <c r="J669" s="6">
        <v>293993.75</v>
      </c>
      <c r="K669" s="6">
        <v>332040</v>
      </c>
      <c r="L669" s="6">
        <v>-38046.25</v>
      </c>
      <c r="M669" s="1">
        <v>41852</v>
      </c>
      <c r="N669">
        <v>8</v>
      </c>
      <c r="O669" t="s">
        <v>33</v>
      </c>
      <c r="P669">
        <v>2014</v>
      </c>
    </row>
    <row r="670" spans="1:16" hidden="1">
      <c r="A670" t="s">
        <v>30</v>
      </c>
      <c r="B670" t="s">
        <v>21</v>
      </c>
      <c r="C670" t="s">
        <v>18</v>
      </c>
      <c r="D670" t="s">
        <v>47</v>
      </c>
      <c r="E670" s="5">
        <v>1085</v>
      </c>
      <c r="F670">
        <v>3</v>
      </c>
      <c r="G670">
        <v>125</v>
      </c>
      <c r="H670" s="6">
        <v>135625</v>
      </c>
      <c r="I670" s="6">
        <v>20343.75</v>
      </c>
      <c r="J670" s="6">
        <v>115281.25</v>
      </c>
      <c r="K670" s="6">
        <v>130200</v>
      </c>
      <c r="L670" s="6">
        <v>-14918.75</v>
      </c>
      <c r="M670" s="1">
        <v>41913</v>
      </c>
      <c r="N670">
        <v>10</v>
      </c>
      <c r="O670" t="s">
        <v>35</v>
      </c>
      <c r="P670">
        <v>2014</v>
      </c>
    </row>
    <row r="671" spans="1:16" hidden="1">
      <c r="A671" t="s">
        <v>32</v>
      </c>
      <c r="B671" t="s">
        <v>25</v>
      </c>
      <c r="C671" t="s">
        <v>27</v>
      </c>
      <c r="D671" t="s">
        <v>47</v>
      </c>
      <c r="E671" s="5">
        <v>546</v>
      </c>
      <c r="F671">
        <v>5</v>
      </c>
      <c r="G671">
        <v>300</v>
      </c>
      <c r="H671" s="6">
        <v>163800</v>
      </c>
      <c r="I671" s="6">
        <v>24570</v>
      </c>
      <c r="J671" s="6">
        <v>139230</v>
      </c>
      <c r="K671" s="6">
        <v>136500</v>
      </c>
      <c r="L671" s="6">
        <v>2730</v>
      </c>
      <c r="M671" s="1">
        <v>41913</v>
      </c>
      <c r="N671">
        <v>10</v>
      </c>
      <c r="O671" t="s">
        <v>35</v>
      </c>
      <c r="P671">
        <v>2014</v>
      </c>
    </row>
    <row r="672" spans="1:16" hidden="1">
      <c r="A672" t="s">
        <v>16</v>
      </c>
      <c r="B672" t="s">
        <v>21</v>
      </c>
      <c r="C672" t="s">
        <v>37</v>
      </c>
      <c r="D672" t="s">
        <v>47</v>
      </c>
      <c r="E672" s="5">
        <v>1158</v>
      </c>
      <c r="F672">
        <v>10</v>
      </c>
      <c r="G672">
        <v>20</v>
      </c>
      <c r="H672" s="6">
        <v>23160</v>
      </c>
      <c r="I672" s="6">
        <v>3474</v>
      </c>
      <c r="J672" s="6">
        <v>19686</v>
      </c>
      <c r="K672" s="6">
        <v>11580</v>
      </c>
      <c r="L672" s="6">
        <v>8106</v>
      </c>
      <c r="M672" s="1">
        <v>41699</v>
      </c>
      <c r="N672">
        <v>3</v>
      </c>
      <c r="O672" t="s">
        <v>28</v>
      </c>
      <c r="P672">
        <v>2014</v>
      </c>
    </row>
    <row r="673" spans="1:16" hidden="1">
      <c r="A673" t="s">
        <v>22</v>
      </c>
      <c r="B673" t="s">
        <v>17</v>
      </c>
      <c r="C673" t="s">
        <v>37</v>
      </c>
      <c r="D673" t="s">
        <v>47</v>
      </c>
      <c r="E673" s="5">
        <v>1614</v>
      </c>
      <c r="F673">
        <v>10</v>
      </c>
      <c r="G673">
        <v>15</v>
      </c>
      <c r="H673" s="6">
        <v>24210</v>
      </c>
      <c r="I673" s="6">
        <v>3631.5</v>
      </c>
      <c r="J673" s="6">
        <v>20578.5</v>
      </c>
      <c r="K673" s="6">
        <v>16140</v>
      </c>
      <c r="L673" s="6">
        <v>4438.5</v>
      </c>
      <c r="M673" s="1">
        <v>41730</v>
      </c>
      <c r="N673">
        <v>4</v>
      </c>
      <c r="O673" t="s">
        <v>42</v>
      </c>
      <c r="P673">
        <v>2014</v>
      </c>
    </row>
    <row r="674" spans="1:16" hidden="1">
      <c r="A674" t="s">
        <v>16</v>
      </c>
      <c r="B674" t="s">
        <v>25</v>
      </c>
      <c r="C674" t="s">
        <v>37</v>
      </c>
      <c r="D674" t="s">
        <v>47</v>
      </c>
      <c r="E674" s="5">
        <v>2535</v>
      </c>
      <c r="F674">
        <v>10</v>
      </c>
      <c r="G674">
        <v>7</v>
      </c>
      <c r="H674" s="6">
        <v>17745</v>
      </c>
      <c r="I674" s="6">
        <v>2661.75</v>
      </c>
      <c r="J674" s="6">
        <v>15083.25</v>
      </c>
      <c r="K674" s="6">
        <v>12675</v>
      </c>
      <c r="L674" s="6">
        <v>2408.25</v>
      </c>
      <c r="M674" s="1">
        <v>41730</v>
      </c>
      <c r="N674">
        <v>4</v>
      </c>
      <c r="O674" t="s">
        <v>42</v>
      </c>
      <c r="P674">
        <v>2014</v>
      </c>
    </row>
    <row r="675" spans="1:16" hidden="1">
      <c r="A675" t="s">
        <v>16</v>
      </c>
      <c r="B675" t="s">
        <v>25</v>
      </c>
      <c r="C675" t="s">
        <v>37</v>
      </c>
      <c r="D675" t="s">
        <v>47</v>
      </c>
      <c r="E675" s="5">
        <v>2851</v>
      </c>
      <c r="F675">
        <v>10</v>
      </c>
      <c r="G675">
        <v>350</v>
      </c>
      <c r="H675" s="6">
        <v>997850</v>
      </c>
      <c r="I675" s="6">
        <v>149677.5</v>
      </c>
      <c r="J675" s="6">
        <v>848172.5</v>
      </c>
      <c r="K675" s="6">
        <v>741260</v>
      </c>
      <c r="L675" s="6">
        <v>106912.5</v>
      </c>
      <c r="M675" s="1">
        <v>41760</v>
      </c>
      <c r="N675">
        <v>5</v>
      </c>
      <c r="O675" t="s">
        <v>45</v>
      </c>
      <c r="P675">
        <v>2014</v>
      </c>
    </row>
    <row r="676" spans="1:16" hidden="1">
      <c r="A676" t="s">
        <v>22</v>
      </c>
      <c r="B676" t="s">
        <v>17</v>
      </c>
      <c r="C676" t="s">
        <v>37</v>
      </c>
      <c r="D676" t="s">
        <v>47</v>
      </c>
      <c r="E676" s="5">
        <v>2559</v>
      </c>
      <c r="F676">
        <v>10</v>
      </c>
      <c r="G676">
        <v>15</v>
      </c>
      <c r="H676" s="6">
        <v>38385</v>
      </c>
      <c r="I676" s="6">
        <v>5757.75</v>
      </c>
      <c r="J676" s="6">
        <v>32627.25</v>
      </c>
      <c r="K676" s="6">
        <v>25590</v>
      </c>
      <c r="L676" s="6">
        <v>7037.25</v>
      </c>
      <c r="M676" s="1">
        <v>41852</v>
      </c>
      <c r="N676">
        <v>8</v>
      </c>
      <c r="O676" t="s">
        <v>33</v>
      </c>
      <c r="P676">
        <v>2014</v>
      </c>
    </row>
    <row r="677" spans="1:16" hidden="1">
      <c r="A677" t="s">
        <v>16</v>
      </c>
      <c r="B677" t="s">
        <v>36</v>
      </c>
      <c r="C677" t="s">
        <v>37</v>
      </c>
      <c r="D677" t="s">
        <v>47</v>
      </c>
      <c r="E677" s="5">
        <v>267</v>
      </c>
      <c r="F677">
        <v>10</v>
      </c>
      <c r="G677">
        <v>20</v>
      </c>
      <c r="H677" s="6">
        <v>5340</v>
      </c>
      <c r="I677">
        <v>801</v>
      </c>
      <c r="J677" s="6">
        <v>4539</v>
      </c>
      <c r="K677" s="6">
        <v>2670</v>
      </c>
      <c r="L677" s="6">
        <v>1869</v>
      </c>
      <c r="M677" s="1">
        <v>41548</v>
      </c>
      <c r="N677">
        <v>10</v>
      </c>
      <c r="O677" t="s">
        <v>35</v>
      </c>
      <c r="P677">
        <v>2013</v>
      </c>
    </row>
    <row r="678" spans="1:16" hidden="1">
      <c r="A678" t="s">
        <v>30</v>
      </c>
      <c r="B678" t="s">
        <v>21</v>
      </c>
      <c r="C678" t="s">
        <v>37</v>
      </c>
      <c r="D678" t="s">
        <v>47</v>
      </c>
      <c r="E678" s="5">
        <v>1085</v>
      </c>
      <c r="F678">
        <v>10</v>
      </c>
      <c r="G678">
        <v>125</v>
      </c>
      <c r="H678" s="6">
        <v>135625</v>
      </c>
      <c r="I678" s="6">
        <v>20343.75</v>
      </c>
      <c r="J678" s="6">
        <v>115281.25</v>
      </c>
      <c r="K678" s="6">
        <v>130200</v>
      </c>
      <c r="L678" s="6">
        <v>-14918.75</v>
      </c>
      <c r="M678" s="1">
        <v>41913</v>
      </c>
      <c r="N678">
        <v>10</v>
      </c>
      <c r="O678" t="s">
        <v>35</v>
      </c>
      <c r="P678">
        <v>2014</v>
      </c>
    </row>
    <row r="679" spans="1:16" hidden="1">
      <c r="A679" t="s">
        <v>22</v>
      </c>
      <c r="B679" t="s">
        <v>21</v>
      </c>
      <c r="C679" t="s">
        <v>37</v>
      </c>
      <c r="D679" t="s">
        <v>47</v>
      </c>
      <c r="E679" s="5">
        <v>1175</v>
      </c>
      <c r="F679">
        <v>10</v>
      </c>
      <c r="G679">
        <v>15</v>
      </c>
      <c r="H679" s="6">
        <v>17625</v>
      </c>
      <c r="I679" s="6">
        <v>2643.75</v>
      </c>
      <c r="J679" s="6">
        <v>14981.25</v>
      </c>
      <c r="K679" s="6">
        <v>11750</v>
      </c>
      <c r="L679" s="6">
        <v>3231.25</v>
      </c>
      <c r="M679" s="1">
        <v>41913</v>
      </c>
      <c r="N679">
        <v>10</v>
      </c>
      <c r="O679" t="s">
        <v>35</v>
      </c>
      <c r="P679">
        <v>2014</v>
      </c>
    </row>
    <row r="680" spans="1:16" hidden="1">
      <c r="A680" t="s">
        <v>16</v>
      </c>
      <c r="B680" t="s">
        <v>36</v>
      </c>
      <c r="C680" t="s">
        <v>37</v>
      </c>
      <c r="D680" t="s">
        <v>47</v>
      </c>
      <c r="E680" s="5">
        <v>2007</v>
      </c>
      <c r="F680">
        <v>10</v>
      </c>
      <c r="G680">
        <v>350</v>
      </c>
      <c r="H680" s="6">
        <v>702450</v>
      </c>
      <c r="I680" s="6">
        <v>105367.5</v>
      </c>
      <c r="J680" s="6">
        <v>597082.5</v>
      </c>
      <c r="K680" s="6">
        <v>521820</v>
      </c>
      <c r="L680" s="6">
        <v>75262.5</v>
      </c>
      <c r="M680" s="1">
        <v>41579</v>
      </c>
      <c r="N680">
        <v>11</v>
      </c>
      <c r="O680" t="s">
        <v>39</v>
      </c>
      <c r="P680">
        <v>2013</v>
      </c>
    </row>
    <row r="681" spans="1:16" hidden="1">
      <c r="A681" t="s">
        <v>16</v>
      </c>
      <c r="B681" t="s">
        <v>25</v>
      </c>
      <c r="C681" t="s">
        <v>37</v>
      </c>
      <c r="D681" t="s">
        <v>47</v>
      </c>
      <c r="E681" s="5">
        <v>2151</v>
      </c>
      <c r="F681">
        <v>10</v>
      </c>
      <c r="G681">
        <v>350</v>
      </c>
      <c r="H681" s="6">
        <v>752850</v>
      </c>
      <c r="I681" s="6">
        <v>112927.5</v>
      </c>
      <c r="J681" s="6">
        <v>639922.5</v>
      </c>
      <c r="K681" s="6">
        <v>559260</v>
      </c>
      <c r="L681" s="6">
        <v>80662.5</v>
      </c>
      <c r="M681" s="1">
        <v>41579</v>
      </c>
      <c r="N681">
        <v>11</v>
      </c>
      <c r="O681" t="s">
        <v>39</v>
      </c>
      <c r="P681">
        <v>2013</v>
      </c>
    </row>
    <row r="682" spans="1:16" hidden="1">
      <c r="A682" t="s">
        <v>29</v>
      </c>
      <c r="B682" t="s">
        <v>36</v>
      </c>
      <c r="C682" t="s">
        <v>37</v>
      </c>
      <c r="D682" t="s">
        <v>47</v>
      </c>
      <c r="E682" s="5">
        <v>914</v>
      </c>
      <c r="F682">
        <v>10</v>
      </c>
      <c r="G682">
        <v>12</v>
      </c>
      <c r="H682" s="6">
        <v>10968</v>
      </c>
      <c r="I682" s="6">
        <v>1645.2</v>
      </c>
      <c r="J682" s="6">
        <v>9322.7999999999993</v>
      </c>
      <c r="K682" s="6">
        <v>2742</v>
      </c>
      <c r="L682" s="6">
        <v>6580.8</v>
      </c>
      <c r="M682" s="1">
        <v>41974</v>
      </c>
      <c r="N682">
        <v>12</v>
      </c>
      <c r="O682" t="s">
        <v>26</v>
      </c>
      <c r="P682">
        <v>2014</v>
      </c>
    </row>
    <row r="683" spans="1:16" hidden="1">
      <c r="A683" t="s">
        <v>16</v>
      </c>
      <c r="B683" t="s">
        <v>23</v>
      </c>
      <c r="C683" t="s">
        <v>37</v>
      </c>
      <c r="D683" t="s">
        <v>47</v>
      </c>
      <c r="E683" s="5">
        <v>293</v>
      </c>
      <c r="F683">
        <v>10</v>
      </c>
      <c r="G683">
        <v>20</v>
      </c>
      <c r="H683" s="6">
        <v>5860</v>
      </c>
      <c r="I683">
        <v>879</v>
      </c>
      <c r="J683" s="6">
        <v>4981</v>
      </c>
      <c r="K683" s="6">
        <v>2930</v>
      </c>
      <c r="L683" s="6">
        <v>2051</v>
      </c>
      <c r="M683" s="1">
        <v>41974</v>
      </c>
      <c r="N683">
        <v>12</v>
      </c>
      <c r="O683" t="s">
        <v>26</v>
      </c>
      <c r="P683">
        <v>2014</v>
      </c>
    </row>
    <row r="684" spans="1:16" hidden="1">
      <c r="A684" t="s">
        <v>29</v>
      </c>
      <c r="B684" t="s">
        <v>25</v>
      </c>
      <c r="C684" t="s">
        <v>40</v>
      </c>
      <c r="D684" t="s">
        <v>47</v>
      </c>
      <c r="E684" s="5">
        <v>500</v>
      </c>
      <c r="F684">
        <v>120</v>
      </c>
      <c r="G684">
        <v>12</v>
      </c>
      <c r="H684" s="6">
        <v>6000</v>
      </c>
      <c r="I684">
        <v>900</v>
      </c>
      <c r="J684" s="6">
        <v>5100</v>
      </c>
      <c r="K684" s="6">
        <v>1500</v>
      </c>
      <c r="L684" s="6">
        <v>3600</v>
      </c>
      <c r="M684" s="1">
        <v>41699</v>
      </c>
      <c r="N684">
        <v>3</v>
      </c>
      <c r="O684" t="s">
        <v>28</v>
      </c>
      <c r="P684">
        <v>2014</v>
      </c>
    </row>
    <row r="685" spans="1:16" hidden="1">
      <c r="A685" t="s">
        <v>22</v>
      </c>
      <c r="B685" t="s">
        <v>23</v>
      </c>
      <c r="C685" t="s">
        <v>40</v>
      </c>
      <c r="D685" t="s">
        <v>47</v>
      </c>
      <c r="E685" s="5">
        <v>2826</v>
      </c>
      <c r="F685">
        <v>120</v>
      </c>
      <c r="G685">
        <v>15</v>
      </c>
      <c r="H685" s="6">
        <v>42390</v>
      </c>
      <c r="I685" s="6">
        <v>6358.5</v>
      </c>
      <c r="J685" s="6">
        <v>36031.5</v>
      </c>
      <c r="K685" s="6">
        <v>28260</v>
      </c>
      <c r="L685" s="6">
        <v>7771.5</v>
      </c>
      <c r="M685" s="1">
        <v>41760</v>
      </c>
      <c r="N685">
        <v>5</v>
      </c>
      <c r="O685" t="s">
        <v>45</v>
      </c>
      <c r="P685">
        <v>2014</v>
      </c>
    </row>
    <row r="686" spans="1:16" hidden="1">
      <c r="A686" t="s">
        <v>30</v>
      </c>
      <c r="B686" t="s">
        <v>23</v>
      </c>
      <c r="C686" t="s">
        <v>40</v>
      </c>
      <c r="D686" t="s">
        <v>47</v>
      </c>
      <c r="E686" s="5">
        <v>663</v>
      </c>
      <c r="F686">
        <v>120</v>
      </c>
      <c r="G686">
        <v>125</v>
      </c>
      <c r="H686" s="6">
        <v>82875</v>
      </c>
      <c r="I686" s="6">
        <v>12431.25</v>
      </c>
      <c r="J686" s="6">
        <v>70443.75</v>
      </c>
      <c r="K686" s="6">
        <v>79560</v>
      </c>
      <c r="L686" s="6">
        <v>-9116.25</v>
      </c>
      <c r="M686" s="1">
        <v>41883</v>
      </c>
      <c r="N686">
        <v>9</v>
      </c>
      <c r="O686" t="s">
        <v>34</v>
      </c>
      <c r="P686">
        <v>2014</v>
      </c>
    </row>
    <row r="687" spans="1:16" hidden="1">
      <c r="A687" t="s">
        <v>32</v>
      </c>
      <c r="B687" t="s">
        <v>36</v>
      </c>
      <c r="C687" t="s">
        <v>40</v>
      </c>
      <c r="D687" t="s">
        <v>47</v>
      </c>
      <c r="E687" s="5">
        <v>2574</v>
      </c>
      <c r="F687">
        <v>120</v>
      </c>
      <c r="G687">
        <v>300</v>
      </c>
      <c r="H687" s="6">
        <v>772200</v>
      </c>
      <c r="I687" s="6">
        <v>115830</v>
      </c>
      <c r="J687" s="6">
        <v>656370</v>
      </c>
      <c r="K687" s="6">
        <v>643500</v>
      </c>
      <c r="L687" s="6">
        <v>12870</v>
      </c>
      <c r="M687" s="1">
        <v>41579</v>
      </c>
      <c r="N687">
        <v>11</v>
      </c>
      <c r="O687" t="s">
        <v>39</v>
      </c>
      <c r="P687">
        <v>2013</v>
      </c>
    </row>
    <row r="688" spans="1:16" hidden="1">
      <c r="A688" t="s">
        <v>30</v>
      </c>
      <c r="B688" t="s">
        <v>36</v>
      </c>
      <c r="C688" t="s">
        <v>40</v>
      </c>
      <c r="D688" t="s">
        <v>47</v>
      </c>
      <c r="E688" s="5">
        <v>2438</v>
      </c>
      <c r="F688">
        <v>120</v>
      </c>
      <c r="G688">
        <v>125</v>
      </c>
      <c r="H688" s="6">
        <v>304750</v>
      </c>
      <c r="I688" s="6">
        <v>45712.5</v>
      </c>
      <c r="J688" s="6">
        <v>259037.5</v>
      </c>
      <c r="K688" s="6">
        <v>292560</v>
      </c>
      <c r="L688" s="6">
        <v>-33522.5</v>
      </c>
      <c r="M688" s="1">
        <v>41609</v>
      </c>
      <c r="N688">
        <v>12</v>
      </c>
      <c r="O688" t="s">
        <v>26</v>
      </c>
      <c r="P688">
        <v>2013</v>
      </c>
    </row>
    <row r="689" spans="1:16" hidden="1">
      <c r="A689" t="s">
        <v>29</v>
      </c>
      <c r="B689" t="s">
        <v>36</v>
      </c>
      <c r="C689" t="s">
        <v>40</v>
      </c>
      <c r="D689" t="s">
        <v>47</v>
      </c>
      <c r="E689" s="5">
        <v>914</v>
      </c>
      <c r="F689">
        <v>120</v>
      </c>
      <c r="G689">
        <v>12</v>
      </c>
      <c r="H689" s="6">
        <v>10968</v>
      </c>
      <c r="I689" s="6">
        <v>1645.2</v>
      </c>
      <c r="J689" s="6">
        <v>9322.7999999999993</v>
      </c>
      <c r="K689" s="6">
        <v>2742</v>
      </c>
      <c r="L689" s="6">
        <v>6580.8</v>
      </c>
      <c r="M689" s="1">
        <v>41974</v>
      </c>
      <c r="N689">
        <v>12</v>
      </c>
      <c r="O689" t="s">
        <v>26</v>
      </c>
      <c r="P689">
        <v>2014</v>
      </c>
    </row>
    <row r="690" spans="1:16">
      <c r="A690" t="s">
        <v>16</v>
      </c>
      <c r="B690" t="s">
        <v>17</v>
      </c>
      <c r="C690" t="s">
        <v>41</v>
      </c>
      <c r="D690" t="s">
        <v>47</v>
      </c>
      <c r="E690" s="5">
        <v>865.5</v>
      </c>
      <c r="F690">
        <v>250</v>
      </c>
      <c r="G690">
        <v>20</v>
      </c>
      <c r="H690" s="6">
        <v>17310</v>
      </c>
      <c r="I690" s="6">
        <v>2596.5</v>
      </c>
      <c r="J690" s="6">
        <v>14713.5</v>
      </c>
      <c r="K690" s="6">
        <v>8655</v>
      </c>
      <c r="L690" s="6">
        <v>6058.5</v>
      </c>
      <c r="M690" s="1">
        <v>41821</v>
      </c>
      <c r="N690">
        <v>7</v>
      </c>
      <c r="O690" t="s">
        <v>31</v>
      </c>
      <c r="P690">
        <v>2014</v>
      </c>
    </row>
    <row r="691" spans="1:16">
      <c r="A691" t="s">
        <v>22</v>
      </c>
      <c r="B691" t="s">
        <v>21</v>
      </c>
      <c r="C691" t="s">
        <v>41</v>
      </c>
      <c r="D691" t="s">
        <v>47</v>
      </c>
      <c r="E691" s="5">
        <v>492</v>
      </c>
      <c r="F691">
        <v>250</v>
      </c>
      <c r="G691">
        <v>15</v>
      </c>
      <c r="H691" s="6">
        <v>7380</v>
      </c>
      <c r="I691" s="6">
        <v>1107</v>
      </c>
      <c r="J691" s="6">
        <v>6273</v>
      </c>
      <c r="K691" s="6">
        <v>4920</v>
      </c>
      <c r="L691" s="6">
        <v>1353</v>
      </c>
      <c r="M691" s="1">
        <v>41821</v>
      </c>
      <c r="N691">
        <v>7</v>
      </c>
      <c r="O691" t="s">
        <v>31</v>
      </c>
      <c r="P691">
        <v>2014</v>
      </c>
    </row>
    <row r="692" spans="1:16" hidden="1">
      <c r="A692" t="s">
        <v>16</v>
      </c>
      <c r="B692" t="s">
        <v>36</v>
      </c>
      <c r="C692" t="s">
        <v>41</v>
      </c>
      <c r="D692" t="s">
        <v>47</v>
      </c>
      <c r="E692" s="5">
        <v>267</v>
      </c>
      <c r="F692">
        <v>250</v>
      </c>
      <c r="G692">
        <v>20</v>
      </c>
      <c r="H692" s="6">
        <v>5340</v>
      </c>
      <c r="I692">
        <v>801</v>
      </c>
      <c r="J692" s="6">
        <v>4539</v>
      </c>
      <c r="K692" s="6">
        <v>2670</v>
      </c>
      <c r="L692" s="6">
        <v>1869</v>
      </c>
      <c r="M692" s="1">
        <v>41548</v>
      </c>
      <c r="N692">
        <v>10</v>
      </c>
      <c r="O692" t="s">
        <v>35</v>
      </c>
      <c r="P692">
        <v>2013</v>
      </c>
    </row>
    <row r="693" spans="1:16">
      <c r="A693" t="s">
        <v>22</v>
      </c>
      <c r="B693" t="s">
        <v>21</v>
      </c>
      <c r="C693" t="s">
        <v>41</v>
      </c>
      <c r="D693" t="s">
        <v>47</v>
      </c>
      <c r="E693" s="5">
        <v>1175</v>
      </c>
      <c r="F693">
        <v>250</v>
      </c>
      <c r="G693">
        <v>15</v>
      </c>
      <c r="H693" s="6">
        <v>17625</v>
      </c>
      <c r="I693" s="6">
        <v>2643.75</v>
      </c>
      <c r="J693" s="6">
        <v>14981.25</v>
      </c>
      <c r="K693" s="6">
        <v>11750</v>
      </c>
      <c r="L693" s="6">
        <v>3231.25</v>
      </c>
      <c r="M693" s="1">
        <v>41913</v>
      </c>
      <c r="N693">
        <v>10</v>
      </c>
      <c r="O693" t="s">
        <v>35</v>
      </c>
      <c r="P693">
        <v>2014</v>
      </c>
    </row>
    <row r="694" spans="1:16" hidden="1">
      <c r="A694" t="s">
        <v>30</v>
      </c>
      <c r="B694" t="s">
        <v>17</v>
      </c>
      <c r="C694" t="s">
        <v>41</v>
      </c>
      <c r="D694" t="s">
        <v>47</v>
      </c>
      <c r="E694" s="5">
        <v>2954</v>
      </c>
      <c r="F694">
        <v>250</v>
      </c>
      <c r="G694">
        <v>125</v>
      </c>
      <c r="H694" s="6">
        <v>369250</v>
      </c>
      <c r="I694" s="6">
        <v>55387.5</v>
      </c>
      <c r="J694" s="6">
        <v>313862.5</v>
      </c>
      <c r="K694" s="6">
        <v>354480</v>
      </c>
      <c r="L694" s="6">
        <v>-40617.5</v>
      </c>
      <c r="M694" s="1">
        <v>41579</v>
      </c>
      <c r="N694">
        <v>11</v>
      </c>
      <c r="O694" t="s">
        <v>39</v>
      </c>
      <c r="P694">
        <v>2013</v>
      </c>
    </row>
    <row r="695" spans="1:16">
      <c r="A695" t="s">
        <v>30</v>
      </c>
      <c r="B695" t="s">
        <v>21</v>
      </c>
      <c r="C695" t="s">
        <v>41</v>
      </c>
      <c r="D695" t="s">
        <v>47</v>
      </c>
      <c r="E695" s="5">
        <v>552</v>
      </c>
      <c r="F695">
        <v>250</v>
      </c>
      <c r="G695">
        <v>125</v>
      </c>
      <c r="H695" s="6">
        <v>69000</v>
      </c>
      <c r="I695" s="6">
        <v>10350</v>
      </c>
      <c r="J695" s="6">
        <v>58650</v>
      </c>
      <c r="K695" s="6">
        <v>66240</v>
      </c>
      <c r="L695" s="6">
        <v>-7590</v>
      </c>
      <c r="M695" s="1">
        <v>41944</v>
      </c>
      <c r="N695">
        <v>11</v>
      </c>
      <c r="O695" t="s">
        <v>39</v>
      </c>
      <c r="P695">
        <v>2014</v>
      </c>
    </row>
    <row r="696" spans="1:16">
      <c r="A696" t="s">
        <v>16</v>
      </c>
      <c r="B696" t="s">
        <v>23</v>
      </c>
      <c r="C696" t="s">
        <v>41</v>
      </c>
      <c r="D696" t="s">
        <v>47</v>
      </c>
      <c r="E696" s="5">
        <v>293</v>
      </c>
      <c r="F696">
        <v>250</v>
      </c>
      <c r="G696">
        <v>20</v>
      </c>
      <c r="H696" s="6">
        <v>5860</v>
      </c>
      <c r="I696">
        <v>879</v>
      </c>
      <c r="J696" s="6">
        <v>4981</v>
      </c>
      <c r="K696" s="6">
        <v>2930</v>
      </c>
      <c r="L696" s="6">
        <v>2051</v>
      </c>
      <c r="M696" s="1">
        <v>41974</v>
      </c>
      <c r="N696">
        <v>12</v>
      </c>
      <c r="O696" t="s">
        <v>26</v>
      </c>
      <c r="P696">
        <v>2014</v>
      </c>
    </row>
    <row r="697" spans="1:16" hidden="1">
      <c r="A697" t="s">
        <v>32</v>
      </c>
      <c r="B697" t="s">
        <v>23</v>
      </c>
      <c r="C697" t="s">
        <v>43</v>
      </c>
      <c r="D697" t="s">
        <v>47</v>
      </c>
      <c r="E697" s="5">
        <v>2475</v>
      </c>
      <c r="F697">
        <v>260</v>
      </c>
      <c r="G697">
        <v>300</v>
      </c>
      <c r="H697" s="6">
        <v>742500</v>
      </c>
      <c r="I697" s="6">
        <v>111375</v>
      </c>
      <c r="J697" s="6">
        <v>631125</v>
      </c>
      <c r="K697" s="6">
        <v>618750</v>
      </c>
      <c r="L697" s="6">
        <v>12375</v>
      </c>
      <c r="M697" s="1">
        <v>41699</v>
      </c>
      <c r="N697">
        <v>3</v>
      </c>
      <c r="O697" t="s">
        <v>28</v>
      </c>
      <c r="P697">
        <v>2014</v>
      </c>
    </row>
    <row r="698" spans="1:16" hidden="1">
      <c r="A698" t="s">
        <v>32</v>
      </c>
      <c r="B698" t="s">
        <v>25</v>
      </c>
      <c r="C698" t="s">
        <v>43</v>
      </c>
      <c r="D698" t="s">
        <v>47</v>
      </c>
      <c r="E698" s="5">
        <v>546</v>
      </c>
      <c r="F698">
        <v>260</v>
      </c>
      <c r="G698">
        <v>300</v>
      </c>
      <c r="H698" s="6">
        <v>163800</v>
      </c>
      <c r="I698" s="6">
        <v>24570</v>
      </c>
      <c r="J698" s="6">
        <v>139230</v>
      </c>
      <c r="K698" s="6">
        <v>136500</v>
      </c>
      <c r="L698" s="6">
        <v>2730</v>
      </c>
      <c r="M698" s="1">
        <v>41913</v>
      </c>
      <c r="N698">
        <v>10</v>
      </c>
      <c r="O698" t="s">
        <v>35</v>
      </c>
      <c r="P698">
        <v>2014</v>
      </c>
    </row>
    <row r="699" spans="1:16" hidden="1">
      <c r="A699" t="s">
        <v>16</v>
      </c>
      <c r="B699" t="s">
        <v>25</v>
      </c>
      <c r="C699" t="s">
        <v>27</v>
      </c>
      <c r="D699" t="s">
        <v>47</v>
      </c>
      <c r="E699" s="5">
        <v>1368</v>
      </c>
      <c r="F699">
        <v>5</v>
      </c>
      <c r="G699">
        <v>7</v>
      </c>
      <c r="H699" s="6">
        <v>9576</v>
      </c>
      <c r="I699" s="6">
        <v>1436.4</v>
      </c>
      <c r="J699" s="6">
        <v>8139.6</v>
      </c>
      <c r="K699" s="6">
        <v>6840</v>
      </c>
      <c r="L699" s="6">
        <v>1299.5999999999999</v>
      </c>
      <c r="M699" s="1">
        <v>41671</v>
      </c>
      <c r="N699">
        <v>2</v>
      </c>
      <c r="O699" t="s">
        <v>38</v>
      </c>
      <c r="P699">
        <v>2014</v>
      </c>
    </row>
    <row r="700" spans="1:16" hidden="1">
      <c r="A700" t="s">
        <v>16</v>
      </c>
      <c r="B700" t="s">
        <v>17</v>
      </c>
      <c r="C700" t="s">
        <v>37</v>
      </c>
      <c r="D700" t="s">
        <v>47</v>
      </c>
      <c r="E700" s="5">
        <v>723</v>
      </c>
      <c r="F700">
        <v>10</v>
      </c>
      <c r="G700">
        <v>7</v>
      </c>
      <c r="H700" s="6">
        <v>5061</v>
      </c>
      <c r="I700">
        <v>759.15</v>
      </c>
      <c r="J700" s="6">
        <v>4301.8500000000004</v>
      </c>
      <c r="K700" s="6">
        <v>3615</v>
      </c>
      <c r="L700">
        <v>686.85</v>
      </c>
      <c r="M700" s="1">
        <v>41730</v>
      </c>
      <c r="N700">
        <v>4</v>
      </c>
      <c r="O700" t="s">
        <v>42</v>
      </c>
      <c r="P700">
        <v>2014</v>
      </c>
    </row>
    <row r="701" spans="1:16">
      <c r="A701" t="s">
        <v>29</v>
      </c>
      <c r="B701" t="s">
        <v>36</v>
      </c>
      <c r="C701" t="s">
        <v>41</v>
      </c>
      <c r="D701" t="s">
        <v>47</v>
      </c>
      <c r="E701" s="5">
        <v>1806</v>
      </c>
      <c r="F701">
        <v>250</v>
      </c>
      <c r="G701">
        <v>12</v>
      </c>
      <c r="H701" s="6">
        <v>21672</v>
      </c>
      <c r="I701" s="6">
        <v>3250.8</v>
      </c>
      <c r="J701" s="6">
        <v>18421.2</v>
      </c>
      <c r="K701" s="6">
        <v>5418</v>
      </c>
      <c r="L701" s="6">
        <v>13003.2</v>
      </c>
      <c r="M701" s="1">
        <v>41760</v>
      </c>
      <c r="N701">
        <v>5</v>
      </c>
      <c r="O701" t="s">
        <v>45</v>
      </c>
      <c r="P701">
        <v>2014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E0182-4475-40EC-B9EE-C742F43F1E72}">
  <dimension ref="A1:V2001"/>
  <sheetViews>
    <sheetView topLeftCell="E1976" workbookViewId="0">
      <selection activeCell="H12" sqref="H12"/>
    </sheetView>
  </sheetViews>
  <sheetFormatPr defaultRowHeight="14.4"/>
  <cols>
    <col min="1" max="1" width="9.77734375" bestFit="1" customWidth="1"/>
    <col min="2" max="2" width="6.88671875" bestFit="1" customWidth="1"/>
    <col min="3" max="3" width="14.21875" bestFit="1" customWidth="1"/>
    <col min="4" max="4" width="6.21875" bestFit="1" customWidth="1"/>
    <col min="5" max="5" width="15" bestFit="1" customWidth="1"/>
    <col min="6" max="6" width="9.77734375" bestFit="1" customWidth="1"/>
    <col min="7" max="7" width="20.77734375" bestFit="1" customWidth="1"/>
    <col min="8" max="8" width="20.77734375" customWidth="1"/>
    <col min="9" max="9" width="13.88671875" customWidth="1"/>
    <col min="10" max="10" width="13.21875" customWidth="1"/>
    <col min="11" max="12" width="8.88671875" style="12"/>
    <col min="14" max="14" width="8.88671875" style="12"/>
    <col min="15" max="16" width="9.5546875" style="5" bestFit="1" customWidth="1"/>
    <col min="22" max="22" width="8.88671875" style="12"/>
  </cols>
  <sheetData>
    <row r="1" spans="1:22">
      <c r="A1" t="s">
        <v>63</v>
      </c>
      <c r="B1" t="s">
        <v>15</v>
      </c>
      <c r="C1" t="s">
        <v>116</v>
      </c>
      <c r="D1" t="s">
        <v>117</v>
      </c>
      <c r="E1" t="s">
        <v>0</v>
      </c>
      <c r="F1" t="s">
        <v>64</v>
      </c>
      <c r="G1" t="s">
        <v>1</v>
      </c>
      <c r="H1" t="s">
        <v>50</v>
      </c>
      <c r="I1" t="s">
        <v>51</v>
      </c>
      <c r="J1" s="18" t="s">
        <v>52</v>
      </c>
      <c r="K1" s="12" t="s">
        <v>54</v>
      </c>
      <c r="L1" s="12" t="s">
        <v>55</v>
      </c>
      <c r="M1" s="18" t="s">
        <v>56</v>
      </c>
      <c r="N1" s="12" t="s">
        <v>57</v>
      </c>
      <c r="O1" s="5" t="s">
        <v>86</v>
      </c>
      <c r="P1" s="5" t="s">
        <v>67</v>
      </c>
      <c r="Q1" t="s">
        <v>81</v>
      </c>
      <c r="R1" t="s">
        <v>91</v>
      </c>
      <c r="S1" t="s">
        <v>93</v>
      </c>
      <c r="T1" t="s">
        <v>96</v>
      </c>
      <c r="U1" t="s">
        <v>98</v>
      </c>
      <c r="V1" s="12" t="s">
        <v>134</v>
      </c>
    </row>
    <row r="2" spans="1:22">
      <c r="A2" s="18" t="s">
        <v>70</v>
      </c>
      <c r="B2">
        <v>2013</v>
      </c>
      <c r="C2" t="s">
        <v>118</v>
      </c>
      <c r="D2">
        <v>1</v>
      </c>
      <c r="E2" s="18" t="s">
        <v>30</v>
      </c>
      <c r="F2" s="18" t="s">
        <v>80</v>
      </c>
      <c r="G2" s="18" t="s">
        <v>36</v>
      </c>
      <c r="H2" s="18" t="str">
        <f>Assumptions!$B$2</f>
        <v>Worst</v>
      </c>
      <c r="I2" s="18">
        <f>_xlfn.XLOOKUP(Assumptions!$B$2,Assumptions!$F$4:$H$4,Assumptions!$F$5:$H$5)</f>
        <v>1200</v>
      </c>
      <c r="J2" s="18">
        <f>_xlfn.XLOOKUP(Assumptions!$B$2,Assumptions!$F$4:$H$4,Assumptions!$F$6:$H$6)</f>
        <v>17</v>
      </c>
      <c r="K2" s="12">
        <f>_xlfn.XLOOKUP(Assumptions!$B$2,Assumptions!$F$4:$H$4,Assumptions!$F$8:$H$8)</f>
        <v>0.1</v>
      </c>
      <c r="L2" s="12">
        <f>_xlfn.XLOOKUP(Assumptions!$B$2,Assumptions!$F$4:$H$4,Assumptions!$F$9:$H$9)</f>
        <v>0.18</v>
      </c>
      <c r="M2" s="18">
        <f>_xlfn.XLOOKUP(Assumptions!$B$2,Assumptions!$F$4:$H$4,Assumptions!$F$10:$H$10)</f>
        <v>18000</v>
      </c>
      <c r="N2" s="12">
        <f>_xlfn.XLOOKUP(Assumptions!$B$2,Assumptions!$F$4:$H$4,Assumptions!$F$11:$H$11)</f>
        <v>0.3</v>
      </c>
      <c r="O2" s="14">
        <f>Final_Table[[#This Row],[Units Sold]]*Final_Table[[#This Row],[Sale Price]]</f>
        <v>20400</v>
      </c>
      <c r="P2" s="14">
        <f>Final_Table[[#This Row],[Gross Revenue]]*(1-Final_Table[[#This Row],[Discount %]])</f>
        <v>18360</v>
      </c>
      <c r="Q2">
        <f>Final_Table[[#This Row],[Net Revenue]]*Final_Table[[#This Row],[Variable Cost %]]</f>
        <v>3304.7999999999997</v>
      </c>
      <c r="R2">
        <f>Final_Table[[#This Row],[Variable Cost]]+Final_Table[[#This Row],[Fixed Monthly Cost]]</f>
        <v>21304.799999999999</v>
      </c>
      <c r="S2" s="5">
        <f>Final_Table[[#This Row],[Net Revenue]]-Final_Table[[#This Row],[Total Cost (COGS)]]</f>
        <v>-2944.7999999999993</v>
      </c>
      <c r="T2">
        <f>Final_Table[[#This Row],[Gross Profit]]*Final_Table[[#This Row],[Tax Rate]]</f>
        <v>-883.43999999999971</v>
      </c>
      <c r="U2" s="5">
        <f>Final_Table[[#This Row],[Gross Profit]]-Final_Table[[#This Row],[Tax]]</f>
        <v>-2061.3599999999997</v>
      </c>
      <c r="V2" s="12">
        <f>Final_Table[[#This Row],[Net Profit]]/Final_Table[[#This Row],[Gross Revenue]]</f>
        <v>-0.10104705882352939</v>
      </c>
    </row>
    <row r="3" spans="1:22">
      <c r="A3" s="18" t="s">
        <v>70</v>
      </c>
      <c r="B3">
        <v>2013</v>
      </c>
      <c r="C3" t="s">
        <v>118</v>
      </c>
      <c r="D3">
        <v>1</v>
      </c>
      <c r="E3" s="18" t="s">
        <v>30</v>
      </c>
      <c r="F3" s="18" t="s">
        <v>80</v>
      </c>
      <c r="G3" s="18" t="s">
        <v>23</v>
      </c>
      <c r="H3" s="18" t="str">
        <f>Assumptions!$B$2</f>
        <v>Worst</v>
      </c>
      <c r="I3" s="18">
        <f>_xlfn.XLOOKUP(Assumptions!$B$2,Assumptions!$F$4:$H$4,Assumptions!$F$5:$H$5)</f>
        <v>1200</v>
      </c>
      <c r="J3" s="18">
        <f>_xlfn.XLOOKUP(Assumptions!$B$2,Assumptions!$F$4:$H$4,Assumptions!$F$6:$H$6)</f>
        <v>17</v>
      </c>
      <c r="K3" s="12">
        <f>_xlfn.XLOOKUP(Assumptions!$B$2,Assumptions!$F$4:$H$4,Assumptions!$F$8:$H$8)</f>
        <v>0.1</v>
      </c>
      <c r="L3" s="12">
        <f>_xlfn.XLOOKUP(Assumptions!$B$2,Assumptions!$F$4:$H$4,Assumptions!$F$9:$H$9)</f>
        <v>0.18</v>
      </c>
      <c r="M3" s="18">
        <f>_xlfn.XLOOKUP(Assumptions!$B$2,Assumptions!$F$4:$H$4,Assumptions!$F$10:$H$10)</f>
        <v>18000</v>
      </c>
      <c r="N3" s="12">
        <f>_xlfn.XLOOKUP(Assumptions!$B$2,Assumptions!$F$4:$H$4,Assumptions!$F$11:$H$11)</f>
        <v>0.3</v>
      </c>
      <c r="O3" s="14">
        <f>Final_Table[[#This Row],[Units Sold]]*Final_Table[[#This Row],[Sale Price]]</f>
        <v>20400</v>
      </c>
      <c r="P3" s="14">
        <f>Final_Table[[#This Row],[Gross Revenue]]*(1-Final_Table[[#This Row],[Discount %]])</f>
        <v>18360</v>
      </c>
      <c r="Q3">
        <f>Final_Table[[#This Row],[Net Revenue]]*Final_Table[[#This Row],[Variable Cost %]]</f>
        <v>3304.7999999999997</v>
      </c>
      <c r="R3">
        <f>Final_Table[[#This Row],[Variable Cost]]+Final_Table[[#This Row],[Fixed Monthly Cost]]</f>
        <v>21304.799999999999</v>
      </c>
      <c r="S3" s="5">
        <f>Final_Table[[#This Row],[Net Revenue]]-Final_Table[[#This Row],[Total Cost (COGS)]]</f>
        <v>-2944.7999999999993</v>
      </c>
      <c r="T3">
        <f>Final_Table[[#This Row],[Gross Profit]]*Final_Table[[#This Row],[Tax Rate]]</f>
        <v>-883.43999999999971</v>
      </c>
      <c r="U3" s="5">
        <f>Final_Table[[#This Row],[Gross Profit]]-Final_Table[[#This Row],[Tax]]</f>
        <v>-2061.3599999999997</v>
      </c>
      <c r="V3" s="12">
        <f>Final_Table[[#This Row],[Net Profit]]/Final_Table[[#This Row],[Gross Revenue]]</f>
        <v>-0.10104705882352939</v>
      </c>
    </row>
    <row r="4" spans="1:22">
      <c r="A4" s="18" t="s">
        <v>70</v>
      </c>
      <c r="B4">
        <v>2013</v>
      </c>
      <c r="C4" t="s">
        <v>118</v>
      </c>
      <c r="D4">
        <v>1</v>
      </c>
      <c r="E4" s="18" t="s">
        <v>30</v>
      </c>
      <c r="F4" s="18" t="s">
        <v>80</v>
      </c>
      <c r="G4" s="18" t="s">
        <v>21</v>
      </c>
      <c r="H4" s="18" t="str">
        <f>Assumptions!$B$2</f>
        <v>Worst</v>
      </c>
      <c r="I4" s="18">
        <f>_xlfn.XLOOKUP(Assumptions!$B$2,Assumptions!$F$4:$H$4,Assumptions!$F$5:$H$5)</f>
        <v>1200</v>
      </c>
      <c r="J4" s="18">
        <f>_xlfn.XLOOKUP(Assumptions!$B$2,Assumptions!$F$4:$H$4,Assumptions!$F$6:$H$6)</f>
        <v>17</v>
      </c>
      <c r="K4" s="12">
        <f>_xlfn.XLOOKUP(Assumptions!$B$2,Assumptions!$F$4:$H$4,Assumptions!$F$8:$H$8)</f>
        <v>0.1</v>
      </c>
      <c r="L4" s="12">
        <f>_xlfn.XLOOKUP(Assumptions!$B$2,Assumptions!$F$4:$H$4,Assumptions!$F$9:$H$9)</f>
        <v>0.18</v>
      </c>
      <c r="M4" s="18">
        <f>_xlfn.XLOOKUP(Assumptions!$B$2,Assumptions!$F$4:$H$4,Assumptions!$F$10:$H$10)</f>
        <v>18000</v>
      </c>
      <c r="N4" s="12">
        <f>_xlfn.XLOOKUP(Assumptions!$B$2,Assumptions!$F$4:$H$4,Assumptions!$F$11:$H$11)</f>
        <v>0.3</v>
      </c>
      <c r="O4" s="14">
        <f>Final_Table[[#This Row],[Units Sold]]*Final_Table[[#This Row],[Sale Price]]</f>
        <v>20400</v>
      </c>
      <c r="P4" s="14">
        <f>Final_Table[[#This Row],[Gross Revenue]]*(1-Final_Table[[#This Row],[Discount %]])</f>
        <v>18360</v>
      </c>
      <c r="Q4">
        <f>Final_Table[[#This Row],[Net Revenue]]*Final_Table[[#This Row],[Variable Cost %]]</f>
        <v>3304.7999999999997</v>
      </c>
      <c r="R4">
        <f>Final_Table[[#This Row],[Variable Cost]]+Final_Table[[#This Row],[Fixed Monthly Cost]]</f>
        <v>21304.799999999999</v>
      </c>
      <c r="S4" s="5">
        <f>Final_Table[[#This Row],[Net Revenue]]-Final_Table[[#This Row],[Total Cost (COGS)]]</f>
        <v>-2944.7999999999993</v>
      </c>
      <c r="T4">
        <f>Final_Table[[#This Row],[Gross Profit]]*Final_Table[[#This Row],[Tax Rate]]</f>
        <v>-883.43999999999971</v>
      </c>
      <c r="U4" s="5">
        <f>Final_Table[[#This Row],[Gross Profit]]-Final_Table[[#This Row],[Tax]]</f>
        <v>-2061.3599999999997</v>
      </c>
      <c r="V4" s="12">
        <f>Final_Table[[#This Row],[Net Profit]]/Final_Table[[#This Row],[Gross Revenue]]</f>
        <v>-0.10104705882352939</v>
      </c>
    </row>
    <row r="5" spans="1:22">
      <c r="A5" s="18" t="s">
        <v>70</v>
      </c>
      <c r="B5">
        <v>2013</v>
      </c>
      <c r="C5" t="s">
        <v>118</v>
      </c>
      <c r="D5">
        <v>1</v>
      </c>
      <c r="E5" s="18" t="s">
        <v>30</v>
      </c>
      <c r="F5" s="18" t="s">
        <v>80</v>
      </c>
      <c r="G5" s="18" t="s">
        <v>25</v>
      </c>
      <c r="H5" s="18" t="str">
        <f>Assumptions!$B$2</f>
        <v>Worst</v>
      </c>
      <c r="I5" s="18">
        <f>_xlfn.XLOOKUP(Assumptions!$B$2,Assumptions!$F$4:$H$4,Assumptions!$F$5:$H$5)</f>
        <v>1200</v>
      </c>
      <c r="J5" s="18">
        <f>_xlfn.XLOOKUP(Assumptions!$B$2,Assumptions!$F$4:$H$4,Assumptions!$F$6:$H$6)</f>
        <v>17</v>
      </c>
      <c r="K5" s="12">
        <f>_xlfn.XLOOKUP(Assumptions!$B$2,Assumptions!$F$4:$H$4,Assumptions!$F$8:$H$8)</f>
        <v>0.1</v>
      </c>
      <c r="L5" s="12">
        <f>_xlfn.XLOOKUP(Assumptions!$B$2,Assumptions!$F$4:$H$4,Assumptions!$F$9:$H$9)</f>
        <v>0.18</v>
      </c>
      <c r="M5" s="18">
        <f>_xlfn.XLOOKUP(Assumptions!$B$2,Assumptions!$F$4:$H$4,Assumptions!$F$10:$H$10)</f>
        <v>18000</v>
      </c>
      <c r="N5" s="12">
        <f>_xlfn.XLOOKUP(Assumptions!$B$2,Assumptions!$F$4:$H$4,Assumptions!$F$11:$H$11)</f>
        <v>0.3</v>
      </c>
      <c r="O5" s="14">
        <f>Final_Table[[#This Row],[Units Sold]]*Final_Table[[#This Row],[Sale Price]]</f>
        <v>20400</v>
      </c>
      <c r="P5" s="14">
        <f>Final_Table[[#This Row],[Gross Revenue]]*(1-Final_Table[[#This Row],[Discount %]])</f>
        <v>18360</v>
      </c>
      <c r="Q5">
        <f>Final_Table[[#This Row],[Net Revenue]]*Final_Table[[#This Row],[Variable Cost %]]</f>
        <v>3304.7999999999997</v>
      </c>
      <c r="R5">
        <f>Final_Table[[#This Row],[Variable Cost]]+Final_Table[[#This Row],[Fixed Monthly Cost]]</f>
        <v>21304.799999999999</v>
      </c>
      <c r="S5" s="5">
        <f>Final_Table[[#This Row],[Net Revenue]]-Final_Table[[#This Row],[Total Cost (COGS)]]</f>
        <v>-2944.7999999999993</v>
      </c>
      <c r="T5">
        <f>Final_Table[[#This Row],[Gross Profit]]*Final_Table[[#This Row],[Tax Rate]]</f>
        <v>-883.43999999999971</v>
      </c>
      <c r="U5" s="5">
        <f>Final_Table[[#This Row],[Gross Profit]]-Final_Table[[#This Row],[Tax]]</f>
        <v>-2061.3599999999997</v>
      </c>
      <c r="V5" s="12">
        <f>Final_Table[[#This Row],[Net Profit]]/Final_Table[[#This Row],[Gross Revenue]]</f>
        <v>-0.10104705882352939</v>
      </c>
    </row>
    <row r="6" spans="1:22">
      <c r="A6" s="18" t="s">
        <v>70</v>
      </c>
      <c r="B6">
        <v>2013</v>
      </c>
      <c r="C6" t="s">
        <v>118</v>
      </c>
      <c r="D6">
        <v>1</v>
      </c>
      <c r="E6" s="18" t="s">
        <v>30</v>
      </c>
      <c r="F6" s="18" t="s">
        <v>80</v>
      </c>
      <c r="G6" s="18" t="s">
        <v>17</v>
      </c>
      <c r="H6" s="18" t="str">
        <f>Assumptions!$B$2</f>
        <v>Worst</v>
      </c>
      <c r="I6" s="18">
        <f>_xlfn.XLOOKUP(Assumptions!$B$2,Assumptions!$F$4:$H$4,Assumptions!$F$5:$H$5)</f>
        <v>1200</v>
      </c>
      <c r="J6" s="18">
        <f>_xlfn.XLOOKUP(Assumptions!$B$2,Assumptions!$F$4:$H$4,Assumptions!$F$6:$H$6)</f>
        <v>17</v>
      </c>
      <c r="K6" s="12">
        <f>_xlfn.XLOOKUP(Assumptions!$B$2,Assumptions!$F$4:$H$4,Assumptions!$F$8:$H$8)</f>
        <v>0.1</v>
      </c>
      <c r="L6" s="12">
        <f>_xlfn.XLOOKUP(Assumptions!$B$2,Assumptions!$F$4:$H$4,Assumptions!$F$9:$H$9)</f>
        <v>0.18</v>
      </c>
      <c r="M6" s="18">
        <f>_xlfn.XLOOKUP(Assumptions!$B$2,Assumptions!$F$4:$H$4,Assumptions!$F$10:$H$10)</f>
        <v>18000</v>
      </c>
      <c r="N6" s="12">
        <f>_xlfn.XLOOKUP(Assumptions!$B$2,Assumptions!$F$4:$H$4,Assumptions!$F$11:$H$11)</f>
        <v>0.3</v>
      </c>
      <c r="O6" s="14">
        <f>Final_Table[[#This Row],[Units Sold]]*Final_Table[[#This Row],[Sale Price]]</f>
        <v>20400</v>
      </c>
      <c r="P6" s="14">
        <f>Final_Table[[#This Row],[Gross Revenue]]*(1-Final_Table[[#This Row],[Discount %]])</f>
        <v>18360</v>
      </c>
      <c r="Q6">
        <f>Final_Table[[#This Row],[Net Revenue]]*Final_Table[[#This Row],[Variable Cost %]]</f>
        <v>3304.7999999999997</v>
      </c>
      <c r="R6">
        <f>Final_Table[[#This Row],[Variable Cost]]+Final_Table[[#This Row],[Fixed Monthly Cost]]</f>
        <v>21304.799999999999</v>
      </c>
      <c r="S6" s="5">
        <f>Final_Table[[#This Row],[Net Revenue]]-Final_Table[[#This Row],[Total Cost (COGS)]]</f>
        <v>-2944.7999999999993</v>
      </c>
      <c r="T6">
        <f>Final_Table[[#This Row],[Gross Profit]]*Final_Table[[#This Row],[Tax Rate]]</f>
        <v>-883.43999999999971</v>
      </c>
      <c r="U6" s="5">
        <f>Final_Table[[#This Row],[Gross Profit]]-Final_Table[[#This Row],[Tax]]</f>
        <v>-2061.3599999999997</v>
      </c>
      <c r="V6" s="12">
        <f>Final_Table[[#This Row],[Net Profit]]/Final_Table[[#This Row],[Gross Revenue]]</f>
        <v>-0.10104705882352939</v>
      </c>
    </row>
    <row r="7" spans="1:22">
      <c r="A7" s="18" t="s">
        <v>70</v>
      </c>
      <c r="B7">
        <v>2013</v>
      </c>
      <c r="C7" t="s">
        <v>118</v>
      </c>
      <c r="D7">
        <v>1</v>
      </c>
      <c r="E7" s="18" t="s">
        <v>30</v>
      </c>
      <c r="F7" s="18" t="s">
        <v>108</v>
      </c>
      <c r="G7" s="18" t="s">
        <v>36</v>
      </c>
      <c r="H7" s="18" t="str">
        <f>Assumptions!$B$2</f>
        <v>Worst</v>
      </c>
      <c r="I7" s="18">
        <f>_xlfn.XLOOKUP(Assumptions!$B$2,Assumptions!$F$4:$H$4,Assumptions!$F$5:$H$5)</f>
        <v>1200</v>
      </c>
      <c r="J7" s="18">
        <f>_xlfn.XLOOKUP(Assumptions!$B$2,Assumptions!$F$4:$H$4,Assumptions!$F$6:$H$6)</f>
        <v>17</v>
      </c>
      <c r="K7" s="12">
        <f>_xlfn.XLOOKUP(Assumptions!$B$2,Assumptions!$F$4:$H$4,Assumptions!$F$8:$H$8)</f>
        <v>0.1</v>
      </c>
      <c r="L7" s="12">
        <f>_xlfn.XLOOKUP(Assumptions!$B$2,Assumptions!$F$4:$H$4,Assumptions!$F$9:$H$9)</f>
        <v>0.18</v>
      </c>
      <c r="M7" s="18">
        <f>_xlfn.XLOOKUP(Assumptions!$B$2,Assumptions!$F$4:$H$4,Assumptions!$F$10:$H$10)</f>
        <v>18000</v>
      </c>
      <c r="N7" s="12">
        <f>_xlfn.XLOOKUP(Assumptions!$B$2,Assumptions!$F$4:$H$4,Assumptions!$F$11:$H$11)</f>
        <v>0.3</v>
      </c>
      <c r="O7" s="14">
        <f>Final_Table[[#This Row],[Units Sold]]*Final_Table[[#This Row],[Sale Price]]</f>
        <v>20400</v>
      </c>
      <c r="P7" s="14">
        <f>Final_Table[[#This Row],[Gross Revenue]]*(1-Final_Table[[#This Row],[Discount %]])</f>
        <v>18360</v>
      </c>
      <c r="Q7">
        <f>Final_Table[[#This Row],[Net Revenue]]*Final_Table[[#This Row],[Variable Cost %]]</f>
        <v>3304.7999999999997</v>
      </c>
      <c r="R7">
        <f>Final_Table[[#This Row],[Variable Cost]]+Final_Table[[#This Row],[Fixed Monthly Cost]]</f>
        <v>21304.799999999999</v>
      </c>
      <c r="S7" s="5">
        <f>Final_Table[[#This Row],[Net Revenue]]-Final_Table[[#This Row],[Total Cost (COGS)]]</f>
        <v>-2944.7999999999993</v>
      </c>
      <c r="T7">
        <f>Final_Table[[#This Row],[Gross Profit]]*Final_Table[[#This Row],[Tax Rate]]</f>
        <v>-883.43999999999971</v>
      </c>
      <c r="U7" s="5">
        <f>Final_Table[[#This Row],[Gross Profit]]-Final_Table[[#This Row],[Tax]]</f>
        <v>-2061.3599999999997</v>
      </c>
      <c r="V7" s="12">
        <f>Final_Table[[#This Row],[Net Profit]]/Final_Table[[#This Row],[Gross Revenue]]</f>
        <v>-0.10104705882352939</v>
      </c>
    </row>
    <row r="8" spans="1:22">
      <c r="A8" s="18" t="s">
        <v>70</v>
      </c>
      <c r="B8">
        <v>2013</v>
      </c>
      <c r="C8" t="s">
        <v>118</v>
      </c>
      <c r="D8">
        <v>1</v>
      </c>
      <c r="E8" s="18" t="s">
        <v>30</v>
      </c>
      <c r="F8" s="18" t="s">
        <v>108</v>
      </c>
      <c r="G8" s="18" t="s">
        <v>23</v>
      </c>
      <c r="H8" s="18" t="str">
        <f>Assumptions!$B$2</f>
        <v>Worst</v>
      </c>
      <c r="I8">
        <f>_xlfn.XLOOKUP(Assumptions!$B$2,Assumptions!$F$4:$H$4,Assumptions!$F$5:$H$5)</f>
        <v>1200</v>
      </c>
      <c r="J8" s="18">
        <f>_xlfn.XLOOKUP(Assumptions!$B$2,Assumptions!$F$4:$H$4,Assumptions!$F$6:$H$6)</f>
        <v>17</v>
      </c>
      <c r="K8" s="12">
        <f>_xlfn.XLOOKUP(Assumptions!$B$2,Assumptions!$F$4:$H$4,Assumptions!$F$8:$H$8)</f>
        <v>0.1</v>
      </c>
      <c r="L8" s="12">
        <f>_xlfn.XLOOKUP(Assumptions!$B$2,Assumptions!$F$4:$H$4,Assumptions!$F$9:$H$9)</f>
        <v>0.18</v>
      </c>
      <c r="M8" s="18">
        <f>_xlfn.XLOOKUP(Assumptions!$B$2,Assumptions!$F$4:$H$4,Assumptions!$F$10:$H$10)</f>
        <v>18000</v>
      </c>
      <c r="N8" s="12">
        <f>_xlfn.XLOOKUP(Assumptions!$B$2,Assumptions!$F$4:$H$4,Assumptions!$F$11:$H$11)</f>
        <v>0.3</v>
      </c>
      <c r="O8" s="14">
        <f>Final_Table[[#This Row],[Units Sold]]*Final_Table[[#This Row],[Sale Price]]</f>
        <v>20400</v>
      </c>
      <c r="P8" s="14">
        <f>Final_Table[[#This Row],[Gross Revenue]]*(1-Final_Table[[#This Row],[Discount %]])</f>
        <v>18360</v>
      </c>
      <c r="Q8">
        <f>Final_Table[[#This Row],[Net Revenue]]*Final_Table[[#This Row],[Variable Cost %]]</f>
        <v>3304.7999999999997</v>
      </c>
      <c r="R8">
        <f>Final_Table[[#This Row],[Variable Cost]]+Final_Table[[#This Row],[Fixed Monthly Cost]]</f>
        <v>21304.799999999999</v>
      </c>
      <c r="S8" s="5">
        <f>Final_Table[[#This Row],[Net Revenue]]-Final_Table[[#This Row],[Total Cost (COGS)]]</f>
        <v>-2944.7999999999993</v>
      </c>
      <c r="T8">
        <f>Final_Table[[#This Row],[Gross Profit]]*Final_Table[[#This Row],[Tax Rate]]</f>
        <v>-883.43999999999971</v>
      </c>
      <c r="U8" s="5">
        <f>Final_Table[[#This Row],[Gross Profit]]-Final_Table[[#This Row],[Tax]]</f>
        <v>-2061.3599999999997</v>
      </c>
      <c r="V8" s="12">
        <f>Final_Table[[#This Row],[Net Profit]]/Final_Table[[#This Row],[Gross Revenue]]</f>
        <v>-0.10104705882352939</v>
      </c>
    </row>
    <row r="9" spans="1:22">
      <c r="A9" s="18" t="s">
        <v>70</v>
      </c>
      <c r="B9">
        <v>2013</v>
      </c>
      <c r="C9" t="s">
        <v>118</v>
      </c>
      <c r="D9">
        <v>1</v>
      </c>
      <c r="E9" s="18" t="s">
        <v>30</v>
      </c>
      <c r="F9" s="18" t="s">
        <v>108</v>
      </c>
      <c r="G9" s="18" t="s">
        <v>21</v>
      </c>
      <c r="H9" s="18" t="str">
        <f>Assumptions!$B$2</f>
        <v>Worst</v>
      </c>
      <c r="I9">
        <f>_xlfn.XLOOKUP(Assumptions!$B$2,Assumptions!$F$4:$H$4,Assumptions!$F$5:$H$5)</f>
        <v>1200</v>
      </c>
      <c r="J9" s="18">
        <f>_xlfn.XLOOKUP(Assumptions!$B$2,Assumptions!$F$4:$H$4,Assumptions!$F$6:$H$6)</f>
        <v>17</v>
      </c>
      <c r="K9" s="12">
        <f>_xlfn.XLOOKUP(Assumptions!$B$2,Assumptions!$F$4:$H$4,Assumptions!$F$8:$H$8)</f>
        <v>0.1</v>
      </c>
      <c r="L9" s="12">
        <f>_xlfn.XLOOKUP(Assumptions!$B$2,Assumptions!$F$4:$H$4,Assumptions!$F$9:$H$9)</f>
        <v>0.18</v>
      </c>
      <c r="M9" s="18">
        <f>_xlfn.XLOOKUP(Assumptions!$B$2,Assumptions!$F$4:$H$4,Assumptions!$F$10:$H$10)</f>
        <v>18000</v>
      </c>
      <c r="N9" s="12">
        <f>_xlfn.XLOOKUP(Assumptions!$B$2,Assumptions!$F$4:$H$4,Assumptions!$F$11:$H$11)</f>
        <v>0.3</v>
      </c>
      <c r="O9" s="14">
        <f>Final_Table[[#This Row],[Units Sold]]*Final_Table[[#This Row],[Sale Price]]</f>
        <v>20400</v>
      </c>
      <c r="P9" s="14">
        <f>Final_Table[[#This Row],[Gross Revenue]]*(1-Final_Table[[#This Row],[Discount %]])</f>
        <v>18360</v>
      </c>
      <c r="Q9">
        <f>Final_Table[[#This Row],[Net Revenue]]*Final_Table[[#This Row],[Variable Cost %]]</f>
        <v>3304.7999999999997</v>
      </c>
      <c r="R9">
        <f>Final_Table[[#This Row],[Variable Cost]]+Final_Table[[#This Row],[Fixed Monthly Cost]]</f>
        <v>21304.799999999999</v>
      </c>
      <c r="S9" s="5">
        <f>Final_Table[[#This Row],[Net Revenue]]-Final_Table[[#This Row],[Total Cost (COGS)]]</f>
        <v>-2944.7999999999993</v>
      </c>
      <c r="T9">
        <f>Final_Table[[#This Row],[Gross Profit]]*Final_Table[[#This Row],[Tax Rate]]</f>
        <v>-883.43999999999971</v>
      </c>
      <c r="U9" s="5">
        <f>Final_Table[[#This Row],[Gross Profit]]-Final_Table[[#This Row],[Tax]]</f>
        <v>-2061.3599999999997</v>
      </c>
      <c r="V9" s="12">
        <f>Final_Table[[#This Row],[Net Profit]]/Final_Table[[#This Row],[Gross Revenue]]</f>
        <v>-0.10104705882352939</v>
      </c>
    </row>
    <row r="10" spans="1:22">
      <c r="A10" s="18" t="s">
        <v>70</v>
      </c>
      <c r="B10">
        <v>2013</v>
      </c>
      <c r="C10" t="s">
        <v>118</v>
      </c>
      <c r="D10">
        <v>1</v>
      </c>
      <c r="E10" s="18" t="s">
        <v>30</v>
      </c>
      <c r="F10" s="18" t="s">
        <v>108</v>
      </c>
      <c r="G10" s="18" t="s">
        <v>25</v>
      </c>
      <c r="H10" s="18" t="str">
        <f>Assumptions!$B$2</f>
        <v>Worst</v>
      </c>
      <c r="I10">
        <f>_xlfn.XLOOKUP(Assumptions!$B$2,Assumptions!$F$4:$H$4,Assumptions!$F$5:$H$5)</f>
        <v>1200</v>
      </c>
      <c r="J10" s="18">
        <f>_xlfn.XLOOKUP(Assumptions!$B$2,Assumptions!$F$4:$H$4,Assumptions!$F$6:$H$6)</f>
        <v>17</v>
      </c>
      <c r="K10" s="12">
        <f>_xlfn.XLOOKUP(Assumptions!$B$2,Assumptions!$F$4:$H$4,Assumptions!$F$8:$H$8)</f>
        <v>0.1</v>
      </c>
      <c r="L10" s="12">
        <f>_xlfn.XLOOKUP(Assumptions!$B$2,Assumptions!$F$4:$H$4,Assumptions!$F$9:$H$9)</f>
        <v>0.18</v>
      </c>
      <c r="M10" s="18">
        <f>_xlfn.XLOOKUP(Assumptions!$B$2,Assumptions!$F$4:$H$4,Assumptions!$F$10:$H$10)</f>
        <v>18000</v>
      </c>
      <c r="N10" s="12">
        <f>_xlfn.XLOOKUP(Assumptions!$B$2,Assumptions!$F$4:$H$4,Assumptions!$F$11:$H$11)</f>
        <v>0.3</v>
      </c>
      <c r="O10" s="14">
        <f>Final_Table[[#This Row],[Units Sold]]*Final_Table[[#This Row],[Sale Price]]</f>
        <v>20400</v>
      </c>
      <c r="P10" s="14">
        <f>Final_Table[[#This Row],[Gross Revenue]]*(1-Final_Table[[#This Row],[Discount %]])</f>
        <v>18360</v>
      </c>
      <c r="Q10">
        <f>Final_Table[[#This Row],[Net Revenue]]*Final_Table[[#This Row],[Variable Cost %]]</f>
        <v>3304.7999999999997</v>
      </c>
      <c r="R10">
        <f>Final_Table[[#This Row],[Variable Cost]]+Final_Table[[#This Row],[Fixed Monthly Cost]]</f>
        <v>21304.799999999999</v>
      </c>
      <c r="S10" s="5">
        <f>Final_Table[[#This Row],[Net Revenue]]-Final_Table[[#This Row],[Total Cost (COGS)]]</f>
        <v>-2944.7999999999993</v>
      </c>
      <c r="T10">
        <f>Final_Table[[#This Row],[Gross Profit]]*Final_Table[[#This Row],[Tax Rate]]</f>
        <v>-883.43999999999971</v>
      </c>
      <c r="U10" s="5">
        <f>Final_Table[[#This Row],[Gross Profit]]-Final_Table[[#This Row],[Tax]]</f>
        <v>-2061.3599999999997</v>
      </c>
      <c r="V10" s="12">
        <f>Final_Table[[#This Row],[Net Profit]]/Final_Table[[#This Row],[Gross Revenue]]</f>
        <v>-0.10104705882352939</v>
      </c>
    </row>
    <row r="11" spans="1:22">
      <c r="A11" s="18" t="s">
        <v>70</v>
      </c>
      <c r="B11">
        <v>2013</v>
      </c>
      <c r="C11" t="s">
        <v>118</v>
      </c>
      <c r="D11">
        <v>1</v>
      </c>
      <c r="E11" s="18" t="s">
        <v>30</v>
      </c>
      <c r="F11" s="18" t="s">
        <v>108</v>
      </c>
      <c r="G11" s="18" t="s">
        <v>17</v>
      </c>
      <c r="H11" s="18" t="str">
        <f>Assumptions!$B$2</f>
        <v>Worst</v>
      </c>
      <c r="I11">
        <f>_xlfn.XLOOKUP(Assumptions!$B$2,Assumptions!$F$4:$H$4,Assumptions!$F$5:$H$5)</f>
        <v>1200</v>
      </c>
      <c r="J11" s="18">
        <f>_xlfn.XLOOKUP(Assumptions!$B$2,Assumptions!$F$4:$H$4,Assumptions!$F$6:$H$6)</f>
        <v>17</v>
      </c>
      <c r="K11" s="12">
        <f>_xlfn.XLOOKUP(Assumptions!$B$2,Assumptions!$F$4:$H$4,Assumptions!$F$8:$H$8)</f>
        <v>0.1</v>
      </c>
      <c r="L11" s="12">
        <f>_xlfn.XLOOKUP(Assumptions!$B$2,Assumptions!$F$4:$H$4,Assumptions!$F$9:$H$9)</f>
        <v>0.18</v>
      </c>
      <c r="M11" s="18">
        <f>_xlfn.XLOOKUP(Assumptions!$B$2,Assumptions!$F$4:$H$4,Assumptions!$F$10:$H$10)</f>
        <v>18000</v>
      </c>
      <c r="N11" s="12">
        <f>_xlfn.XLOOKUP(Assumptions!$B$2,Assumptions!$F$4:$H$4,Assumptions!$F$11:$H$11)</f>
        <v>0.3</v>
      </c>
      <c r="O11" s="14">
        <f>Final_Table[[#This Row],[Units Sold]]*Final_Table[[#This Row],[Sale Price]]</f>
        <v>20400</v>
      </c>
      <c r="P11" s="14">
        <f>Final_Table[[#This Row],[Gross Revenue]]*(1-Final_Table[[#This Row],[Discount %]])</f>
        <v>18360</v>
      </c>
      <c r="Q11">
        <f>Final_Table[[#This Row],[Net Revenue]]*Final_Table[[#This Row],[Variable Cost %]]</f>
        <v>3304.7999999999997</v>
      </c>
      <c r="R11">
        <f>Final_Table[[#This Row],[Variable Cost]]+Final_Table[[#This Row],[Fixed Monthly Cost]]</f>
        <v>21304.799999999999</v>
      </c>
      <c r="S11" s="5">
        <f>Final_Table[[#This Row],[Net Revenue]]-Final_Table[[#This Row],[Total Cost (COGS)]]</f>
        <v>-2944.7999999999993</v>
      </c>
      <c r="T11">
        <f>Final_Table[[#This Row],[Gross Profit]]*Final_Table[[#This Row],[Tax Rate]]</f>
        <v>-883.43999999999971</v>
      </c>
      <c r="U11" s="5">
        <f>Final_Table[[#This Row],[Gross Profit]]-Final_Table[[#This Row],[Tax]]</f>
        <v>-2061.3599999999997</v>
      </c>
      <c r="V11" s="12">
        <f>Final_Table[[#This Row],[Net Profit]]/Final_Table[[#This Row],[Gross Revenue]]</f>
        <v>-0.10104705882352939</v>
      </c>
    </row>
    <row r="12" spans="1:22">
      <c r="A12" s="18" t="s">
        <v>70</v>
      </c>
      <c r="B12">
        <v>2013</v>
      </c>
      <c r="C12" t="s">
        <v>118</v>
      </c>
      <c r="D12">
        <v>1</v>
      </c>
      <c r="E12" s="18" t="s">
        <v>30</v>
      </c>
      <c r="F12" s="18" t="s">
        <v>112</v>
      </c>
      <c r="G12" s="18" t="s">
        <v>36</v>
      </c>
      <c r="H12" s="18" t="str">
        <f>Assumptions!$B$2</f>
        <v>Worst</v>
      </c>
      <c r="I12">
        <f>_xlfn.XLOOKUP(Assumptions!$B$2,Assumptions!$F$4:$H$4,Assumptions!$F$5:$H$5)</f>
        <v>1200</v>
      </c>
      <c r="J12" s="18">
        <f>_xlfn.XLOOKUP(Assumptions!$B$2,Assumptions!$F$4:$H$4,Assumptions!$F$6:$H$6)</f>
        <v>17</v>
      </c>
      <c r="K12" s="12">
        <f>_xlfn.XLOOKUP(Assumptions!$B$2,Assumptions!$F$4:$H$4,Assumptions!$F$8:$H$8)</f>
        <v>0.1</v>
      </c>
      <c r="L12" s="12">
        <f>_xlfn.XLOOKUP(Assumptions!$B$2,Assumptions!$F$4:$H$4,Assumptions!$F$9:$H$9)</f>
        <v>0.18</v>
      </c>
      <c r="M12" s="18">
        <f>_xlfn.XLOOKUP(Assumptions!$B$2,Assumptions!$F$4:$H$4,Assumptions!$F$10:$H$10)</f>
        <v>18000</v>
      </c>
      <c r="N12" s="12">
        <f>_xlfn.XLOOKUP(Assumptions!$B$2,Assumptions!$F$4:$H$4,Assumptions!$F$11:$H$11)</f>
        <v>0.3</v>
      </c>
      <c r="O12" s="14">
        <f>Final_Table[[#This Row],[Units Sold]]*Final_Table[[#This Row],[Sale Price]]</f>
        <v>20400</v>
      </c>
      <c r="P12" s="14">
        <f>Final_Table[[#This Row],[Gross Revenue]]*(1-Final_Table[[#This Row],[Discount %]])</f>
        <v>18360</v>
      </c>
      <c r="Q12">
        <f>Final_Table[[#This Row],[Net Revenue]]*Final_Table[[#This Row],[Variable Cost %]]</f>
        <v>3304.7999999999997</v>
      </c>
      <c r="R12">
        <f>Final_Table[[#This Row],[Variable Cost]]+Final_Table[[#This Row],[Fixed Monthly Cost]]</f>
        <v>21304.799999999999</v>
      </c>
      <c r="S12" s="5">
        <f>Final_Table[[#This Row],[Net Revenue]]-Final_Table[[#This Row],[Total Cost (COGS)]]</f>
        <v>-2944.7999999999993</v>
      </c>
      <c r="T12">
        <f>Final_Table[[#This Row],[Gross Profit]]*Final_Table[[#This Row],[Tax Rate]]</f>
        <v>-883.43999999999971</v>
      </c>
      <c r="U12" s="5">
        <f>Final_Table[[#This Row],[Gross Profit]]-Final_Table[[#This Row],[Tax]]</f>
        <v>-2061.3599999999997</v>
      </c>
      <c r="V12" s="12">
        <f>Final_Table[[#This Row],[Net Profit]]/Final_Table[[#This Row],[Gross Revenue]]</f>
        <v>-0.10104705882352939</v>
      </c>
    </row>
    <row r="13" spans="1:22">
      <c r="A13" s="18" t="s">
        <v>70</v>
      </c>
      <c r="B13">
        <v>2013</v>
      </c>
      <c r="C13" t="s">
        <v>118</v>
      </c>
      <c r="D13">
        <v>1</v>
      </c>
      <c r="E13" s="18" t="s">
        <v>30</v>
      </c>
      <c r="F13" s="18" t="s">
        <v>112</v>
      </c>
      <c r="G13" s="18" t="s">
        <v>23</v>
      </c>
      <c r="H13" s="18" t="str">
        <f>Assumptions!$B$2</f>
        <v>Worst</v>
      </c>
      <c r="I13" s="18">
        <f>_xlfn.XLOOKUP(Assumptions!$B$2,Assumptions!$F$4:$H$4,Assumptions!$F$5:$H$5)</f>
        <v>1200</v>
      </c>
      <c r="J13" s="18">
        <f>_xlfn.XLOOKUP(Assumptions!$B$2,Assumptions!$F$4:$H$4,Assumptions!$F$6:$H$6)</f>
        <v>17</v>
      </c>
      <c r="K13" s="12">
        <f>_xlfn.XLOOKUP(Assumptions!$B$2,Assumptions!$F$4:$H$4,Assumptions!$F$8:$H$8)</f>
        <v>0.1</v>
      </c>
      <c r="L13" s="12">
        <f>_xlfn.XLOOKUP(Assumptions!$B$2,Assumptions!$F$4:$H$4,Assumptions!$F$9:$H$9)</f>
        <v>0.18</v>
      </c>
      <c r="M13" s="18">
        <f>_xlfn.XLOOKUP(Assumptions!$B$2,Assumptions!$F$4:$H$4,Assumptions!$F$10:$H$10)</f>
        <v>18000</v>
      </c>
      <c r="N13" s="12">
        <f>_xlfn.XLOOKUP(Assumptions!$B$2,Assumptions!$F$4:$H$4,Assumptions!$F$11:$H$11)</f>
        <v>0.3</v>
      </c>
      <c r="O13" s="14">
        <f>Final_Table[[#This Row],[Units Sold]]*Final_Table[[#This Row],[Sale Price]]</f>
        <v>20400</v>
      </c>
      <c r="P13" s="14">
        <f>Final_Table[[#This Row],[Gross Revenue]]*(1-Final_Table[[#This Row],[Discount %]])</f>
        <v>18360</v>
      </c>
      <c r="Q13">
        <f>Final_Table[[#This Row],[Net Revenue]]*Final_Table[[#This Row],[Variable Cost %]]</f>
        <v>3304.7999999999997</v>
      </c>
      <c r="R13">
        <f>Final_Table[[#This Row],[Variable Cost]]+Final_Table[[#This Row],[Fixed Monthly Cost]]</f>
        <v>21304.799999999999</v>
      </c>
      <c r="S13" s="5">
        <f>Final_Table[[#This Row],[Net Revenue]]-Final_Table[[#This Row],[Total Cost (COGS)]]</f>
        <v>-2944.7999999999993</v>
      </c>
      <c r="T13">
        <f>Final_Table[[#This Row],[Gross Profit]]*Final_Table[[#This Row],[Tax Rate]]</f>
        <v>-883.43999999999971</v>
      </c>
      <c r="U13" s="5">
        <f>Final_Table[[#This Row],[Gross Profit]]-Final_Table[[#This Row],[Tax]]</f>
        <v>-2061.3599999999997</v>
      </c>
      <c r="V13" s="12">
        <f>Final_Table[[#This Row],[Net Profit]]/Final_Table[[#This Row],[Gross Revenue]]</f>
        <v>-0.10104705882352939</v>
      </c>
    </row>
    <row r="14" spans="1:22">
      <c r="A14" s="18" t="s">
        <v>70</v>
      </c>
      <c r="B14">
        <v>2013</v>
      </c>
      <c r="C14" t="s">
        <v>118</v>
      </c>
      <c r="D14">
        <v>1</v>
      </c>
      <c r="E14" s="18" t="s">
        <v>30</v>
      </c>
      <c r="F14" s="18" t="s">
        <v>112</v>
      </c>
      <c r="G14" s="18" t="s">
        <v>21</v>
      </c>
      <c r="H14" s="18" t="str">
        <f>Assumptions!$B$2</f>
        <v>Worst</v>
      </c>
      <c r="I14" s="18">
        <f>_xlfn.XLOOKUP(Assumptions!$B$2,Assumptions!$F$4:$H$4,Assumptions!$F$5:$H$5)</f>
        <v>1200</v>
      </c>
      <c r="J14" s="18">
        <f>_xlfn.XLOOKUP(Assumptions!$B$2,Assumptions!$F$4:$H$4,Assumptions!$F$6:$H$6)</f>
        <v>17</v>
      </c>
      <c r="K14" s="12">
        <f>_xlfn.XLOOKUP(Assumptions!$B$2,Assumptions!$F$4:$H$4,Assumptions!$F$8:$H$8)</f>
        <v>0.1</v>
      </c>
      <c r="L14" s="12">
        <f>_xlfn.XLOOKUP(Assumptions!$B$2,Assumptions!$F$4:$H$4,Assumptions!$F$9:$H$9)</f>
        <v>0.18</v>
      </c>
      <c r="M14" s="18">
        <f>_xlfn.XLOOKUP(Assumptions!$B$2,Assumptions!$F$4:$H$4,Assumptions!$F$10:$H$10)</f>
        <v>18000</v>
      </c>
      <c r="N14" s="12">
        <f>_xlfn.XLOOKUP(Assumptions!$B$2,Assumptions!$F$4:$H$4,Assumptions!$F$11:$H$11)</f>
        <v>0.3</v>
      </c>
      <c r="O14" s="14">
        <f>Final_Table[[#This Row],[Units Sold]]*Final_Table[[#This Row],[Sale Price]]</f>
        <v>20400</v>
      </c>
      <c r="P14" s="14">
        <f>Final_Table[[#This Row],[Gross Revenue]]*(1-Final_Table[[#This Row],[Discount %]])</f>
        <v>18360</v>
      </c>
      <c r="Q14">
        <f>Final_Table[[#This Row],[Net Revenue]]*Final_Table[[#This Row],[Variable Cost %]]</f>
        <v>3304.7999999999997</v>
      </c>
      <c r="R14">
        <f>Final_Table[[#This Row],[Variable Cost]]+Final_Table[[#This Row],[Fixed Monthly Cost]]</f>
        <v>21304.799999999999</v>
      </c>
      <c r="S14" s="5">
        <f>Final_Table[[#This Row],[Net Revenue]]-Final_Table[[#This Row],[Total Cost (COGS)]]</f>
        <v>-2944.7999999999993</v>
      </c>
      <c r="T14">
        <f>Final_Table[[#This Row],[Gross Profit]]*Final_Table[[#This Row],[Tax Rate]]</f>
        <v>-883.43999999999971</v>
      </c>
      <c r="U14" s="5">
        <f>Final_Table[[#This Row],[Gross Profit]]-Final_Table[[#This Row],[Tax]]</f>
        <v>-2061.3599999999997</v>
      </c>
      <c r="V14" s="12">
        <f>Final_Table[[#This Row],[Net Profit]]/Final_Table[[#This Row],[Gross Revenue]]</f>
        <v>-0.10104705882352939</v>
      </c>
    </row>
    <row r="15" spans="1:22">
      <c r="A15" s="18" t="s">
        <v>70</v>
      </c>
      <c r="B15">
        <v>2013</v>
      </c>
      <c r="C15" t="s">
        <v>118</v>
      </c>
      <c r="D15">
        <v>1</v>
      </c>
      <c r="E15" s="18" t="s">
        <v>30</v>
      </c>
      <c r="F15" s="18" t="s">
        <v>112</v>
      </c>
      <c r="G15" s="18" t="s">
        <v>25</v>
      </c>
      <c r="H15" s="18" t="str">
        <f>Assumptions!$B$2</f>
        <v>Worst</v>
      </c>
      <c r="I15" s="18">
        <f>_xlfn.XLOOKUP(Assumptions!$B$2,Assumptions!$F$4:$H$4,Assumptions!$F$5:$H$5)</f>
        <v>1200</v>
      </c>
      <c r="J15" s="18">
        <f>_xlfn.XLOOKUP(Assumptions!$B$2,Assumptions!$F$4:$H$4,Assumptions!$F$6:$H$6)</f>
        <v>17</v>
      </c>
      <c r="K15" s="12">
        <f>_xlfn.XLOOKUP(Assumptions!$B$2,Assumptions!$F$4:$H$4,Assumptions!$F$8:$H$8)</f>
        <v>0.1</v>
      </c>
      <c r="L15" s="12">
        <f>_xlfn.XLOOKUP(Assumptions!$B$2,Assumptions!$F$4:$H$4,Assumptions!$F$9:$H$9)</f>
        <v>0.18</v>
      </c>
      <c r="M15" s="18">
        <f>_xlfn.XLOOKUP(Assumptions!$B$2,Assumptions!$F$4:$H$4,Assumptions!$F$10:$H$10)</f>
        <v>18000</v>
      </c>
      <c r="N15" s="12">
        <f>_xlfn.XLOOKUP(Assumptions!$B$2,Assumptions!$F$4:$H$4,Assumptions!$F$11:$H$11)</f>
        <v>0.3</v>
      </c>
      <c r="O15" s="14">
        <f>Final_Table[[#This Row],[Units Sold]]*Final_Table[[#This Row],[Sale Price]]</f>
        <v>20400</v>
      </c>
      <c r="P15" s="14">
        <f>Final_Table[[#This Row],[Gross Revenue]]*(1-Final_Table[[#This Row],[Discount %]])</f>
        <v>18360</v>
      </c>
      <c r="Q15">
        <f>Final_Table[[#This Row],[Net Revenue]]*Final_Table[[#This Row],[Variable Cost %]]</f>
        <v>3304.7999999999997</v>
      </c>
      <c r="R15">
        <f>Final_Table[[#This Row],[Variable Cost]]+Final_Table[[#This Row],[Fixed Monthly Cost]]</f>
        <v>21304.799999999999</v>
      </c>
      <c r="S15" s="5">
        <f>Final_Table[[#This Row],[Net Revenue]]-Final_Table[[#This Row],[Total Cost (COGS)]]</f>
        <v>-2944.7999999999993</v>
      </c>
      <c r="T15">
        <f>Final_Table[[#This Row],[Gross Profit]]*Final_Table[[#This Row],[Tax Rate]]</f>
        <v>-883.43999999999971</v>
      </c>
      <c r="U15" s="5">
        <f>Final_Table[[#This Row],[Gross Profit]]-Final_Table[[#This Row],[Tax]]</f>
        <v>-2061.3599999999997</v>
      </c>
      <c r="V15" s="12">
        <f>Final_Table[[#This Row],[Net Profit]]/Final_Table[[#This Row],[Gross Revenue]]</f>
        <v>-0.10104705882352939</v>
      </c>
    </row>
    <row r="16" spans="1:22">
      <c r="A16" s="18" t="s">
        <v>70</v>
      </c>
      <c r="B16">
        <v>2013</v>
      </c>
      <c r="C16" t="s">
        <v>118</v>
      </c>
      <c r="D16">
        <v>1</v>
      </c>
      <c r="E16" s="18" t="s">
        <v>30</v>
      </c>
      <c r="F16" s="18" t="s">
        <v>112</v>
      </c>
      <c r="G16" s="18" t="s">
        <v>17</v>
      </c>
      <c r="H16" s="18" t="str">
        <f>Assumptions!$B$2</f>
        <v>Worst</v>
      </c>
      <c r="I16" s="18">
        <f>_xlfn.XLOOKUP(Assumptions!$B$2,Assumptions!$F$4:$H$4,Assumptions!$F$5:$H$5)</f>
        <v>1200</v>
      </c>
      <c r="J16" s="18">
        <f>_xlfn.XLOOKUP(Assumptions!$B$2,Assumptions!$F$4:$H$4,Assumptions!$F$6:$H$6)</f>
        <v>17</v>
      </c>
      <c r="K16" s="12">
        <f>_xlfn.XLOOKUP(Assumptions!$B$2,Assumptions!$F$4:$H$4,Assumptions!$F$8:$H$8)</f>
        <v>0.1</v>
      </c>
      <c r="L16" s="12">
        <f>_xlfn.XLOOKUP(Assumptions!$B$2,Assumptions!$F$4:$H$4,Assumptions!$F$9:$H$9)</f>
        <v>0.18</v>
      </c>
      <c r="M16" s="18">
        <f>_xlfn.XLOOKUP(Assumptions!$B$2,Assumptions!$F$4:$H$4,Assumptions!$F$10:$H$10)</f>
        <v>18000</v>
      </c>
      <c r="N16" s="12">
        <f>_xlfn.XLOOKUP(Assumptions!$B$2,Assumptions!$F$4:$H$4,Assumptions!$F$11:$H$11)</f>
        <v>0.3</v>
      </c>
      <c r="O16" s="14">
        <f>Final_Table[[#This Row],[Units Sold]]*Final_Table[[#This Row],[Sale Price]]</f>
        <v>20400</v>
      </c>
      <c r="P16" s="14">
        <f>Final_Table[[#This Row],[Gross Revenue]]*(1-Final_Table[[#This Row],[Discount %]])</f>
        <v>18360</v>
      </c>
      <c r="Q16">
        <f>Final_Table[[#This Row],[Net Revenue]]*Final_Table[[#This Row],[Variable Cost %]]</f>
        <v>3304.7999999999997</v>
      </c>
      <c r="R16">
        <f>Final_Table[[#This Row],[Variable Cost]]+Final_Table[[#This Row],[Fixed Monthly Cost]]</f>
        <v>21304.799999999999</v>
      </c>
      <c r="S16" s="5">
        <f>Final_Table[[#This Row],[Net Revenue]]-Final_Table[[#This Row],[Total Cost (COGS)]]</f>
        <v>-2944.7999999999993</v>
      </c>
      <c r="T16">
        <f>Final_Table[[#This Row],[Gross Profit]]*Final_Table[[#This Row],[Tax Rate]]</f>
        <v>-883.43999999999971</v>
      </c>
      <c r="U16" s="5">
        <f>Final_Table[[#This Row],[Gross Profit]]-Final_Table[[#This Row],[Tax]]</f>
        <v>-2061.3599999999997</v>
      </c>
      <c r="V16" s="12">
        <f>Final_Table[[#This Row],[Net Profit]]/Final_Table[[#This Row],[Gross Revenue]]</f>
        <v>-0.10104705882352939</v>
      </c>
    </row>
    <row r="17" spans="1:22">
      <c r="A17" s="18" t="s">
        <v>70</v>
      </c>
      <c r="B17">
        <v>2013</v>
      </c>
      <c r="C17" t="s">
        <v>118</v>
      </c>
      <c r="D17">
        <v>1</v>
      </c>
      <c r="E17" s="18" t="s">
        <v>30</v>
      </c>
      <c r="F17" s="18" t="s">
        <v>113</v>
      </c>
      <c r="G17" s="18" t="s">
        <v>36</v>
      </c>
      <c r="H17" s="18" t="str">
        <f>Assumptions!$B$2</f>
        <v>Worst</v>
      </c>
      <c r="I17" s="18">
        <f>_xlfn.XLOOKUP(Assumptions!$B$2,Assumptions!$F$4:$H$4,Assumptions!$F$5:$H$5)</f>
        <v>1200</v>
      </c>
      <c r="J17" s="18">
        <f>_xlfn.XLOOKUP(Assumptions!$B$2,Assumptions!$F$4:$H$4,Assumptions!$F$6:$H$6)</f>
        <v>17</v>
      </c>
      <c r="K17" s="12">
        <f>_xlfn.XLOOKUP(Assumptions!$B$2,Assumptions!$F$4:$H$4,Assumptions!$F$8:$H$8)</f>
        <v>0.1</v>
      </c>
      <c r="L17" s="12">
        <f>_xlfn.XLOOKUP(Assumptions!$B$2,Assumptions!$F$4:$H$4,Assumptions!$F$9:$H$9)</f>
        <v>0.18</v>
      </c>
      <c r="M17" s="18">
        <f>_xlfn.XLOOKUP(Assumptions!$B$2,Assumptions!$F$4:$H$4,Assumptions!$F$10:$H$10)</f>
        <v>18000</v>
      </c>
      <c r="N17" s="12">
        <f>_xlfn.XLOOKUP(Assumptions!$B$2,Assumptions!$F$4:$H$4,Assumptions!$F$11:$H$11)</f>
        <v>0.3</v>
      </c>
      <c r="O17" s="14">
        <f>Final_Table[[#This Row],[Units Sold]]*Final_Table[[#This Row],[Sale Price]]</f>
        <v>20400</v>
      </c>
      <c r="P17" s="14">
        <f>Final_Table[[#This Row],[Gross Revenue]]*(1-Final_Table[[#This Row],[Discount %]])</f>
        <v>18360</v>
      </c>
      <c r="Q17">
        <f>Final_Table[[#This Row],[Net Revenue]]*Final_Table[[#This Row],[Variable Cost %]]</f>
        <v>3304.7999999999997</v>
      </c>
      <c r="R17">
        <f>Final_Table[[#This Row],[Variable Cost]]+Final_Table[[#This Row],[Fixed Monthly Cost]]</f>
        <v>21304.799999999999</v>
      </c>
      <c r="S17" s="5">
        <f>Final_Table[[#This Row],[Net Revenue]]-Final_Table[[#This Row],[Total Cost (COGS)]]</f>
        <v>-2944.7999999999993</v>
      </c>
      <c r="T17">
        <f>Final_Table[[#This Row],[Gross Profit]]*Final_Table[[#This Row],[Tax Rate]]</f>
        <v>-883.43999999999971</v>
      </c>
      <c r="U17" s="5">
        <f>Final_Table[[#This Row],[Gross Profit]]-Final_Table[[#This Row],[Tax]]</f>
        <v>-2061.3599999999997</v>
      </c>
      <c r="V17" s="12">
        <f>Final_Table[[#This Row],[Net Profit]]/Final_Table[[#This Row],[Gross Revenue]]</f>
        <v>-0.10104705882352939</v>
      </c>
    </row>
    <row r="18" spans="1:22">
      <c r="A18" s="18" t="s">
        <v>70</v>
      </c>
      <c r="B18">
        <v>2013</v>
      </c>
      <c r="C18" t="s">
        <v>118</v>
      </c>
      <c r="D18">
        <v>1</v>
      </c>
      <c r="E18" s="18" t="s">
        <v>30</v>
      </c>
      <c r="F18" s="18" t="s">
        <v>113</v>
      </c>
      <c r="G18" s="18" t="s">
        <v>23</v>
      </c>
      <c r="H18" s="18" t="str">
        <f>Assumptions!$B$2</f>
        <v>Worst</v>
      </c>
      <c r="I18" s="18">
        <f>_xlfn.XLOOKUP(Assumptions!$B$2,Assumptions!$F$4:$H$4,Assumptions!$F$5:$H$5)</f>
        <v>1200</v>
      </c>
      <c r="J18" s="18">
        <f>_xlfn.XLOOKUP(Assumptions!$B$2,Assumptions!$F$4:$H$4,Assumptions!$F$6:$H$6)</f>
        <v>17</v>
      </c>
      <c r="K18" s="12">
        <f>_xlfn.XLOOKUP(Assumptions!$B$2,Assumptions!$F$4:$H$4,Assumptions!$F$8:$H$8)</f>
        <v>0.1</v>
      </c>
      <c r="L18" s="12">
        <f>_xlfn.XLOOKUP(Assumptions!$B$2,Assumptions!$F$4:$H$4,Assumptions!$F$9:$H$9)</f>
        <v>0.18</v>
      </c>
      <c r="M18" s="18">
        <f>_xlfn.XLOOKUP(Assumptions!$B$2,Assumptions!$F$4:$H$4,Assumptions!$F$10:$H$10)</f>
        <v>18000</v>
      </c>
      <c r="N18" s="12">
        <f>_xlfn.XLOOKUP(Assumptions!$B$2,Assumptions!$F$4:$H$4,Assumptions!$F$11:$H$11)</f>
        <v>0.3</v>
      </c>
      <c r="O18" s="14">
        <f>Final_Table[[#This Row],[Units Sold]]*Final_Table[[#This Row],[Sale Price]]</f>
        <v>20400</v>
      </c>
      <c r="P18" s="14">
        <f>Final_Table[[#This Row],[Gross Revenue]]*(1-Final_Table[[#This Row],[Discount %]])</f>
        <v>18360</v>
      </c>
      <c r="Q18">
        <f>Final_Table[[#This Row],[Net Revenue]]*Final_Table[[#This Row],[Variable Cost %]]</f>
        <v>3304.7999999999997</v>
      </c>
      <c r="R18">
        <f>Final_Table[[#This Row],[Variable Cost]]+Final_Table[[#This Row],[Fixed Monthly Cost]]</f>
        <v>21304.799999999999</v>
      </c>
      <c r="S18" s="5">
        <f>Final_Table[[#This Row],[Net Revenue]]-Final_Table[[#This Row],[Total Cost (COGS)]]</f>
        <v>-2944.7999999999993</v>
      </c>
      <c r="T18">
        <f>Final_Table[[#This Row],[Gross Profit]]*Final_Table[[#This Row],[Tax Rate]]</f>
        <v>-883.43999999999971</v>
      </c>
      <c r="U18" s="5">
        <f>Final_Table[[#This Row],[Gross Profit]]-Final_Table[[#This Row],[Tax]]</f>
        <v>-2061.3599999999997</v>
      </c>
      <c r="V18" s="12">
        <f>Final_Table[[#This Row],[Net Profit]]/Final_Table[[#This Row],[Gross Revenue]]</f>
        <v>-0.10104705882352939</v>
      </c>
    </row>
    <row r="19" spans="1:22">
      <c r="A19" s="18" t="s">
        <v>70</v>
      </c>
      <c r="B19">
        <v>2013</v>
      </c>
      <c r="C19" t="s">
        <v>118</v>
      </c>
      <c r="D19">
        <v>1</v>
      </c>
      <c r="E19" s="18" t="s">
        <v>30</v>
      </c>
      <c r="F19" s="18" t="s">
        <v>113</v>
      </c>
      <c r="G19" s="18" t="s">
        <v>21</v>
      </c>
      <c r="H19" s="18" t="str">
        <f>Assumptions!$B$2</f>
        <v>Worst</v>
      </c>
      <c r="I19" s="18">
        <f>_xlfn.XLOOKUP(Assumptions!$B$2,Assumptions!$F$4:$H$4,Assumptions!$F$5:$H$5)</f>
        <v>1200</v>
      </c>
      <c r="J19" s="18">
        <f>_xlfn.XLOOKUP(Assumptions!$B$2,Assumptions!$F$4:$H$4,Assumptions!$F$6:$H$6)</f>
        <v>17</v>
      </c>
      <c r="K19" s="12">
        <f>_xlfn.XLOOKUP(Assumptions!$B$2,Assumptions!$F$4:$H$4,Assumptions!$F$8:$H$8)</f>
        <v>0.1</v>
      </c>
      <c r="L19" s="12">
        <f>_xlfn.XLOOKUP(Assumptions!$B$2,Assumptions!$F$4:$H$4,Assumptions!$F$9:$H$9)</f>
        <v>0.18</v>
      </c>
      <c r="M19" s="18">
        <f>_xlfn.XLOOKUP(Assumptions!$B$2,Assumptions!$F$4:$H$4,Assumptions!$F$10:$H$10)</f>
        <v>18000</v>
      </c>
      <c r="N19" s="12">
        <f>_xlfn.XLOOKUP(Assumptions!$B$2,Assumptions!$F$4:$H$4,Assumptions!$F$11:$H$11)</f>
        <v>0.3</v>
      </c>
      <c r="O19" s="14">
        <f>Final_Table[[#This Row],[Units Sold]]*Final_Table[[#This Row],[Sale Price]]</f>
        <v>20400</v>
      </c>
      <c r="P19" s="14">
        <f>Final_Table[[#This Row],[Gross Revenue]]*(1-Final_Table[[#This Row],[Discount %]])</f>
        <v>18360</v>
      </c>
      <c r="Q19">
        <f>Final_Table[[#This Row],[Net Revenue]]*Final_Table[[#This Row],[Variable Cost %]]</f>
        <v>3304.7999999999997</v>
      </c>
      <c r="R19">
        <f>Final_Table[[#This Row],[Variable Cost]]+Final_Table[[#This Row],[Fixed Monthly Cost]]</f>
        <v>21304.799999999999</v>
      </c>
      <c r="S19" s="5">
        <f>Final_Table[[#This Row],[Net Revenue]]-Final_Table[[#This Row],[Total Cost (COGS)]]</f>
        <v>-2944.7999999999993</v>
      </c>
      <c r="T19">
        <f>Final_Table[[#This Row],[Gross Profit]]*Final_Table[[#This Row],[Tax Rate]]</f>
        <v>-883.43999999999971</v>
      </c>
      <c r="U19" s="5">
        <f>Final_Table[[#This Row],[Gross Profit]]-Final_Table[[#This Row],[Tax]]</f>
        <v>-2061.3599999999997</v>
      </c>
      <c r="V19" s="12">
        <f>Final_Table[[#This Row],[Net Profit]]/Final_Table[[#This Row],[Gross Revenue]]</f>
        <v>-0.10104705882352939</v>
      </c>
    </row>
    <row r="20" spans="1:22">
      <c r="A20" s="18" t="s">
        <v>70</v>
      </c>
      <c r="B20">
        <v>2013</v>
      </c>
      <c r="C20" t="s">
        <v>118</v>
      </c>
      <c r="D20">
        <v>1</v>
      </c>
      <c r="E20" s="18" t="s">
        <v>30</v>
      </c>
      <c r="F20" s="18" t="s">
        <v>113</v>
      </c>
      <c r="G20" s="18" t="s">
        <v>25</v>
      </c>
      <c r="H20" s="18" t="str">
        <f>Assumptions!$B$2</f>
        <v>Worst</v>
      </c>
      <c r="I20" s="18">
        <f>_xlfn.XLOOKUP(Assumptions!$B$2,Assumptions!$F$4:$H$4,Assumptions!$F$5:$H$5)</f>
        <v>1200</v>
      </c>
      <c r="J20" s="18">
        <f>_xlfn.XLOOKUP(Assumptions!$B$2,Assumptions!$F$4:$H$4,Assumptions!$F$6:$H$6)</f>
        <v>17</v>
      </c>
      <c r="K20" s="12">
        <f>_xlfn.XLOOKUP(Assumptions!$B$2,Assumptions!$F$4:$H$4,Assumptions!$F$8:$H$8)</f>
        <v>0.1</v>
      </c>
      <c r="L20" s="12">
        <f>_xlfn.XLOOKUP(Assumptions!$B$2,Assumptions!$F$4:$H$4,Assumptions!$F$9:$H$9)</f>
        <v>0.18</v>
      </c>
      <c r="M20" s="18">
        <f>_xlfn.XLOOKUP(Assumptions!$B$2,Assumptions!$F$4:$H$4,Assumptions!$F$10:$H$10)</f>
        <v>18000</v>
      </c>
      <c r="N20" s="12">
        <f>_xlfn.XLOOKUP(Assumptions!$B$2,Assumptions!$F$4:$H$4,Assumptions!$F$11:$H$11)</f>
        <v>0.3</v>
      </c>
      <c r="O20" s="14">
        <f>Final_Table[[#This Row],[Units Sold]]*Final_Table[[#This Row],[Sale Price]]</f>
        <v>20400</v>
      </c>
      <c r="P20" s="14">
        <f>Final_Table[[#This Row],[Gross Revenue]]*(1-Final_Table[[#This Row],[Discount %]])</f>
        <v>18360</v>
      </c>
      <c r="Q20">
        <f>Final_Table[[#This Row],[Net Revenue]]*Final_Table[[#This Row],[Variable Cost %]]</f>
        <v>3304.7999999999997</v>
      </c>
      <c r="R20">
        <f>Final_Table[[#This Row],[Variable Cost]]+Final_Table[[#This Row],[Fixed Monthly Cost]]</f>
        <v>21304.799999999999</v>
      </c>
      <c r="S20" s="5">
        <f>Final_Table[[#This Row],[Net Revenue]]-Final_Table[[#This Row],[Total Cost (COGS)]]</f>
        <v>-2944.7999999999993</v>
      </c>
      <c r="T20">
        <f>Final_Table[[#This Row],[Gross Profit]]*Final_Table[[#This Row],[Tax Rate]]</f>
        <v>-883.43999999999971</v>
      </c>
      <c r="U20" s="5">
        <f>Final_Table[[#This Row],[Gross Profit]]-Final_Table[[#This Row],[Tax]]</f>
        <v>-2061.3599999999997</v>
      </c>
      <c r="V20" s="12">
        <f>Final_Table[[#This Row],[Net Profit]]/Final_Table[[#This Row],[Gross Revenue]]</f>
        <v>-0.10104705882352939</v>
      </c>
    </row>
    <row r="21" spans="1:22">
      <c r="A21" s="18" t="s">
        <v>70</v>
      </c>
      <c r="B21">
        <v>2013</v>
      </c>
      <c r="C21" t="s">
        <v>118</v>
      </c>
      <c r="D21">
        <v>1</v>
      </c>
      <c r="E21" s="18" t="s">
        <v>30</v>
      </c>
      <c r="F21" s="18" t="s">
        <v>113</v>
      </c>
      <c r="G21" s="18" t="s">
        <v>17</v>
      </c>
      <c r="H21" s="18" t="str">
        <f>Assumptions!$B$2</f>
        <v>Worst</v>
      </c>
      <c r="I21" s="18">
        <f>_xlfn.XLOOKUP(Assumptions!$B$2,Assumptions!$F$4:$H$4,Assumptions!$F$5:$H$5)</f>
        <v>1200</v>
      </c>
      <c r="J21" s="18">
        <f>_xlfn.XLOOKUP(Assumptions!$B$2,Assumptions!$F$4:$H$4,Assumptions!$F$6:$H$6)</f>
        <v>17</v>
      </c>
      <c r="K21" s="12">
        <f>_xlfn.XLOOKUP(Assumptions!$B$2,Assumptions!$F$4:$H$4,Assumptions!$F$8:$H$8)</f>
        <v>0.1</v>
      </c>
      <c r="L21" s="12">
        <f>_xlfn.XLOOKUP(Assumptions!$B$2,Assumptions!$F$4:$H$4,Assumptions!$F$9:$H$9)</f>
        <v>0.18</v>
      </c>
      <c r="M21" s="18">
        <f>_xlfn.XLOOKUP(Assumptions!$B$2,Assumptions!$F$4:$H$4,Assumptions!$F$10:$H$10)</f>
        <v>18000</v>
      </c>
      <c r="N21" s="12">
        <f>_xlfn.XLOOKUP(Assumptions!$B$2,Assumptions!$F$4:$H$4,Assumptions!$F$11:$H$11)</f>
        <v>0.3</v>
      </c>
      <c r="O21" s="14">
        <f>Final_Table[[#This Row],[Units Sold]]*Final_Table[[#This Row],[Sale Price]]</f>
        <v>20400</v>
      </c>
      <c r="P21" s="14">
        <f>Final_Table[[#This Row],[Gross Revenue]]*(1-Final_Table[[#This Row],[Discount %]])</f>
        <v>18360</v>
      </c>
      <c r="Q21">
        <f>Final_Table[[#This Row],[Net Revenue]]*Final_Table[[#This Row],[Variable Cost %]]</f>
        <v>3304.7999999999997</v>
      </c>
      <c r="R21">
        <f>Final_Table[[#This Row],[Variable Cost]]+Final_Table[[#This Row],[Fixed Monthly Cost]]</f>
        <v>21304.799999999999</v>
      </c>
      <c r="S21" s="5">
        <f>Final_Table[[#This Row],[Net Revenue]]-Final_Table[[#This Row],[Total Cost (COGS)]]</f>
        <v>-2944.7999999999993</v>
      </c>
      <c r="T21">
        <f>Final_Table[[#This Row],[Gross Profit]]*Final_Table[[#This Row],[Tax Rate]]</f>
        <v>-883.43999999999971</v>
      </c>
      <c r="U21" s="5">
        <f>Final_Table[[#This Row],[Gross Profit]]-Final_Table[[#This Row],[Tax]]</f>
        <v>-2061.3599999999997</v>
      </c>
      <c r="V21" s="12">
        <f>Final_Table[[#This Row],[Net Profit]]/Final_Table[[#This Row],[Gross Revenue]]</f>
        <v>-0.10104705882352939</v>
      </c>
    </row>
    <row r="22" spans="1:22">
      <c r="A22" s="18" t="s">
        <v>70</v>
      </c>
      <c r="B22">
        <v>2013</v>
      </c>
      <c r="C22" t="s">
        <v>118</v>
      </c>
      <c r="D22">
        <v>1</v>
      </c>
      <c r="E22" s="18" t="s">
        <v>30</v>
      </c>
      <c r="F22" s="18" t="s">
        <v>114</v>
      </c>
      <c r="G22" s="18" t="s">
        <v>36</v>
      </c>
      <c r="H22" s="18" t="str">
        <f>Assumptions!$B$2</f>
        <v>Worst</v>
      </c>
      <c r="I22" s="18">
        <f>_xlfn.XLOOKUP(Assumptions!$B$2,Assumptions!$F$4:$H$4,Assumptions!$F$5:$H$5)</f>
        <v>1200</v>
      </c>
      <c r="J22" s="18">
        <f>_xlfn.XLOOKUP(Assumptions!$B$2,Assumptions!$F$4:$H$4,Assumptions!$F$6:$H$6)</f>
        <v>17</v>
      </c>
      <c r="K22" s="12">
        <f>_xlfn.XLOOKUP(Assumptions!$B$2,Assumptions!$F$4:$H$4,Assumptions!$F$8:$H$8)</f>
        <v>0.1</v>
      </c>
      <c r="L22" s="12">
        <f>_xlfn.XLOOKUP(Assumptions!$B$2,Assumptions!$F$4:$H$4,Assumptions!$F$9:$H$9)</f>
        <v>0.18</v>
      </c>
      <c r="M22" s="18">
        <f>_xlfn.XLOOKUP(Assumptions!$B$2,Assumptions!$F$4:$H$4,Assumptions!$F$10:$H$10)</f>
        <v>18000</v>
      </c>
      <c r="N22" s="12">
        <f>_xlfn.XLOOKUP(Assumptions!$B$2,Assumptions!$F$4:$H$4,Assumptions!$F$11:$H$11)</f>
        <v>0.3</v>
      </c>
      <c r="O22" s="14">
        <f>Final_Table[[#This Row],[Units Sold]]*Final_Table[[#This Row],[Sale Price]]</f>
        <v>20400</v>
      </c>
      <c r="P22" s="14">
        <f>Final_Table[[#This Row],[Gross Revenue]]*(1-Final_Table[[#This Row],[Discount %]])</f>
        <v>18360</v>
      </c>
      <c r="Q22">
        <f>Final_Table[[#This Row],[Net Revenue]]*Final_Table[[#This Row],[Variable Cost %]]</f>
        <v>3304.7999999999997</v>
      </c>
      <c r="R22">
        <f>Final_Table[[#This Row],[Variable Cost]]+Final_Table[[#This Row],[Fixed Monthly Cost]]</f>
        <v>21304.799999999999</v>
      </c>
      <c r="S22" s="5">
        <f>Final_Table[[#This Row],[Net Revenue]]-Final_Table[[#This Row],[Total Cost (COGS)]]</f>
        <v>-2944.7999999999993</v>
      </c>
      <c r="T22">
        <f>Final_Table[[#This Row],[Gross Profit]]*Final_Table[[#This Row],[Tax Rate]]</f>
        <v>-883.43999999999971</v>
      </c>
      <c r="U22" s="5">
        <f>Final_Table[[#This Row],[Gross Profit]]-Final_Table[[#This Row],[Tax]]</f>
        <v>-2061.3599999999997</v>
      </c>
      <c r="V22" s="12">
        <f>Final_Table[[#This Row],[Net Profit]]/Final_Table[[#This Row],[Gross Revenue]]</f>
        <v>-0.10104705882352939</v>
      </c>
    </row>
    <row r="23" spans="1:22">
      <c r="A23" s="18" t="s">
        <v>70</v>
      </c>
      <c r="B23">
        <v>2013</v>
      </c>
      <c r="C23" t="s">
        <v>118</v>
      </c>
      <c r="D23">
        <v>1</v>
      </c>
      <c r="E23" s="18" t="s">
        <v>30</v>
      </c>
      <c r="F23" s="18" t="s">
        <v>114</v>
      </c>
      <c r="G23" s="18" t="s">
        <v>23</v>
      </c>
      <c r="H23" s="18" t="str">
        <f>Assumptions!$B$2</f>
        <v>Worst</v>
      </c>
      <c r="I23" s="18">
        <f>_xlfn.XLOOKUP(Assumptions!$B$2,Assumptions!$F$4:$H$4,Assumptions!$F$5:$H$5)</f>
        <v>1200</v>
      </c>
      <c r="J23" s="18">
        <f>_xlfn.XLOOKUP(Assumptions!$B$2,Assumptions!$F$4:$H$4,Assumptions!$F$6:$H$6)</f>
        <v>17</v>
      </c>
      <c r="K23" s="12">
        <f>_xlfn.XLOOKUP(Assumptions!$B$2,Assumptions!$F$4:$H$4,Assumptions!$F$8:$H$8)</f>
        <v>0.1</v>
      </c>
      <c r="L23" s="12">
        <f>_xlfn.XLOOKUP(Assumptions!$B$2,Assumptions!$F$4:$H$4,Assumptions!$F$9:$H$9)</f>
        <v>0.18</v>
      </c>
      <c r="M23" s="18">
        <f>_xlfn.XLOOKUP(Assumptions!$B$2,Assumptions!$F$4:$H$4,Assumptions!$F$10:$H$10)</f>
        <v>18000</v>
      </c>
      <c r="N23" s="12">
        <f>_xlfn.XLOOKUP(Assumptions!$B$2,Assumptions!$F$4:$H$4,Assumptions!$F$11:$H$11)</f>
        <v>0.3</v>
      </c>
      <c r="O23" s="14">
        <f>Final_Table[[#This Row],[Units Sold]]*Final_Table[[#This Row],[Sale Price]]</f>
        <v>20400</v>
      </c>
      <c r="P23" s="14">
        <f>Final_Table[[#This Row],[Gross Revenue]]*(1-Final_Table[[#This Row],[Discount %]])</f>
        <v>18360</v>
      </c>
      <c r="Q23">
        <f>Final_Table[[#This Row],[Net Revenue]]*Final_Table[[#This Row],[Variable Cost %]]</f>
        <v>3304.7999999999997</v>
      </c>
      <c r="R23">
        <f>Final_Table[[#This Row],[Variable Cost]]+Final_Table[[#This Row],[Fixed Monthly Cost]]</f>
        <v>21304.799999999999</v>
      </c>
      <c r="S23" s="5">
        <f>Final_Table[[#This Row],[Net Revenue]]-Final_Table[[#This Row],[Total Cost (COGS)]]</f>
        <v>-2944.7999999999993</v>
      </c>
      <c r="T23">
        <f>Final_Table[[#This Row],[Gross Profit]]*Final_Table[[#This Row],[Tax Rate]]</f>
        <v>-883.43999999999971</v>
      </c>
      <c r="U23" s="5">
        <f>Final_Table[[#This Row],[Gross Profit]]-Final_Table[[#This Row],[Tax]]</f>
        <v>-2061.3599999999997</v>
      </c>
      <c r="V23" s="12">
        <f>Final_Table[[#This Row],[Net Profit]]/Final_Table[[#This Row],[Gross Revenue]]</f>
        <v>-0.10104705882352939</v>
      </c>
    </row>
    <row r="24" spans="1:22">
      <c r="A24" s="18" t="s">
        <v>70</v>
      </c>
      <c r="B24">
        <v>2013</v>
      </c>
      <c r="C24" t="s">
        <v>118</v>
      </c>
      <c r="D24">
        <v>1</v>
      </c>
      <c r="E24" s="18" t="s">
        <v>30</v>
      </c>
      <c r="F24" s="18" t="s">
        <v>114</v>
      </c>
      <c r="G24" s="18" t="s">
        <v>21</v>
      </c>
      <c r="H24" s="18" t="str">
        <f>Assumptions!$B$2</f>
        <v>Worst</v>
      </c>
      <c r="I24" s="18">
        <f>_xlfn.XLOOKUP(Assumptions!$B$2,Assumptions!$F$4:$H$4,Assumptions!$F$5:$H$5)</f>
        <v>1200</v>
      </c>
      <c r="J24" s="18">
        <f>_xlfn.XLOOKUP(Assumptions!$B$2,Assumptions!$F$4:$H$4,Assumptions!$F$6:$H$6)</f>
        <v>17</v>
      </c>
      <c r="K24" s="12">
        <f>_xlfn.XLOOKUP(Assumptions!$B$2,Assumptions!$F$4:$H$4,Assumptions!$F$8:$H$8)</f>
        <v>0.1</v>
      </c>
      <c r="L24" s="12">
        <f>_xlfn.XLOOKUP(Assumptions!$B$2,Assumptions!$F$4:$H$4,Assumptions!$F$9:$H$9)</f>
        <v>0.18</v>
      </c>
      <c r="M24" s="18">
        <f>_xlfn.XLOOKUP(Assumptions!$B$2,Assumptions!$F$4:$H$4,Assumptions!$F$10:$H$10)</f>
        <v>18000</v>
      </c>
      <c r="N24" s="12">
        <f>_xlfn.XLOOKUP(Assumptions!$B$2,Assumptions!$F$4:$H$4,Assumptions!$F$11:$H$11)</f>
        <v>0.3</v>
      </c>
      <c r="O24" s="14">
        <f>Final_Table[[#This Row],[Units Sold]]*Final_Table[[#This Row],[Sale Price]]</f>
        <v>20400</v>
      </c>
      <c r="P24" s="14">
        <f>Final_Table[[#This Row],[Gross Revenue]]*(1-Final_Table[[#This Row],[Discount %]])</f>
        <v>18360</v>
      </c>
      <c r="Q24">
        <f>Final_Table[[#This Row],[Net Revenue]]*Final_Table[[#This Row],[Variable Cost %]]</f>
        <v>3304.7999999999997</v>
      </c>
      <c r="R24">
        <f>Final_Table[[#This Row],[Variable Cost]]+Final_Table[[#This Row],[Fixed Monthly Cost]]</f>
        <v>21304.799999999999</v>
      </c>
      <c r="S24" s="5">
        <f>Final_Table[[#This Row],[Net Revenue]]-Final_Table[[#This Row],[Total Cost (COGS)]]</f>
        <v>-2944.7999999999993</v>
      </c>
      <c r="T24">
        <f>Final_Table[[#This Row],[Gross Profit]]*Final_Table[[#This Row],[Tax Rate]]</f>
        <v>-883.43999999999971</v>
      </c>
      <c r="U24" s="5">
        <f>Final_Table[[#This Row],[Gross Profit]]-Final_Table[[#This Row],[Tax]]</f>
        <v>-2061.3599999999997</v>
      </c>
      <c r="V24" s="12">
        <f>Final_Table[[#This Row],[Net Profit]]/Final_Table[[#This Row],[Gross Revenue]]</f>
        <v>-0.10104705882352939</v>
      </c>
    </row>
    <row r="25" spans="1:22">
      <c r="A25" s="18" t="s">
        <v>70</v>
      </c>
      <c r="B25">
        <v>2013</v>
      </c>
      <c r="C25" t="s">
        <v>118</v>
      </c>
      <c r="D25">
        <v>1</v>
      </c>
      <c r="E25" s="18" t="s">
        <v>30</v>
      </c>
      <c r="F25" s="18" t="s">
        <v>114</v>
      </c>
      <c r="G25" s="18" t="s">
        <v>25</v>
      </c>
      <c r="H25" s="18" t="str">
        <f>Assumptions!$B$2</f>
        <v>Worst</v>
      </c>
      <c r="I25" s="18">
        <f>_xlfn.XLOOKUP(Assumptions!$B$2,Assumptions!$F$4:$H$4,Assumptions!$F$5:$H$5)</f>
        <v>1200</v>
      </c>
      <c r="J25" s="18">
        <f>_xlfn.XLOOKUP(Assumptions!$B$2,Assumptions!$F$4:$H$4,Assumptions!$F$6:$H$6)</f>
        <v>17</v>
      </c>
      <c r="K25" s="12">
        <f>_xlfn.XLOOKUP(Assumptions!$B$2,Assumptions!$F$4:$H$4,Assumptions!$F$8:$H$8)</f>
        <v>0.1</v>
      </c>
      <c r="L25" s="12">
        <f>_xlfn.XLOOKUP(Assumptions!$B$2,Assumptions!$F$4:$H$4,Assumptions!$F$9:$H$9)</f>
        <v>0.18</v>
      </c>
      <c r="M25" s="18">
        <f>_xlfn.XLOOKUP(Assumptions!$B$2,Assumptions!$F$4:$H$4,Assumptions!$F$10:$H$10)</f>
        <v>18000</v>
      </c>
      <c r="N25" s="12">
        <f>_xlfn.XLOOKUP(Assumptions!$B$2,Assumptions!$F$4:$H$4,Assumptions!$F$11:$H$11)</f>
        <v>0.3</v>
      </c>
      <c r="O25" s="14">
        <f>Final_Table[[#This Row],[Units Sold]]*Final_Table[[#This Row],[Sale Price]]</f>
        <v>20400</v>
      </c>
      <c r="P25" s="14">
        <f>Final_Table[[#This Row],[Gross Revenue]]*(1-Final_Table[[#This Row],[Discount %]])</f>
        <v>18360</v>
      </c>
      <c r="Q25">
        <f>Final_Table[[#This Row],[Net Revenue]]*Final_Table[[#This Row],[Variable Cost %]]</f>
        <v>3304.7999999999997</v>
      </c>
      <c r="R25">
        <f>Final_Table[[#This Row],[Variable Cost]]+Final_Table[[#This Row],[Fixed Monthly Cost]]</f>
        <v>21304.799999999999</v>
      </c>
      <c r="S25" s="5">
        <f>Final_Table[[#This Row],[Net Revenue]]-Final_Table[[#This Row],[Total Cost (COGS)]]</f>
        <v>-2944.7999999999993</v>
      </c>
      <c r="T25">
        <f>Final_Table[[#This Row],[Gross Profit]]*Final_Table[[#This Row],[Tax Rate]]</f>
        <v>-883.43999999999971</v>
      </c>
      <c r="U25" s="5">
        <f>Final_Table[[#This Row],[Gross Profit]]-Final_Table[[#This Row],[Tax]]</f>
        <v>-2061.3599999999997</v>
      </c>
      <c r="V25" s="12">
        <f>Final_Table[[#This Row],[Net Profit]]/Final_Table[[#This Row],[Gross Revenue]]</f>
        <v>-0.10104705882352939</v>
      </c>
    </row>
    <row r="26" spans="1:22">
      <c r="A26" s="18" t="s">
        <v>70</v>
      </c>
      <c r="B26">
        <v>2013</v>
      </c>
      <c r="C26" t="s">
        <v>118</v>
      </c>
      <c r="D26">
        <v>1</v>
      </c>
      <c r="E26" s="18" t="s">
        <v>30</v>
      </c>
      <c r="F26" s="18" t="s">
        <v>114</v>
      </c>
      <c r="G26" s="18" t="s">
        <v>17</v>
      </c>
      <c r="H26" s="18" t="str">
        <f>Assumptions!$B$2</f>
        <v>Worst</v>
      </c>
      <c r="I26" s="18">
        <f>_xlfn.XLOOKUP(Assumptions!$B$2,Assumptions!$F$4:$H$4,Assumptions!$F$5:$H$5)</f>
        <v>1200</v>
      </c>
      <c r="J26" s="18">
        <f>_xlfn.XLOOKUP(Assumptions!$B$2,Assumptions!$F$4:$H$4,Assumptions!$F$6:$H$6)</f>
        <v>17</v>
      </c>
      <c r="K26" s="12">
        <f>_xlfn.XLOOKUP(Assumptions!$B$2,Assumptions!$F$4:$H$4,Assumptions!$F$8:$H$8)</f>
        <v>0.1</v>
      </c>
      <c r="L26" s="12">
        <f>_xlfn.XLOOKUP(Assumptions!$B$2,Assumptions!$F$4:$H$4,Assumptions!$F$9:$H$9)</f>
        <v>0.18</v>
      </c>
      <c r="M26" s="18">
        <f>_xlfn.XLOOKUP(Assumptions!$B$2,Assumptions!$F$4:$H$4,Assumptions!$F$10:$H$10)</f>
        <v>18000</v>
      </c>
      <c r="N26" s="12">
        <f>_xlfn.XLOOKUP(Assumptions!$B$2,Assumptions!$F$4:$H$4,Assumptions!$F$11:$H$11)</f>
        <v>0.3</v>
      </c>
      <c r="O26" s="14">
        <f>Final_Table[[#This Row],[Units Sold]]*Final_Table[[#This Row],[Sale Price]]</f>
        <v>20400</v>
      </c>
      <c r="P26" s="14">
        <f>Final_Table[[#This Row],[Gross Revenue]]*(1-Final_Table[[#This Row],[Discount %]])</f>
        <v>18360</v>
      </c>
      <c r="Q26">
        <f>Final_Table[[#This Row],[Net Revenue]]*Final_Table[[#This Row],[Variable Cost %]]</f>
        <v>3304.7999999999997</v>
      </c>
      <c r="R26">
        <f>Final_Table[[#This Row],[Variable Cost]]+Final_Table[[#This Row],[Fixed Monthly Cost]]</f>
        <v>21304.799999999999</v>
      </c>
      <c r="S26" s="5">
        <f>Final_Table[[#This Row],[Net Revenue]]-Final_Table[[#This Row],[Total Cost (COGS)]]</f>
        <v>-2944.7999999999993</v>
      </c>
      <c r="T26">
        <f>Final_Table[[#This Row],[Gross Profit]]*Final_Table[[#This Row],[Tax Rate]]</f>
        <v>-883.43999999999971</v>
      </c>
      <c r="U26" s="5">
        <f>Final_Table[[#This Row],[Gross Profit]]-Final_Table[[#This Row],[Tax]]</f>
        <v>-2061.3599999999997</v>
      </c>
      <c r="V26" s="12">
        <f>Final_Table[[#This Row],[Net Profit]]/Final_Table[[#This Row],[Gross Revenue]]</f>
        <v>-0.10104705882352939</v>
      </c>
    </row>
    <row r="27" spans="1:22">
      <c r="A27" s="18" t="s">
        <v>70</v>
      </c>
      <c r="B27">
        <v>2013</v>
      </c>
      <c r="C27" t="s">
        <v>118</v>
      </c>
      <c r="D27">
        <v>1</v>
      </c>
      <c r="E27" s="18" t="s">
        <v>29</v>
      </c>
      <c r="F27" s="18" t="s">
        <v>80</v>
      </c>
      <c r="G27" s="18" t="s">
        <v>36</v>
      </c>
      <c r="H27" s="18" t="str">
        <f>Assumptions!$B$2</f>
        <v>Worst</v>
      </c>
      <c r="I27" s="18">
        <f>_xlfn.XLOOKUP(Assumptions!$B$2,Assumptions!$F$4:$H$4,Assumptions!$F$5:$H$5)</f>
        <v>1200</v>
      </c>
      <c r="J27" s="18">
        <f>_xlfn.XLOOKUP(Assumptions!$B$2,Assumptions!$F$4:$H$4,Assumptions!$F$6:$H$6)</f>
        <v>17</v>
      </c>
      <c r="K27" s="12">
        <f>_xlfn.XLOOKUP(Assumptions!$B$2,Assumptions!$F$4:$H$4,Assumptions!$F$8:$H$8)</f>
        <v>0.1</v>
      </c>
      <c r="L27" s="12">
        <f>_xlfn.XLOOKUP(Assumptions!$B$2,Assumptions!$F$4:$H$4,Assumptions!$F$9:$H$9)</f>
        <v>0.18</v>
      </c>
      <c r="M27" s="18">
        <f>_xlfn.XLOOKUP(Assumptions!$B$2,Assumptions!$F$4:$H$4,Assumptions!$F$10:$H$10)</f>
        <v>18000</v>
      </c>
      <c r="N27" s="12">
        <f>_xlfn.XLOOKUP(Assumptions!$B$2,Assumptions!$F$4:$H$4,Assumptions!$F$11:$H$11)</f>
        <v>0.3</v>
      </c>
      <c r="O27" s="14">
        <f>Final_Table[[#This Row],[Units Sold]]*Final_Table[[#This Row],[Sale Price]]</f>
        <v>20400</v>
      </c>
      <c r="P27" s="14">
        <f>Final_Table[[#This Row],[Gross Revenue]]*(1-Final_Table[[#This Row],[Discount %]])</f>
        <v>18360</v>
      </c>
      <c r="Q27">
        <f>Final_Table[[#This Row],[Net Revenue]]*Final_Table[[#This Row],[Variable Cost %]]</f>
        <v>3304.7999999999997</v>
      </c>
      <c r="R27">
        <f>Final_Table[[#This Row],[Variable Cost]]+Final_Table[[#This Row],[Fixed Monthly Cost]]</f>
        <v>21304.799999999999</v>
      </c>
      <c r="S27" s="5">
        <f>Final_Table[[#This Row],[Net Revenue]]-Final_Table[[#This Row],[Total Cost (COGS)]]</f>
        <v>-2944.7999999999993</v>
      </c>
      <c r="T27">
        <f>Final_Table[[#This Row],[Gross Profit]]*Final_Table[[#This Row],[Tax Rate]]</f>
        <v>-883.43999999999971</v>
      </c>
      <c r="U27" s="5">
        <f>Final_Table[[#This Row],[Gross Profit]]-Final_Table[[#This Row],[Tax]]</f>
        <v>-2061.3599999999997</v>
      </c>
      <c r="V27" s="12">
        <f>Final_Table[[#This Row],[Net Profit]]/Final_Table[[#This Row],[Gross Revenue]]</f>
        <v>-0.10104705882352939</v>
      </c>
    </row>
    <row r="28" spans="1:22">
      <c r="A28" s="18" t="s">
        <v>70</v>
      </c>
      <c r="B28">
        <v>2013</v>
      </c>
      <c r="C28" t="s">
        <v>118</v>
      </c>
      <c r="D28">
        <v>1</v>
      </c>
      <c r="E28" s="18" t="s">
        <v>29</v>
      </c>
      <c r="F28" s="18" t="s">
        <v>80</v>
      </c>
      <c r="G28" s="18" t="s">
        <v>23</v>
      </c>
      <c r="H28" s="18" t="str">
        <f>Assumptions!$B$2</f>
        <v>Worst</v>
      </c>
      <c r="I28" s="18">
        <f>_xlfn.XLOOKUP(Assumptions!$B$2,Assumptions!$F$4:$H$4,Assumptions!$F$5:$H$5)</f>
        <v>1200</v>
      </c>
      <c r="J28" s="18">
        <f>_xlfn.XLOOKUP(Assumptions!$B$2,Assumptions!$F$4:$H$4,Assumptions!$F$6:$H$6)</f>
        <v>17</v>
      </c>
      <c r="K28" s="12">
        <f>_xlfn.XLOOKUP(Assumptions!$B$2,Assumptions!$F$4:$H$4,Assumptions!$F$8:$H$8)</f>
        <v>0.1</v>
      </c>
      <c r="L28" s="12">
        <f>_xlfn.XLOOKUP(Assumptions!$B$2,Assumptions!$F$4:$H$4,Assumptions!$F$9:$H$9)</f>
        <v>0.18</v>
      </c>
      <c r="M28" s="18">
        <f>_xlfn.XLOOKUP(Assumptions!$B$2,Assumptions!$F$4:$H$4,Assumptions!$F$10:$H$10)</f>
        <v>18000</v>
      </c>
      <c r="N28" s="12">
        <f>_xlfn.XLOOKUP(Assumptions!$B$2,Assumptions!$F$4:$H$4,Assumptions!$F$11:$H$11)</f>
        <v>0.3</v>
      </c>
      <c r="O28" s="14">
        <f>Final_Table[[#This Row],[Units Sold]]*Final_Table[[#This Row],[Sale Price]]</f>
        <v>20400</v>
      </c>
      <c r="P28" s="14">
        <f>Final_Table[[#This Row],[Gross Revenue]]*(1-Final_Table[[#This Row],[Discount %]])</f>
        <v>18360</v>
      </c>
      <c r="Q28">
        <f>Final_Table[[#This Row],[Net Revenue]]*Final_Table[[#This Row],[Variable Cost %]]</f>
        <v>3304.7999999999997</v>
      </c>
      <c r="R28">
        <f>Final_Table[[#This Row],[Variable Cost]]+Final_Table[[#This Row],[Fixed Monthly Cost]]</f>
        <v>21304.799999999999</v>
      </c>
      <c r="S28" s="5">
        <f>Final_Table[[#This Row],[Net Revenue]]-Final_Table[[#This Row],[Total Cost (COGS)]]</f>
        <v>-2944.7999999999993</v>
      </c>
      <c r="T28">
        <f>Final_Table[[#This Row],[Gross Profit]]*Final_Table[[#This Row],[Tax Rate]]</f>
        <v>-883.43999999999971</v>
      </c>
      <c r="U28" s="5">
        <f>Final_Table[[#This Row],[Gross Profit]]-Final_Table[[#This Row],[Tax]]</f>
        <v>-2061.3599999999997</v>
      </c>
      <c r="V28" s="12">
        <f>Final_Table[[#This Row],[Net Profit]]/Final_Table[[#This Row],[Gross Revenue]]</f>
        <v>-0.10104705882352939</v>
      </c>
    </row>
    <row r="29" spans="1:22">
      <c r="A29" s="18" t="s">
        <v>70</v>
      </c>
      <c r="B29">
        <v>2013</v>
      </c>
      <c r="C29" t="s">
        <v>118</v>
      </c>
      <c r="D29">
        <v>1</v>
      </c>
      <c r="E29" s="18" t="s">
        <v>29</v>
      </c>
      <c r="F29" s="18" t="s">
        <v>80</v>
      </c>
      <c r="G29" s="18" t="s">
        <v>21</v>
      </c>
      <c r="H29" s="18" t="str">
        <f>Assumptions!$B$2</f>
        <v>Worst</v>
      </c>
      <c r="I29" s="18">
        <f>_xlfn.XLOOKUP(Assumptions!$B$2,Assumptions!$F$4:$H$4,Assumptions!$F$5:$H$5)</f>
        <v>1200</v>
      </c>
      <c r="J29" s="18">
        <f>_xlfn.XLOOKUP(Assumptions!$B$2,Assumptions!$F$4:$H$4,Assumptions!$F$6:$H$6)</f>
        <v>17</v>
      </c>
      <c r="K29" s="12">
        <f>_xlfn.XLOOKUP(Assumptions!$B$2,Assumptions!$F$4:$H$4,Assumptions!$F$8:$H$8)</f>
        <v>0.1</v>
      </c>
      <c r="L29" s="12">
        <f>_xlfn.XLOOKUP(Assumptions!$B$2,Assumptions!$F$4:$H$4,Assumptions!$F$9:$H$9)</f>
        <v>0.18</v>
      </c>
      <c r="M29" s="18">
        <f>_xlfn.XLOOKUP(Assumptions!$B$2,Assumptions!$F$4:$H$4,Assumptions!$F$10:$H$10)</f>
        <v>18000</v>
      </c>
      <c r="N29" s="12">
        <f>_xlfn.XLOOKUP(Assumptions!$B$2,Assumptions!$F$4:$H$4,Assumptions!$F$11:$H$11)</f>
        <v>0.3</v>
      </c>
      <c r="O29" s="14">
        <f>Final_Table[[#This Row],[Units Sold]]*Final_Table[[#This Row],[Sale Price]]</f>
        <v>20400</v>
      </c>
      <c r="P29" s="14">
        <f>Final_Table[[#This Row],[Gross Revenue]]*(1-Final_Table[[#This Row],[Discount %]])</f>
        <v>18360</v>
      </c>
      <c r="Q29">
        <f>Final_Table[[#This Row],[Net Revenue]]*Final_Table[[#This Row],[Variable Cost %]]</f>
        <v>3304.7999999999997</v>
      </c>
      <c r="R29">
        <f>Final_Table[[#This Row],[Variable Cost]]+Final_Table[[#This Row],[Fixed Monthly Cost]]</f>
        <v>21304.799999999999</v>
      </c>
      <c r="S29" s="5">
        <f>Final_Table[[#This Row],[Net Revenue]]-Final_Table[[#This Row],[Total Cost (COGS)]]</f>
        <v>-2944.7999999999993</v>
      </c>
      <c r="T29">
        <f>Final_Table[[#This Row],[Gross Profit]]*Final_Table[[#This Row],[Tax Rate]]</f>
        <v>-883.43999999999971</v>
      </c>
      <c r="U29" s="5">
        <f>Final_Table[[#This Row],[Gross Profit]]-Final_Table[[#This Row],[Tax]]</f>
        <v>-2061.3599999999997</v>
      </c>
      <c r="V29" s="12">
        <f>Final_Table[[#This Row],[Net Profit]]/Final_Table[[#This Row],[Gross Revenue]]</f>
        <v>-0.10104705882352939</v>
      </c>
    </row>
    <row r="30" spans="1:22">
      <c r="A30" s="18" t="s">
        <v>70</v>
      </c>
      <c r="B30">
        <v>2013</v>
      </c>
      <c r="C30" t="s">
        <v>118</v>
      </c>
      <c r="D30">
        <v>1</v>
      </c>
      <c r="E30" s="18" t="s">
        <v>29</v>
      </c>
      <c r="F30" s="18" t="s">
        <v>80</v>
      </c>
      <c r="G30" s="18" t="s">
        <v>25</v>
      </c>
      <c r="H30" s="18" t="str">
        <f>Assumptions!$B$2</f>
        <v>Worst</v>
      </c>
      <c r="I30" s="18">
        <f>_xlfn.XLOOKUP(Assumptions!$B$2,Assumptions!$F$4:$H$4,Assumptions!$F$5:$H$5)</f>
        <v>1200</v>
      </c>
      <c r="J30" s="18">
        <f>_xlfn.XLOOKUP(Assumptions!$B$2,Assumptions!$F$4:$H$4,Assumptions!$F$6:$H$6)</f>
        <v>17</v>
      </c>
      <c r="K30" s="12">
        <f>_xlfn.XLOOKUP(Assumptions!$B$2,Assumptions!$F$4:$H$4,Assumptions!$F$8:$H$8)</f>
        <v>0.1</v>
      </c>
      <c r="L30" s="12">
        <f>_xlfn.XLOOKUP(Assumptions!$B$2,Assumptions!$F$4:$H$4,Assumptions!$F$9:$H$9)</f>
        <v>0.18</v>
      </c>
      <c r="M30" s="18">
        <f>_xlfn.XLOOKUP(Assumptions!$B$2,Assumptions!$F$4:$H$4,Assumptions!$F$10:$H$10)</f>
        <v>18000</v>
      </c>
      <c r="N30" s="12">
        <f>_xlfn.XLOOKUP(Assumptions!$B$2,Assumptions!$F$4:$H$4,Assumptions!$F$11:$H$11)</f>
        <v>0.3</v>
      </c>
      <c r="O30" s="14">
        <f>Final_Table[[#This Row],[Units Sold]]*Final_Table[[#This Row],[Sale Price]]</f>
        <v>20400</v>
      </c>
      <c r="P30" s="14">
        <f>Final_Table[[#This Row],[Gross Revenue]]*(1-Final_Table[[#This Row],[Discount %]])</f>
        <v>18360</v>
      </c>
      <c r="Q30">
        <f>Final_Table[[#This Row],[Net Revenue]]*Final_Table[[#This Row],[Variable Cost %]]</f>
        <v>3304.7999999999997</v>
      </c>
      <c r="R30">
        <f>Final_Table[[#This Row],[Variable Cost]]+Final_Table[[#This Row],[Fixed Monthly Cost]]</f>
        <v>21304.799999999999</v>
      </c>
      <c r="S30" s="5">
        <f>Final_Table[[#This Row],[Net Revenue]]-Final_Table[[#This Row],[Total Cost (COGS)]]</f>
        <v>-2944.7999999999993</v>
      </c>
      <c r="T30">
        <f>Final_Table[[#This Row],[Gross Profit]]*Final_Table[[#This Row],[Tax Rate]]</f>
        <v>-883.43999999999971</v>
      </c>
      <c r="U30" s="5">
        <f>Final_Table[[#This Row],[Gross Profit]]-Final_Table[[#This Row],[Tax]]</f>
        <v>-2061.3599999999997</v>
      </c>
      <c r="V30" s="12">
        <f>Final_Table[[#This Row],[Net Profit]]/Final_Table[[#This Row],[Gross Revenue]]</f>
        <v>-0.10104705882352939</v>
      </c>
    </row>
    <row r="31" spans="1:22">
      <c r="A31" s="18" t="s">
        <v>70</v>
      </c>
      <c r="B31">
        <v>2013</v>
      </c>
      <c r="C31" t="s">
        <v>118</v>
      </c>
      <c r="D31">
        <v>1</v>
      </c>
      <c r="E31" s="18" t="s">
        <v>29</v>
      </c>
      <c r="F31" s="18" t="s">
        <v>80</v>
      </c>
      <c r="G31" s="18" t="s">
        <v>17</v>
      </c>
      <c r="H31" s="18" t="str">
        <f>Assumptions!$B$2</f>
        <v>Worst</v>
      </c>
      <c r="I31" s="18">
        <f>_xlfn.XLOOKUP(Assumptions!$B$2,Assumptions!$F$4:$H$4,Assumptions!$F$5:$H$5)</f>
        <v>1200</v>
      </c>
      <c r="J31" s="18">
        <f>_xlfn.XLOOKUP(Assumptions!$B$2,Assumptions!$F$4:$H$4,Assumptions!$F$6:$H$6)</f>
        <v>17</v>
      </c>
      <c r="K31" s="12">
        <f>_xlfn.XLOOKUP(Assumptions!$B$2,Assumptions!$F$4:$H$4,Assumptions!$F$8:$H$8)</f>
        <v>0.1</v>
      </c>
      <c r="L31" s="12">
        <f>_xlfn.XLOOKUP(Assumptions!$B$2,Assumptions!$F$4:$H$4,Assumptions!$F$9:$H$9)</f>
        <v>0.18</v>
      </c>
      <c r="M31" s="18">
        <f>_xlfn.XLOOKUP(Assumptions!$B$2,Assumptions!$F$4:$H$4,Assumptions!$F$10:$H$10)</f>
        <v>18000</v>
      </c>
      <c r="N31" s="12">
        <f>_xlfn.XLOOKUP(Assumptions!$B$2,Assumptions!$F$4:$H$4,Assumptions!$F$11:$H$11)</f>
        <v>0.3</v>
      </c>
      <c r="O31" s="14">
        <f>Final_Table[[#This Row],[Units Sold]]*Final_Table[[#This Row],[Sale Price]]</f>
        <v>20400</v>
      </c>
      <c r="P31" s="14">
        <f>Final_Table[[#This Row],[Gross Revenue]]*(1-Final_Table[[#This Row],[Discount %]])</f>
        <v>18360</v>
      </c>
      <c r="Q31">
        <f>Final_Table[[#This Row],[Net Revenue]]*Final_Table[[#This Row],[Variable Cost %]]</f>
        <v>3304.7999999999997</v>
      </c>
      <c r="R31">
        <f>Final_Table[[#This Row],[Variable Cost]]+Final_Table[[#This Row],[Fixed Monthly Cost]]</f>
        <v>21304.799999999999</v>
      </c>
      <c r="S31" s="5">
        <f>Final_Table[[#This Row],[Net Revenue]]-Final_Table[[#This Row],[Total Cost (COGS)]]</f>
        <v>-2944.7999999999993</v>
      </c>
      <c r="T31">
        <f>Final_Table[[#This Row],[Gross Profit]]*Final_Table[[#This Row],[Tax Rate]]</f>
        <v>-883.43999999999971</v>
      </c>
      <c r="U31" s="5">
        <f>Final_Table[[#This Row],[Gross Profit]]-Final_Table[[#This Row],[Tax]]</f>
        <v>-2061.3599999999997</v>
      </c>
      <c r="V31" s="12">
        <f>Final_Table[[#This Row],[Net Profit]]/Final_Table[[#This Row],[Gross Revenue]]</f>
        <v>-0.10104705882352939</v>
      </c>
    </row>
    <row r="32" spans="1:22">
      <c r="A32" s="18" t="s">
        <v>70</v>
      </c>
      <c r="B32">
        <v>2013</v>
      </c>
      <c r="C32" t="s">
        <v>118</v>
      </c>
      <c r="D32">
        <v>1</v>
      </c>
      <c r="E32" s="18" t="s">
        <v>29</v>
      </c>
      <c r="F32" s="18" t="s">
        <v>108</v>
      </c>
      <c r="G32" s="18" t="s">
        <v>36</v>
      </c>
      <c r="H32" s="18" t="str">
        <f>Assumptions!$B$2</f>
        <v>Worst</v>
      </c>
      <c r="I32" s="18">
        <f>_xlfn.XLOOKUP(Assumptions!$B$2,Assumptions!$F$4:$H$4,Assumptions!$F$5:$H$5)</f>
        <v>1200</v>
      </c>
      <c r="J32" s="18">
        <f>_xlfn.XLOOKUP(Assumptions!$B$2,Assumptions!$F$4:$H$4,Assumptions!$F$6:$H$6)</f>
        <v>17</v>
      </c>
      <c r="K32" s="12">
        <f>_xlfn.XLOOKUP(Assumptions!$B$2,Assumptions!$F$4:$H$4,Assumptions!$F$8:$H$8)</f>
        <v>0.1</v>
      </c>
      <c r="L32" s="12">
        <f>_xlfn.XLOOKUP(Assumptions!$B$2,Assumptions!$F$4:$H$4,Assumptions!$F$9:$H$9)</f>
        <v>0.18</v>
      </c>
      <c r="M32" s="18">
        <f>_xlfn.XLOOKUP(Assumptions!$B$2,Assumptions!$F$4:$H$4,Assumptions!$F$10:$H$10)</f>
        <v>18000</v>
      </c>
      <c r="N32" s="12">
        <f>_xlfn.XLOOKUP(Assumptions!$B$2,Assumptions!$F$4:$H$4,Assumptions!$F$11:$H$11)</f>
        <v>0.3</v>
      </c>
      <c r="O32" s="14">
        <f>Final_Table[[#This Row],[Units Sold]]*Final_Table[[#This Row],[Sale Price]]</f>
        <v>20400</v>
      </c>
      <c r="P32" s="14">
        <f>Final_Table[[#This Row],[Gross Revenue]]*(1-Final_Table[[#This Row],[Discount %]])</f>
        <v>18360</v>
      </c>
      <c r="Q32">
        <f>Final_Table[[#This Row],[Net Revenue]]*Final_Table[[#This Row],[Variable Cost %]]</f>
        <v>3304.7999999999997</v>
      </c>
      <c r="R32">
        <f>Final_Table[[#This Row],[Variable Cost]]+Final_Table[[#This Row],[Fixed Monthly Cost]]</f>
        <v>21304.799999999999</v>
      </c>
      <c r="S32" s="5">
        <f>Final_Table[[#This Row],[Net Revenue]]-Final_Table[[#This Row],[Total Cost (COGS)]]</f>
        <v>-2944.7999999999993</v>
      </c>
      <c r="T32">
        <f>Final_Table[[#This Row],[Gross Profit]]*Final_Table[[#This Row],[Tax Rate]]</f>
        <v>-883.43999999999971</v>
      </c>
      <c r="U32" s="5">
        <f>Final_Table[[#This Row],[Gross Profit]]-Final_Table[[#This Row],[Tax]]</f>
        <v>-2061.3599999999997</v>
      </c>
      <c r="V32" s="12">
        <f>Final_Table[[#This Row],[Net Profit]]/Final_Table[[#This Row],[Gross Revenue]]</f>
        <v>-0.10104705882352939</v>
      </c>
    </row>
    <row r="33" spans="1:22">
      <c r="A33" s="18" t="s">
        <v>70</v>
      </c>
      <c r="B33">
        <v>2013</v>
      </c>
      <c r="C33" t="s">
        <v>118</v>
      </c>
      <c r="D33">
        <v>1</v>
      </c>
      <c r="E33" s="18" t="s">
        <v>29</v>
      </c>
      <c r="F33" s="18" t="s">
        <v>108</v>
      </c>
      <c r="G33" s="18" t="s">
        <v>23</v>
      </c>
      <c r="H33" s="18" t="str">
        <f>Assumptions!$B$2</f>
        <v>Worst</v>
      </c>
      <c r="I33" s="18">
        <f>_xlfn.XLOOKUP(Assumptions!$B$2,Assumptions!$F$4:$H$4,Assumptions!$F$5:$H$5)</f>
        <v>1200</v>
      </c>
      <c r="J33" s="18">
        <f>_xlfn.XLOOKUP(Assumptions!$B$2,Assumptions!$F$4:$H$4,Assumptions!$F$6:$H$6)</f>
        <v>17</v>
      </c>
      <c r="K33" s="12">
        <f>_xlfn.XLOOKUP(Assumptions!$B$2,Assumptions!$F$4:$H$4,Assumptions!$F$8:$H$8)</f>
        <v>0.1</v>
      </c>
      <c r="L33" s="12">
        <f>_xlfn.XLOOKUP(Assumptions!$B$2,Assumptions!$F$4:$H$4,Assumptions!$F$9:$H$9)</f>
        <v>0.18</v>
      </c>
      <c r="M33" s="18">
        <f>_xlfn.XLOOKUP(Assumptions!$B$2,Assumptions!$F$4:$H$4,Assumptions!$F$10:$H$10)</f>
        <v>18000</v>
      </c>
      <c r="N33" s="12">
        <f>_xlfn.XLOOKUP(Assumptions!$B$2,Assumptions!$F$4:$H$4,Assumptions!$F$11:$H$11)</f>
        <v>0.3</v>
      </c>
      <c r="O33" s="14">
        <f>Final_Table[[#This Row],[Units Sold]]*Final_Table[[#This Row],[Sale Price]]</f>
        <v>20400</v>
      </c>
      <c r="P33" s="14">
        <f>Final_Table[[#This Row],[Gross Revenue]]*(1-Final_Table[[#This Row],[Discount %]])</f>
        <v>18360</v>
      </c>
      <c r="Q33">
        <f>Final_Table[[#This Row],[Net Revenue]]*Final_Table[[#This Row],[Variable Cost %]]</f>
        <v>3304.7999999999997</v>
      </c>
      <c r="R33">
        <f>Final_Table[[#This Row],[Variable Cost]]+Final_Table[[#This Row],[Fixed Monthly Cost]]</f>
        <v>21304.799999999999</v>
      </c>
      <c r="S33" s="5">
        <f>Final_Table[[#This Row],[Net Revenue]]-Final_Table[[#This Row],[Total Cost (COGS)]]</f>
        <v>-2944.7999999999993</v>
      </c>
      <c r="T33">
        <f>Final_Table[[#This Row],[Gross Profit]]*Final_Table[[#This Row],[Tax Rate]]</f>
        <v>-883.43999999999971</v>
      </c>
      <c r="U33" s="5">
        <f>Final_Table[[#This Row],[Gross Profit]]-Final_Table[[#This Row],[Tax]]</f>
        <v>-2061.3599999999997</v>
      </c>
      <c r="V33" s="12">
        <f>Final_Table[[#This Row],[Net Profit]]/Final_Table[[#This Row],[Gross Revenue]]</f>
        <v>-0.10104705882352939</v>
      </c>
    </row>
    <row r="34" spans="1:22">
      <c r="A34" s="18" t="s">
        <v>70</v>
      </c>
      <c r="B34">
        <v>2013</v>
      </c>
      <c r="C34" t="s">
        <v>118</v>
      </c>
      <c r="D34">
        <v>1</v>
      </c>
      <c r="E34" s="18" t="s">
        <v>29</v>
      </c>
      <c r="F34" s="18" t="s">
        <v>108</v>
      </c>
      <c r="G34" s="18" t="s">
        <v>21</v>
      </c>
      <c r="H34" s="18" t="str">
        <f>Assumptions!$B$2</f>
        <v>Worst</v>
      </c>
      <c r="I34" s="18">
        <f>_xlfn.XLOOKUP(Assumptions!$B$2,Assumptions!$F$4:$H$4,Assumptions!$F$5:$H$5)</f>
        <v>1200</v>
      </c>
      <c r="J34" s="18">
        <f>_xlfn.XLOOKUP(Assumptions!$B$2,Assumptions!$F$4:$H$4,Assumptions!$F$6:$H$6)</f>
        <v>17</v>
      </c>
      <c r="K34" s="12">
        <f>_xlfn.XLOOKUP(Assumptions!$B$2,Assumptions!$F$4:$H$4,Assumptions!$F$8:$H$8)</f>
        <v>0.1</v>
      </c>
      <c r="L34" s="12">
        <f>_xlfn.XLOOKUP(Assumptions!$B$2,Assumptions!$F$4:$H$4,Assumptions!$F$9:$H$9)</f>
        <v>0.18</v>
      </c>
      <c r="M34" s="18">
        <f>_xlfn.XLOOKUP(Assumptions!$B$2,Assumptions!$F$4:$H$4,Assumptions!$F$10:$H$10)</f>
        <v>18000</v>
      </c>
      <c r="N34" s="12">
        <f>_xlfn.XLOOKUP(Assumptions!$B$2,Assumptions!$F$4:$H$4,Assumptions!$F$11:$H$11)</f>
        <v>0.3</v>
      </c>
      <c r="O34" s="14">
        <f>Final_Table[[#This Row],[Units Sold]]*Final_Table[[#This Row],[Sale Price]]</f>
        <v>20400</v>
      </c>
      <c r="P34" s="14">
        <f>Final_Table[[#This Row],[Gross Revenue]]*(1-Final_Table[[#This Row],[Discount %]])</f>
        <v>18360</v>
      </c>
      <c r="Q34">
        <f>Final_Table[[#This Row],[Net Revenue]]*Final_Table[[#This Row],[Variable Cost %]]</f>
        <v>3304.7999999999997</v>
      </c>
      <c r="R34">
        <f>Final_Table[[#This Row],[Variable Cost]]+Final_Table[[#This Row],[Fixed Monthly Cost]]</f>
        <v>21304.799999999999</v>
      </c>
      <c r="S34" s="5">
        <f>Final_Table[[#This Row],[Net Revenue]]-Final_Table[[#This Row],[Total Cost (COGS)]]</f>
        <v>-2944.7999999999993</v>
      </c>
      <c r="T34">
        <f>Final_Table[[#This Row],[Gross Profit]]*Final_Table[[#This Row],[Tax Rate]]</f>
        <v>-883.43999999999971</v>
      </c>
      <c r="U34" s="5">
        <f>Final_Table[[#This Row],[Gross Profit]]-Final_Table[[#This Row],[Tax]]</f>
        <v>-2061.3599999999997</v>
      </c>
      <c r="V34" s="12">
        <f>Final_Table[[#This Row],[Net Profit]]/Final_Table[[#This Row],[Gross Revenue]]</f>
        <v>-0.10104705882352939</v>
      </c>
    </row>
    <row r="35" spans="1:22">
      <c r="A35" s="18" t="s">
        <v>70</v>
      </c>
      <c r="B35">
        <v>2013</v>
      </c>
      <c r="C35" t="s">
        <v>118</v>
      </c>
      <c r="D35">
        <v>1</v>
      </c>
      <c r="E35" s="18" t="s">
        <v>29</v>
      </c>
      <c r="F35" s="18" t="s">
        <v>108</v>
      </c>
      <c r="G35" s="18" t="s">
        <v>25</v>
      </c>
      <c r="H35" s="18" t="str">
        <f>Assumptions!$B$2</f>
        <v>Worst</v>
      </c>
      <c r="I35" s="18">
        <f>_xlfn.XLOOKUP(Assumptions!$B$2,Assumptions!$F$4:$H$4,Assumptions!$F$5:$H$5)</f>
        <v>1200</v>
      </c>
      <c r="J35" s="18">
        <f>_xlfn.XLOOKUP(Assumptions!$B$2,Assumptions!$F$4:$H$4,Assumptions!$F$6:$H$6)</f>
        <v>17</v>
      </c>
      <c r="K35" s="12">
        <f>_xlfn.XLOOKUP(Assumptions!$B$2,Assumptions!$F$4:$H$4,Assumptions!$F$8:$H$8)</f>
        <v>0.1</v>
      </c>
      <c r="L35" s="12">
        <f>_xlfn.XLOOKUP(Assumptions!$B$2,Assumptions!$F$4:$H$4,Assumptions!$F$9:$H$9)</f>
        <v>0.18</v>
      </c>
      <c r="M35" s="18">
        <f>_xlfn.XLOOKUP(Assumptions!$B$2,Assumptions!$F$4:$H$4,Assumptions!$F$10:$H$10)</f>
        <v>18000</v>
      </c>
      <c r="N35" s="12">
        <f>_xlfn.XLOOKUP(Assumptions!$B$2,Assumptions!$F$4:$H$4,Assumptions!$F$11:$H$11)</f>
        <v>0.3</v>
      </c>
      <c r="O35" s="14">
        <f>Final_Table[[#This Row],[Units Sold]]*Final_Table[[#This Row],[Sale Price]]</f>
        <v>20400</v>
      </c>
      <c r="P35" s="14">
        <f>Final_Table[[#This Row],[Gross Revenue]]*(1-Final_Table[[#This Row],[Discount %]])</f>
        <v>18360</v>
      </c>
      <c r="Q35">
        <f>Final_Table[[#This Row],[Net Revenue]]*Final_Table[[#This Row],[Variable Cost %]]</f>
        <v>3304.7999999999997</v>
      </c>
      <c r="R35">
        <f>Final_Table[[#This Row],[Variable Cost]]+Final_Table[[#This Row],[Fixed Monthly Cost]]</f>
        <v>21304.799999999999</v>
      </c>
      <c r="S35" s="5">
        <f>Final_Table[[#This Row],[Net Revenue]]-Final_Table[[#This Row],[Total Cost (COGS)]]</f>
        <v>-2944.7999999999993</v>
      </c>
      <c r="T35">
        <f>Final_Table[[#This Row],[Gross Profit]]*Final_Table[[#This Row],[Tax Rate]]</f>
        <v>-883.43999999999971</v>
      </c>
      <c r="U35" s="5">
        <f>Final_Table[[#This Row],[Gross Profit]]-Final_Table[[#This Row],[Tax]]</f>
        <v>-2061.3599999999997</v>
      </c>
      <c r="V35" s="12">
        <f>Final_Table[[#This Row],[Net Profit]]/Final_Table[[#This Row],[Gross Revenue]]</f>
        <v>-0.10104705882352939</v>
      </c>
    </row>
    <row r="36" spans="1:22">
      <c r="A36" s="18" t="s">
        <v>70</v>
      </c>
      <c r="B36">
        <v>2013</v>
      </c>
      <c r="C36" t="s">
        <v>118</v>
      </c>
      <c r="D36">
        <v>1</v>
      </c>
      <c r="E36" s="18" t="s">
        <v>29</v>
      </c>
      <c r="F36" s="18" t="s">
        <v>108</v>
      </c>
      <c r="G36" s="18" t="s">
        <v>17</v>
      </c>
      <c r="H36" s="18" t="str">
        <f>Assumptions!$B$2</f>
        <v>Worst</v>
      </c>
      <c r="I36" s="18">
        <f>_xlfn.XLOOKUP(Assumptions!$B$2,Assumptions!$F$4:$H$4,Assumptions!$F$5:$H$5)</f>
        <v>1200</v>
      </c>
      <c r="J36" s="18">
        <f>_xlfn.XLOOKUP(Assumptions!$B$2,Assumptions!$F$4:$H$4,Assumptions!$F$6:$H$6)</f>
        <v>17</v>
      </c>
      <c r="K36" s="12">
        <f>_xlfn.XLOOKUP(Assumptions!$B$2,Assumptions!$F$4:$H$4,Assumptions!$F$8:$H$8)</f>
        <v>0.1</v>
      </c>
      <c r="L36" s="12">
        <f>_xlfn.XLOOKUP(Assumptions!$B$2,Assumptions!$F$4:$H$4,Assumptions!$F$9:$H$9)</f>
        <v>0.18</v>
      </c>
      <c r="M36" s="18">
        <f>_xlfn.XLOOKUP(Assumptions!$B$2,Assumptions!$F$4:$H$4,Assumptions!$F$10:$H$10)</f>
        <v>18000</v>
      </c>
      <c r="N36" s="12">
        <f>_xlfn.XLOOKUP(Assumptions!$B$2,Assumptions!$F$4:$H$4,Assumptions!$F$11:$H$11)</f>
        <v>0.3</v>
      </c>
      <c r="O36" s="14">
        <f>Final_Table[[#This Row],[Units Sold]]*Final_Table[[#This Row],[Sale Price]]</f>
        <v>20400</v>
      </c>
      <c r="P36" s="14">
        <f>Final_Table[[#This Row],[Gross Revenue]]*(1-Final_Table[[#This Row],[Discount %]])</f>
        <v>18360</v>
      </c>
      <c r="Q36">
        <f>Final_Table[[#This Row],[Net Revenue]]*Final_Table[[#This Row],[Variable Cost %]]</f>
        <v>3304.7999999999997</v>
      </c>
      <c r="R36">
        <f>Final_Table[[#This Row],[Variable Cost]]+Final_Table[[#This Row],[Fixed Monthly Cost]]</f>
        <v>21304.799999999999</v>
      </c>
      <c r="S36" s="5">
        <f>Final_Table[[#This Row],[Net Revenue]]-Final_Table[[#This Row],[Total Cost (COGS)]]</f>
        <v>-2944.7999999999993</v>
      </c>
      <c r="T36">
        <f>Final_Table[[#This Row],[Gross Profit]]*Final_Table[[#This Row],[Tax Rate]]</f>
        <v>-883.43999999999971</v>
      </c>
      <c r="U36" s="5">
        <f>Final_Table[[#This Row],[Gross Profit]]-Final_Table[[#This Row],[Tax]]</f>
        <v>-2061.3599999999997</v>
      </c>
      <c r="V36" s="12">
        <f>Final_Table[[#This Row],[Net Profit]]/Final_Table[[#This Row],[Gross Revenue]]</f>
        <v>-0.10104705882352939</v>
      </c>
    </row>
    <row r="37" spans="1:22">
      <c r="A37" s="18" t="s">
        <v>70</v>
      </c>
      <c r="B37">
        <v>2013</v>
      </c>
      <c r="C37" t="s">
        <v>118</v>
      </c>
      <c r="D37">
        <v>1</v>
      </c>
      <c r="E37" s="18" t="s">
        <v>29</v>
      </c>
      <c r="F37" s="18" t="s">
        <v>112</v>
      </c>
      <c r="G37" s="18" t="s">
        <v>36</v>
      </c>
      <c r="H37" s="18" t="str">
        <f>Assumptions!$B$2</f>
        <v>Worst</v>
      </c>
      <c r="I37" s="18">
        <f>_xlfn.XLOOKUP(Assumptions!$B$2,Assumptions!$F$4:$H$4,Assumptions!$F$5:$H$5)</f>
        <v>1200</v>
      </c>
      <c r="J37" s="18">
        <f>_xlfn.XLOOKUP(Assumptions!$B$2,Assumptions!$F$4:$H$4,Assumptions!$F$6:$H$6)</f>
        <v>17</v>
      </c>
      <c r="K37" s="12">
        <f>_xlfn.XLOOKUP(Assumptions!$B$2,Assumptions!$F$4:$H$4,Assumptions!$F$8:$H$8)</f>
        <v>0.1</v>
      </c>
      <c r="L37" s="12">
        <f>_xlfn.XLOOKUP(Assumptions!$B$2,Assumptions!$F$4:$H$4,Assumptions!$F$9:$H$9)</f>
        <v>0.18</v>
      </c>
      <c r="M37" s="18">
        <f>_xlfn.XLOOKUP(Assumptions!$B$2,Assumptions!$F$4:$H$4,Assumptions!$F$10:$H$10)</f>
        <v>18000</v>
      </c>
      <c r="N37" s="12">
        <f>_xlfn.XLOOKUP(Assumptions!$B$2,Assumptions!$F$4:$H$4,Assumptions!$F$11:$H$11)</f>
        <v>0.3</v>
      </c>
      <c r="O37" s="14">
        <f>Final_Table[[#This Row],[Units Sold]]*Final_Table[[#This Row],[Sale Price]]</f>
        <v>20400</v>
      </c>
      <c r="P37" s="14">
        <f>Final_Table[[#This Row],[Gross Revenue]]*(1-Final_Table[[#This Row],[Discount %]])</f>
        <v>18360</v>
      </c>
      <c r="Q37">
        <f>Final_Table[[#This Row],[Net Revenue]]*Final_Table[[#This Row],[Variable Cost %]]</f>
        <v>3304.7999999999997</v>
      </c>
      <c r="R37">
        <f>Final_Table[[#This Row],[Variable Cost]]+Final_Table[[#This Row],[Fixed Monthly Cost]]</f>
        <v>21304.799999999999</v>
      </c>
      <c r="S37" s="5">
        <f>Final_Table[[#This Row],[Net Revenue]]-Final_Table[[#This Row],[Total Cost (COGS)]]</f>
        <v>-2944.7999999999993</v>
      </c>
      <c r="T37">
        <f>Final_Table[[#This Row],[Gross Profit]]*Final_Table[[#This Row],[Tax Rate]]</f>
        <v>-883.43999999999971</v>
      </c>
      <c r="U37" s="5">
        <f>Final_Table[[#This Row],[Gross Profit]]-Final_Table[[#This Row],[Tax]]</f>
        <v>-2061.3599999999997</v>
      </c>
      <c r="V37" s="12">
        <f>Final_Table[[#This Row],[Net Profit]]/Final_Table[[#This Row],[Gross Revenue]]</f>
        <v>-0.10104705882352939</v>
      </c>
    </row>
    <row r="38" spans="1:22">
      <c r="A38" s="18" t="s">
        <v>70</v>
      </c>
      <c r="B38">
        <v>2013</v>
      </c>
      <c r="C38" t="s">
        <v>118</v>
      </c>
      <c r="D38">
        <v>1</v>
      </c>
      <c r="E38" s="18" t="s">
        <v>29</v>
      </c>
      <c r="F38" s="18" t="s">
        <v>112</v>
      </c>
      <c r="G38" s="18" t="s">
        <v>23</v>
      </c>
      <c r="H38" s="18" t="str">
        <f>Assumptions!$B$2</f>
        <v>Worst</v>
      </c>
      <c r="I38" s="18">
        <f>_xlfn.XLOOKUP(Assumptions!$B$2,Assumptions!$F$4:$H$4,Assumptions!$F$5:$H$5)</f>
        <v>1200</v>
      </c>
      <c r="J38" s="18">
        <f>_xlfn.XLOOKUP(Assumptions!$B$2,Assumptions!$F$4:$H$4,Assumptions!$F$6:$H$6)</f>
        <v>17</v>
      </c>
      <c r="K38" s="12">
        <f>_xlfn.XLOOKUP(Assumptions!$B$2,Assumptions!$F$4:$H$4,Assumptions!$F$8:$H$8)</f>
        <v>0.1</v>
      </c>
      <c r="L38" s="12">
        <f>_xlfn.XLOOKUP(Assumptions!$B$2,Assumptions!$F$4:$H$4,Assumptions!$F$9:$H$9)</f>
        <v>0.18</v>
      </c>
      <c r="M38" s="18">
        <f>_xlfn.XLOOKUP(Assumptions!$B$2,Assumptions!$F$4:$H$4,Assumptions!$F$10:$H$10)</f>
        <v>18000</v>
      </c>
      <c r="N38" s="12">
        <f>_xlfn.XLOOKUP(Assumptions!$B$2,Assumptions!$F$4:$H$4,Assumptions!$F$11:$H$11)</f>
        <v>0.3</v>
      </c>
      <c r="O38" s="14">
        <f>Final_Table[[#This Row],[Units Sold]]*Final_Table[[#This Row],[Sale Price]]</f>
        <v>20400</v>
      </c>
      <c r="P38" s="14">
        <f>Final_Table[[#This Row],[Gross Revenue]]*(1-Final_Table[[#This Row],[Discount %]])</f>
        <v>18360</v>
      </c>
      <c r="Q38">
        <f>Final_Table[[#This Row],[Net Revenue]]*Final_Table[[#This Row],[Variable Cost %]]</f>
        <v>3304.7999999999997</v>
      </c>
      <c r="R38">
        <f>Final_Table[[#This Row],[Variable Cost]]+Final_Table[[#This Row],[Fixed Monthly Cost]]</f>
        <v>21304.799999999999</v>
      </c>
      <c r="S38" s="5">
        <f>Final_Table[[#This Row],[Net Revenue]]-Final_Table[[#This Row],[Total Cost (COGS)]]</f>
        <v>-2944.7999999999993</v>
      </c>
      <c r="T38">
        <f>Final_Table[[#This Row],[Gross Profit]]*Final_Table[[#This Row],[Tax Rate]]</f>
        <v>-883.43999999999971</v>
      </c>
      <c r="U38" s="5">
        <f>Final_Table[[#This Row],[Gross Profit]]-Final_Table[[#This Row],[Tax]]</f>
        <v>-2061.3599999999997</v>
      </c>
      <c r="V38" s="12">
        <f>Final_Table[[#This Row],[Net Profit]]/Final_Table[[#This Row],[Gross Revenue]]</f>
        <v>-0.10104705882352939</v>
      </c>
    </row>
    <row r="39" spans="1:22">
      <c r="A39" s="18" t="s">
        <v>70</v>
      </c>
      <c r="B39">
        <v>2013</v>
      </c>
      <c r="C39" t="s">
        <v>118</v>
      </c>
      <c r="D39">
        <v>1</v>
      </c>
      <c r="E39" s="18" t="s">
        <v>29</v>
      </c>
      <c r="F39" s="18" t="s">
        <v>112</v>
      </c>
      <c r="G39" s="18" t="s">
        <v>21</v>
      </c>
      <c r="H39" s="18" t="str">
        <f>Assumptions!$B$2</f>
        <v>Worst</v>
      </c>
      <c r="I39" s="18">
        <f>_xlfn.XLOOKUP(Assumptions!$B$2,Assumptions!$F$4:$H$4,Assumptions!$F$5:$H$5)</f>
        <v>1200</v>
      </c>
      <c r="J39" s="18">
        <f>_xlfn.XLOOKUP(Assumptions!$B$2,Assumptions!$F$4:$H$4,Assumptions!$F$6:$H$6)</f>
        <v>17</v>
      </c>
      <c r="K39" s="12">
        <f>_xlfn.XLOOKUP(Assumptions!$B$2,Assumptions!$F$4:$H$4,Assumptions!$F$8:$H$8)</f>
        <v>0.1</v>
      </c>
      <c r="L39" s="12">
        <f>_xlfn.XLOOKUP(Assumptions!$B$2,Assumptions!$F$4:$H$4,Assumptions!$F$9:$H$9)</f>
        <v>0.18</v>
      </c>
      <c r="M39" s="18">
        <f>_xlfn.XLOOKUP(Assumptions!$B$2,Assumptions!$F$4:$H$4,Assumptions!$F$10:$H$10)</f>
        <v>18000</v>
      </c>
      <c r="N39" s="12">
        <f>_xlfn.XLOOKUP(Assumptions!$B$2,Assumptions!$F$4:$H$4,Assumptions!$F$11:$H$11)</f>
        <v>0.3</v>
      </c>
      <c r="O39" s="14">
        <f>Final_Table[[#This Row],[Units Sold]]*Final_Table[[#This Row],[Sale Price]]</f>
        <v>20400</v>
      </c>
      <c r="P39" s="14">
        <f>Final_Table[[#This Row],[Gross Revenue]]*(1-Final_Table[[#This Row],[Discount %]])</f>
        <v>18360</v>
      </c>
      <c r="Q39">
        <f>Final_Table[[#This Row],[Net Revenue]]*Final_Table[[#This Row],[Variable Cost %]]</f>
        <v>3304.7999999999997</v>
      </c>
      <c r="R39">
        <f>Final_Table[[#This Row],[Variable Cost]]+Final_Table[[#This Row],[Fixed Monthly Cost]]</f>
        <v>21304.799999999999</v>
      </c>
      <c r="S39" s="5">
        <f>Final_Table[[#This Row],[Net Revenue]]-Final_Table[[#This Row],[Total Cost (COGS)]]</f>
        <v>-2944.7999999999993</v>
      </c>
      <c r="T39">
        <f>Final_Table[[#This Row],[Gross Profit]]*Final_Table[[#This Row],[Tax Rate]]</f>
        <v>-883.43999999999971</v>
      </c>
      <c r="U39" s="5">
        <f>Final_Table[[#This Row],[Gross Profit]]-Final_Table[[#This Row],[Tax]]</f>
        <v>-2061.3599999999997</v>
      </c>
      <c r="V39" s="12">
        <f>Final_Table[[#This Row],[Net Profit]]/Final_Table[[#This Row],[Gross Revenue]]</f>
        <v>-0.10104705882352939</v>
      </c>
    </row>
    <row r="40" spans="1:22">
      <c r="A40" s="18" t="s">
        <v>70</v>
      </c>
      <c r="B40">
        <v>2013</v>
      </c>
      <c r="C40" t="s">
        <v>118</v>
      </c>
      <c r="D40">
        <v>1</v>
      </c>
      <c r="E40" s="18" t="s">
        <v>29</v>
      </c>
      <c r="F40" s="18" t="s">
        <v>112</v>
      </c>
      <c r="G40" s="18" t="s">
        <v>25</v>
      </c>
      <c r="H40" s="18" t="str">
        <f>Assumptions!$B$2</f>
        <v>Worst</v>
      </c>
      <c r="I40" s="18">
        <f>_xlfn.XLOOKUP(Assumptions!$B$2,Assumptions!$F$4:$H$4,Assumptions!$F$5:$H$5)</f>
        <v>1200</v>
      </c>
      <c r="J40" s="18">
        <f>_xlfn.XLOOKUP(Assumptions!$B$2,Assumptions!$F$4:$H$4,Assumptions!$F$6:$H$6)</f>
        <v>17</v>
      </c>
      <c r="K40" s="12">
        <f>_xlfn.XLOOKUP(Assumptions!$B$2,Assumptions!$F$4:$H$4,Assumptions!$F$8:$H$8)</f>
        <v>0.1</v>
      </c>
      <c r="L40" s="12">
        <f>_xlfn.XLOOKUP(Assumptions!$B$2,Assumptions!$F$4:$H$4,Assumptions!$F$9:$H$9)</f>
        <v>0.18</v>
      </c>
      <c r="M40" s="18">
        <f>_xlfn.XLOOKUP(Assumptions!$B$2,Assumptions!$F$4:$H$4,Assumptions!$F$10:$H$10)</f>
        <v>18000</v>
      </c>
      <c r="N40" s="12">
        <f>_xlfn.XLOOKUP(Assumptions!$B$2,Assumptions!$F$4:$H$4,Assumptions!$F$11:$H$11)</f>
        <v>0.3</v>
      </c>
      <c r="O40" s="14">
        <f>Final_Table[[#This Row],[Units Sold]]*Final_Table[[#This Row],[Sale Price]]</f>
        <v>20400</v>
      </c>
      <c r="P40" s="14">
        <f>Final_Table[[#This Row],[Gross Revenue]]*(1-Final_Table[[#This Row],[Discount %]])</f>
        <v>18360</v>
      </c>
      <c r="Q40">
        <f>Final_Table[[#This Row],[Net Revenue]]*Final_Table[[#This Row],[Variable Cost %]]</f>
        <v>3304.7999999999997</v>
      </c>
      <c r="R40">
        <f>Final_Table[[#This Row],[Variable Cost]]+Final_Table[[#This Row],[Fixed Monthly Cost]]</f>
        <v>21304.799999999999</v>
      </c>
      <c r="S40" s="5">
        <f>Final_Table[[#This Row],[Net Revenue]]-Final_Table[[#This Row],[Total Cost (COGS)]]</f>
        <v>-2944.7999999999993</v>
      </c>
      <c r="T40">
        <f>Final_Table[[#This Row],[Gross Profit]]*Final_Table[[#This Row],[Tax Rate]]</f>
        <v>-883.43999999999971</v>
      </c>
      <c r="U40" s="5">
        <f>Final_Table[[#This Row],[Gross Profit]]-Final_Table[[#This Row],[Tax]]</f>
        <v>-2061.3599999999997</v>
      </c>
      <c r="V40" s="12">
        <f>Final_Table[[#This Row],[Net Profit]]/Final_Table[[#This Row],[Gross Revenue]]</f>
        <v>-0.10104705882352939</v>
      </c>
    </row>
    <row r="41" spans="1:22">
      <c r="A41" s="18" t="s">
        <v>70</v>
      </c>
      <c r="B41">
        <v>2013</v>
      </c>
      <c r="C41" t="s">
        <v>118</v>
      </c>
      <c r="D41">
        <v>1</v>
      </c>
      <c r="E41" s="18" t="s">
        <v>29</v>
      </c>
      <c r="F41" s="18" t="s">
        <v>112</v>
      </c>
      <c r="G41" s="18" t="s">
        <v>17</v>
      </c>
      <c r="H41" s="18" t="str">
        <f>Assumptions!$B$2</f>
        <v>Worst</v>
      </c>
      <c r="I41" s="18">
        <f>_xlfn.XLOOKUP(Assumptions!$B$2,Assumptions!$F$4:$H$4,Assumptions!$F$5:$H$5)</f>
        <v>1200</v>
      </c>
      <c r="J41" s="18">
        <f>_xlfn.XLOOKUP(Assumptions!$B$2,Assumptions!$F$4:$H$4,Assumptions!$F$6:$H$6)</f>
        <v>17</v>
      </c>
      <c r="K41" s="12">
        <f>_xlfn.XLOOKUP(Assumptions!$B$2,Assumptions!$F$4:$H$4,Assumptions!$F$8:$H$8)</f>
        <v>0.1</v>
      </c>
      <c r="L41" s="12">
        <f>_xlfn.XLOOKUP(Assumptions!$B$2,Assumptions!$F$4:$H$4,Assumptions!$F$9:$H$9)</f>
        <v>0.18</v>
      </c>
      <c r="M41" s="18">
        <f>_xlfn.XLOOKUP(Assumptions!$B$2,Assumptions!$F$4:$H$4,Assumptions!$F$10:$H$10)</f>
        <v>18000</v>
      </c>
      <c r="N41" s="12">
        <f>_xlfn.XLOOKUP(Assumptions!$B$2,Assumptions!$F$4:$H$4,Assumptions!$F$11:$H$11)</f>
        <v>0.3</v>
      </c>
      <c r="O41" s="14">
        <f>Final_Table[[#This Row],[Units Sold]]*Final_Table[[#This Row],[Sale Price]]</f>
        <v>20400</v>
      </c>
      <c r="P41" s="14">
        <f>Final_Table[[#This Row],[Gross Revenue]]*(1-Final_Table[[#This Row],[Discount %]])</f>
        <v>18360</v>
      </c>
      <c r="Q41">
        <f>Final_Table[[#This Row],[Net Revenue]]*Final_Table[[#This Row],[Variable Cost %]]</f>
        <v>3304.7999999999997</v>
      </c>
      <c r="R41">
        <f>Final_Table[[#This Row],[Variable Cost]]+Final_Table[[#This Row],[Fixed Monthly Cost]]</f>
        <v>21304.799999999999</v>
      </c>
      <c r="S41" s="5">
        <f>Final_Table[[#This Row],[Net Revenue]]-Final_Table[[#This Row],[Total Cost (COGS)]]</f>
        <v>-2944.7999999999993</v>
      </c>
      <c r="T41">
        <f>Final_Table[[#This Row],[Gross Profit]]*Final_Table[[#This Row],[Tax Rate]]</f>
        <v>-883.43999999999971</v>
      </c>
      <c r="U41" s="5">
        <f>Final_Table[[#This Row],[Gross Profit]]-Final_Table[[#This Row],[Tax]]</f>
        <v>-2061.3599999999997</v>
      </c>
      <c r="V41" s="12">
        <f>Final_Table[[#This Row],[Net Profit]]/Final_Table[[#This Row],[Gross Revenue]]</f>
        <v>-0.10104705882352939</v>
      </c>
    </row>
    <row r="42" spans="1:22">
      <c r="A42" s="18" t="s">
        <v>70</v>
      </c>
      <c r="B42">
        <v>2013</v>
      </c>
      <c r="C42" t="s">
        <v>118</v>
      </c>
      <c r="D42">
        <v>1</v>
      </c>
      <c r="E42" s="18" t="s">
        <v>29</v>
      </c>
      <c r="F42" s="18" t="s">
        <v>113</v>
      </c>
      <c r="G42" s="18" t="s">
        <v>36</v>
      </c>
      <c r="H42" s="18" t="str">
        <f>Assumptions!$B$2</f>
        <v>Worst</v>
      </c>
      <c r="I42" s="18">
        <f>_xlfn.XLOOKUP(Assumptions!$B$2,Assumptions!$F$4:$H$4,Assumptions!$F$5:$H$5)</f>
        <v>1200</v>
      </c>
      <c r="J42" s="18">
        <f>_xlfn.XLOOKUP(Assumptions!$B$2,Assumptions!$F$4:$H$4,Assumptions!$F$6:$H$6)</f>
        <v>17</v>
      </c>
      <c r="K42" s="12">
        <f>_xlfn.XLOOKUP(Assumptions!$B$2,Assumptions!$F$4:$H$4,Assumptions!$F$8:$H$8)</f>
        <v>0.1</v>
      </c>
      <c r="L42" s="12">
        <f>_xlfn.XLOOKUP(Assumptions!$B$2,Assumptions!$F$4:$H$4,Assumptions!$F$9:$H$9)</f>
        <v>0.18</v>
      </c>
      <c r="M42" s="18">
        <f>_xlfn.XLOOKUP(Assumptions!$B$2,Assumptions!$F$4:$H$4,Assumptions!$F$10:$H$10)</f>
        <v>18000</v>
      </c>
      <c r="N42" s="12">
        <f>_xlfn.XLOOKUP(Assumptions!$B$2,Assumptions!$F$4:$H$4,Assumptions!$F$11:$H$11)</f>
        <v>0.3</v>
      </c>
      <c r="O42" s="14">
        <f>Final_Table[[#This Row],[Units Sold]]*Final_Table[[#This Row],[Sale Price]]</f>
        <v>20400</v>
      </c>
      <c r="P42" s="14">
        <f>Final_Table[[#This Row],[Gross Revenue]]*(1-Final_Table[[#This Row],[Discount %]])</f>
        <v>18360</v>
      </c>
      <c r="Q42">
        <f>Final_Table[[#This Row],[Net Revenue]]*Final_Table[[#This Row],[Variable Cost %]]</f>
        <v>3304.7999999999997</v>
      </c>
      <c r="R42">
        <f>Final_Table[[#This Row],[Variable Cost]]+Final_Table[[#This Row],[Fixed Monthly Cost]]</f>
        <v>21304.799999999999</v>
      </c>
      <c r="S42" s="5">
        <f>Final_Table[[#This Row],[Net Revenue]]-Final_Table[[#This Row],[Total Cost (COGS)]]</f>
        <v>-2944.7999999999993</v>
      </c>
      <c r="T42">
        <f>Final_Table[[#This Row],[Gross Profit]]*Final_Table[[#This Row],[Tax Rate]]</f>
        <v>-883.43999999999971</v>
      </c>
      <c r="U42" s="5">
        <f>Final_Table[[#This Row],[Gross Profit]]-Final_Table[[#This Row],[Tax]]</f>
        <v>-2061.3599999999997</v>
      </c>
      <c r="V42" s="12">
        <f>Final_Table[[#This Row],[Net Profit]]/Final_Table[[#This Row],[Gross Revenue]]</f>
        <v>-0.10104705882352939</v>
      </c>
    </row>
    <row r="43" spans="1:22">
      <c r="A43" s="18" t="s">
        <v>70</v>
      </c>
      <c r="B43">
        <v>2013</v>
      </c>
      <c r="C43" t="s">
        <v>118</v>
      </c>
      <c r="D43">
        <v>1</v>
      </c>
      <c r="E43" s="18" t="s">
        <v>29</v>
      </c>
      <c r="F43" s="18" t="s">
        <v>113</v>
      </c>
      <c r="G43" s="18" t="s">
        <v>23</v>
      </c>
      <c r="H43" s="18" t="str">
        <f>Assumptions!$B$2</f>
        <v>Worst</v>
      </c>
      <c r="I43" s="18">
        <f>_xlfn.XLOOKUP(Assumptions!$B$2,Assumptions!$F$4:$H$4,Assumptions!$F$5:$H$5)</f>
        <v>1200</v>
      </c>
      <c r="J43" s="18">
        <f>_xlfn.XLOOKUP(Assumptions!$B$2,Assumptions!$F$4:$H$4,Assumptions!$F$6:$H$6)</f>
        <v>17</v>
      </c>
      <c r="K43" s="12">
        <f>_xlfn.XLOOKUP(Assumptions!$B$2,Assumptions!$F$4:$H$4,Assumptions!$F$8:$H$8)</f>
        <v>0.1</v>
      </c>
      <c r="L43" s="12">
        <f>_xlfn.XLOOKUP(Assumptions!$B$2,Assumptions!$F$4:$H$4,Assumptions!$F$9:$H$9)</f>
        <v>0.18</v>
      </c>
      <c r="M43" s="18">
        <f>_xlfn.XLOOKUP(Assumptions!$B$2,Assumptions!$F$4:$H$4,Assumptions!$F$10:$H$10)</f>
        <v>18000</v>
      </c>
      <c r="N43" s="12">
        <f>_xlfn.XLOOKUP(Assumptions!$B$2,Assumptions!$F$4:$H$4,Assumptions!$F$11:$H$11)</f>
        <v>0.3</v>
      </c>
      <c r="O43" s="14">
        <f>Final_Table[[#This Row],[Units Sold]]*Final_Table[[#This Row],[Sale Price]]</f>
        <v>20400</v>
      </c>
      <c r="P43" s="14">
        <f>Final_Table[[#This Row],[Gross Revenue]]*(1-Final_Table[[#This Row],[Discount %]])</f>
        <v>18360</v>
      </c>
      <c r="Q43">
        <f>Final_Table[[#This Row],[Net Revenue]]*Final_Table[[#This Row],[Variable Cost %]]</f>
        <v>3304.7999999999997</v>
      </c>
      <c r="R43">
        <f>Final_Table[[#This Row],[Variable Cost]]+Final_Table[[#This Row],[Fixed Monthly Cost]]</f>
        <v>21304.799999999999</v>
      </c>
      <c r="S43" s="5">
        <f>Final_Table[[#This Row],[Net Revenue]]-Final_Table[[#This Row],[Total Cost (COGS)]]</f>
        <v>-2944.7999999999993</v>
      </c>
      <c r="T43">
        <f>Final_Table[[#This Row],[Gross Profit]]*Final_Table[[#This Row],[Tax Rate]]</f>
        <v>-883.43999999999971</v>
      </c>
      <c r="U43" s="5">
        <f>Final_Table[[#This Row],[Gross Profit]]-Final_Table[[#This Row],[Tax]]</f>
        <v>-2061.3599999999997</v>
      </c>
      <c r="V43" s="12">
        <f>Final_Table[[#This Row],[Net Profit]]/Final_Table[[#This Row],[Gross Revenue]]</f>
        <v>-0.10104705882352939</v>
      </c>
    </row>
    <row r="44" spans="1:22">
      <c r="A44" s="18" t="s">
        <v>70</v>
      </c>
      <c r="B44">
        <v>2013</v>
      </c>
      <c r="C44" t="s">
        <v>118</v>
      </c>
      <c r="D44">
        <v>1</v>
      </c>
      <c r="E44" s="18" t="s">
        <v>29</v>
      </c>
      <c r="F44" s="18" t="s">
        <v>113</v>
      </c>
      <c r="G44" s="18" t="s">
        <v>21</v>
      </c>
      <c r="H44" s="18" t="str">
        <f>Assumptions!$B$2</f>
        <v>Worst</v>
      </c>
      <c r="I44" s="18">
        <f>_xlfn.XLOOKUP(Assumptions!$B$2,Assumptions!$F$4:$H$4,Assumptions!$F$5:$H$5)</f>
        <v>1200</v>
      </c>
      <c r="J44" s="18">
        <f>_xlfn.XLOOKUP(Assumptions!$B$2,Assumptions!$F$4:$H$4,Assumptions!$F$6:$H$6)</f>
        <v>17</v>
      </c>
      <c r="K44" s="12">
        <f>_xlfn.XLOOKUP(Assumptions!$B$2,Assumptions!$F$4:$H$4,Assumptions!$F$8:$H$8)</f>
        <v>0.1</v>
      </c>
      <c r="L44" s="12">
        <f>_xlfn.XLOOKUP(Assumptions!$B$2,Assumptions!$F$4:$H$4,Assumptions!$F$9:$H$9)</f>
        <v>0.18</v>
      </c>
      <c r="M44" s="18">
        <f>_xlfn.XLOOKUP(Assumptions!$B$2,Assumptions!$F$4:$H$4,Assumptions!$F$10:$H$10)</f>
        <v>18000</v>
      </c>
      <c r="N44" s="12">
        <f>_xlfn.XLOOKUP(Assumptions!$B$2,Assumptions!$F$4:$H$4,Assumptions!$F$11:$H$11)</f>
        <v>0.3</v>
      </c>
      <c r="O44" s="14">
        <f>Final_Table[[#This Row],[Units Sold]]*Final_Table[[#This Row],[Sale Price]]</f>
        <v>20400</v>
      </c>
      <c r="P44" s="14">
        <f>Final_Table[[#This Row],[Gross Revenue]]*(1-Final_Table[[#This Row],[Discount %]])</f>
        <v>18360</v>
      </c>
      <c r="Q44">
        <f>Final_Table[[#This Row],[Net Revenue]]*Final_Table[[#This Row],[Variable Cost %]]</f>
        <v>3304.7999999999997</v>
      </c>
      <c r="R44">
        <f>Final_Table[[#This Row],[Variable Cost]]+Final_Table[[#This Row],[Fixed Monthly Cost]]</f>
        <v>21304.799999999999</v>
      </c>
      <c r="S44" s="5">
        <f>Final_Table[[#This Row],[Net Revenue]]-Final_Table[[#This Row],[Total Cost (COGS)]]</f>
        <v>-2944.7999999999993</v>
      </c>
      <c r="T44">
        <f>Final_Table[[#This Row],[Gross Profit]]*Final_Table[[#This Row],[Tax Rate]]</f>
        <v>-883.43999999999971</v>
      </c>
      <c r="U44" s="5">
        <f>Final_Table[[#This Row],[Gross Profit]]-Final_Table[[#This Row],[Tax]]</f>
        <v>-2061.3599999999997</v>
      </c>
      <c r="V44" s="12">
        <f>Final_Table[[#This Row],[Net Profit]]/Final_Table[[#This Row],[Gross Revenue]]</f>
        <v>-0.10104705882352939</v>
      </c>
    </row>
    <row r="45" spans="1:22">
      <c r="A45" s="18" t="s">
        <v>70</v>
      </c>
      <c r="B45">
        <v>2013</v>
      </c>
      <c r="C45" t="s">
        <v>118</v>
      </c>
      <c r="D45">
        <v>1</v>
      </c>
      <c r="E45" s="18" t="s">
        <v>29</v>
      </c>
      <c r="F45" s="18" t="s">
        <v>113</v>
      </c>
      <c r="G45" s="18" t="s">
        <v>25</v>
      </c>
      <c r="H45" s="18" t="str">
        <f>Assumptions!$B$2</f>
        <v>Worst</v>
      </c>
      <c r="I45" s="18">
        <f>_xlfn.XLOOKUP(Assumptions!$B$2,Assumptions!$F$4:$H$4,Assumptions!$F$5:$H$5)</f>
        <v>1200</v>
      </c>
      <c r="J45" s="18">
        <f>_xlfn.XLOOKUP(Assumptions!$B$2,Assumptions!$F$4:$H$4,Assumptions!$F$6:$H$6)</f>
        <v>17</v>
      </c>
      <c r="K45" s="12">
        <f>_xlfn.XLOOKUP(Assumptions!$B$2,Assumptions!$F$4:$H$4,Assumptions!$F$8:$H$8)</f>
        <v>0.1</v>
      </c>
      <c r="L45" s="12">
        <f>_xlfn.XLOOKUP(Assumptions!$B$2,Assumptions!$F$4:$H$4,Assumptions!$F$9:$H$9)</f>
        <v>0.18</v>
      </c>
      <c r="M45" s="18">
        <f>_xlfn.XLOOKUP(Assumptions!$B$2,Assumptions!$F$4:$H$4,Assumptions!$F$10:$H$10)</f>
        <v>18000</v>
      </c>
      <c r="N45" s="12">
        <f>_xlfn.XLOOKUP(Assumptions!$B$2,Assumptions!$F$4:$H$4,Assumptions!$F$11:$H$11)</f>
        <v>0.3</v>
      </c>
      <c r="O45" s="14">
        <f>Final_Table[[#This Row],[Units Sold]]*Final_Table[[#This Row],[Sale Price]]</f>
        <v>20400</v>
      </c>
      <c r="P45" s="14">
        <f>Final_Table[[#This Row],[Gross Revenue]]*(1-Final_Table[[#This Row],[Discount %]])</f>
        <v>18360</v>
      </c>
      <c r="Q45">
        <f>Final_Table[[#This Row],[Net Revenue]]*Final_Table[[#This Row],[Variable Cost %]]</f>
        <v>3304.7999999999997</v>
      </c>
      <c r="R45">
        <f>Final_Table[[#This Row],[Variable Cost]]+Final_Table[[#This Row],[Fixed Monthly Cost]]</f>
        <v>21304.799999999999</v>
      </c>
      <c r="S45" s="5">
        <f>Final_Table[[#This Row],[Net Revenue]]-Final_Table[[#This Row],[Total Cost (COGS)]]</f>
        <v>-2944.7999999999993</v>
      </c>
      <c r="T45">
        <f>Final_Table[[#This Row],[Gross Profit]]*Final_Table[[#This Row],[Tax Rate]]</f>
        <v>-883.43999999999971</v>
      </c>
      <c r="U45" s="5">
        <f>Final_Table[[#This Row],[Gross Profit]]-Final_Table[[#This Row],[Tax]]</f>
        <v>-2061.3599999999997</v>
      </c>
      <c r="V45" s="12">
        <f>Final_Table[[#This Row],[Net Profit]]/Final_Table[[#This Row],[Gross Revenue]]</f>
        <v>-0.10104705882352939</v>
      </c>
    </row>
    <row r="46" spans="1:22">
      <c r="A46" s="18" t="s">
        <v>70</v>
      </c>
      <c r="B46">
        <v>2013</v>
      </c>
      <c r="C46" t="s">
        <v>118</v>
      </c>
      <c r="D46">
        <v>1</v>
      </c>
      <c r="E46" s="18" t="s">
        <v>29</v>
      </c>
      <c r="F46" s="18" t="s">
        <v>113</v>
      </c>
      <c r="G46" s="18" t="s">
        <v>17</v>
      </c>
      <c r="H46" s="18" t="str">
        <f>Assumptions!$B$2</f>
        <v>Worst</v>
      </c>
      <c r="I46" s="18">
        <f>_xlfn.XLOOKUP(Assumptions!$B$2,Assumptions!$F$4:$H$4,Assumptions!$F$5:$H$5)</f>
        <v>1200</v>
      </c>
      <c r="J46" s="18">
        <f>_xlfn.XLOOKUP(Assumptions!$B$2,Assumptions!$F$4:$H$4,Assumptions!$F$6:$H$6)</f>
        <v>17</v>
      </c>
      <c r="K46" s="12">
        <f>_xlfn.XLOOKUP(Assumptions!$B$2,Assumptions!$F$4:$H$4,Assumptions!$F$8:$H$8)</f>
        <v>0.1</v>
      </c>
      <c r="L46" s="12">
        <f>_xlfn.XLOOKUP(Assumptions!$B$2,Assumptions!$F$4:$H$4,Assumptions!$F$9:$H$9)</f>
        <v>0.18</v>
      </c>
      <c r="M46" s="18">
        <f>_xlfn.XLOOKUP(Assumptions!$B$2,Assumptions!$F$4:$H$4,Assumptions!$F$10:$H$10)</f>
        <v>18000</v>
      </c>
      <c r="N46" s="12">
        <f>_xlfn.XLOOKUP(Assumptions!$B$2,Assumptions!$F$4:$H$4,Assumptions!$F$11:$H$11)</f>
        <v>0.3</v>
      </c>
      <c r="O46" s="14">
        <f>Final_Table[[#This Row],[Units Sold]]*Final_Table[[#This Row],[Sale Price]]</f>
        <v>20400</v>
      </c>
      <c r="P46" s="14">
        <f>Final_Table[[#This Row],[Gross Revenue]]*(1-Final_Table[[#This Row],[Discount %]])</f>
        <v>18360</v>
      </c>
      <c r="Q46">
        <f>Final_Table[[#This Row],[Net Revenue]]*Final_Table[[#This Row],[Variable Cost %]]</f>
        <v>3304.7999999999997</v>
      </c>
      <c r="R46">
        <f>Final_Table[[#This Row],[Variable Cost]]+Final_Table[[#This Row],[Fixed Monthly Cost]]</f>
        <v>21304.799999999999</v>
      </c>
      <c r="S46" s="5">
        <f>Final_Table[[#This Row],[Net Revenue]]-Final_Table[[#This Row],[Total Cost (COGS)]]</f>
        <v>-2944.7999999999993</v>
      </c>
      <c r="T46">
        <f>Final_Table[[#This Row],[Gross Profit]]*Final_Table[[#This Row],[Tax Rate]]</f>
        <v>-883.43999999999971</v>
      </c>
      <c r="U46" s="5">
        <f>Final_Table[[#This Row],[Gross Profit]]-Final_Table[[#This Row],[Tax]]</f>
        <v>-2061.3599999999997</v>
      </c>
      <c r="V46" s="12">
        <f>Final_Table[[#This Row],[Net Profit]]/Final_Table[[#This Row],[Gross Revenue]]</f>
        <v>-0.10104705882352939</v>
      </c>
    </row>
    <row r="47" spans="1:22">
      <c r="A47" s="18" t="s">
        <v>70</v>
      </c>
      <c r="B47">
        <v>2013</v>
      </c>
      <c r="C47" t="s">
        <v>118</v>
      </c>
      <c r="D47">
        <v>1</v>
      </c>
      <c r="E47" s="18" t="s">
        <v>29</v>
      </c>
      <c r="F47" s="18" t="s">
        <v>114</v>
      </c>
      <c r="G47" s="18" t="s">
        <v>36</v>
      </c>
      <c r="H47" s="18" t="str">
        <f>Assumptions!$B$2</f>
        <v>Worst</v>
      </c>
      <c r="I47" s="18">
        <f>_xlfn.XLOOKUP(Assumptions!$B$2,Assumptions!$F$4:$H$4,Assumptions!$F$5:$H$5)</f>
        <v>1200</v>
      </c>
      <c r="J47" s="18">
        <f>_xlfn.XLOOKUP(Assumptions!$B$2,Assumptions!$F$4:$H$4,Assumptions!$F$6:$H$6)</f>
        <v>17</v>
      </c>
      <c r="K47" s="12">
        <f>_xlfn.XLOOKUP(Assumptions!$B$2,Assumptions!$F$4:$H$4,Assumptions!$F$8:$H$8)</f>
        <v>0.1</v>
      </c>
      <c r="L47" s="12">
        <f>_xlfn.XLOOKUP(Assumptions!$B$2,Assumptions!$F$4:$H$4,Assumptions!$F$9:$H$9)</f>
        <v>0.18</v>
      </c>
      <c r="M47" s="18">
        <f>_xlfn.XLOOKUP(Assumptions!$B$2,Assumptions!$F$4:$H$4,Assumptions!$F$10:$H$10)</f>
        <v>18000</v>
      </c>
      <c r="N47" s="12">
        <f>_xlfn.XLOOKUP(Assumptions!$B$2,Assumptions!$F$4:$H$4,Assumptions!$F$11:$H$11)</f>
        <v>0.3</v>
      </c>
      <c r="O47" s="14">
        <f>Final_Table[[#This Row],[Units Sold]]*Final_Table[[#This Row],[Sale Price]]</f>
        <v>20400</v>
      </c>
      <c r="P47" s="14">
        <f>Final_Table[[#This Row],[Gross Revenue]]*(1-Final_Table[[#This Row],[Discount %]])</f>
        <v>18360</v>
      </c>
      <c r="Q47">
        <f>Final_Table[[#This Row],[Net Revenue]]*Final_Table[[#This Row],[Variable Cost %]]</f>
        <v>3304.7999999999997</v>
      </c>
      <c r="R47">
        <f>Final_Table[[#This Row],[Variable Cost]]+Final_Table[[#This Row],[Fixed Monthly Cost]]</f>
        <v>21304.799999999999</v>
      </c>
      <c r="S47" s="5">
        <f>Final_Table[[#This Row],[Net Revenue]]-Final_Table[[#This Row],[Total Cost (COGS)]]</f>
        <v>-2944.7999999999993</v>
      </c>
      <c r="T47">
        <f>Final_Table[[#This Row],[Gross Profit]]*Final_Table[[#This Row],[Tax Rate]]</f>
        <v>-883.43999999999971</v>
      </c>
      <c r="U47" s="5">
        <f>Final_Table[[#This Row],[Gross Profit]]-Final_Table[[#This Row],[Tax]]</f>
        <v>-2061.3599999999997</v>
      </c>
      <c r="V47" s="12">
        <f>Final_Table[[#This Row],[Net Profit]]/Final_Table[[#This Row],[Gross Revenue]]</f>
        <v>-0.10104705882352939</v>
      </c>
    </row>
    <row r="48" spans="1:22">
      <c r="A48" s="18" t="s">
        <v>70</v>
      </c>
      <c r="B48">
        <v>2013</v>
      </c>
      <c r="C48" t="s">
        <v>118</v>
      </c>
      <c r="D48">
        <v>1</v>
      </c>
      <c r="E48" s="18" t="s">
        <v>29</v>
      </c>
      <c r="F48" s="18" t="s">
        <v>114</v>
      </c>
      <c r="G48" s="18" t="s">
        <v>23</v>
      </c>
      <c r="H48" s="18" t="str">
        <f>Assumptions!$B$2</f>
        <v>Worst</v>
      </c>
      <c r="I48" s="18">
        <f>_xlfn.XLOOKUP(Assumptions!$B$2,Assumptions!$F$4:$H$4,Assumptions!$F$5:$H$5)</f>
        <v>1200</v>
      </c>
      <c r="J48" s="18">
        <f>_xlfn.XLOOKUP(Assumptions!$B$2,Assumptions!$F$4:$H$4,Assumptions!$F$6:$H$6)</f>
        <v>17</v>
      </c>
      <c r="K48" s="12">
        <f>_xlfn.XLOOKUP(Assumptions!$B$2,Assumptions!$F$4:$H$4,Assumptions!$F$8:$H$8)</f>
        <v>0.1</v>
      </c>
      <c r="L48" s="12">
        <f>_xlfn.XLOOKUP(Assumptions!$B$2,Assumptions!$F$4:$H$4,Assumptions!$F$9:$H$9)</f>
        <v>0.18</v>
      </c>
      <c r="M48" s="18">
        <f>_xlfn.XLOOKUP(Assumptions!$B$2,Assumptions!$F$4:$H$4,Assumptions!$F$10:$H$10)</f>
        <v>18000</v>
      </c>
      <c r="N48" s="12">
        <f>_xlfn.XLOOKUP(Assumptions!$B$2,Assumptions!$F$4:$H$4,Assumptions!$F$11:$H$11)</f>
        <v>0.3</v>
      </c>
      <c r="O48" s="14">
        <f>Final_Table[[#This Row],[Units Sold]]*Final_Table[[#This Row],[Sale Price]]</f>
        <v>20400</v>
      </c>
      <c r="P48" s="14">
        <f>Final_Table[[#This Row],[Gross Revenue]]*(1-Final_Table[[#This Row],[Discount %]])</f>
        <v>18360</v>
      </c>
      <c r="Q48">
        <f>Final_Table[[#This Row],[Net Revenue]]*Final_Table[[#This Row],[Variable Cost %]]</f>
        <v>3304.7999999999997</v>
      </c>
      <c r="R48">
        <f>Final_Table[[#This Row],[Variable Cost]]+Final_Table[[#This Row],[Fixed Monthly Cost]]</f>
        <v>21304.799999999999</v>
      </c>
      <c r="S48" s="5">
        <f>Final_Table[[#This Row],[Net Revenue]]-Final_Table[[#This Row],[Total Cost (COGS)]]</f>
        <v>-2944.7999999999993</v>
      </c>
      <c r="T48">
        <f>Final_Table[[#This Row],[Gross Profit]]*Final_Table[[#This Row],[Tax Rate]]</f>
        <v>-883.43999999999971</v>
      </c>
      <c r="U48" s="5">
        <f>Final_Table[[#This Row],[Gross Profit]]-Final_Table[[#This Row],[Tax]]</f>
        <v>-2061.3599999999997</v>
      </c>
      <c r="V48" s="12">
        <f>Final_Table[[#This Row],[Net Profit]]/Final_Table[[#This Row],[Gross Revenue]]</f>
        <v>-0.10104705882352939</v>
      </c>
    </row>
    <row r="49" spans="1:22">
      <c r="A49" s="18" t="s">
        <v>70</v>
      </c>
      <c r="B49">
        <v>2013</v>
      </c>
      <c r="C49" t="s">
        <v>118</v>
      </c>
      <c r="D49">
        <v>1</v>
      </c>
      <c r="E49" s="18" t="s">
        <v>29</v>
      </c>
      <c r="F49" s="18" t="s">
        <v>114</v>
      </c>
      <c r="G49" s="18" t="s">
        <v>21</v>
      </c>
      <c r="H49" s="18" t="str">
        <f>Assumptions!$B$2</f>
        <v>Worst</v>
      </c>
      <c r="I49" s="18">
        <f>_xlfn.XLOOKUP(Assumptions!$B$2,Assumptions!$F$4:$H$4,Assumptions!$F$5:$H$5)</f>
        <v>1200</v>
      </c>
      <c r="J49" s="18">
        <f>_xlfn.XLOOKUP(Assumptions!$B$2,Assumptions!$F$4:$H$4,Assumptions!$F$6:$H$6)</f>
        <v>17</v>
      </c>
      <c r="K49" s="12">
        <f>_xlfn.XLOOKUP(Assumptions!$B$2,Assumptions!$F$4:$H$4,Assumptions!$F$8:$H$8)</f>
        <v>0.1</v>
      </c>
      <c r="L49" s="12">
        <f>_xlfn.XLOOKUP(Assumptions!$B$2,Assumptions!$F$4:$H$4,Assumptions!$F$9:$H$9)</f>
        <v>0.18</v>
      </c>
      <c r="M49" s="18">
        <f>_xlfn.XLOOKUP(Assumptions!$B$2,Assumptions!$F$4:$H$4,Assumptions!$F$10:$H$10)</f>
        <v>18000</v>
      </c>
      <c r="N49" s="12">
        <f>_xlfn.XLOOKUP(Assumptions!$B$2,Assumptions!$F$4:$H$4,Assumptions!$F$11:$H$11)</f>
        <v>0.3</v>
      </c>
      <c r="O49" s="14">
        <f>Final_Table[[#This Row],[Units Sold]]*Final_Table[[#This Row],[Sale Price]]</f>
        <v>20400</v>
      </c>
      <c r="P49" s="14">
        <f>Final_Table[[#This Row],[Gross Revenue]]*(1-Final_Table[[#This Row],[Discount %]])</f>
        <v>18360</v>
      </c>
      <c r="Q49">
        <f>Final_Table[[#This Row],[Net Revenue]]*Final_Table[[#This Row],[Variable Cost %]]</f>
        <v>3304.7999999999997</v>
      </c>
      <c r="R49">
        <f>Final_Table[[#This Row],[Variable Cost]]+Final_Table[[#This Row],[Fixed Monthly Cost]]</f>
        <v>21304.799999999999</v>
      </c>
      <c r="S49" s="5">
        <f>Final_Table[[#This Row],[Net Revenue]]-Final_Table[[#This Row],[Total Cost (COGS)]]</f>
        <v>-2944.7999999999993</v>
      </c>
      <c r="T49">
        <f>Final_Table[[#This Row],[Gross Profit]]*Final_Table[[#This Row],[Tax Rate]]</f>
        <v>-883.43999999999971</v>
      </c>
      <c r="U49" s="5">
        <f>Final_Table[[#This Row],[Gross Profit]]-Final_Table[[#This Row],[Tax]]</f>
        <v>-2061.3599999999997</v>
      </c>
      <c r="V49" s="12">
        <f>Final_Table[[#This Row],[Net Profit]]/Final_Table[[#This Row],[Gross Revenue]]</f>
        <v>-0.10104705882352939</v>
      </c>
    </row>
    <row r="50" spans="1:22">
      <c r="A50" s="18" t="s">
        <v>70</v>
      </c>
      <c r="B50">
        <v>2013</v>
      </c>
      <c r="C50" t="s">
        <v>118</v>
      </c>
      <c r="D50">
        <v>1</v>
      </c>
      <c r="E50" s="18" t="s">
        <v>29</v>
      </c>
      <c r="F50" s="18" t="s">
        <v>114</v>
      </c>
      <c r="G50" s="18" t="s">
        <v>25</v>
      </c>
      <c r="H50" s="18" t="str">
        <f>Assumptions!$B$2</f>
        <v>Worst</v>
      </c>
      <c r="I50" s="18">
        <f>_xlfn.XLOOKUP(Assumptions!$B$2,Assumptions!$F$4:$H$4,Assumptions!$F$5:$H$5)</f>
        <v>1200</v>
      </c>
      <c r="J50" s="18">
        <f>_xlfn.XLOOKUP(Assumptions!$B$2,Assumptions!$F$4:$H$4,Assumptions!$F$6:$H$6)</f>
        <v>17</v>
      </c>
      <c r="K50" s="12">
        <f>_xlfn.XLOOKUP(Assumptions!$B$2,Assumptions!$F$4:$H$4,Assumptions!$F$8:$H$8)</f>
        <v>0.1</v>
      </c>
      <c r="L50" s="12">
        <f>_xlfn.XLOOKUP(Assumptions!$B$2,Assumptions!$F$4:$H$4,Assumptions!$F$9:$H$9)</f>
        <v>0.18</v>
      </c>
      <c r="M50" s="18">
        <f>_xlfn.XLOOKUP(Assumptions!$B$2,Assumptions!$F$4:$H$4,Assumptions!$F$10:$H$10)</f>
        <v>18000</v>
      </c>
      <c r="N50" s="12">
        <f>_xlfn.XLOOKUP(Assumptions!$B$2,Assumptions!$F$4:$H$4,Assumptions!$F$11:$H$11)</f>
        <v>0.3</v>
      </c>
      <c r="O50" s="14">
        <f>Final_Table[[#This Row],[Units Sold]]*Final_Table[[#This Row],[Sale Price]]</f>
        <v>20400</v>
      </c>
      <c r="P50" s="14">
        <f>Final_Table[[#This Row],[Gross Revenue]]*(1-Final_Table[[#This Row],[Discount %]])</f>
        <v>18360</v>
      </c>
      <c r="Q50">
        <f>Final_Table[[#This Row],[Net Revenue]]*Final_Table[[#This Row],[Variable Cost %]]</f>
        <v>3304.7999999999997</v>
      </c>
      <c r="R50">
        <f>Final_Table[[#This Row],[Variable Cost]]+Final_Table[[#This Row],[Fixed Monthly Cost]]</f>
        <v>21304.799999999999</v>
      </c>
      <c r="S50" s="5">
        <f>Final_Table[[#This Row],[Net Revenue]]-Final_Table[[#This Row],[Total Cost (COGS)]]</f>
        <v>-2944.7999999999993</v>
      </c>
      <c r="T50">
        <f>Final_Table[[#This Row],[Gross Profit]]*Final_Table[[#This Row],[Tax Rate]]</f>
        <v>-883.43999999999971</v>
      </c>
      <c r="U50" s="5">
        <f>Final_Table[[#This Row],[Gross Profit]]-Final_Table[[#This Row],[Tax]]</f>
        <v>-2061.3599999999997</v>
      </c>
      <c r="V50" s="12">
        <f>Final_Table[[#This Row],[Net Profit]]/Final_Table[[#This Row],[Gross Revenue]]</f>
        <v>-0.10104705882352939</v>
      </c>
    </row>
    <row r="51" spans="1:22">
      <c r="A51" s="18" t="s">
        <v>70</v>
      </c>
      <c r="B51">
        <v>2013</v>
      </c>
      <c r="C51" t="s">
        <v>118</v>
      </c>
      <c r="D51">
        <v>1</v>
      </c>
      <c r="E51" s="18" t="s">
        <v>29</v>
      </c>
      <c r="F51" s="18" t="s">
        <v>114</v>
      </c>
      <c r="G51" s="18" t="s">
        <v>17</v>
      </c>
      <c r="H51" s="18" t="str">
        <f>Assumptions!$B$2</f>
        <v>Worst</v>
      </c>
      <c r="I51" s="18">
        <f>_xlfn.XLOOKUP(Assumptions!$B$2,Assumptions!$F$4:$H$4,Assumptions!$F$5:$H$5)</f>
        <v>1200</v>
      </c>
      <c r="J51" s="18">
        <f>_xlfn.XLOOKUP(Assumptions!$B$2,Assumptions!$F$4:$H$4,Assumptions!$F$6:$H$6)</f>
        <v>17</v>
      </c>
      <c r="K51" s="12">
        <f>_xlfn.XLOOKUP(Assumptions!$B$2,Assumptions!$F$4:$H$4,Assumptions!$F$8:$H$8)</f>
        <v>0.1</v>
      </c>
      <c r="L51" s="12">
        <f>_xlfn.XLOOKUP(Assumptions!$B$2,Assumptions!$F$4:$H$4,Assumptions!$F$9:$H$9)</f>
        <v>0.18</v>
      </c>
      <c r="M51" s="18">
        <f>_xlfn.XLOOKUP(Assumptions!$B$2,Assumptions!$F$4:$H$4,Assumptions!$F$10:$H$10)</f>
        <v>18000</v>
      </c>
      <c r="N51" s="12">
        <f>_xlfn.XLOOKUP(Assumptions!$B$2,Assumptions!$F$4:$H$4,Assumptions!$F$11:$H$11)</f>
        <v>0.3</v>
      </c>
      <c r="O51" s="14">
        <f>Final_Table[[#This Row],[Units Sold]]*Final_Table[[#This Row],[Sale Price]]</f>
        <v>20400</v>
      </c>
      <c r="P51" s="14">
        <f>Final_Table[[#This Row],[Gross Revenue]]*(1-Final_Table[[#This Row],[Discount %]])</f>
        <v>18360</v>
      </c>
      <c r="Q51">
        <f>Final_Table[[#This Row],[Net Revenue]]*Final_Table[[#This Row],[Variable Cost %]]</f>
        <v>3304.7999999999997</v>
      </c>
      <c r="R51">
        <f>Final_Table[[#This Row],[Variable Cost]]+Final_Table[[#This Row],[Fixed Monthly Cost]]</f>
        <v>21304.799999999999</v>
      </c>
      <c r="S51" s="5">
        <f>Final_Table[[#This Row],[Net Revenue]]-Final_Table[[#This Row],[Total Cost (COGS)]]</f>
        <v>-2944.7999999999993</v>
      </c>
      <c r="T51">
        <f>Final_Table[[#This Row],[Gross Profit]]*Final_Table[[#This Row],[Tax Rate]]</f>
        <v>-883.43999999999971</v>
      </c>
      <c r="U51" s="5">
        <f>Final_Table[[#This Row],[Gross Profit]]-Final_Table[[#This Row],[Tax]]</f>
        <v>-2061.3599999999997</v>
      </c>
      <c r="V51" s="12">
        <f>Final_Table[[#This Row],[Net Profit]]/Final_Table[[#This Row],[Gross Revenue]]</f>
        <v>-0.10104705882352939</v>
      </c>
    </row>
    <row r="52" spans="1:22">
      <c r="A52" s="18" t="s">
        <v>70</v>
      </c>
      <c r="B52">
        <v>2013</v>
      </c>
      <c r="C52" t="s">
        <v>118</v>
      </c>
      <c r="D52">
        <v>1</v>
      </c>
      <c r="E52" s="18" t="s">
        <v>22</v>
      </c>
      <c r="F52" s="18" t="s">
        <v>80</v>
      </c>
      <c r="G52" s="18" t="s">
        <v>36</v>
      </c>
      <c r="H52" s="18" t="str">
        <f>Assumptions!$B$2</f>
        <v>Worst</v>
      </c>
      <c r="I52" s="18">
        <f>_xlfn.XLOOKUP(Assumptions!$B$2,Assumptions!$F$4:$H$4,Assumptions!$F$5:$H$5)</f>
        <v>1200</v>
      </c>
      <c r="J52" s="18">
        <f>_xlfn.XLOOKUP(Assumptions!$B$2,Assumptions!$F$4:$H$4,Assumptions!$F$6:$H$6)</f>
        <v>17</v>
      </c>
      <c r="K52" s="12">
        <f>_xlfn.XLOOKUP(Assumptions!$B$2,Assumptions!$F$4:$H$4,Assumptions!$F$8:$H$8)</f>
        <v>0.1</v>
      </c>
      <c r="L52" s="12">
        <f>_xlfn.XLOOKUP(Assumptions!$B$2,Assumptions!$F$4:$H$4,Assumptions!$F$9:$H$9)</f>
        <v>0.18</v>
      </c>
      <c r="M52" s="18">
        <f>_xlfn.XLOOKUP(Assumptions!$B$2,Assumptions!$F$4:$H$4,Assumptions!$F$10:$H$10)</f>
        <v>18000</v>
      </c>
      <c r="N52" s="12">
        <f>_xlfn.XLOOKUP(Assumptions!$B$2,Assumptions!$F$4:$H$4,Assumptions!$F$11:$H$11)</f>
        <v>0.3</v>
      </c>
      <c r="O52" s="14">
        <f>Final_Table[[#This Row],[Units Sold]]*Final_Table[[#This Row],[Sale Price]]</f>
        <v>20400</v>
      </c>
      <c r="P52" s="14">
        <f>Final_Table[[#This Row],[Gross Revenue]]*(1-Final_Table[[#This Row],[Discount %]])</f>
        <v>18360</v>
      </c>
      <c r="Q52">
        <f>Final_Table[[#This Row],[Net Revenue]]*Final_Table[[#This Row],[Variable Cost %]]</f>
        <v>3304.7999999999997</v>
      </c>
      <c r="R52">
        <f>Final_Table[[#This Row],[Variable Cost]]+Final_Table[[#This Row],[Fixed Monthly Cost]]</f>
        <v>21304.799999999999</v>
      </c>
      <c r="S52" s="5">
        <f>Final_Table[[#This Row],[Net Revenue]]-Final_Table[[#This Row],[Total Cost (COGS)]]</f>
        <v>-2944.7999999999993</v>
      </c>
      <c r="T52">
        <f>Final_Table[[#This Row],[Gross Profit]]*Final_Table[[#This Row],[Tax Rate]]</f>
        <v>-883.43999999999971</v>
      </c>
      <c r="U52" s="5">
        <f>Final_Table[[#This Row],[Gross Profit]]-Final_Table[[#This Row],[Tax]]</f>
        <v>-2061.3599999999997</v>
      </c>
      <c r="V52" s="12">
        <f>Final_Table[[#This Row],[Net Profit]]/Final_Table[[#This Row],[Gross Revenue]]</f>
        <v>-0.10104705882352939</v>
      </c>
    </row>
    <row r="53" spans="1:22">
      <c r="A53" s="18" t="s">
        <v>70</v>
      </c>
      <c r="B53">
        <v>2013</v>
      </c>
      <c r="C53" t="s">
        <v>118</v>
      </c>
      <c r="D53">
        <v>1</v>
      </c>
      <c r="E53" s="18" t="s">
        <v>22</v>
      </c>
      <c r="F53" s="18" t="s">
        <v>80</v>
      </c>
      <c r="G53" s="18" t="s">
        <v>23</v>
      </c>
      <c r="H53" s="18" t="str">
        <f>Assumptions!$B$2</f>
        <v>Worst</v>
      </c>
      <c r="I53" s="18">
        <f>_xlfn.XLOOKUP(Assumptions!$B$2,Assumptions!$F$4:$H$4,Assumptions!$F$5:$H$5)</f>
        <v>1200</v>
      </c>
      <c r="J53" s="18">
        <f>_xlfn.XLOOKUP(Assumptions!$B$2,Assumptions!$F$4:$H$4,Assumptions!$F$6:$H$6)</f>
        <v>17</v>
      </c>
      <c r="K53" s="12">
        <f>_xlfn.XLOOKUP(Assumptions!$B$2,Assumptions!$F$4:$H$4,Assumptions!$F$8:$H$8)</f>
        <v>0.1</v>
      </c>
      <c r="L53" s="12">
        <f>_xlfn.XLOOKUP(Assumptions!$B$2,Assumptions!$F$4:$H$4,Assumptions!$F$9:$H$9)</f>
        <v>0.18</v>
      </c>
      <c r="M53" s="18">
        <f>_xlfn.XLOOKUP(Assumptions!$B$2,Assumptions!$F$4:$H$4,Assumptions!$F$10:$H$10)</f>
        <v>18000</v>
      </c>
      <c r="N53" s="12">
        <f>_xlfn.XLOOKUP(Assumptions!$B$2,Assumptions!$F$4:$H$4,Assumptions!$F$11:$H$11)</f>
        <v>0.3</v>
      </c>
      <c r="O53" s="14">
        <f>Final_Table[[#This Row],[Units Sold]]*Final_Table[[#This Row],[Sale Price]]</f>
        <v>20400</v>
      </c>
      <c r="P53" s="14">
        <f>Final_Table[[#This Row],[Gross Revenue]]*(1-Final_Table[[#This Row],[Discount %]])</f>
        <v>18360</v>
      </c>
      <c r="Q53">
        <f>Final_Table[[#This Row],[Net Revenue]]*Final_Table[[#This Row],[Variable Cost %]]</f>
        <v>3304.7999999999997</v>
      </c>
      <c r="R53">
        <f>Final_Table[[#This Row],[Variable Cost]]+Final_Table[[#This Row],[Fixed Monthly Cost]]</f>
        <v>21304.799999999999</v>
      </c>
      <c r="S53" s="5">
        <f>Final_Table[[#This Row],[Net Revenue]]-Final_Table[[#This Row],[Total Cost (COGS)]]</f>
        <v>-2944.7999999999993</v>
      </c>
      <c r="T53">
        <f>Final_Table[[#This Row],[Gross Profit]]*Final_Table[[#This Row],[Tax Rate]]</f>
        <v>-883.43999999999971</v>
      </c>
      <c r="U53" s="5">
        <f>Final_Table[[#This Row],[Gross Profit]]-Final_Table[[#This Row],[Tax]]</f>
        <v>-2061.3599999999997</v>
      </c>
      <c r="V53" s="12">
        <f>Final_Table[[#This Row],[Net Profit]]/Final_Table[[#This Row],[Gross Revenue]]</f>
        <v>-0.10104705882352939</v>
      </c>
    </row>
    <row r="54" spans="1:22">
      <c r="A54" s="18" t="s">
        <v>70</v>
      </c>
      <c r="B54">
        <v>2013</v>
      </c>
      <c r="C54" t="s">
        <v>118</v>
      </c>
      <c r="D54">
        <v>1</v>
      </c>
      <c r="E54" s="18" t="s">
        <v>22</v>
      </c>
      <c r="F54" s="18" t="s">
        <v>80</v>
      </c>
      <c r="G54" s="18" t="s">
        <v>21</v>
      </c>
      <c r="H54" s="18" t="str">
        <f>Assumptions!$B$2</f>
        <v>Worst</v>
      </c>
      <c r="I54" s="18">
        <f>_xlfn.XLOOKUP(Assumptions!$B$2,Assumptions!$F$4:$H$4,Assumptions!$F$5:$H$5)</f>
        <v>1200</v>
      </c>
      <c r="J54" s="18">
        <f>_xlfn.XLOOKUP(Assumptions!$B$2,Assumptions!$F$4:$H$4,Assumptions!$F$6:$H$6)</f>
        <v>17</v>
      </c>
      <c r="K54" s="12">
        <f>_xlfn.XLOOKUP(Assumptions!$B$2,Assumptions!$F$4:$H$4,Assumptions!$F$8:$H$8)</f>
        <v>0.1</v>
      </c>
      <c r="L54" s="12">
        <f>_xlfn.XLOOKUP(Assumptions!$B$2,Assumptions!$F$4:$H$4,Assumptions!$F$9:$H$9)</f>
        <v>0.18</v>
      </c>
      <c r="M54" s="18">
        <f>_xlfn.XLOOKUP(Assumptions!$B$2,Assumptions!$F$4:$H$4,Assumptions!$F$10:$H$10)</f>
        <v>18000</v>
      </c>
      <c r="N54" s="12">
        <f>_xlfn.XLOOKUP(Assumptions!$B$2,Assumptions!$F$4:$H$4,Assumptions!$F$11:$H$11)</f>
        <v>0.3</v>
      </c>
      <c r="O54" s="14">
        <f>Final_Table[[#This Row],[Units Sold]]*Final_Table[[#This Row],[Sale Price]]</f>
        <v>20400</v>
      </c>
      <c r="P54" s="14">
        <f>Final_Table[[#This Row],[Gross Revenue]]*(1-Final_Table[[#This Row],[Discount %]])</f>
        <v>18360</v>
      </c>
      <c r="Q54">
        <f>Final_Table[[#This Row],[Net Revenue]]*Final_Table[[#This Row],[Variable Cost %]]</f>
        <v>3304.7999999999997</v>
      </c>
      <c r="R54">
        <f>Final_Table[[#This Row],[Variable Cost]]+Final_Table[[#This Row],[Fixed Monthly Cost]]</f>
        <v>21304.799999999999</v>
      </c>
      <c r="S54" s="5">
        <f>Final_Table[[#This Row],[Net Revenue]]-Final_Table[[#This Row],[Total Cost (COGS)]]</f>
        <v>-2944.7999999999993</v>
      </c>
      <c r="T54">
        <f>Final_Table[[#This Row],[Gross Profit]]*Final_Table[[#This Row],[Tax Rate]]</f>
        <v>-883.43999999999971</v>
      </c>
      <c r="U54" s="5">
        <f>Final_Table[[#This Row],[Gross Profit]]-Final_Table[[#This Row],[Tax]]</f>
        <v>-2061.3599999999997</v>
      </c>
      <c r="V54" s="12">
        <f>Final_Table[[#This Row],[Net Profit]]/Final_Table[[#This Row],[Gross Revenue]]</f>
        <v>-0.10104705882352939</v>
      </c>
    </row>
    <row r="55" spans="1:22">
      <c r="A55" s="18" t="s">
        <v>70</v>
      </c>
      <c r="B55">
        <v>2013</v>
      </c>
      <c r="C55" t="s">
        <v>118</v>
      </c>
      <c r="D55">
        <v>1</v>
      </c>
      <c r="E55" s="18" t="s">
        <v>22</v>
      </c>
      <c r="F55" s="18" t="s">
        <v>80</v>
      </c>
      <c r="G55" s="18" t="s">
        <v>25</v>
      </c>
      <c r="H55" s="18" t="str">
        <f>Assumptions!$B$2</f>
        <v>Worst</v>
      </c>
      <c r="I55" s="18">
        <f>_xlfn.XLOOKUP(Assumptions!$B$2,Assumptions!$F$4:$H$4,Assumptions!$F$5:$H$5)</f>
        <v>1200</v>
      </c>
      <c r="J55" s="18">
        <f>_xlfn.XLOOKUP(Assumptions!$B$2,Assumptions!$F$4:$H$4,Assumptions!$F$6:$H$6)</f>
        <v>17</v>
      </c>
      <c r="K55" s="12">
        <f>_xlfn.XLOOKUP(Assumptions!$B$2,Assumptions!$F$4:$H$4,Assumptions!$F$8:$H$8)</f>
        <v>0.1</v>
      </c>
      <c r="L55" s="12">
        <f>_xlfn.XLOOKUP(Assumptions!$B$2,Assumptions!$F$4:$H$4,Assumptions!$F$9:$H$9)</f>
        <v>0.18</v>
      </c>
      <c r="M55" s="18">
        <f>_xlfn.XLOOKUP(Assumptions!$B$2,Assumptions!$F$4:$H$4,Assumptions!$F$10:$H$10)</f>
        <v>18000</v>
      </c>
      <c r="N55" s="12">
        <f>_xlfn.XLOOKUP(Assumptions!$B$2,Assumptions!$F$4:$H$4,Assumptions!$F$11:$H$11)</f>
        <v>0.3</v>
      </c>
      <c r="O55" s="14">
        <f>Final_Table[[#This Row],[Units Sold]]*Final_Table[[#This Row],[Sale Price]]</f>
        <v>20400</v>
      </c>
      <c r="P55" s="14">
        <f>Final_Table[[#This Row],[Gross Revenue]]*(1-Final_Table[[#This Row],[Discount %]])</f>
        <v>18360</v>
      </c>
      <c r="Q55">
        <f>Final_Table[[#This Row],[Net Revenue]]*Final_Table[[#This Row],[Variable Cost %]]</f>
        <v>3304.7999999999997</v>
      </c>
      <c r="R55">
        <f>Final_Table[[#This Row],[Variable Cost]]+Final_Table[[#This Row],[Fixed Monthly Cost]]</f>
        <v>21304.799999999999</v>
      </c>
      <c r="S55" s="5">
        <f>Final_Table[[#This Row],[Net Revenue]]-Final_Table[[#This Row],[Total Cost (COGS)]]</f>
        <v>-2944.7999999999993</v>
      </c>
      <c r="T55">
        <f>Final_Table[[#This Row],[Gross Profit]]*Final_Table[[#This Row],[Tax Rate]]</f>
        <v>-883.43999999999971</v>
      </c>
      <c r="U55" s="5">
        <f>Final_Table[[#This Row],[Gross Profit]]-Final_Table[[#This Row],[Tax]]</f>
        <v>-2061.3599999999997</v>
      </c>
      <c r="V55" s="12">
        <f>Final_Table[[#This Row],[Net Profit]]/Final_Table[[#This Row],[Gross Revenue]]</f>
        <v>-0.10104705882352939</v>
      </c>
    </row>
    <row r="56" spans="1:22">
      <c r="A56" s="18" t="s">
        <v>70</v>
      </c>
      <c r="B56">
        <v>2013</v>
      </c>
      <c r="C56" t="s">
        <v>118</v>
      </c>
      <c r="D56">
        <v>1</v>
      </c>
      <c r="E56" s="18" t="s">
        <v>22</v>
      </c>
      <c r="F56" s="18" t="s">
        <v>80</v>
      </c>
      <c r="G56" s="18" t="s">
        <v>17</v>
      </c>
      <c r="H56" s="18" t="str">
        <f>Assumptions!$B$2</f>
        <v>Worst</v>
      </c>
      <c r="I56" s="18">
        <f>_xlfn.XLOOKUP(Assumptions!$B$2,Assumptions!$F$4:$H$4,Assumptions!$F$5:$H$5)</f>
        <v>1200</v>
      </c>
      <c r="J56" s="18">
        <f>_xlfn.XLOOKUP(Assumptions!$B$2,Assumptions!$F$4:$H$4,Assumptions!$F$6:$H$6)</f>
        <v>17</v>
      </c>
      <c r="K56" s="12">
        <f>_xlfn.XLOOKUP(Assumptions!$B$2,Assumptions!$F$4:$H$4,Assumptions!$F$8:$H$8)</f>
        <v>0.1</v>
      </c>
      <c r="L56" s="12">
        <f>_xlfn.XLOOKUP(Assumptions!$B$2,Assumptions!$F$4:$H$4,Assumptions!$F$9:$H$9)</f>
        <v>0.18</v>
      </c>
      <c r="M56" s="18">
        <f>_xlfn.XLOOKUP(Assumptions!$B$2,Assumptions!$F$4:$H$4,Assumptions!$F$10:$H$10)</f>
        <v>18000</v>
      </c>
      <c r="N56" s="12">
        <f>_xlfn.XLOOKUP(Assumptions!$B$2,Assumptions!$F$4:$H$4,Assumptions!$F$11:$H$11)</f>
        <v>0.3</v>
      </c>
      <c r="O56" s="14">
        <f>Final_Table[[#This Row],[Units Sold]]*Final_Table[[#This Row],[Sale Price]]</f>
        <v>20400</v>
      </c>
      <c r="P56" s="14">
        <f>Final_Table[[#This Row],[Gross Revenue]]*(1-Final_Table[[#This Row],[Discount %]])</f>
        <v>18360</v>
      </c>
      <c r="Q56">
        <f>Final_Table[[#This Row],[Net Revenue]]*Final_Table[[#This Row],[Variable Cost %]]</f>
        <v>3304.7999999999997</v>
      </c>
      <c r="R56">
        <f>Final_Table[[#This Row],[Variable Cost]]+Final_Table[[#This Row],[Fixed Monthly Cost]]</f>
        <v>21304.799999999999</v>
      </c>
      <c r="S56" s="5">
        <f>Final_Table[[#This Row],[Net Revenue]]-Final_Table[[#This Row],[Total Cost (COGS)]]</f>
        <v>-2944.7999999999993</v>
      </c>
      <c r="T56">
        <f>Final_Table[[#This Row],[Gross Profit]]*Final_Table[[#This Row],[Tax Rate]]</f>
        <v>-883.43999999999971</v>
      </c>
      <c r="U56" s="5">
        <f>Final_Table[[#This Row],[Gross Profit]]-Final_Table[[#This Row],[Tax]]</f>
        <v>-2061.3599999999997</v>
      </c>
      <c r="V56" s="12">
        <f>Final_Table[[#This Row],[Net Profit]]/Final_Table[[#This Row],[Gross Revenue]]</f>
        <v>-0.10104705882352939</v>
      </c>
    </row>
    <row r="57" spans="1:22">
      <c r="A57" s="18" t="s">
        <v>70</v>
      </c>
      <c r="B57">
        <v>2013</v>
      </c>
      <c r="C57" t="s">
        <v>118</v>
      </c>
      <c r="D57">
        <v>1</v>
      </c>
      <c r="E57" s="18" t="s">
        <v>22</v>
      </c>
      <c r="F57" s="18" t="s">
        <v>108</v>
      </c>
      <c r="G57" s="18" t="s">
        <v>36</v>
      </c>
      <c r="H57" s="18" t="str">
        <f>Assumptions!$B$2</f>
        <v>Worst</v>
      </c>
      <c r="I57" s="18">
        <f>_xlfn.XLOOKUP(Assumptions!$B$2,Assumptions!$F$4:$H$4,Assumptions!$F$5:$H$5)</f>
        <v>1200</v>
      </c>
      <c r="J57" s="18">
        <f>_xlfn.XLOOKUP(Assumptions!$B$2,Assumptions!$F$4:$H$4,Assumptions!$F$6:$H$6)</f>
        <v>17</v>
      </c>
      <c r="K57" s="12">
        <f>_xlfn.XLOOKUP(Assumptions!$B$2,Assumptions!$F$4:$H$4,Assumptions!$F$8:$H$8)</f>
        <v>0.1</v>
      </c>
      <c r="L57" s="12">
        <f>_xlfn.XLOOKUP(Assumptions!$B$2,Assumptions!$F$4:$H$4,Assumptions!$F$9:$H$9)</f>
        <v>0.18</v>
      </c>
      <c r="M57" s="18">
        <f>_xlfn.XLOOKUP(Assumptions!$B$2,Assumptions!$F$4:$H$4,Assumptions!$F$10:$H$10)</f>
        <v>18000</v>
      </c>
      <c r="N57" s="12">
        <f>_xlfn.XLOOKUP(Assumptions!$B$2,Assumptions!$F$4:$H$4,Assumptions!$F$11:$H$11)</f>
        <v>0.3</v>
      </c>
      <c r="O57" s="14">
        <f>Final_Table[[#This Row],[Units Sold]]*Final_Table[[#This Row],[Sale Price]]</f>
        <v>20400</v>
      </c>
      <c r="P57" s="14">
        <f>Final_Table[[#This Row],[Gross Revenue]]*(1-Final_Table[[#This Row],[Discount %]])</f>
        <v>18360</v>
      </c>
      <c r="Q57">
        <f>Final_Table[[#This Row],[Net Revenue]]*Final_Table[[#This Row],[Variable Cost %]]</f>
        <v>3304.7999999999997</v>
      </c>
      <c r="R57">
        <f>Final_Table[[#This Row],[Variable Cost]]+Final_Table[[#This Row],[Fixed Monthly Cost]]</f>
        <v>21304.799999999999</v>
      </c>
      <c r="S57" s="5">
        <f>Final_Table[[#This Row],[Net Revenue]]-Final_Table[[#This Row],[Total Cost (COGS)]]</f>
        <v>-2944.7999999999993</v>
      </c>
      <c r="T57">
        <f>Final_Table[[#This Row],[Gross Profit]]*Final_Table[[#This Row],[Tax Rate]]</f>
        <v>-883.43999999999971</v>
      </c>
      <c r="U57" s="5">
        <f>Final_Table[[#This Row],[Gross Profit]]-Final_Table[[#This Row],[Tax]]</f>
        <v>-2061.3599999999997</v>
      </c>
      <c r="V57" s="12">
        <f>Final_Table[[#This Row],[Net Profit]]/Final_Table[[#This Row],[Gross Revenue]]</f>
        <v>-0.10104705882352939</v>
      </c>
    </row>
    <row r="58" spans="1:22">
      <c r="A58" s="18" t="s">
        <v>70</v>
      </c>
      <c r="B58">
        <v>2013</v>
      </c>
      <c r="C58" t="s">
        <v>118</v>
      </c>
      <c r="D58">
        <v>1</v>
      </c>
      <c r="E58" s="18" t="s">
        <v>22</v>
      </c>
      <c r="F58" s="18" t="s">
        <v>108</v>
      </c>
      <c r="G58" s="18" t="s">
        <v>23</v>
      </c>
      <c r="H58" s="18" t="str">
        <f>Assumptions!$B$2</f>
        <v>Worst</v>
      </c>
      <c r="I58" s="18">
        <f>_xlfn.XLOOKUP(Assumptions!$B$2,Assumptions!$F$4:$H$4,Assumptions!$F$5:$H$5)</f>
        <v>1200</v>
      </c>
      <c r="J58" s="18">
        <f>_xlfn.XLOOKUP(Assumptions!$B$2,Assumptions!$F$4:$H$4,Assumptions!$F$6:$H$6)</f>
        <v>17</v>
      </c>
      <c r="K58" s="12">
        <f>_xlfn.XLOOKUP(Assumptions!$B$2,Assumptions!$F$4:$H$4,Assumptions!$F$8:$H$8)</f>
        <v>0.1</v>
      </c>
      <c r="L58" s="12">
        <f>_xlfn.XLOOKUP(Assumptions!$B$2,Assumptions!$F$4:$H$4,Assumptions!$F$9:$H$9)</f>
        <v>0.18</v>
      </c>
      <c r="M58" s="18">
        <f>_xlfn.XLOOKUP(Assumptions!$B$2,Assumptions!$F$4:$H$4,Assumptions!$F$10:$H$10)</f>
        <v>18000</v>
      </c>
      <c r="N58" s="12">
        <f>_xlfn.XLOOKUP(Assumptions!$B$2,Assumptions!$F$4:$H$4,Assumptions!$F$11:$H$11)</f>
        <v>0.3</v>
      </c>
      <c r="O58" s="14">
        <f>Final_Table[[#This Row],[Units Sold]]*Final_Table[[#This Row],[Sale Price]]</f>
        <v>20400</v>
      </c>
      <c r="P58" s="14">
        <f>Final_Table[[#This Row],[Gross Revenue]]*(1-Final_Table[[#This Row],[Discount %]])</f>
        <v>18360</v>
      </c>
      <c r="Q58">
        <f>Final_Table[[#This Row],[Net Revenue]]*Final_Table[[#This Row],[Variable Cost %]]</f>
        <v>3304.7999999999997</v>
      </c>
      <c r="R58">
        <f>Final_Table[[#This Row],[Variable Cost]]+Final_Table[[#This Row],[Fixed Monthly Cost]]</f>
        <v>21304.799999999999</v>
      </c>
      <c r="S58" s="5">
        <f>Final_Table[[#This Row],[Net Revenue]]-Final_Table[[#This Row],[Total Cost (COGS)]]</f>
        <v>-2944.7999999999993</v>
      </c>
      <c r="T58">
        <f>Final_Table[[#This Row],[Gross Profit]]*Final_Table[[#This Row],[Tax Rate]]</f>
        <v>-883.43999999999971</v>
      </c>
      <c r="U58" s="5">
        <f>Final_Table[[#This Row],[Gross Profit]]-Final_Table[[#This Row],[Tax]]</f>
        <v>-2061.3599999999997</v>
      </c>
      <c r="V58" s="12">
        <f>Final_Table[[#This Row],[Net Profit]]/Final_Table[[#This Row],[Gross Revenue]]</f>
        <v>-0.10104705882352939</v>
      </c>
    </row>
    <row r="59" spans="1:22">
      <c r="A59" s="18" t="s">
        <v>70</v>
      </c>
      <c r="B59">
        <v>2013</v>
      </c>
      <c r="C59" t="s">
        <v>118</v>
      </c>
      <c r="D59">
        <v>1</v>
      </c>
      <c r="E59" s="18" t="s">
        <v>22</v>
      </c>
      <c r="F59" s="18" t="s">
        <v>108</v>
      </c>
      <c r="G59" s="18" t="s">
        <v>21</v>
      </c>
      <c r="H59" s="18" t="str">
        <f>Assumptions!$B$2</f>
        <v>Worst</v>
      </c>
      <c r="I59" s="18">
        <f>_xlfn.XLOOKUP(Assumptions!$B$2,Assumptions!$F$4:$H$4,Assumptions!$F$5:$H$5)</f>
        <v>1200</v>
      </c>
      <c r="J59" s="18">
        <f>_xlfn.XLOOKUP(Assumptions!$B$2,Assumptions!$F$4:$H$4,Assumptions!$F$6:$H$6)</f>
        <v>17</v>
      </c>
      <c r="K59" s="12">
        <f>_xlfn.XLOOKUP(Assumptions!$B$2,Assumptions!$F$4:$H$4,Assumptions!$F$8:$H$8)</f>
        <v>0.1</v>
      </c>
      <c r="L59" s="12">
        <f>_xlfn.XLOOKUP(Assumptions!$B$2,Assumptions!$F$4:$H$4,Assumptions!$F$9:$H$9)</f>
        <v>0.18</v>
      </c>
      <c r="M59" s="18">
        <f>_xlfn.XLOOKUP(Assumptions!$B$2,Assumptions!$F$4:$H$4,Assumptions!$F$10:$H$10)</f>
        <v>18000</v>
      </c>
      <c r="N59" s="12">
        <f>_xlfn.XLOOKUP(Assumptions!$B$2,Assumptions!$F$4:$H$4,Assumptions!$F$11:$H$11)</f>
        <v>0.3</v>
      </c>
      <c r="O59" s="14">
        <f>Final_Table[[#This Row],[Units Sold]]*Final_Table[[#This Row],[Sale Price]]</f>
        <v>20400</v>
      </c>
      <c r="P59" s="14">
        <f>Final_Table[[#This Row],[Gross Revenue]]*(1-Final_Table[[#This Row],[Discount %]])</f>
        <v>18360</v>
      </c>
      <c r="Q59">
        <f>Final_Table[[#This Row],[Net Revenue]]*Final_Table[[#This Row],[Variable Cost %]]</f>
        <v>3304.7999999999997</v>
      </c>
      <c r="R59">
        <f>Final_Table[[#This Row],[Variable Cost]]+Final_Table[[#This Row],[Fixed Monthly Cost]]</f>
        <v>21304.799999999999</v>
      </c>
      <c r="S59" s="5">
        <f>Final_Table[[#This Row],[Net Revenue]]-Final_Table[[#This Row],[Total Cost (COGS)]]</f>
        <v>-2944.7999999999993</v>
      </c>
      <c r="T59">
        <f>Final_Table[[#This Row],[Gross Profit]]*Final_Table[[#This Row],[Tax Rate]]</f>
        <v>-883.43999999999971</v>
      </c>
      <c r="U59" s="5">
        <f>Final_Table[[#This Row],[Gross Profit]]-Final_Table[[#This Row],[Tax]]</f>
        <v>-2061.3599999999997</v>
      </c>
      <c r="V59" s="12">
        <f>Final_Table[[#This Row],[Net Profit]]/Final_Table[[#This Row],[Gross Revenue]]</f>
        <v>-0.10104705882352939</v>
      </c>
    </row>
    <row r="60" spans="1:22">
      <c r="A60" s="18" t="s">
        <v>70</v>
      </c>
      <c r="B60">
        <v>2013</v>
      </c>
      <c r="C60" t="s">
        <v>118</v>
      </c>
      <c r="D60">
        <v>1</v>
      </c>
      <c r="E60" s="18" t="s">
        <v>22</v>
      </c>
      <c r="F60" s="18" t="s">
        <v>108</v>
      </c>
      <c r="G60" s="18" t="s">
        <v>25</v>
      </c>
      <c r="H60" s="18" t="str">
        <f>Assumptions!$B$2</f>
        <v>Worst</v>
      </c>
      <c r="I60" s="18">
        <f>_xlfn.XLOOKUP(Assumptions!$B$2,Assumptions!$F$4:$H$4,Assumptions!$F$5:$H$5)</f>
        <v>1200</v>
      </c>
      <c r="J60" s="18">
        <f>_xlfn.XLOOKUP(Assumptions!$B$2,Assumptions!$F$4:$H$4,Assumptions!$F$6:$H$6)</f>
        <v>17</v>
      </c>
      <c r="K60" s="12">
        <f>_xlfn.XLOOKUP(Assumptions!$B$2,Assumptions!$F$4:$H$4,Assumptions!$F$8:$H$8)</f>
        <v>0.1</v>
      </c>
      <c r="L60" s="12">
        <f>_xlfn.XLOOKUP(Assumptions!$B$2,Assumptions!$F$4:$H$4,Assumptions!$F$9:$H$9)</f>
        <v>0.18</v>
      </c>
      <c r="M60" s="18">
        <f>_xlfn.XLOOKUP(Assumptions!$B$2,Assumptions!$F$4:$H$4,Assumptions!$F$10:$H$10)</f>
        <v>18000</v>
      </c>
      <c r="N60" s="12">
        <f>_xlfn.XLOOKUP(Assumptions!$B$2,Assumptions!$F$4:$H$4,Assumptions!$F$11:$H$11)</f>
        <v>0.3</v>
      </c>
      <c r="O60" s="14">
        <f>Final_Table[[#This Row],[Units Sold]]*Final_Table[[#This Row],[Sale Price]]</f>
        <v>20400</v>
      </c>
      <c r="P60" s="14">
        <f>Final_Table[[#This Row],[Gross Revenue]]*(1-Final_Table[[#This Row],[Discount %]])</f>
        <v>18360</v>
      </c>
      <c r="Q60">
        <f>Final_Table[[#This Row],[Net Revenue]]*Final_Table[[#This Row],[Variable Cost %]]</f>
        <v>3304.7999999999997</v>
      </c>
      <c r="R60">
        <f>Final_Table[[#This Row],[Variable Cost]]+Final_Table[[#This Row],[Fixed Monthly Cost]]</f>
        <v>21304.799999999999</v>
      </c>
      <c r="S60" s="5">
        <f>Final_Table[[#This Row],[Net Revenue]]-Final_Table[[#This Row],[Total Cost (COGS)]]</f>
        <v>-2944.7999999999993</v>
      </c>
      <c r="T60">
        <f>Final_Table[[#This Row],[Gross Profit]]*Final_Table[[#This Row],[Tax Rate]]</f>
        <v>-883.43999999999971</v>
      </c>
      <c r="U60" s="5">
        <f>Final_Table[[#This Row],[Gross Profit]]-Final_Table[[#This Row],[Tax]]</f>
        <v>-2061.3599999999997</v>
      </c>
      <c r="V60" s="12">
        <f>Final_Table[[#This Row],[Net Profit]]/Final_Table[[#This Row],[Gross Revenue]]</f>
        <v>-0.10104705882352939</v>
      </c>
    </row>
    <row r="61" spans="1:22">
      <c r="A61" s="18" t="s">
        <v>70</v>
      </c>
      <c r="B61">
        <v>2013</v>
      </c>
      <c r="C61" t="s">
        <v>118</v>
      </c>
      <c r="D61">
        <v>1</v>
      </c>
      <c r="E61" s="18" t="s">
        <v>22</v>
      </c>
      <c r="F61" s="18" t="s">
        <v>108</v>
      </c>
      <c r="G61" s="18" t="s">
        <v>17</v>
      </c>
      <c r="H61" s="18" t="str">
        <f>Assumptions!$B$2</f>
        <v>Worst</v>
      </c>
      <c r="I61" s="18">
        <f>_xlfn.XLOOKUP(Assumptions!$B$2,Assumptions!$F$4:$H$4,Assumptions!$F$5:$H$5)</f>
        <v>1200</v>
      </c>
      <c r="J61" s="18">
        <f>_xlfn.XLOOKUP(Assumptions!$B$2,Assumptions!$F$4:$H$4,Assumptions!$F$6:$H$6)</f>
        <v>17</v>
      </c>
      <c r="K61" s="12">
        <f>_xlfn.XLOOKUP(Assumptions!$B$2,Assumptions!$F$4:$H$4,Assumptions!$F$8:$H$8)</f>
        <v>0.1</v>
      </c>
      <c r="L61" s="12">
        <f>_xlfn.XLOOKUP(Assumptions!$B$2,Assumptions!$F$4:$H$4,Assumptions!$F$9:$H$9)</f>
        <v>0.18</v>
      </c>
      <c r="M61" s="18">
        <f>_xlfn.XLOOKUP(Assumptions!$B$2,Assumptions!$F$4:$H$4,Assumptions!$F$10:$H$10)</f>
        <v>18000</v>
      </c>
      <c r="N61" s="12">
        <f>_xlfn.XLOOKUP(Assumptions!$B$2,Assumptions!$F$4:$H$4,Assumptions!$F$11:$H$11)</f>
        <v>0.3</v>
      </c>
      <c r="O61" s="14">
        <f>Final_Table[[#This Row],[Units Sold]]*Final_Table[[#This Row],[Sale Price]]</f>
        <v>20400</v>
      </c>
      <c r="P61" s="14">
        <f>Final_Table[[#This Row],[Gross Revenue]]*(1-Final_Table[[#This Row],[Discount %]])</f>
        <v>18360</v>
      </c>
      <c r="Q61">
        <f>Final_Table[[#This Row],[Net Revenue]]*Final_Table[[#This Row],[Variable Cost %]]</f>
        <v>3304.7999999999997</v>
      </c>
      <c r="R61">
        <f>Final_Table[[#This Row],[Variable Cost]]+Final_Table[[#This Row],[Fixed Monthly Cost]]</f>
        <v>21304.799999999999</v>
      </c>
      <c r="S61" s="5">
        <f>Final_Table[[#This Row],[Net Revenue]]-Final_Table[[#This Row],[Total Cost (COGS)]]</f>
        <v>-2944.7999999999993</v>
      </c>
      <c r="T61">
        <f>Final_Table[[#This Row],[Gross Profit]]*Final_Table[[#This Row],[Tax Rate]]</f>
        <v>-883.43999999999971</v>
      </c>
      <c r="U61" s="5">
        <f>Final_Table[[#This Row],[Gross Profit]]-Final_Table[[#This Row],[Tax]]</f>
        <v>-2061.3599999999997</v>
      </c>
      <c r="V61" s="12">
        <f>Final_Table[[#This Row],[Net Profit]]/Final_Table[[#This Row],[Gross Revenue]]</f>
        <v>-0.10104705882352939</v>
      </c>
    </row>
    <row r="62" spans="1:22">
      <c r="A62" s="18" t="s">
        <v>70</v>
      </c>
      <c r="B62">
        <v>2013</v>
      </c>
      <c r="C62" t="s">
        <v>118</v>
      </c>
      <c r="D62">
        <v>1</v>
      </c>
      <c r="E62" s="18" t="s">
        <v>22</v>
      </c>
      <c r="F62" s="18" t="s">
        <v>112</v>
      </c>
      <c r="G62" s="18" t="s">
        <v>36</v>
      </c>
      <c r="H62" s="18" t="str">
        <f>Assumptions!$B$2</f>
        <v>Worst</v>
      </c>
      <c r="I62" s="18">
        <f>_xlfn.XLOOKUP(Assumptions!$B$2,Assumptions!$F$4:$H$4,Assumptions!$F$5:$H$5)</f>
        <v>1200</v>
      </c>
      <c r="J62" s="18">
        <f>_xlfn.XLOOKUP(Assumptions!$B$2,Assumptions!$F$4:$H$4,Assumptions!$F$6:$H$6)</f>
        <v>17</v>
      </c>
      <c r="K62" s="12">
        <f>_xlfn.XLOOKUP(Assumptions!$B$2,Assumptions!$F$4:$H$4,Assumptions!$F$8:$H$8)</f>
        <v>0.1</v>
      </c>
      <c r="L62" s="12">
        <f>_xlfn.XLOOKUP(Assumptions!$B$2,Assumptions!$F$4:$H$4,Assumptions!$F$9:$H$9)</f>
        <v>0.18</v>
      </c>
      <c r="M62" s="18">
        <f>_xlfn.XLOOKUP(Assumptions!$B$2,Assumptions!$F$4:$H$4,Assumptions!$F$10:$H$10)</f>
        <v>18000</v>
      </c>
      <c r="N62" s="12">
        <f>_xlfn.XLOOKUP(Assumptions!$B$2,Assumptions!$F$4:$H$4,Assumptions!$F$11:$H$11)</f>
        <v>0.3</v>
      </c>
      <c r="O62" s="14">
        <f>Final_Table[[#This Row],[Units Sold]]*Final_Table[[#This Row],[Sale Price]]</f>
        <v>20400</v>
      </c>
      <c r="P62" s="14">
        <f>Final_Table[[#This Row],[Gross Revenue]]*(1-Final_Table[[#This Row],[Discount %]])</f>
        <v>18360</v>
      </c>
      <c r="Q62">
        <f>Final_Table[[#This Row],[Net Revenue]]*Final_Table[[#This Row],[Variable Cost %]]</f>
        <v>3304.7999999999997</v>
      </c>
      <c r="R62">
        <f>Final_Table[[#This Row],[Variable Cost]]+Final_Table[[#This Row],[Fixed Monthly Cost]]</f>
        <v>21304.799999999999</v>
      </c>
      <c r="S62" s="5">
        <f>Final_Table[[#This Row],[Net Revenue]]-Final_Table[[#This Row],[Total Cost (COGS)]]</f>
        <v>-2944.7999999999993</v>
      </c>
      <c r="T62">
        <f>Final_Table[[#This Row],[Gross Profit]]*Final_Table[[#This Row],[Tax Rate]]</f>
        <v>-883.43999999999971</v>
      </c>
      <c r="U62" s="5">
        <f>Final_Table[[#This Row],[Gross Profit]]-Final_Table[[#This Row],[Tax]]</f>
        <v>-2061.3599999999997</v>
      </c>
      <c r="V62" s="12">
        <f>Final_Table[[#This Row],[Net Profit]]/Final_Table[[#This Row],[Gross Revenue]]</f>
        <v>-0.10104705882352939</v>
      </c>
    </row>
    <row r="63" spans="1:22">
      <c r="A63" s="18" t="s">
        <v>70</v>
      </c>
      <c r="B63">
        <v>2013</v>
      </c>
      <c r="C63" t="s">
        <v>118</v>
      </c>
      <c r="D63">
        <v>1</v>
      </c>
      <c r="E63" s="18" t="s">
        <v>22</v>
      </c>
      <c r="F63" s="18" t="s">
        <v>112</v>
      </c>
      <c r="G63" s="18" t="s">
        <v>23</v>
      </c>
      <c r="H63" s="18" t="str">
        <f>Assumptions!$B$2</f>
        <v>Worst</v>
      </c>
      <c r="I63" s="18">
        <f>_xlfn.XLOOKUP(Assumptions!$B$2,Assumptions!$F$4:$H$4,Assumptions!$F$5:$H$5)</f>
        <v>1200</v>
      </c>
      <c r="J63" s="18">
        <f>_xlfn.XLOOKUP(Assumptions!$B$2,Assumptions!$F$4:$H$4,Assumptions!$F$6:$H$6)</f>
        <v>17</v>
      </c>
      <c r="K63" s="12">
        <f>_xlfn.XLOOKUP(Assumptions!$B$2,Assumptions!$F$4:$H$4,Assumptions!$F$8:$H$8)</f>
        <v>0.1</v>
      </c>
      <c r="L63" s="12">
        <f>_xlfn.XLOOKUP(Assumptions!$B$2,Assumptions!$F$4:$H$4,Assumptions!$F$9:$H$9)</f>
        <v>0.18</v>
      </c>
      <c r="M63" s="18">
        <f>_xlfn.XLOOKUP(Assumptions!$B$2,Assumptions!$F$4:$H$4,Assumptions!$F$10:$H$10)</f>
        <v>18000</v>
      </c>
      <c r="N63" s="12">
        <f>_xlfn.XLOOKUP(Assumptions!$B$2,Assumptions!$F$4:$H$4,Assumptions!$F$11:$H$11)</f>
        <v>0.3</v>
      </c>
      <c r="O63" s="14">
        <f>Final_Table[[#This Row],[Units Sold]]*Final_Table[[#This Row],[Sale Price]]</f>
        <v>20400</v>
      </c>
      <c r="P63" s="14">
        <f>Final_Table[[#This Row],[Gross Revenue]]*(1-Final_Table[[#This Row],[Discount %]])</f>
        <v>18360</v>
      </c>
      <c r="Q63">
        <f>Final_Table[[#This Row],[Net Revenue]]*Final_Table[[#This Row],[Variable Cost %]]</f>
        <v>3304.7999999999997</v>
      </c>
      <c r="R63">
        <f>Final_Table[[#This Row],[Variable Cost]]+Final_Table[[#This Row],[Fixed Monthly Cost]]</f>
        <v>21304.799999999999</v>
      </c>
      <c r="S63" s="5">
        <f>Final_Table[[#This Row],[Net Revenue]]-Final_Table[[#This Row],[Total Cost (COGS)]]</f>
        <v>-2944.7999999999993</v>
      </c>
      <c r="T63">
        <f>Final_Table[[#This Row],[Gross Profit]]*Final_Table[[#This Row],[Tax Rate]]</f>
        <v>-883.43999999999971</v>
      </c>
      <c r="U63" s="5">
        <f>Final_Table[[#This Row],[Gross Profit]]-Final_Table[[#This Row],[Tax]]</f>
        <v>-2061.3599999999997</v>
      </c>
      <c r="V63" s="12">
        <f>Final_Table[[#This Row],[Net Profit]]/Final_Table[[#This Row],[Gross Revenue]]</f>
        <v>-0.10104705882352939</v>
      </c>
    </row>
    <row r="64" spans="1:22">
      <c r="A64" s="18" t="s">
        <v>70</v>
      </c>
      <c r="B64">
        <v>2013</v>
      </c>
      <c r="C64" t="s">
        <v>118</v>
      </c>
      <c r="D64">
        <v>1</v>
      </c>
      <c r="E64" s="18" t="s">
        <v>22</v>
      </c>
      <c r="F64" s="18" t="s">
        <v>112</v>
      </c>
      <c r="G64" s="18" t="s">
        <v>21</v>
      </c>
      <c r="H64" s="18" t="str">
        <f>Assumptions!$B$2</f>
        <v>Worst</v>
      </c>
      <c r="I64" s="18">
        <f>_xlfn.XLOOKUP(Assumptions!$B$2,Assumptions!$F$4:$H$4,Assumptions!$F$5:$H$5)</f>
        <v>1200</v>
      </c>
      <c r="J64" s="18">
        <f>_xlfn.XLOOKUP(Assumptions!$B$2,Assumptions!$F$4:$H$4,Assumptions!$F$6:$H$6)</f>
        <v>17</v>
      </c>
      <c r="K64" s="12">
        <f>_xlfn.XLOOKUP(Assumptions!$B$2,Assumptions!$F$4:$H$4,Assumptions!$F$8:$H$8)</f>
        <v>0.1</v>
      </c>
      <c r="L64" s="12">
        <f>_xlfn.XLOOKUP(Assumptions!$B$2,Assumptions!$F$4:$H$4,Assumptions!$F$9:$H$9)</f>
        <v>0.18</v>
      </c>
      <c r="M64" s="18">
        <f>_xlfn.XLOOKUP(Assumptions!$B$2,Assumptions!$F$4:$H$4,Assumptions!$F$10:$H$10)</f>
        <v>18000</v>
      </c>
      <c r="N64" s="12">
        <f>_xlfn.XLOOKUP(Assumptions!$B$2,Assumptions!$F$4:$H$4,Assumptions!$F$11:$H$11)</f>
        <v>0.3</v>
      </c>
      <c r="O64" s="14">
        <f>Final_Table[[#This Row],[Units Sold]]*Final_Table[[#This Row],[Sale Price]]</f>
        <v>20400</v>
      </c>
      <c r="P64" s="14">
        <f>Final_Table[[#This Row],[Gross Revenue]]*(1-Final_Table[[#This Row],[Discount %]])</f>
        <v>18360</v>
      </c>
      <c r="Q64">
        <f>Final_Table[[#This Row],[Net Revenue]]*Final_Table[[#This Row],[Variable Cost %]]</f>
        <v>3304.7999999999997</v>
      </c>
      <c r="R64">
        <f>Final_Table[[#This Row],[Variable Cost]]+Final_Table[[#This Row],[Fixed Monthly Cost]]</f>
        <v>21304.799999999999</v>
      </c>
      <c r="S64" s="5">
        <f>Final_Table[[#This Row],[Net Revenue]]-Final_Table[[#This Row],[Total Cost (COGS)]]</f>
        <v>-2944.7999999999993</v>
      </c>
      <c r="T64">
        <f>Final_Table[[#This Row],[Gross Profit]]*Final_Table[[#This Row],[Tax Rate]]</f>
        <v>-883.43999999999971</v>
      </c>
      <c r="U64" s="5">
        <f>Final_Table[[#This Row],[Gross Profit]]-Final_Table[[#This Row],[Tax]]</f>
        <v>-2061.3599999999997</v>
      </c>
      <c r="V64" s="12">
        <f>Final_Table[[#This Row],[Net Profit]]/Final_Table[[#This Row],[Gross Revenue]]</f>
        <v>-0.10104705882352939</v>
      </c>
    </row>
    <row r="65" spans="1:22">
      <c r="A65" s="18" t="s">
        <v>70</v>
      </c>
      <c r="B65">
        <v>2013</v>
      </c>
      <c r="C65" t="s">
        <v>118</v>
      </c>
      <c r="D65">
        <v>1</v>
      </c>
      <c r="E65" s="18" t="s">
        <v>22</v>
      </c>
      <c r="F65" s="18" t="s">
        <v>112</v>
      </c>
      <c r="G65" s="18" t="s">
        <v>25</v>
      </c>
      <c r="H65" s="18" t="str">
        <f>Assumptions!$B$2</f>
        <v>Worst</v>
      </c>
      <c r="I65" s="18">
        <f>_xlfn.XLOOKUP(Assumptions!$B$2,Assumptions!$F$4:$H$4,Assumptions!$F$5:$H$5)</f>
        <v>1200</v>
      </c>
      <c r="J65" s="18">
        <f>_xlfn.XLOOKUP(Assumptions!$B$2,Assumptions!$F$4:$H$4,Assumptions!$F$6:$H$6)</f>
        <v>17</v>
      </c>
      <c r="K65" s="12">
        <f>_xlfn.XLOOKUP(Assumptions!$B$2,Assumptions!$F$4:$H$4,Assumptions!$F$8:$H$8)</f>
        <v>0.1</v>
      </c>
      <c r="L65" s="12">
        <f>_xlfn.XLOOKUP(Assumptions!$B$2,Assumptions!$F$4:$H$4,Assumptions!$F$9:$H$9)</f>
        <v>0.18</v>
      </c>
      <c r="M65" s="18">
        <f>_xlfn.XLOOKUP(Assumptions!$B$2,Assumptions!$F$4:$H$4,Assumptions!$F$10:$H$10)</f>
        <v>18000</v>
      </c>
      <c r="N65" s="12">
        <f>_xlfn.XLOOKUP(Assumptions!$B$2,Assumptions!$F$4:$H$4,Assumptions!$F$11:$H$11)</f>
        <v>0.3</v>
      </c>
      <c r="O65" s="14">
        <f>Final_Table[[#This Row],[Units Sold]]*Final_Table[[#This Row],[Sale Price]]</f>
        <v>20400</v>
      </c>
      <c r="P65" s="14">
        <f>Final_Table[[#This Row],[Gross Revenue]]*(1-Final_Table[[#This Row],[Discount %]])</f>
        <v>18360</v>
      </c>
      <c r="Q65">
        <f>Final_Table[[#This Row],[Net Revenue]]*Final_Table[[#This Row],[Variable Cost %]]</f>
        <v>3304.7999999999997</v>
      </c>
      <c r="R65">
        <f>Final_Table[[#This Row],[Variable Cost]]+Final_Table[[#This Row],[Fixed Monthly Cost]]</f>
        <v>21304.799999999999</v>
      </c>
      <c r="S65" s="5">
        <f>Final_Table[[#This Row],[Net Revenue]]-Final_Table[[#This Row],[Total Cost (COGS)]]</f>
        <v>-2944.7999999999993</v>
      </c>
      <c r="T65">
        <f>Final_Table[[#This Row],[Gross Profit]]*Final_Table[[#This Row],[Tax Rate]]</f>
        <v>-883.43999999999971</v>
      </c>
      <c r="U65" s="5">
        <f>Final_Table[[#This Row],[Gross Profit]]-Final_Table[[#This Row],[Tax]]</f>
        <v>-2061.3599999999997</v>
      </c>
      <c r="V65" s="12">
        <f>Final_Table[[#This Row],[Net Profit]]/Final_Table[[#This Row],[Gross Revenue]]</f>
        <v>-0.10104705882352939</v>
      </c>
    </row>
    <row r="66" spans="1:22">
      <c r="A66" s="18" t="s">
        <v>70</v>
      </c>
      <c r="B66">
        <v>2013</v>
      </c>
      <c r="C66" t="s">
        <v>118</v>
      </c>
      <c r="D66">
        <v>1</v>
      </c>
      <c r="E66" s="18" t="s">
        <v>22</v>
      </c>
      <c r="F66" s="18" t="s">
        <v>112</v>
      </c>
      <c r="G66" s="18" t="s">
        <v>17</v>
      </c>
      <c r="H66" s="18" t="str">
        <f>Assumptions!$B$2</f>
        <v>Worst</v>
      </c>
      <c r="I66" s="18">
        <f>_xlfn.XLOOKUP(Assumptions!$B$2,Assumptions!$F$4:$H$4,Assumptions!$F$5:$H$5)</f>
        <v>1200</v>
      </c>
      <c r="J66" s="18">
        <f>_xlfn.XLOOKUP(Assumptions!$B$2,Assumptions!$F$4:$H$4,Assumptions!$F$6:$H$6)</f>
        <v>17</v>
      </c>
      <c r="K66" s="12">
        <f>_xlfn.XLOOKUP(Assumptions!$B$2,Assumptions!$F$4:$H$4,Assumptions!$F$8:$H$8)</f>
        <v>0.1</v>
      </c>
      <c r="L66" s="12">
        <f>_xlfn.XLOOKUP(Assumptions!$B$2,Assumptions!$F$4:$H$4,Assumptions!$F$9:$H$9)</f>
        <v>0.18</v>
      </c>
      <c r="M66" s="18">
        <f>_xlfn.XLOOKUP(Assumptions!$B$2,Assumptions!$F$4:$H$4,Assumptions!$F$10:$H$10)</f>
        <v>18000</v>
      </c>
      <c r="N66" s="12">
        <f>_xlfn.XLOOKUP(Assumptions!$B$2,Assumptions!$F$4:$H$4,Assumptions!$F$11:$H$11)</f>
        <v>0.3</v>
      </c>
      <c r="O66" s="14">
        <f>Final_Table[[#This Row],[Units Sold]]*Final_Table[[#This Row],[Sale Price]]</f>
        <v>20400</v>
      </c>
      <c r="P66" s="14">
        <f>Final_Table[[#This Row],[Gross Revenue]]*(1-Final_Table[[#This Row],[Discount %]])</f>
        <v>18360</v>
      </c>
      <c r="Q66">
        <f>Final_Table[[#This Row],[Net Revenue]]*Final_Table[[#This Row],[Variable Cost %]]</f>
        <v>3304.7999999999997</v>
      </c>
      <c r="R66">
        <f>Final_Table[[#This Row],[Variable Cost]]+Final_Table[[#This Row],[Fixed Monthly Cost]]</f>
        <v>21304.799999999999</v>
      </c>
      <c r="S66" s="5">
        <f>Final_Table[[#This Row],[Net Revenue]]-Final_Table[[#This Row],[Total Cost (COGS)]]</f>
        <v>-2944.7999999999993</v>
      </c>
      <c r="T66">
        <f>Final_Table[[#This Row],[Gross Profit]]*Final_Table[[#This Row],[Tax Rate]]</f>
        <v>-883.43999999999971</v>
      </c>
      <c r="U66" s="5">
        <f>Final_Table[[#This Row],[Gross Profit]]-Final_Table[[#This Row],[Tax]]</f>
        <v>-2061.3599999999997</v>
      </c>
      <c r="V66" s="12">
        <f>Final_Table[[#This Row],[Net Profit]]/Final_Table[[#This Row],[Gross Revenue]]</f>
        <v>-0.10104705882352939</v>
      </c>
    </row>
    <row r="67" spans="1:22">
      <c r="A67" s="18" t="s">
        <v>70</v>
      </c>
      <c r="B67">
        <v>2013</v>
      </c>
      <c r="C67" t="s">
        <v>118</v>
      </c>
      <c r="D67">
        <v>1</v>
      </c>
      <c r="E67" s="18" t="s">
        <v>22</v>
      </c>
      <c r="F67" s="18" t="s">
        <v>113</v>
      </c>
      <c r="G67" s="18" t="s">
        <v>36</v>
      </c>
      <c r="H67" s="18" t="str">
        <f>Assumptions!$B$2</f>
        <v>Worst</v>
      </c>
      <c r="I67" s="18">
        <f>_xlfn.XLOOKUP(Assumptions!$B$2,Assumptions!$F$4:$H$4,Assumptions!$F$5:$H$5)</f>
        <v>1200</v>
      </c>
      <c r="J67" s="18">
        <f>_xlfn.XLOOKUP(Assumptions!$B$2,Assumptions!$F$4:$H$4,Assumptions!$F$6:$H$6)</f>
        <v>17</v>
      </c>
      <c r="K67" s="12">
        <f>_xlfn.XLOOKUP(Assumptions!$B$2,Assumptions!$F$4:$H$4,Assumptions!$F$8:$H$8)</f>
        <v>0.1</v>
      </c>
      <c r="L67" s="12">
        <f>_xlfn.XLOOKUP(Assumptions!$B$2,Assumptions!$F$4:$H$4,Assumptions!$F$9:$H$9)</f>
        <v>0.18</v>
      </c>
      <c r="M67" s="18">
        <f>_xlfn.XLOOKUP(Assumptions!$B$2,Assumptions!$F$4:$H$4,Assumptions!$F$10:$H$10)</f>
        <v>18000</v>
      </c>
      <c r="N67" s="12">
        <f>_xlfn.XLOOKUP(Assumptions!$B$2,Assumptions!$F$4:$H$4,Assumptions!$F$11:$H$11)</f>
        <v>0.3</v>
      </c>
      <c r="O67" s="14">
        <f>Final_Table[[#This Row],[Units Sold]]*Final_Table[[#This Row],[Sale Price]]</f>
        <v>20400</v>
      </c>
      <c r="P67" s="14">
        <f>Final_Table[[#This Row],[Gross Revenue]]*(1-Final_Table[[#This Row],[Discount %]])</f>
        <v>18360</v>
      </c>
      <c r="Q67">
        <f>Final_Table[[#This Row],[Net Revenue]]*Final_Table[[#This Row],[Variable Cost %]]</f>
        <v>3304.7999999999997</v>
      </c>
      <c r="R67">
        <f>Final_Table[[#This Row],[Variable Cost]]+Final_Table[[#This Row],[Fixed Monthly Cost]]</f>
        <v>21304.799999999999</v>
      </c>
      <c r="S67" s="5">
        <f>Final_Table[[#This Row],[Net Revenue]]-Final_Table[[#This Row],[Total Cost (COGS)]]</f>
        <v>-2944.7999999999993</v>
      </c>
      <c r="T67">
        <f>Final_Table[[#This Row],[Gross Profit]]*Final_Table[[#This Row],[Tax Rate]]</f>
        <v>-883.43999999999971</v>
      </c>
      <c r="U67" s="5">
        <f>Final_Table[[#This Row],[Gross Profit]]-Final_Table[[#This Row],[Tax]]</f>
        <v>-2061.3599999999997</v>
      </c>
      <c r="V67" s="12">
        <f>Final_Table[[#This Row],[Net Profit]]/Final_Table[[#This Row],[Gross Revenue]]</f>
        <v>-0.10104705882352939</v>
      </c>
    </row>
    <row r="68" spans="1:22">
      <c r="A68" s="18" t="s">
        <v>70</v>
      </c>
      <c r="B68">
        <v>2013</v>
      </c>
      <c r="C68" t="s">
        <v>118</v>
      </c>
      <c r="D68">
        <v>1</v>
      </c>
      <c r="E68" s="18" t="s">
        <v>22</v>
      </c>
      <c r="F68" s="18" t="s">
        <v>113</v>
      </c>
      <c r="G68" s="18" t="s">
        <v>23</v>
      </c>
      <c r="H68" s="18" t="str">
        <f>Assumptions!$B$2</f>
        <v>Worst</v>
      </c>
      <c r="I68" s="18">
        <f>_xlfn.XLOOKUP(Assumptions!$B$2,Assumptions!$F$4:$H$4,Assumptions!$F$5:$H$5)</f>
        <v>1200</v>
      </c>
      <c r="J68" s="18">
        <f>_xlfn.XLOOKUP(Assumptions!$B$2,Assumptions!$F$4:$H$4,Assumptions!$F$6:$H$6)</f>
        <v>17</v>
      </c>
      <c r="K68" s="12">
        <f>_xlfn.XLOOKUP(Assumptions!$B$2,Assumptions!$F$4:$H$4,Assumptions!$F$8:$H$8)</f>
        <v>0.1</v>
      </c>
      <c r="L68" s="12">
        <f>_xlfn.XLOOKUP(Assumptions!$B$2,Assumptions!$F$4:$H$4,Assumptions!$F$9:$H$9)</f>
        <v>0.18</v>
      </c>
      <c r="M68" s="18">
        <f>_xlfn.XLOOKUP(Assumptions!$B$2,Assumptions!$F$4:$H$4,Assumptions!$F$10:$H$10)</f>
        <v>18000</v>
      </c>
      <c r="N68" s="12">
        <f>_xlfn.XLOOKUP(Assumptions!$B$2,Assumptions!$F$4:$H$4,Assumptions!$F$11:$H$11)</f>
        <v>0.3</v>
      </c>
      <c r="O68" s="14">
        <f>Final_Table[[#This Row],[Units Sold]]*Final_Table[[#This Row],[Sale Price]]</f>
        <v>20400</v>
      </c>
      <c r="P68" s="14">
        <f>Final_Table[[#This Row],[Gross Revenue]]*(1-Final_Table[[#This Row],[Discount %]])</f>
        <v>18360</v>
      </c>
      <c r="Q68">
        <f>Final_Table[[#This Row],[Net Revenue]]*Final_Table[[#This Row],[Variable Cost %]]</f>
        <v>3304.7999999999997</v>
      </c>
      <c r="R68">
        <f>Final_Table[[#This Row],[Variable Cost]]+Final_Table[[#This Row],[Fixed Monthly Cost]]</f>
        <v>21304.799999999999</v>
      </c>
      <c r="S68" s="5">
        <f>Final_Table[[#This Row],[Net Revenue]]-Final_Table[[#This Row],[Total Cost (COGS)]]</f>
        <v>-2944.7999999999993</v>
      </c>
      <c r="T68">
        <f>Final_Table[[#This Row],[Gross Profit]]*Final_Table[[#This Row],[Tax Rate]]</f>
        <v>-883.43999999999971</v>
      </c>
      <c r="U68" s="5">
        <f>Final_Table[[#This Row],[Gross Profit]]-Final_Table[[#This Row],[Tax]]</f>
        <v>-2061.3599999999997</v>
      </c>
      <c r="V68" s="12">
        <f>Final_Table[[#This Row],[Net Profit]]/Final_Table[[#This Row],[Gross Revenue]]</f>
        <v>-0.10104705882352939</v>
      </c>
    </row>
    <row r="69" spans="1:22">
      <c r="A69" s="18" t="s">
        <v>70</v>
      </c>
      <c r="B69">
        <v>2013</v>
      </c>
      <c r="C69" t="s">
        <v>118</v>
      </c>
      <c r="D69">
        <v>1</v>
      </c>
      <c r="E69" s="18" t="s">
        <v>22</v>
      </c>
      <c r="F69" s="18" t="s">
        <v>113</v>
      </c>
      <c r="G69" s="18" t="s">
        <v>21</v>
      </c>
      <c r="H69" s="18" t="str">
        <f>Assumptions!$B$2</f>
        <v>Worst</v>
      </c>
      <c r="I69" s="18">
        <f>_xlfn.XLOOKUP(Assumptions!$B$2,Assumptions!$F$4:$H$4,Assumptions!$F$5:$H$5)</f>
        <v>1200</v>
      </c>
      <c r="J69" s="18">
        <f>_xlfn.XLOOKUP(Assumptions!$B$2,Assumptions!$F$4:$H$4,Assumptions!$F$6:$H$6)</f>
        <v>17</v>
      </c>
      <c r="K69" s="12">
        <f>_xlfn.XLOOKUP(Assumptions!$B$2,Assumptions!$F$4:$H$4,Assumptions!$F$8:$H$8)</f>
        <v>0.1</v>
      </c>
      <c r="L69" s="12">
        <f>_xlfn.XLOOKUP(Assumptions!$B$2,Assumptions!$F$4:$H$4,Assumptions!$F$9:$H$9)</f>
        <v>0.18</v>
      </c>
      <c r="M69" s="18">
        <f>_xlfn.XLOOKUP(Assumptions!$B$2,Assumptions!$F$4:$H$4,Assumptions!$F$10:$H$10)</f>
        <v>18000</v>
      </c>
      <c r="N69" s="12">
        <f>_xlfn.XLOOKUP(Assumptions!$B$2,Assumptions!$F$4:$H$4,Assumptions!$F$11:$H$11)</f>
        <v>0.3</v>
      </c>
      <c r="O69" s="14">
        <f>Final_Table[[#This Row],[Units Sold]]*Final_Table[[#This Row],[Sale Price]]</f>
        <v>20400</v>
      </c>
      <c r="P69" s="14">
        <f>Final_Table[[#This Row],[Gross Revenue]]*(1-Final_Table[[#This Row],[Discount %]])</f>
        <v>18360</v>
      </c>
      <c r="Q69">
        <f>Final_Table[[#This Row],[Net Revenue]]*Final_Table[[#This Row],[Variable Cost %]]</f>
        <v>3304.7999999999997</v>
      </c>
      <c r="R69">
        <f>Final_Table[[#This Row],[Variable Cost]]+Final_Table[[#This Row],[Fixed Monthly Cost]]</f>
        <v>21304.799999999999</v>
      </c>
      <c r="S69" s="5">
        <f>Final_Table[[#This Row],[Net Revenue]]-Final_Table[[#This Row],[Total Cost (COGS)]]</f>
        <v>-2944.7999999999993</v>
      </c>
      <c r="T69">
        <f>Final_Table[[#This Row],[Gross Profit]]*Final_Table[[#This Row],[Tax Rate]]</f>
        <v>-883.43999999999971</v>
      </c>
      <c r="U69" s="5">
        <f>Final_Table[[#This Row],[Gross Profit]]-Final_Table[[#This Row],[Tax]]</f>
        <v>-2061.3599999999997</v>
      </c>
      <c r="V69" s="12">
        <f>Final_Table[[#This Row],[Net Profit]]/Final_Table[[#This Row],[Gross Revenue]]</f>
        <v>-0.10104705882352939</v>
      </c>
    </row>
    <row r="70" spans="1:22">
      <c r="A70" s="18" t="s">
        <v>70</v>
      </c>
      <c r="B70">
        <v>2013</v>
      </c>
      <c r="C70" t="s">
        <v>118</v>
      </c>
      <c r="D70">
        <v>1</v>
      </c>
      <c r="E70" s="18" t="s">
        <v>22</v>
      </c>
      <c r="F70" s="18" t="s">
        <v>113</v>
      </c>
      <c r="G70" s="18" t="s">
        <v>25</v>
      </c>
      <c r="H70" s="18" t="str">
        <f>Assumptions!$B$2</f>
        <v>Worst</v>
      </c>
      <c r="I70" s="18">
        <f>_xlfn.XLOOKUP(Assumptions!$B$2,Assumptions!$F$4:$H$4,Assumptions!$F$5:$H$5)</f>
        <v>1200</v>
      </c>
      <c r="J70" s="18">
        <f>_xlfn.XLOOKUP(Assumptions!$B$2,Assumptions!$F$4:$H$4,Assumptions!$F$6:$H$6)</f>
        <v>17</v>
      </c>
      <c r="K70" s="12">
        <f>_xlfn.XLOOKUP(Assumptions!$B$2,Assumptions!$F$4:$H$4,Assumptions!$F$8:$H$8)</f>
        <v>0.1</v>
      </c>
      <c r="L70" s="12">
        <f>_xlfn.XLOOKUP(Assumptions!$B$2,Assumptions!$F$4:$H$4,Assumptions!$F$9:$H$9)</f>
        <v>0.18</v>
      </c>
      <c r="M70" s="18">
        <f>_xlfn.XLOOKUP(Assumptions!$B$2,Assumptions!$F$4:$H$4,Assumptions!$F$10:$H$10)</f>
        <v>18000</v>
      </c>
      <c r="N70" s="12">
        <f>_xlfn.XLOOKUP(Assumptions!$B$2,Assumptions!$F$4:$H$4,Assumptions!$F$11:$H$11)</f>
        <v>0.3</v>
      </c>
      <c r="O70" s="14">
        <f>Final_Table[[#This Row],[Units Sold]]*Final_Table[[#This Row],[Sale Price]]</f>
        <v>20400</v>
      </c>
      <c r="P70" s="14">
        <f>Final_Table[[#This Row],[Gross Revenue]]*(1-Final_Table[[#This Row],[Discount %]])</f>
        <v>18360</v>
      </c>
      <c r="Q70">
        <f>Final_Table[[#This Row],[Net Revenue]]*Final_Table[[#This Row],[Variable Cost %]]</f>
        <v>3304.7999999999997</v>
      </c>
      <c r="R70">
        <f>Final_Table[[#This Row],[Variable Cost]]+Final_Table[[#This Row],[Fixed Monthly Cost]]</f>
        <v>21304.799999999999</v>
      </c>
      <c r="S70" s="5">
        <f>Final_Table[[#This Row],[Net Revenue]]-Final_Table[[#This Row],[Total Cost (COGS)]]</f>
        <v>-2944.7999999999993</v>
      </c>
      <c r="T70">
        <f>Final_Table[[#This Row],[Gross Profit]]*Final_Table[[#This Row],[Tax Rate]]</f>
        <v>-883.43999999999971</v>
      </c>
      <c r="U70" s="5">
        <f>Final_Table[[#This Row],[Gross Profit]]-Final_Table[[#This Row],[Tax]]</f>
        <v>-2061.3599999999997</v>
      </c>
      <c r="V70" s="12">
        <f>Final_Table[[#This Row],[Net Profit]]/Final_Table[[#This Row],[Gross Revenue]]</f>
        <v>-0.10104705882352939</v>
      </c>
    </row>
    <row r="71" spans="1:22">
      <c r="A71" s="18" t="s">
        <v>70</v>
      </c>
      <c r="B71">
        <v>2013</v>
      </c>
      <c r="C71" t="s">
        <v>118</v>
      </c>
      <c r="D71">
        <v>1</v>
      </c>
      <c r="E71" s="18" t="s">
        <v>22</v>
      </c>
      <c r="F71" s="18" t="s">
        <v>113</v>
      </c>
      <c r="G71" s="18" t="s">
        <v>17</v>
      </c>
      <c r="H71" s="18" t="str">
        <f>Assumptions!$B$2</f>
        <v>Worst</v>
      </c>
      <c r="I71" s="18">
        <f>_xlfn.XLOOKUP(Assumptions!$B$2,Assumptions!$F$4:$H$4,Assumptions!$F$5:$H$5)</f>
        <v>1200</v>
      </c>
      <c r="J71" s="18">
        <f>_xlfn.XLOOKUP(Assumptions!$B$2,Assumptions!$F$4:$H$4,Assumptions!$F$6:$H$6)</f>
        <v>17</v>
      </c>
      <c r="K71" s="12">
        <f>_xlfn.XLOOKUP(Assumptions!$B$2,Assumptions!$F$4:$H$4,Assumptions!$F$8:$H$8)</f>
        <v>0.1</v>
      </c>
      <c r="L71" s="12">
        <f>_xlfn.XLOOKUP(Assumptions!$B$2,Assumptions!$F$4:$H$4,Assumptions!$F$9:$H$9)</f>
        <v>0.18</v>
      </c>
      <c r="M71" s="18">
        <f>_xlfn.XLOOKUP(Assumptions!$B$2,Assumptions!$F$4:$H$4,Assumptions!$F$10:$H$10)</f>
        <v>18000</v>
      </c>
      <c r="N71" s="12">
        <f>_xlfn.XLOOKUP(Assumptions!$B$2,Assumptions!$F$4:$H$4,Assumptions!$F$11:$H$11)</f>
        <v>0.3</v>
      </c>
      <c r="O71" s="14">
        <f>Final_Table[[#This Row],[Units Sold]]*Final_Table[[#This Row],[Sale Price]]</f>
        <v>20400</v>
      </c>
      <c r="P71" s="14">
        <f>Final_Table[[#This Row],[Gross Revenue]]*(1-Final_Table[[#This Row],[Discount %]])</f>
        <v>18360</v>
      </c>
      <c r="Q71">
        <f>Final_Table[[#This Row],[Net Revenue]]*Final_Table[[#This Row],[Variable Cost %]]</f>
        <v>3304.7999999999997</v>
      </c>
      <c r="R71">
        <f>Final_Table[[#This Row],[Variable Cost]]+Final_Table[[#This Row],[Fixed Monthly Cost]]</f>
        <v>21304.799999999999</v>
      </c>
      <c r="S71" s="5">
        <f>Final_Table[[#This Row],[Net Revenue]]-Final_Table[[#This Row],[Total Cost (COGS)]]</f>
        <v>-2944.7999999999993</v>
      </c>
      <c r="T71">
        <f>Final_Table[[#This Row],[Gross Profit]]*Final_Table[[#This Row],[Tax Rate]]</f>
        <v>-883.43999999999971</v>
      </c>
      <c r="U71" s="5">
        <f>Final_Table[[#This Row],[Gross Profit]]-Final_Table[[#This Row],[Tax]]</f>
        <v>-2061.3599999999997</v>
      </c>
      <c r="V71" s="12">
        <f>Final_Table[[#This Row],[Net Profit]]/Final_Table[[#This Row],[Gross Revenue]]</f>
        <v>-0.10104705882352939</v>
      </c>
    </row>
    <row r="72" spans="1:22">
      <c r="A72" s="18" t="s">
        <v>70</v>
      </c>
      <c r="B72">
        <v>2013</v>
      </c>
      <c r="C72" t="s">
        <v>118</v>
      </c>
      <c r="D72">
        <v>1</v>
      </c>
      <c r="E72" s="18" t="s">
        <v>22</v>
      </c>
      <c r="F72" s="18" t="s">
        <v>114</v>
      </c>
      <c r="G72" s="18" t="s">
        <v>36</v>
      </c>
      <c r="H72" s="18" t="str">
        <f>Assumptions!$B$2</f>
        <v>Worst</v>
      </c>
      <c r="I72" s="18">
        <f>_xlfn.XLOOKUP(Assumptions!$B$2,Assumptions!$F$4:$H$4,Assumptions!$F$5:$H$5)</f>
        <v>1200</v>
      </c>
      <c r="J72" s="18">
        <f>_xlfn.XLOOKUP(Assumptions!$B$2,Assumptions!$F$4:$H$4,Assumptions!$F$6:$H$6)</f>
        <v>17</v>
      </c>
      <c r="K72" s="12">
        <f>_xlfn.XLOOKUP(Assumptions!$B$2,Assumptions!$F$4:$H$4,Assumptions!$F$8:$H$8)</f>
        <v>0.1</v>
      </c>
      <c r="L72" s="12">
        <f>_xlfn.XLOOKUP(Assumptions!$B$2,Assumptions!$F$4:$H$4,Assumptions!$F$9:$H$9)</f>
        <v>0.18</v>
      </c>
      <c r="M72" s="18">
        <f>_xlfn.XLOOKUP(Assumptions!$B$2,Assumptions!$F$4:$H$4,Assumptions!$F$10:$H$10)</f>
        <v>18000</v>
      </c>
      <c r="N72" s="12">
        <f>_xlfn.XLOOKUP(Assumptions!$B$2,Assumptions!$F$4:$H$4,Assumptions!$F$11:$H$11)</f>
        <v>0.3</v>
      </c>
      <c r="O72" s="14">
        <f>Final_Table[[#This Row],[Units Sold]]*Final_Table[[#This Row],[Sale Price]]</f>
        <v>20400</v>
      </c>
      <c r="P72" s="14">
        <f>Final_Table[[#This Row],[Gross Revenue]]*(1-Final_Table[[#This Row],[Discount %]])</f>
        <v>18360</v>
      </c>
      <c r="Q72">
        <f>Final_Table[[#This Row],[Net Revenue]]*Final_Table[[#This Row],[Variable Cost %]]</f>
        <v>3304.7999999999997</v>
      </c>
      <c r="R72">
        <f>Final_Table[[#This Row],[Variable Cost]]+Final_Table[[#This Row],[Fixed Monthly Cost]]</f>
        <v>21304.799999999999</v>
      </c>
      <c r="S72" s="5">
        <f>Final_Table[[#This Row],[Net Revenue]]-Final_Table[[#This Row],[Total Cost (COGS)]]</f>
        <v>-2944.7999999999993</v>
      </c>
      <c r="T72">
        <f>Final_Table[[#This Row],[Gross Profit]]*Final_Table[[#This Row],[Tax Rate]]</f>
        <v>-883.43999999999971</v>
      </c>
      <c r="U72" s="5">
        <f>Final_Table[[#This Row],[Gross Profit]]-Final_Table[[#This Row],[Tax]]</f>
        <v>-2061.3599999999997</v>
      </c>
      <c r="V72" s="12">
        <f>Final_Table[[#This Row],[Net Profit]]/Final_Table[[#This Row],[Gross Revenue]]</f>
        <v>-0.10104705882352939</v>
      </c>
    </row>
    <row r="73" spans="1:22">
      <c r="A73" s="18" t="s">
        <v>70</v>
      </c>
      <c r="B73">
        <v>2013</v>
      </c>
      <c r="C73" t="s">
        <v>118</v>
      </c>
      <c r="D73">
        <v>1</v>
      </c>
      <c r="E73" s="18" t="s">
        <v>22</v>
      </c>
      <c r="F73" s="18" t="s">
        <v>114</v>
      </c>
      <c r="G73" s="18" t="s">
        <v>23</v>
      </c>
      <c r="H73" s="18" t="str">
        <f>Assumptions!$B$2</f>
        <v>Worst</v>
      </c>
      <c r="I73" s="18">
        <f>_xlfn.XLOOKUP(Assumptions!$B$2,Assumptions!$F$4:$H$4,Assumptions!$F$5:$H$5)</f>
        <v>1200</v>
      </c>
      <c r="J73" s="18">
        <f>_xlfn.XLOOKUP(Assumptions!$B$2,Assumptions!$F$4:$H$4,Assumptions!$F$6:$H$6)</f>
        <v>17</v>
      </c>
      <c r="K73" s="12">
        <f>_xlfn.XLOOKUP(Assumptions!$B$2,Assumptions!$F$4:$H$4,Assumptions!$F$8:$H$8)</f>
        <v>0.1</v>
      </c>
      <c r="L73" s="12">
        <f>_xlfn.XLOOKUP(Assumptions!$B$2,Assumptions!$F$4:$H$4,Assumptions!$F$9:$H$9)</f>
        <v>0.18</v>
      </c>
      <c r="M73" s="18">
        <f>_xlfn.XLOOKUP(Assumptions!$B$2,Assumptions!$F$4:$H$4,Assumptions!$F$10:$H$10)</f>
        <v>18000</v>
      </c>
      <c r="N73" s="12">
        <f>_xlfn.XLOOKUP(Assumptions!$B$2,Assumptions!$F$4:$H$4,Assumptions!$F$11:$H$11)</f>
        <v>0.3</v>
      </c>
      <c r="O73" s="14">
        <f>Final_Table[[#This Row],[Units Sold]]*Final_Table[[#This Row],[Sale Price]]</f>
        <v>20400</v>
      </c>
      <c r="P73" s="14">
        <f>Final_Table[[#This Row],[Gross Revenue]]*(1-Final_Table[[#This Row],[Discount %]])</f>
        <v>18360</v>
      </c>
      <c r="Q73">
        <f>Final_Table[[#This Row],[Net Revenue]]*Final_Table[[#This Row],[Variable Cost %]]</f>
        <v>3304.7999999999997</v>
      </c>
      <c r="R73">
        <f>Final_Table[[#This Row],[Variable Cost]]+Final_Table[[#This Row],[Fixed Monthly Cost]]</f>
        <v>21304.799999999999</v>
      </c>
      <c r="S73" s="5">
        <f>Final_Table[[#This Row],[Net Revenue]]-Final_Table[[#This Row],[Total Cost (COGS)]]</f>
        <v>-2944.7999999999993</v>
      </c>
      <c r="T73">
        <f>Final_Table[[#This Row],[Gross Profit]]*Final_Table[[#This Row],[Tax Rate]]</f>
        <v>-883.43999999999971</v>
      </c>
      <c r="U73" s="5">
        <f>Final_Table[[#This Row],[Gross Profit]]-Final_Table[[#This Row],[Tax]]</f>
        <v>-2061.3599999999997</v>
      </c>
      <c r="V73" s="12">
        <f>Final_Table[[#This Row],[Net Profit]]/Final_Table[[#This Row],[Gross Revenue]]</f>
        <v>-0.10104705882352939</v>
      </c>
    </row>
    <row r="74" spans="1:22">
      <c r="A74" s="18" t="s">
        <v>70</v>
      </c>
      <c r="B74">
        <v>2013</v>
      </c>
      <c r="C74" t="s">
        <v>118</v>
      </c>
      <c r="D74">
        <v>1</v>
      </c>
      <c r="E74" s="18" t="s">
        <v>22</v>
      </c>
      <c r="F74" s="18" t="s">
        <v>114</v>
      </c>
      <c r="G74" s="18" t="s">
        <v>21</v>
      </c>
      <c r="H74" s="18" t="str">
        <f>Assumptions!$B$2</f>
        <v>Worst</v>
      </c>
      <c r="I74" s="18">
        <f>_xlfn.XLOOKUP(Assumptions!$B$2,Assumptions!$F$4:$H$4,Assumptions!$F$5:$H$5)</f>
        <v>1200</v>
      </c>
      <c r="J74" s="18">
        <f>_xlfn.XLOOKUP(Assumptions!$B$2,Assumptions!$F$4:$H$4,Assumptions!$F$6:$H$6)</f>
        <v>17</v>
      </c>
      <c r="K74" s="12">
        <f>_xlfn.XLOOKUP(Assumptions!$B$2,Assumptions!$F$4:$H$4,Assumptions!$F$8:$H$8)</f>
        <v>0.1</v>
      </c>
      <c r="L74" s="12">
        <f>_xlfn.XLOOKUP(Assumptions!$B$2,Assumptions!$F$4:$H$4,Assumptions!$F$9:$H$9)</f>
        <v>0.18</v>
      </c>
      <c r="M74" s="18">
        <f>_xlfn.XLOOKUP(Assumptions!$B$2,Assumptions!$F$4:$H$4,Assumptions!$F$10:$H$10)</f>
        <v>18000</v>
      </c>
      <c r="N74" s="12">
        <f>_xlfn.XLOOKUP(Assumptions!$B$2,Assumptions!$F$4:$H$4,Assumptions!$F$11:$H$11)</f>
        <v>0.3</v>
      </c>
      <c r="O74" s="14">
        <f>Final_Table[[#This Row],[Units Sold]]*Final_Table[[#This Row],[Sale Price]]</f>
        <v>20400</v>
      </c>
      <c r="P74" s="14">
        <f>Final_Table[[#This Row],[Gross Revenue]]*(1-Final_Table[[#This Row],[Discount %]])</f>
        <v>18360</v>
      </c>
      <c r="Q74">
        <f>Final_Table[[#This Row],[Net Revenue]]*Final_Table[[#This Row],[Variable Cost %]]</f>
        <v>3304.7999999999997</v>
      </c>
      <c r="R74">
        <f>Final_Table[[#This Row],[Variable Cost]]+Final_Table[[#This Row],[Fixed Monthly Cost]]</f>
        <v>21304.799999999999</v>
      </c>
      <c r="S74" s="5">
        <f>Final_Table[[#This Row],[Net Revenue]]-Final_Table[[#This Row],[Total Cost (COGS)]]</f>
        <v>-2944.7999999999993</v>
      </c>
      <c r="T74">
        <f>Final_Table[[#This Row],[Gross Profit]]*Final_Table[[#This Row],[Tax Rate]]</f>
        <v>-883.43999999999971</v>
      </c>
      <c r="U74" s="5">
        <f>Final_Table[[#This Row],[Gross Profit]]-Final_Table[[#This Row],[Tax]]</f>
        <v>-2061.3599999999997</v>
      </c>
      <c r="V74" s="12">
        <f>Final_Table[[#This Row],[Net Profit]]/Final_Table[[#This Row],[Gross Revenue]]</f>
        <v>-0.10104705882352939</v>
      </c>
    </row>
    <row r="75" spans="1:22">
      <c r="A75" s="18" t="s">
        <v>70</v>
      </c>
      <c r="B75">
        <v>2013</v>
      </c>
      <c r="C75" t="s">
        <v>118</v>
      </c>
      <c r="D75">
        <v>1</v>
      </c>
      <c r="E75" s="18" t="s">
        <v>22</v>
      </c>
      <c r="F75" s="18" t="s">
        <v>114</v>
      </c>
      <c r="G75" s="18" t="s">
        <v>25</v>
      </c>
      <c r="H75" s="18" t="str">
        <f>Assumptions!$B$2</f>
        <v>Worst</v>
      </c>
      <c r="I75" s="18">
        <f>_xlfn.XLOOKUP(Assumptions!$B$2,Assumptions!$F$4:$H$4,Assumptions!$F$5:$H$5)</f>
        <v>1200</v>
      </c>
      <c r="J75" s="18">
        <f>_xlfn.XLOOKUP(Assumptions!$B$2,Assumptions!$F$4:$H$4,Assumptions!$F$6:$H$6)</f>
        <v>17</v>
      </c>
      <c r="K75" s="12">
        <f>_xlfn.XLOOKUP(Assumptions!$B$2,Assumptions!$F$4:$H$4,Assumptions!$F$8:$H$8)</f>
        <v>0.1</v>
      </c>
      <c r="L75" s="12">
        <f>_xlfn.XLOOKUP(Assumptions!$B$2,Assumptions!$F$4:$H$4,Assumptions!$F$9:$H$9)</f>
        <v>0.18</v>
      </c>
      <c r="M75" s="18">
        <f>_xlfn.XLOOKUP(Assumptions!$B$2,Assumptions!$F$4:$H$4,Assumptions!$F$10:$H$10)</f>
        <v>18000</v>
      </c>
      <c r="N75" s="12">
        <f>_xlfn.XLOOKUP(Assumptions!$B$2,Assumptions!$F$4:$H$4,Assumptions!$F$11:$H$11)</f>
        <v>0.3</v>
      </c>
      <c r="O75" s="14">
        <f>Final_Table[[#This Row],[Units Sold]]*Final_Table[[#This Row],[Sale Price]]</f>
        <v>20400</v>
      </c>
      <c r="P75" s="14">
        <f>Final_Table[[#This Row],[Gross Revenue]]*(1-Final_Table[[#This Row],[Discount %]])</f>
        <v>18360</v>
      </c>
      <c r="Q75">
        <f>Final_Table[[#This Row],[Net Revenue]]*Final_Table[[#This Row],[Variable Cost %]]</f>
        <v>3304.7999999999997</v>
      </c>
      <c r="R75">
        <f>Final_Table[[#This Row],[Variable Cost]]+Final_Table[[#This Row],[Fixed Monthly Cost]]</f>
        <v>21304.799999999999</v>
      </c>
      <c r="S75" s="5">
        <f>Final_Table[[#This Row],[Net Revenue]]-Final_Table[[#This Row],[Total Cost (COGS)]]</f>
        <v>-2944.7999999999993</v>
      </c>
      <c r="T75">
        <f>Final_Table[[#This Row],[Gross Profit]]*Final_Table[[#This Row],[Tax Rate]]</f>
        <v>-883.43999999999971</v>
      </c>
      <c r="U75" s="5">
        <f>Final_Table[[#This Row],[Gross Profit]]-Final_Table[[#This Row],[Tax]]</f>
        <v>-2061.3599999999997</v>
      </c>
      <c r="V75" s="12">
        <f>Final_Table[[#This Row],[Net Profit]]/Final_Table[[#This Row],[Gross Revenue]]</f>
        <v>-0.10104705882352939</v>
      </c>
    </row>
    <row r="76" spans="1:22">
      <c r="A76" s="18" t="s">
        <v>70</v>
      </c>
      <c r="B76">
        <v>2013</v>
      </c>
      <c r="C76" t="s">
        <v>118</v>
      </c>
      <c r="D76">
        <v>1</v>
      </c>
      <c r="E76" s="18" t="s">
        <v>22</v>
      </c>
      <c r="F76" s="18" t="s">
        <v>114</v>
      </c>
      <c r="G76" s="18" t="s">
        <v>17</v>
      </c>
      <c r="H76" s="18" t="str">
        <f>Assumptions!$B$2</f>
        <v>Worst</v>
      </c>
      <c r="I76" s="18">
        <f>_xlfn.XLOOKUP(Assumptions!$B$2,Assumptions!$F$4:$H$4,Assumptions!$F$5:$H$5)</f>
        <v>1200</v>
      </c>
      <c r="J76" s="18">
        <f>_xlfn.XLOOKUP(Assumptions!$B$2,Assumptions!$F$4:$H$4,Assumptions!$F$6:$H$6)</f>
        <v>17</v>
      </c>
      <c r="K76" s="12">
        <f>_xlfn.XLOOKUP(Assumptions!$B$2,Assumptions!$F$4:$H$4,Assumptions!$F$8:$H$8)</f>
        <v>0.1</v>
      </c>
      <c r="L76" s="12">
        <f>_xlfn.XLOOKUP(Assumptions!$B$2,Assumptions!$F$4:$H$4,Assumptions!$F$9:$H$9)</f>
        <v>0.18</v>
      </c>
      <c r="M76" s="18">
        <f>_xlfn.XLOOKUP(Assumptions!$B$2,Assumptions!$F$4:$H$4,Assumptions!$F$10:$H$10)</f>
        <v>18000</v>
      </c>
      <c r="N76" s="12">
        <f>_xlfn.XLOOKUP(Assumptions!$B$2,Assumptions!$F$4:$H$4,Assumptions!$F$11:$H$11)</f>
        <v>0.3</v>
      </c>
      <c r="O76" s="14">
        <f>Final_Table[[#This Row],[Units Sold]]*Final_Table[[#This Row],[Sale Price]]</f>
        <v>20400</v>
      </c>
      <c r="P76" s="14">
        <f>Final_Table[[#This Row],[Gross Revenue]]*(1-Final_Table[[#This Row],[Discount %]])</f>
        <v>18360</v>
      </c>
      <c r="Q76">
        <f>Final_Table[[#This Row],[Net Revenue]]*Final_Table[[#This Row],[Variable Cost %]]</f>
        <v>3304.7999999999997</v>
      </c>
      <c r="R76">
        <f>Final_Table[[#This Row],[Variable Cost]]+Final_Table[[#This Row],[Fixed Monthly Cost]]</f>
        <v>21304.799999999999</v>
      </c>
      <c r="S76" s="5">
        <f>Final_Table[[#This Row],[Net Revenue]]-Final_Table[[#This Row],[Total Cost (COGS)]]</f>
        <v>-2944.7999999999993</v>
      </c>
      <c r="T76">
        <f>Final_Table[[#This Row],[Gross Profit]]*Final_Table[[#This Row],[Tax Rate]]</f>
        <v>-883.43999999999971</v>
      </c>
      <c r="U76" s="5">
        <f>Final_Table[[#This Row],[Gross Profit]]-Final_Table[[#This Row],[Tax]]</f>
        <v>-2061.3599999999997</v>
      </c>
      <c r="V76" s="12">
        <f>Final_Table[[#This Row],[Net Profit]]/Final_Table[[#This Row],[Gross Revenue]]</f>
        <v>-0.10104705882352939</v>
      </c>
    </row>
    <row r="77" spans="1:22">
      <c r="A77" s="18" t="s">
        <v>70</v>
      </c>
      <c r="B77">
        <v>2013</v>
      </c>
      <c r="C77" t="s">
        <v>118</v>
      </c>
      <c r="D77">
        <v>1</v>
      </c>
      <c r="E77" s="18" t="s">
        <v>16</v>
      </c>
      <c r="F77" s="18" t="s">
        <v>80</v>
      </c>
      <c r="G77" s="18" t="s">
        <v>36</v>
      </c>
      <c r="H77" s="18" t="str">
        <f>Assumptions!$B$2</f>
        <v>Worst</v>
      </c>
      <c r="I77" s="18">
        <f>_xlfn.XLOOKUP(Assumptions!$B$2,Assumptions!$F$4:$H$4,Assumptions!$F$5:$H$5)</f>
        <v>1200</v>
      </c>
      <c r="J77" s="18">
        <f>_xlfn.XLOOKUP(Assumptions!$B$2,Assumptions!$F$4:$H$4,Assumptions!$F$6:$H$6)</f>
        <v>17</v>
      </c>
      <c r="K77" s="12">
        <f>_xlfn.XLOOKUP(Assumptions!$B$2,Assumptions!$F$4:$H$4,Assumptions!$F$8:$H$8)</f>
        <v>0.1</v>
      </c>
      <c r="L77" s="12">
        <f>_xlfn.XLOOKUP(Assumptions!$B$2,Assumptions!$F$4:$H$4,Assumptions!$F$9:$H$9)</f>
        <v>0.18</v>
      </c>
      <c r="M77" s="18">
        <f>_xlfn.XLOOKUP(Assumptions!$B$2,Assumptions!$F$4:$H$4,Assumptions!$F$10:$H$10)</f>
        <v>18000</v>
      </c>
      <c r="N77" s="12">
        <f>_xlfn.XLOOKUP(Assumptions!$B$2,Assumptions!$F$4:$H$4,Assumptions!$F$11:$H$11)</f>
        <v>0.3</v>
      </c>
      <c r="O77" s="14">
        <f>Final_Table[[#This Row],[Units Sold]]*Final_Table[[#This Row],[Sale Price]]</f>
        <v>20400</v>
      </c>
      <c r="P77" s="14">
        <f>Final_Table[[#This Row],[Gross Revenue]]*(1-Final_Table[[#This Row],[Discount %]])</f>
        <v>18360</v>
      </c>
      <c r="Q77">
        <f>Final_Table[[#This Row],[Net Revenue]]*Final_Table[[#This Row],[Variable Cost %]]</f>
        <v>3304.7999999999997</v>
      </c>
      <c r="R77">
        <f>Final_Table[[#This Row],[Variable Cost]]+Final_Table[[#This Row],[Fixed Monthly Cost]]</f>
        <v>21304.799999999999</v>
      </c>
      <c r="S77" s="5">
        <f>Final_Table[[#This Row],[Net Revenue]]-Final_Table[[#This Row],[Total Cost (COGS)]]</f>
        <v>-2944.7999999999993</v>
      </c>
      <c r="T77">
        <f>Final_Table[[#This Row],[Gross Profit]]*Final_Table[[#This Row],[Tax Rate]]</f>
        <v>-883.43999999999971</v>
      </c>
      <c r="U77" s="5">
        <f>Final_Table[[#This Row],[Gross Profit]]-Final_Table[[#This Row],[Tax]]</f>
        <v>-2061.3599999999997</v>
      </c>
      <c r="V77" s="12">
        <f>Final_Table[[#This Row],[Net Profit]]/Final_Table[[#This Row],[Gross Revenue]]</f>
        <v>-0.10104705882352939</v>
      </c>
    </row>
    <row r="78" spans="1:22">
      <c r="A78" s="18" t="s">
        <v>70</v>
      </c>
      <c r="B78">
        <v>2013</v>
      </c>
      <c r="C78" t="s">
        <v>118</v>
      </c>
      <c r="D78">
        <v>1</v>
      </c>
      <c r="E78" s="18" t="s">
        <v>16</v>
      </c>
      <c r="F78" s="18" t="s">
        <v>80</v>
      </c>
      <c r="G78" s="18" t="s">
        <v>23</v>
      </c>
      <c r="H78" s="18" t="str">
        <f>Assumptions!$B$2</f>
        <v>Worst</v>
      </c>
      <c r="I78" s="18">
        <f>_xlfn.XLOOKUP(Assumptions!$B$2,Assumptions!$F$4:$H$4,Assumptions!$F$5:$H$5)</f>
        <v>1200</v>
      </c>
      <c r="J78" s="18">
        <f>_xlfn.XLOOKUP(Assumptions!$B$2,Assumptions!$F$4:$H$4,Assumptions!$F$6:$H$6)</f>
        <v>17</v>
      </c>
      <c r="K78" s="12">
        <f>_xlfn.XLOOKUP(Assumptions!$B$2,Assumptions!$F$4:$H$4,Assumptions!$F$8:$H$8)</f>
        <v>0.1</v>
      </c>
      <c r="L78" s="12">
        <f>_xlfn.XLOOKUP(Assumptions!$B$2,Assumptions!$F$4:$H$4,Assumptions!$F$9:$H$9)</f>
        <v>0.18</v>
      </c>
      <c r="M78" s="18">
        <f>_xlfn.XLOOKUP(Assumptions!$B$2,Assumptions!$F$4:$H$4,Assumptions!$F$10:$H$10)</f>
        <v>18000</v>
      </c>
      <c r="N78" s="12">
        <f>_xlfn.XLOOKUP(Assumptions!$B$2,Assumptions!$F$4:$H$4,Assumptions!$F$11:$H$11)</f>
        <v>0.3</v>
      </c>
      <c r="O78" s="14">
        <f>Final_Table[[#This Row],[Units Sold]]*Final_Table[[#This Row],[Sale Price]]</f>
        <v>20400</v>
      </c>
      <c r="P78" s="14">
        <f>Final_Table[[#This Row],[Gross Revenue]]*(1-Final_Table[[#This Row],[Discount %]])</f>
        <v>18360</v>
      </c>
      <c r="Q78">
        <f>Final_Table[[#This Row],[Net Revenue]]*Final_Table[[#This Row],[Variable Cost %]]</f>
        <v>3304.7999999999997</v>
      </c>
      <c r="R78">
        <f>Final_Table[[#This Row],[Variable Cost]]+Final_Table[[#This Row],[Fixed Monthly Cost]]</f>
        <v>21304.799999999999</v>
      </c>
      <c r="S78" s="5">
        <f>Final_Table[[#This Row],[Net Revenue]]-Final_Table[[#This Row],[Total Cost (COGS)]]</f>
        <v>-2944.7999999999993</v>
      </c>
      <c r="T78">
        <f>Final_Table[[#This Row],[Gross Profit]]*Final_Table[[#This Row],[Tax Rate]]</f>
        <v>-883.43999999999971</v>
      </c>
      <c r="U78" s="5">
        <f>Final_Table[[#This Row],[Gross Profit]]-Final_Table[[#This Row],[Tax]]</f>
        <v>-2061.3599999999997</v>
      </c>
      <c r="V78" s="12">
        <f>Final_Table[[#This Row],[Net Profit]]/Final_Table[[#This Row],[Gross Revenue]]</f>
        <v>-0.10104705882352939</v>
      </c>
    </row>
    <row r="79" spans="1:22">
      <c r="A79" s="18" t="s">
        <v>70</v>
      </c>
      <c r="B79">
        <v>2013</v>
      </c>
      <c r="C79" t="s">
        <v>118</v>
      </c>
      <c r="D79">
        <v>1</v>
      </c>
      <c r="E79" s="18" t="s">
        <v>16</v>
      </c>
      <c r="F79" s="18" t="s">
        <v>80</v>
      </c>
      <c r="G79" s="18" t="s">
        <v>21</v>
      </c>
      <c r="H79" s="18" t="str">
        <f>Assumptions!$B$2</f>
        <v>Worst</v>
      </c>
      <c r="I79" s="18">
        <f>_xlfn.XLOOKUP(Assumptions!$B$2,Assumptions!$F$4:$H$4,Assumptions!$F$5:$H$5)</f>
        <v>1200</v>
      </c>
      <c r="J79" s="18">
        <f>_xlfn.XLOOKUP(Assumptions!$B$2,Assumptions!$F$4:$H$4,Assumptions!$F$6:$H$6)</f>
        <v>17</v>
      </c>
      <c r="K79" s="12">
        <f>_xlfn.XLOOKUP(Assumptions!$B$2,Assumptions!$F$4:$H$4,Assumptions!$F$8:$H$8)</f>
        <v>0.1</v>
      </c>
      <c r="L79" s="12">
        <f>_xlfn.XLOOKUP(Assumptions!$B$2,Assumptions!$F$4:$H$4,Assumptions!$F$9:$H$9)</f>
        <v>0.18</v>
      </c>
      <c r="M79" s="18">
        <f>_xlfn.XLOOKUP(Assumptions!$B$2,Assumptions!$F$4:$H$4,Assumptions!$F$10:$H$10)</f>
        <v>18000</v>
      </c>
      <c r="N79" s="12">
        <f>_xlfn.XLOOKUP(Assumptions!$B$2,Assumptions!$F$4:$H$4,Assumptions!$F$11:$H$11)</f>
        <v>0.3</v>
      </c>
      <c r="O79" s="14">
        <f>Final_Table[[#This Row],[Units Sold]]*Final_Table[[#This Row],[Sale Price]]</f>
        <v>20400</v>
      </c>
      <c r="P79" s="14">
        <f>Final_Table[[#This Row],[Gross Revenue]]*(1-Final_Table[[#This Row],[Discount %]])</f>
        <v>18360</v>
      </c>
      <c r="Q79">
        <f>Final_Table[[#This Row],[Net Revenue]]*Final_Table[[#This Row],[Variable Cost %]]</f>
        <v>3304.7999999999997</v>
      </c>
      <c r="R79">
        <f>Final_Table[[#This Row],[Variable Cost]]+Final_Table[[#This Row],[Fixed Monthly Cost]]</f>
        <v>21304.799999999999</v>
      </c>
      <c r="S79" s="5">
        <f>Final_Table[[#This Row],[Net Revenue]]-Final_Table[[#This Row],[Total Cost (COGS)]]</f>
        <v>-2944.7999999999993</v>
      </c>
      <c r="T79">
        <f>Final_Table[[#This Row],[Gross Profit]]*Final_Table[[#This Row],[Tax Rate]]</f>
        <v>-883.43999999999971</v>
      </c>
      <c r="U79" s="5">
        <f>Final_Table[[#This Row],[Gross Profit]]-Final_Table[[#This Row],[Tax]]</f>
        <v>-2061.3599999999997</v>
      </c>
      <c r="V79" s="12">
        <f>Final_Table[[#This Row],[Net Profit]]/Final_Table[[#This Row],[Gross Revenue]]</f>
        <v>-0.10104705882352939</v>
      </c>
    </row>
    <row r="80" spans="1:22">
      <c r="A80" s="18" t="s">
        <v>70</v>
      </c>
      <c r="B80">
        <v>2013</v>
      </c>
      <c r="C80" t="s">
        <v>118</v>
      </c>
      <c r="D80">
        <v>1</v>
      </c>
      <c r="E80" s="18" t="s">
        <v>16</v>
      </c>
      <c r="F80" s="18" t="s">
        <v>80</v>
      </c>
      <c r="G80" s="18" t="s">
        <v>25</v>
      </c>
      <c r="H80" s="18" t="str">
        <f>Assumptions!$B$2</f>
        <v>Worst</v>
      </c>
      <c r="I80" s="18">
        <f>_xlfn.XLOOKUP(Assumptions!$B$2,Assumptions!$F$4:$H$4,Assumptions!$F$5:$H$5)</f>
        <v>1200</v>
      </c>
      <c r="J80" s="18">
        <f>_xlfn.XLOOKUP(Assumptions!$B$2,Assumptions!$F$4:$H$4,Assumptions!$F$6:$H$6)</f>
        <v>17</v>
      </c>
      <c r="K80" s="12">
        <f>_xlfn.XLOOKUP(Assumptions!$B$2,Assumptions!$F$4:$H$4,Assumptions!$F$8:$H$8)</f>
        <v>0.1</v>
      </c>
      <c r="L80" s="12">
        <f>_xlfn.XLOOKUP(Assumptions!$B$2,Assumptions!$F$4:$H$4,Assumptions!$F$9:$H$9)</f>
        <v>0.18</v>
      </c>
      <c r="M80" s="18">
        <f>_xlfn.XLOOKUP(Assumptions!$B$2,Assumptions!$F$4:$H$4,Assumptions!$F$10:$H$10)</f>
        <v>18000</v>
      </c>
      <c r="N80" s="12">
        <f>_xlfn.XLOOKUP(Assumptions!$B$2,Assumptions!$F$4:$H$4,Assumptions!$F$11:$H$11)</f>
        <v>0.3</v>
      </c>
      <c r="O80" s="14">
        <f>Final_Table[[#This Row],[Units Sold]]*Final_Table[[#This Row],[Sale Price]]</f>
        <v>20400</v>
      </c>
      <c r="P80" s="14">
        <f>Final_Table[[#This Row],[Gross Revenue]]*(1-Final_Table[[#This Row],[Discount %]])</f>
        <v>18360</v>
      </c>
      <c r="Q80">
        <f>Final_Table[[#This Row],[Net Revenue]]*Final_Table[[#This Row],[Variable Cost %]]</f>
        <v>3304.7999999999997</v>
      </c>
      <c r="R80">
        <f>Final_Table[[#This Row],[Variable Cost]]+Final_Table[[#This Row],[Fixed Monthly Cost]]</f>
        <v>21304.799999999999</v>
      </c>
      <c r="S80" s="5">
        <f>Final_Table[[#This Row],[Net Revenue]]-Final_Table[[#This Row],[Total Cost (COGS)]]</f>
        <v>-2944.7999999999993</v>
      </c>
      <c r="T80">
        <f>Final_Table[[#This Row],[Gross Profit]]*Final_Table[[#This Row],[Tax Rate]]</f>
        <v>-883.43999999999971</v>
      </c>
      <c r="U80" s="5">
        <f>Final_Table[[#This Row],[Gross Profit]]-Final_Table[[#This Row],[Tax]]</f>
        <v>-2061.3599999999997</v>
      </c>
      <c r="V80" s="12">
        <f>Final_Table[[#This Row],[Net Profit]]/Final_Table[[#This Row],[Gross Revenue]]</f>
        <v>-0.10104705882352939</v>
      </c>
    </row>
    <row r="81" spans="1:22">
      <c r="A81" s="18" t="s">
        <v>70</v>
      </c>
      <c r="B81">
        <v>2013</v>
      </c>
      <c r="C81" t="s">
        <v>118</v>
      </c>
      <c r="D81">
        <v>1</v>
      </c>
      <c r="E81" s="18" t="s">
        <v>16</v>
      </c>
      <c r="F81" s="18" t="s">
        <v>80</v>
      </c>
      <c r="G81" s="18" t="s">
        <v>17</v>
      </c>
      <c r="H81" s="18" t="str">
        <f>Assumptions!$B$2</f>
        <v>Worst</v>
      </c>
      <c r="I81" s="18">
        <f>_xlfn.XLOOKUP(Assumptions!$B$2,Assumptions!$F$4:$H$4,Assumptions!$F$5:$H$5)</f>
        <v>1200</v>
      </c>
      <c r="J81" s="18">
        <f>_xlfn.XLOOKUP(Assumptions!$B$2,Assumptions!$F$4:$H$4,Assumptions!$F$6:$H$6)</f>
        <v>17</v>
      </c>
      <c r="K81" s="12">
        <f>_xlfn.XLOOKUP(Assumptions!$B$2,Assumptions!$F$4:$H$4,Assumptions!$F$8:$H$8)</f>
        <v>0.1</v>
      </c>
      <c r="L81" s="12">
        <f>_xlfn.XLOOKUP(Assumptions!$B$2,Assumptions!$F$4:$H$4,Assumptions!$F$9:$H$9)</f>
        <v>0.18</v>
      </c>
      <c r="M81" s="18">
        <f>_xlfn.XLOOKUP(Assumptions!$B$2,Assumptions!$F$4:$H$4,Assumptions!$F$10:$H$10)</f>
        <v>18000</v>
      </c>
      <c r="N81" s="12">
        <f>_xlfn.XLOOKUP(Assumptions!$B$2,Assumptions!$F$4:$H$4,Assumptions!$F$11:$H$11)</f>
        <v>0.3</v>
      </c>
      <c r="O81" s="14">
        <f>Final_Table[[#This Row],[Units Sold]]*Final_Table[[#This Row],[Sale Price]]</f>
        <v>20400</v>
      </c>
      <c r="P81" s="14">
        <f>Final_Table[[#This Row],[Gross Revenue]]*(1-Final_Table[[#This Row],[Discount %]])</f>
        <v>18360</v>
      </c>
      <c r="Q81">
        <f>Final_Table[[#This Row],[Net Revenue]]*Final_Table[[#This Row],[Variable Cost %]]</f>
        <v>3304.7999999999997</v>
      </c>
      <c r="R81">
        <f>Final_Table[[#This Row],[Variable Cost]]+Final_Table[[#This Row],[Fixed Monthly Cost]]</f>
        <v>21304.799999999999</v>
      </c>
      <c r="S81" s="5">
        <f>Final_Table[[#This Row],[Net Revenue]]-Final_Table[[#This Row],[Total Cost (COGS)]]</f>
        <v>-2944.7999999999993</v>
      </c>
      <c r="T81">
        <f>Final_Table[[#This Row],[Gross Profit]]*Final_Table[[#This Row],[Tax Rate]]</f>
        <v>-883.43999999999971</v>
      </c>
      <c r="U81" s="5">
        <f>Final_Table[[#This Row],[Gross Profit]]-Final_Table[[#This Row],[Tax]]</f>
        <v>-2061.3599999999997</v>
      </c>
      <c r="V81" s="12">
        <f>Final_Table[[#This Row],[Net Profit]]/Final_Table[[#This Row],[Gross Revenue]]</f>
        <v>-0.10104705882352939</v>
      </c>
    </row>
    <row r="82" spans="1:22">
      <c r="A82" s="18" t="s">
        <v>70</v>
      </c>
      <c r="B82">
        <v>2013</v>
      </c>
      <c r="C82" t="s">
        <v>118</v>
      </c>
      <c r="D82">
        <v>1</v>
      </c>
      <c r="E82" s="18" t="s">
        <v>16</v>
      </c>
      <c r="F82" s="18" t="s">
        <v>108</v>
      </c>
      <c r="G82" s="18" t="s">
        <v>36</v>
      </c>
      <c r="H82" s="18" t="str">
        <f>Assumptions!$B$2</f>
        <v>Worst</v>
      </c>
      <c r="I82" s="18">
        <f>_xlfn.XLOOKUP(Assumptions!$B$2,Assumptions!$F$4:$H$4,Assumptions!$F$5:$H$5)</f>
        <v>1200</v>
      </c>
      <c r="J82" s="18">
        <f>_xlfn.XLOOKUP(Assumptions!$B$2,Assumptions!$F$4:$H$4,Assumptions!$F$6:$H$6)</f>
        <v>17</v>
      </c>
      <c r="K82" s="12">
        <f>_xlfn.XLOOKUP(Assumptions!$B$2,Assumptions!$F$4:$H$4,Assumptions!$F$8:$H$8)</f>
        <v>0.1</v>
      </c>
      <c r="L82" s="12">
        <f>_xlfn.XLOOKUP(Assumptions!$B$2,Assumptions!$F$4:$H$4,Assumptions!$F$9:$H$9)</f>
        <v>0.18</v>
      </c>
      <c r="M82" s="18">
        <f>_xlfn.XLOOKUP(Assumptions!$B$2,Assumptions!$F$4:$H$4,Assumptions!$F$10:$H$10)</f>
        <v>18000</v>
      </c>
      <c r="N82" s="12">
        <f>_xlfn.XLOOKUP(Assumptions!$B$2,Assumptions!$F$4:$H$4,Assumptions!$F$11:$H$11)</f>
        <v>0.3</v>
      </c>
      <c r="O82" s="14">
        <f>Final_Table[[#This Row],[Units Sold]]*Final_Table[[#This Row],[Sale Price]]</f>
        <v>20400</v>
      </c>
      <c r="P82" s="14">
        <f>Final_Table[[#This Row],[Gross Revenue]]*(1-Final_Table[[#This Row],[Discount %]])</f>
        <v>18360</v>
      </c>
      <c r="Q82">
        <f>Final_Table[[#This Row],[Net Revenue]]*Final_Table[[#This Row],[Variable Cost %]]</f>
        <v>3304.7999999999997</v>
      </c>
      <c r="R82">
        <f>Final_Table[[#This Row],[Variable Cost]]+Final_Table[[#This Row],[Fixed Monthly Cost]]</f>
        <v>21304.799999999999</v>
      </c>
      <c r="S82" s="5">
        <f>Final_Table[[#This Row],[Net Revenue]]-Final_Table[[#This Row],[Total Cost (COGS)]]</f>
        <v>-2944.7999999999993</v>
      </c>
      <c r="T82">
        <f>Final_Table[[#This Row],[Gross Profit]]*Final_Table[[#This Row],[Tax Rate]]</f>
        <v>-883.43999999999971</v>
      </c>
      <c r="U82" s="5">
        <f>Final_Table[[#This Row],[Gross Profit]]-Final_Table[[#This Row],[Tax]]</f>
        <v>-2061.3599999999997</v>
      </c>
      <c r="V82" s="12">
        <f>Final_Table[[#This Row],[Net Profit]]/Final_Table[[#This Row],[Gross Revenue]]</f>
        <v>-0.10104705882352939</v>
      </c>
    </row>
    <row r="83" spans="1:22">
      <c r="A83" s="18" t="s">
        <v>70</v>
      </c>
      <c r="B83">
        <v>2013</v>
      </c>
      <c r="C83" t="s">
        <v>118</v>
      </c>
      <c r="D83">
        <v>1</v>
      </c>
      <c r="E83" s="18" t="s">
        <v>16</v>
      </c>
      <c r="F83" s="18" t="s">
        <v>108</v>
      </c>
      <c r="G83" s="18" t="s">
        <v>23</v>
      </c>
      <c r="H83" s="18" t="str">
        <f>Assumptions!$B$2</f>
        <v>Worst</v>
      </c>
      <c r="I83" s="18">
        <f>_xlfn.XLOOKUP(Assumptions!$B$2,Assumptions!$F$4:$H$4,Assumptions!$F$5:$H$5)</f>
        <v>1200</v>
      </c>
      <c r="J83" s="18">
        <f>_xlfn.XLOOKUP(Assumptions!$B$2,Assumptions!$F$4:$H$4,Assumptions!$F$6:$H$6)</f>
        <v>17</v>
      </c>
      <c r="K83" s="12">
        <f>_xlfn.XLOOKUP(Assumptions!$B$2,Assumptions!$F$4:$H$4,Assumptions!$F$8:$H$8)</f>
        <v>0.1</v>
      </c>
      <c r="L83" s="12">
        <f>_xlfn.XLOOKUP(Assumptions!$B$2,Assumptions!$F$4:$H$4,Assumptions!$F$9:$H$9)</f>
        <v>0.18</v>
      </c>
      <c r="M83" s="18">
        <f>_xlfn.XLOOKUP(Assumptions!$B$2,Assumptions!$F$4:$H$4,Assumptions!$F$10:$H$10)</f>
        <v>18000</v>
      </c>
      <c r="N83" s="12">
        <f>_xlfn.XLOOKUP(Assumptions!$B$2,Assumptions!$F$4:$H$4,Assumptions!$F$11:$H$11)</f>
        <v>0.3</v>
      </c>
      <c r="O83" s="14">
        <f>Final_Table[[#This Row],[Units Sold]]*Final_Table[[#This Row],[Sale Price]]</f>
        <v>20400</v>
      </c>
      <c r="P83" s="14">
        <f>Final_Table[[#This Row],[Gross Revenue]]*(1-Final_Table[[#This Row],[Discount %]])</f>
        <v>18360</v>
      </c>
      <c r="Q83">
        <f>Final_Table[[#This Row],[Net Revenue]]*Final_Table[[#This Row],[Variable Cost %]]</f>
        <v>3304.7999999999997</v>
      </c>
      <c r="R83">
        <f>Final_Table[[#This Row],[Variable Cost]]+Final_Table[[#This Row],[Fixed Monthly Cost]]</f>
        <v>21304.799999999999</v>
      </c>
      <c r="S83" s="5">
        <f>Final_Table[[#This Row],[Net Revenue]]-Final_Table[[#This Row],[Total Cost (COGS)]]</f>
        <v>-2944.7999999999993</v>
      </c>
      <c r="T83">
        <f>Final_Table[[#This Row],[Gross Profit]]*Final_Table[[#This Row],[Tax Rate]]</f>
        <v>-883.43999999999971</v>
      </c>
      <c r="U83" s="5">
        <f>Final_Table[[#This Row],[Gross Profit]]-Final_Table[[#This Row],[Tax]]</f>
        <v>-2061.3599999999997</v>
      </c>
      <c r="V83" s="12">
        <f>Final_Table[[#This Row],[Net Profit]]/Final_Table[[#This Row],[Gross Revenue]]</f>
        <v>-0.10104705882352939</v>
      </c>
    </row>
    <row r="84" spans="1:22">
      <c r="A84" s="18" t="s">
        <v>70</v>
      </c>
      <c r="B84">
        <v>2013</v>
      </c>
      <c r="C84" t="s">
        <v>118</v>
      </c>
      <c r="D84">
        <v>1</v>
      </c>
      <c r="E84" s="18" t="s">
        <v>16</v>
      </c>
      <c r="F84" s="18" t="s">
        <v>108</v>
      </c>
      <c r="G84" s="18" t="s">
        <v>21</v>
      </c>
      <c r="H84" s="18" t="str">
        <f>Assumptions!$B$2</f>
        <v>Worst</v>
      </c>
      <c r="I84" s="18">
        <f>_xlfn.XLOOKUP(Assumptions!$B$2,Assumptions!$F$4:$H$4,Assumptions!$F$5:$H$5)</f>
        <v>1200</v>
      </c>
      <c r="J84" s="18">
        <f>_xlfn.XLOOKUP(Assumptions!$B$2,Assumptions!$F$4:$H$4,Assumptions!$F$6:$H$6)</f>
        <v>17</v>
      </c>
      <c r="K84" s="12">
        <f>_xlfn.XLOOKUP(Assumptions!$B$2,Assumptions!$F$4:$H$4,Assumptions!$F$8:$H$8)</f>
        <v>0.1</v>
      </c>
      <c r="L84" s="12">
        <f>_xlfn.XLOOKUP(Assumptions!$B$2,Assumptions!$F$4:$H$4,Assumptions!$F$9:$H$9)</f>
        <v>0.18</v>
      </c>
      <c r="M84" s="18">
        <f>_xlfn.XLOOKUP(Assumptions!$B$2,Assumptions!$F$4:$H$4,Assumptions!$F$10:$H$10)</f>
        <v>18000</v>
      </c>
      <c r="N84" s="12">
        <f>_xlfn.XLOOKUP(Assumptions!$B$2,Assumptions!$F$4:$H$4,Assumptions!$F$11:$H$11)</f>
        <v>0.3</v>
      </c>
      <c r="O84" s="14">
        <f>Final_Table[[#This Row],[Units Sold]]*Final_Table[[#This Row],[Sale Price]]</f>
        <v>20400</v>
      </c>
      <c r="P84" s="14">
        <f>Final_Table[[#This Row],[Gross Revenue]]*(1-Final_Table[[#This Row],[Discount %]])</f>
        <v>18360</v>
      </c>
      <c r="Q84">
        <f>Final_Table[[#This Row],[Net Revenue]]*Final_Table[[#This Row],[Variable Cost %]]</f>
        <v>3304.7999999999997</v>
      </c>
      <c r="R84">
        <f>Final_Table[[#This Row],[Variable Cost]]+Final_Table[[#This Row],[Fixed Monthly Cost]]</f>
        <v>21304.799999999999</v>
      </c>
      <c r="S84" s="5">
        <f>Final_Table[[#This Row],[Net Revenue]]-Final_Table[[#This Row],[Total Cost (COGS)]]</f>
        <v>-2944.7999999999993</v>
      </c>
      <c r="T84">
        <f>Final_Table[[#This Row],[Gross Profit]]*Final_Table[[#This Row],[Tax Rate]]</f>
        <v>-883.43999999999971</v>
      </c>
      <c r="U84" s="5">
        <f>Final_Table[[#This Row],[Gross Profit]]-Final_Table[[#This Row],[Tax]]</f>
        <v>-2061.3599999999997</v>
      </c>
      <c r="V84" s="12">
        <f>Final_Table[[#This Row],[Net Profit]]/Final_Table[[#This Row],[Gross Revenue]]</f>
        <v>-0.10104705882352939</v>
      </c>
    </row>
    <row r="85" spans="1:22">
      <c r="A85" s="18" t="s">
        <v>70</v>
      </c>
      <c r="B85">
        <v>2013</v>
      </c>
      <c r="C85" t="s">
        <v>118</v>
      </c>
      <c r="D85">
        <v>1</v>
      </c>
      <c r="E85" s="18" t="s">
        <v>16</v>
      </c>
      <c r="F85" s="18" t="s">
        <v>108</v>
      </c>
      <c r="G85" s="18" t="s">
        <v>25</v>
      </c>
      <c r="H85" s="18" t="str">
        <f>Assumptions!$B$2</f>
        <v>Worst</v>
      </c>
      <c r="I85" s="18">
        <f>_xlfn.XLOOKUP(Assumptions!$B$2,Assumptions!$F$4:$H$4,Assumptions!$F$5:$H$5)</f>
        <v>1200</v>
      </c>
      <c r="J85" s="18">
        <f>_xlfn.XLOOKUP(Assumptions!$B$2,Assumptions!$F$4:$H$4,Assumptions!$F$6:$H$6)</f>
        <v>17</v>
      </c>
      <c r="K85" s="12">
        <f>_xlfn.XLOOKUP(Assumptions!$B$2,Assumptions!$F$4:$H$4,Assumptions!$F$8:$H$8)</f>
        <v>0.1</v>
      </c>
      <c r="L85" s="12">
        <f>_xlfn.XLOOKUP(Assumptions!$B$2,Assumptions!$F$4:$H$4,Assumptions!$F$9:$H$9)</f>
        <v>0.18</v>
      </c>
      <c r="M85" s="18">
        <f>_xlfn.XLOOKUP(Assumptions!$B$2,Assumptions!$F$4:$H$4,Assumptions!$F$10:$H$10)</f>
        <v>18000</v>
      </c>
      <c r="N85" s="12">
        <f>_xlfn.XLOOKUP(Assumptions!$B$2,Assumptions!$F$4:$H$4,Assumptions!$F$11:$H$11)</f>
        <v>0.3</v>
      </c>
      <c r="O85" s="14">
        <f>Final_Table[[#This Row],[Units Sold]]*Final_Table[[#This Row],[Sale Price]]</f>
        <v>20400</v>
      </c>
      <c r="P85" s="14">
        <f>Final_Table[[#This Row],[Gross Revenue]]*(1-Final_Table[[#This Row],[Discount %]])</f>
        <v>18360</v>
      </c>
      <c r="Q85">
        <f>Final_Table[[#This Row],[Net Revenue]]*Final_Table[[#This Row],[Variable Cost %]]</f>
        <v>3304.7999999999997</v>
      </c>
      <c r="R85">
        <f>Final_Table[[#This Row],[Variable Cost]]+Final_Table[[#This Row],[Fixed Monthly Cost]]</f>
        <v>21304.799999999999</v>
      </c>
      <c r="S85" s="5">
        <f>Final_Table[[#This Row],[Net Revenue]]-Final_Table[[#This Row],[Total Cost (COGS)]]</f>
        <v>-2944.7999999999993</v>
      </c>
      <c r="T85">
        <f>Final_Table[[#This Row],[Gross Profit]]*Final_Table[[#This Row],[Tax Rate]]</f>
        <v>-883.43999999999971</v>
      </c>
      <c r="U85" s="5">
        <f>Final_Table[[#This Row],[Gross Profit]]-Final_Table[[#This Row],[Tax]]</f>
        <v>-2061.3599999999997</v>
      </c>
      <c r="V85" s="12">
        <f>Final_Table[[#This Row],[Net Profit]]/Final_Table[[#This Row],[Gross Revenue]]</f>
        <v>-0.10104705882352939</v>
      </c>
    </row>
    <row r="86" spans="1:22">
      <c r="A86" s="18" t="s">
        <v>70</v>
      </c>
      <c r="B86">
        <v>2013</v>
      </c>
      <c r="C86" t="s">
        <v>118</v>
      </c>
      <c r="D86">
        <v>1</v>
      </c>
      <c r="E86" s="18" t="s">
        <v>16</v>
      </c>
      <c r="F86" s="18" t="s">
        <v>108</v>
      </c>
      <c r="G86" s="18" t="s">
        <v>17</v>
      </c>
      <c r="H86" s="18" t="str">
        <f>Assumptions!$B$2</f>
        <v>Worst</v>
      </c>
      <c r="I86" s="18">
        <f>_xlfn.XLOOKUP(Assumptions!$B$2,Assumptions!$F$4:$H$4,Assumptions!$F$5:$H$5)</f>
        <v>1200</v>
      </c>
      <c r="J86" s="18">
        <f>_xlfn.XLOOKUP(Assumptions!$B$2,Assumptions!$F$4:$H$4,Assumptions!$F$6:$H$6)</f>
        <v>17</v>
      </c>
      <c r="K86" s="12">
        <f>_xlfn.XLOOKUP(Assumptions!$B$2,Assumptions!$F$4:$H$4,Assumptions!$F$8:$H$8)</f>
        <v>0.1</v>
      </c>
      <c r="L86" s="12">
        <f>_xlfn.XLOOKUP(Assumptions!$B$2,Assumptions!$F$4:$H$4,Assumptions!$F$9:$H$9)</f>
        <v>0.18</v>
      </c>
      <c r="M86" s="18">
        <f>_xlfn.XLOOKUP(Assumptions!$B$2,Assumptions!$F$4:$H$4,Assumptions!$F$10:$H$10)</f>
        <v>18000</v>
      </c>
      <c r="N86" s="12">
        <f>_xlfn.XLOOKUP(Assumptions!$B$2,Assumptions!$F$4:$H$4,Assumptions!$F$11:$H$11)</f>
        <v>0.3</v>
      </c>
      <c r="O86" s="14">
        <f>Final_Table[[#This Row],[Units Sold]]*Final_Table[[#This Row],[Sale Price]]</f>
        <v>20400</v>
      </c>
      <c r="P86" s="14">
        <f>Final_Table[[#This Row],[Gross Revenue]]*(1-Final_Table[[#This Row],[Discount %]])</f>
        <v>18360</v>
      </c>
      <c r="Q86">
        <f>Final_Table[[#This Row],[Net Revenue]]*Final_Table[[#This Row],[Variable Cost %]]</f>
        <v>3304.7999999999997</v>
      </c>
      <c r="R86">
        <f>Final_Table[[#This Row],[Variable Cost]]+Final_Table[[#This Row],[Fixed Monthly Cost]]</f>
        <v>21304.799999999999</v>
      </c>
      <c r="S86" s="5">
        <f>Final_Table[[#This Row],[Net Revenue]]-Final_Table[[#This Row],[Total Cost (COGS)]]</f>
        <v>-2944.7999999999993</v>
      </c>
      <c r="T86">
        <f>Final_Table[[#This Row],[Gross Profit]]*Final_Table[[#This Row],[Tax Rate]]</f>
        <v>-883.43999999999971</v>
      </c>
      <c r="U86" s="5">
        <f>Final_Table[[#This Row],[Gross Profit]]-Final_Table[[#This Row],[Tax]]</f>
        <v>-2061.3599999999997</v>
      </c>
      <c r="V86" s="12">
        <f>Final_Table[[#This Row],[Net Profit]]/Final_Table[[#This Row],[Gross Revenue]]</f>
        <v>-0.10104705882352939</v>
      </c>
    </row>
    <row r="87" spans="1:22">
      <c r="A87" s="18" t="s">
        <v>70</v>
      </c>
      <c r="B87">
        <v>2013</v>
      </c>
      <c r="C87" t="s">
        <v>118</v>
      </c>
      <c r="D87">
        <v>1</v>
      </c>
      <c r="E87" s="18" t="s">
        <v>16</v>
      </c>
      <c r="F87" s="18" t="s">
        <v>112</v>
      </c>
      <c r="G87" s="18" t="s">
        <v>36</v>
      </c>
      <c r="H87" s="18" t="str">
        <f>Assumptions!$B$2</f>
        <v>Worst</v>
      </c>
      <c r="I87" s="18">
        <f>_xlfn.XLOOKUP(Assumptions!$B$2,Assumptions!$F$4:$H$4,Assumptions!$F$5:$H$5)</f>
        <v>1200</v>
      </c>
      <c r="J87" s="18">
        <f>_xlfn.XLOOKUP(Assumptions!$B$2,Assumptions!$F$4:$H$4,Assumptions!$F$6:$H$6)</f>
        <v>17</v>
      </c>
      <c r="K87" s="12">
        <f>_xlfn.XLOOKUP(Assumptions!$B$2,Assumptions!$F$4:$H$4,Assumptions!$F$8:$H$8)</f>
        <v>0.1</v>
      </c>
      <c r="L87" s="12">
        <f>_xlfn.XLOOKUP(Assumptions!$B$2,Assumptions!$F$4:$H$4,Assumptions!$F$9:$H$9)</f>
        <v>0.18</v>
      </c>
      <c r="M87" s="18">
        <f>_xlfn.XLOOKUP(Assumptions!$B$2,Assumptions!$F$4:$H$4,Assumptions!$F$10:$H$10)</f>
        <v>18000</v>
      </c>
      <c r="N87" s="12">
        <f>_xlfn.XLOOKUP(Assumptions!$B$2,Assumptions!$F$4:$H$4,Assumptions!$F$11:$H$11)</f>
        <v>0.3</v>
      </c>
      <c r="O87" s="14">
        <f>Final_Table[[#This Row],[Units Sold]]*Final_Table[[#This Row],[Sale Price]]</f>
        <v>20400</v>
      </c>
      <c r="P87" s="14">
        <f>Final_Table[[#This Row],[Gross Revenue]]*(1-Final_Table[[#This Row],[Discount %]])</f>
        <v>18360</v>
      </c>
      <c r="Q87">
        <f>Final_Table[[#This Row],[Net Revenue]]*Final_Table[[#This Row],[Variable Cost %]]</f>
        <v>3304.7999999999997</v>
      </c>
      <c r="R87">
        <f>Final_Table[[#This Row],[Variable Cost]]+Final_Table[[#This Row],[Fixed Monthly Cost]]</f>
        <v>21304.799999999999</v>
      </c>
      <c r="S87" s="5">
        <f>Final_Table[[#This Row],[Net Revenue]]-Final_Table[[#This Row],[Total Cost (COGS)]]</f>
        <v>-2944.7999999999993</v>
      </c>
      <c r="T87">
        <f>Final_Table[[#This Row],[Gross Profit]]*Final_Table[[#This Row],[Tax Rate]]</f>
        <v>-883.43999999999971</v>
      </c>
      <c r="U87" s="5">
        <f>Final_Table[[#This Row],[Gross Profit]]-Final_Table[[#This Row],[Tax]]</f>
        <v>-2061.3599999999997</v>
      </c>
      <c r="V87" s="12">
        <f>Final_Table[[#This Row],[Net Profit]]/Final_Table[[#This Row],[Gross Revenue]]</f>
        <v>-0.10104705882352939</v>
      </c>
    </row>
    <row r="88" spans="1:22">
      <c r="A88" s="18" t="s">
        <v>70</v>
      </c>
      <c r="B88">
        <v>2013</v>
      </c>
      <c r="C88" t="s">
        <v>118</v>
      </c>
      <c r="D88">
        <v>1</v>
      </c>
      <c r="E88" s="18" t="s">
        <v>16</v>
      </c>
      <c r="F88" s="18" t="s">
        <v>112</v>
      </c>
      <c r="G88" s="18" t="s">
        <v>23</v>
      </c>
      <c r="H88" s="18" t="str">
        <f>Assumptions!$B$2</f>
        <v>Worst</v>
      </c>
      <c r="I88" s="18">
        <f>_xlfn.XLOOKUP(Assumptions!$B$2,Assumptions!$F$4:$H$4,Assumptions!$F$5:$H$5)</f>
        <v>1200</v>
      </c>
      <c r="J88" s="18">
        <f>_xlfn.XLOOKUP(Assumptions!$B$2,Assumptions!$F$4:$H$4,Assumptions!$F$6:$H$6)</f>
        <v>17</v>
      </c>
      <c r="K88" s="12">
        <f>_xlfn.XLOOKUP(Assumptions!$B$2,Assumptions!$F$4:$H$4,Assumptions!$F$8:$H$8)</f>
        <v>0.1</v>
      </c>
      <c r="L88" s="12">
        <f>_xlfn.XLOOKUP(Assumptions!$B$2,Assumptions!$F$4:$H$4,Assumptions!$F$9:$H$9)</f>
        <v>0.18</v>
      </c>
      <c r="M88" s="18">
        <f>_xlfn.XLOOKUP(Assumptions!$B$2,Assumptions!$F$4:$H$4,Assumptions!$F$10:$H$10)</f>
        <v>18000</v>
      </c>
      <c r="N88" s="12">
        <f>_xlfn.XLOOKUP(Assumptions!$B$2,Assumptions!$F$4:$H$4,Assumptions!$F$11:$H$11)</f>
        <v>0.3</v>
      </c>
      <c r="O88" s="14">
        <f>Final_Table[[#This Row],[Units Sold]]*Final_Table[[#This Row],[Sale Price]]</f>
        <v>20400</v>
      </c>
      <c r="P88" s="14">
        <f>Final_Table[[#This Row],[Gross Revenue]]*(1-Final_Table[[#This Row],[Discount %]])</f>
        <v>18360</v>
      </c>
      <c r="Q88">
        <f>Final_Table[[#This Row],[Net Revenue]]*Final_Table[[#This Row],[Variable Cost %]]</f>
        <v>3304.7999999999997</v>
      </c>
      <c r="R88">
        <f>Final_Table[[#This Row],[Variable Cost]]+Final_Table[[#This Row],[Fixed Monthly Cost]]</f>
        <v>21304.799999999999</v>
      </c>
      <c r="S88" s="5">
        <f>Final_Table[[#This Row],[Net Revenue]]-Final_Table[[#This Row],[Total Cost (COGS)]]</f>
        <v>-2944.7999999999993</v>
      </c>
      <c r="T88">
        <f>Final_Table[[#This Row],[Gross Profit]]*Final_Table[[#This Row],[Tax Rate]]</f>
        <v>-883.43999999999971</v>
      </c>
      <c r="U88" s="5">
        <f>Final_Table[[#This Row],[Gross Profit]]-Final_Table[[#This Row],[Tax]]</f>
        <v>-2061.3599999999997</v>
      </c>
      <c r="V88" s="12">
        <f>Final_Table[[#This Row],[Net Profit]]/Final_Table[[#This Row],[Gross Revenue]]</f>
        <v>-0.10104705882352939</v>
      </c>
    </row>
    <row r="89" spans="1:22">
      <c r="A89" s="18" t="s">
        <v>70</v>
      </c>
      <c r="B89">
        <v>2013</v>
      </c>
      <c r="C89" t="s">
        <v>118</v>
      </c>
      <c r="D89">
        <v>1</v>
      </c>
      <c r="E89" s="18" t="s">
        <v>16</v>
      </c>
      <c r="F89" s="18" t="s">
        <v>112</v>
      </c>
      <c r="G89" s="18" t="s">
        <v>21</v>
      </c>
      <c r="H89" s="18" t="str">
        <f>Assumptions!$B$2</f>
        <v>Worst</v>
      </c>
      <c r="I89" s="18">
        <f>_xlfn.XLOOKUP(Assumptions!$B$2,Assumptions!$F$4:$H$4,Assumptions!$F$5:$H$5)</f>
        <v>1200</v>
      </c>
      <c r="J89" s="18">
        <f>_xlfn.XLOOKUP(Assumptions!$B$2,Assumptions!$F$4:$H$4,Assumptions!$F$6:$H$6)</f>
        <v>17</v>
      </c>
      <c r="K89" s="12">
        <f>_xlfn.XLOOKUP(Assumptions!$B$2,Assumptions!$F$4:$H$4,Assumptions!$F$8:$H$8)</f>
        <v>0.1</v>
      </c>
      <c r="L89" s="12">
        <f>_xlfn.XLOOKUP(Assumptions!$B$2,Assumptions!$F$4:$H$4,Assumptions!$F$9:$H$9)</f>
        <v>0.18</v>
      </c>
      <c r="M89" s="18">
        <f>_xlfn.XLOOKUP(Assumptions!$B$2,Assumptions!$F$4:$H$4,Assumptions!$F$10:$H$10)</f>
        <v>18000</v>
      </c>
      <c r="N89" s="12">
        <f>_xlfn.XLOOKUP(Assumptions!$B$2,Assumptions!$F$4:$H$4,Assumptions!$F$11:$H$11)</f>
        <v>0.3</v>
      </c>
      <c r="O89" s="14">
        <f>Final_Table[[#This Row],[Units Sold]]*Final_Table[[#This Row],[Sale Price]]</f>
        <v>20400</v>
      </c>
      <c r="P89" s="14">
        <f>Final_Table[[#This Row],[Gross Revenue]]*(1-Final_Table[[#This Row],[Discount %]])</f>
        <v>18360</v>
      </c>
      <c r="Q89">
        <f>Final_Table[[#This Row],[Net Revenue]]*Final_Table[[#This Row],[Variable Cost %]]</f>
        <v>3304.7999999999997</v>
      </c>
      <c r="R89">
        <f>Final_Table[[#This Row],[Variable Cost]]+Final_Table[[#This Row],[Fixed Monthly Cost]]</f>
        <v>21304.799999999999</v>
      </c>
      <c r="S89" s="5">
        <f>Final_Table[[#This Row],[Net Revenue]]-Final_Table[[#This Row],[Total Cost (COGS)]]</f>
        <v>-2944.7999999999993</v>
      </c>
      <c r="T89">
        <f>Final_Table[[#This Row],[Gross Profit]]*Final_Table[[#This Row],[Tax Rate]]</f>
        <v>-883.43999999999971</v>
      </c>
      <c r="U89" s="5">
        <f>Final_Table[[#This Row],[Gross Profit]]-Final_Table[[#This Row],[Tax]]</f>
        <v>-2061.3599999999997</v>
      </c>
      <c r="V89" s="12">
        <f>Final_Table[[#This Row],[Net Profit]]/Final_Table[[#This Row],[Gross Revenue]]</f>
        <v>-0.10104705882352939</v>
      </c>
    </row>
    <row r="90" spans="1:22">
      <c r="A90" s="18" t="s">
        <v>70</v>
      </c>
      <c r="B90">
        <v>2013</v>
      </c>
      <c r="C90" t="s">
        <v>118</v>
      </c>
      <c r="D90">
        <v>1</v>
      </c>
      <c r="E90" s="18" t="s">
        <v>16</v>
      </c>
      <c r="F90" s="18" t="s">
        <v>112</v>
      </c>
      <c r="G90" s="18" t="s">
        <v>25</v>
      </c>
      <c r="H90" s="18" t="str">
        <f>Assumptions!$B$2</f>
        <v>Worst</v>
      </c>
      <c r="I90" s="18">
        <f>_xlfn.XLOOKUP(Assumptions!$B$2,Assumptions!$F$4:$H$4,Assumptions!$F$5:$H$5)</f>
        <v>1200</v>
      </c>
      <c r="J90" s="18">
        <f>_xlfn.XLOOKUP(Assumptions!$B$2,Assumptions!$F$4:$H$4,Assumptions!$F$6:$H$6)</f>
        <v>17</v>
      </c>
      <c r="K90" s="12">
        <f>_xlfn.XLOOKUP(Assumptions!$B$2,Assumptions!$F$4:$H$4,Assumptions!$F$8:$H$8)</f>
        <v>0.1</v>
      </c>
      <c r="L90" s="12">
        <f>_xlfn.XLOOKUP(Assumptions!$B$2,Assumptions!$F$4:$H$4,Assumptions!$F$9:$H$9)</f>
        <v>0.18</v>
      </c>
      <c r="M90" s="18">
        <f>_xlfn.XLOOKUP(Assumptions!$B$2,Assumptions!$F$4:$H$4,Assumptions!$F$10:$H$10)</f>
        <v>18000</v>
      </c>
      <c r="N90" s="12">
        <f>_xlfn.XLOOKUP(Assumptions!$B$2,Assumptions!$F$4:$H$4,Assumptions!$F$11:$H$11)</f>
        <v>0.3</v>
      </c>
      <c r="O90" s="14">
        <f>Final_Table[[#This Row],[Units Sold]]*Final_Table[[#This Row],[Sale Price]]</f>
        <v>20400</v>
      </c>
      <c r="P90" s="14">
        <f>Final_Table[[#This Row],[Gross Revenue]]*(1-Final_Table[[#This Row],[Discount %]])</f>
        <v>18360</v>
      </c>
      <c r="Q90">
        <f>Final_Table[[#This Row],[Net Revenue]]*Final_Table[[#This Row],[Variable Cost %]]</f>
        <v>3304.7999999999997</v>
      </c>
      <c r="R90">
        <f>Final_Table[[#This Row],[Variable Cost]]+Final_Table[[#This Row],[Fixed Monthly Cost]]</f>
        <v>21304.799999999999</v>
      </c>
      <c r="S90" s="5">
        <f>Final_Table[[#This Row],[Net Revenue]]-Final_Table[[#This Row],[Total Cost (COGS)]]</f>
        <v>-2944.7999999999993</v>
      </c>
      <c r="T90">
        <f>Final_Table[[#This Row],[Gross Profit]]*Final_Table[[#This Row],[Tax Rate]]</f>
        <v>-883.43999999999971</v>
      </c>
      <c r="U90" s="5">
        <f>Final_Table[[#This Row],[Gross Profit]]-Final_Table[[#This Row],[Tax]]</f>
        <v>-2061.3599999999997</v>
      </c>
      <c r="V90" s="12">
        <f>Final_Table[[#This Row],[Net Profit]]/Final_Table[[#This Row],[Gross Revenue]]</f>
        <v>-0.10104705882352939</v>
      </c>
    </row>
    <row r="91" spans="1:22">
      <c r="A91" s="18" t="s">
        <v>70</v>
      </c>
      <c r="B91">
        <v>2013</v>
      </c>
      <c r="C91" t="s">
        <v>118</v>
      </c>
      <c r="D91">
        <v>1</v>
      </c>
      <c r="E91" s="18" t="s">
        <v>16</v>
      </c>
      <c r="F91" s="18" t="s">
        <v>112</v>
      </c>
      <c r="G91" s="18" t="s">
        <v>17</v>
      </c>
      <c r="H91" s="18" t="str">
        <f>Assumptions!$B$2</f>
        <v>Worst</v>
      </c>
      <c r="I91" s="18">
        <f>_xlfn.XLOOKUP(Assumptions!$B$2,Assumptions!$F$4:$H$4,Assumptions!$F$5:$H$5)</f>
        <v>1200</v>
      </c>
      <c r="J91" s="18">
        <f>_xlfn.XLOOKUP(Assumptions!$B$2,Assumptions!$F$4:$H$4,Assumptions!$F$6:$H$6)</f>
        <v>17</v>
      </c>
      <c r="K91" s="12">
        <f>_xlfn.XLOOKUP(Assumptions!$B$2,Assumptions!$F$4:$H$4,Assumptions!$F$8:$H$8)</f>
        <v>0.1</v>
      </c>
      <c r="L91" s="12">
        <f>_xlfn.XLOOKUP(Assumptions!$B$2,Assumptions!$F$4:$H$4,Assumptions!$F$9:$H$9)</f>
        <v>0.18</v>
      </c>
      <c r="M91" s="18">
        <f>_xlfn.XLOOKUP(Assumptions!$B$2,Assumptions!$F$4:$H$4,Assumptions!$F$10:$H$10)</f>
        <v>18000</v>
      </c>
      <c r="N91" s="12">
        <f>_xlfn.XLOOKUP(Assumptions!$B$2,Assumptions!$F$4:$H$4,Assumptions!$F$11:$H$11)</f>
        <v>0.3</v>
      </c>
      <c r="O91" s="14">
        <f>Final_Table[[#This Row],[Units Sold]]*Final_Table[[#This Row],[Sale Price]]</f>
        <v>20400</v>
      </c>
      <c r="P91" s="14">
        <f>Final_Table[[#This Row],[Gross Revenue]]*(1-Final_Table[[#This Row],[Discount %]])</f>
        <v>18360</v>
      </c>
      <c r="Q91">
        <f>Final_Table[[#This Row],[Net Revenue]]*Final_Table[[#This Row],[Variable Cost %]]</f>
        <v>3304.7999999999997</v>
      </c>
      <c r="R91">
        <f>Final_Table[[#This Row],[Variable Cost]]+Final_Table[[#This Row],[Fixed Monthly Cost]]</f>
        <v>21304.799999999999</v>
      </c>
      <c r="S91" s="5">
        <f>Final_Table[[#This Row],[Net Revenue]]-Final_Table[[#This Row],[Total Cost (COGS)]]</f>
        <v>-2944.7999999999993</v>
      </c>
      <c r="T91">
        <f>Final_Table[[#This Row],[Gross Profit]]*Final_Table[[#This Row],[Tax Rate]]</f>
        <v>-883.43999999999971</v>
      </c>
      <c r="U91" s="5">
        <f>Final_Table[[#This Row],[Gross Profit]]-Final_Table[[#This Row],[Tax]]</f>
        <v>-2061.3599999999997</v>
      </c>
      <c r="V91" s="12">
        <f>Final_Table[[#This Row],[Net Profit]]/Final_Table[[#This Row],[Gross Revenue]]</f>
        <v>-0.10104705882352939</v>
      </c>
    </row>
    <row r="92" spans="1:22">
      <c r="A92" s="18" t="s">
        <v>70</v>
      </c>
      <c r="B92">
        <v>2013</v>
      </c>
      <c r="C92" t="s">
        <v>118</v>
      </c>
      <c r="D92">
        <v>1</v>
      </c>
      <c r="E92" s="18" t="s">
        <v>16</v>
      </c>
      <c r="F92" s="18" t="s">
        <v>113</v>
      </c>
      <c r="G92" s="18" t="s">
        <v>36</v>
      </c>
      <c r="H92" s="18" t="str">
        <f>Assumptions!$B$2</f>
        <v>Worst</v>
      </c>
      <c r="I92" s="18">
        <f>_xlfn.XLOOKUP(Assumptions!$B$2,Assumptions!$F$4:$H$4,Assumptions!$F$5:$H$5)</f>
        <v>1200</v>
      </c>
      <c r="J92" s="18">
        <f>_xlfn.XLOOKUP(Assumptions!$B$2,Assumptions!$F$4:$H$4,Assumptions!$F$6:$H$6)</f>
        <v>17</v>
      </c>
      <c r="K92" s="12">
        <f>_xlfn.XLOOKUP(Assumptions!$B$2,Assumptions!$F$4:$H$4,Assumptions!$F$8:$H$8)</f>
        <v>0.1</v>
      </c>
      <c r="L92" s="12">
        <f>_xlfn.XLOOKUP(Assumptions!$B$2,Assumptions!$F$4:$H$4,Assumptions!$F$9:$H$9)</f>
        <v>0.18</v>
      </c>
      <c r="M92" s="18">
        <f>_xlfn.XLOOKUP(Assumptions!$B$2,Assumptions!$F$4:$H$4,Assumptions!$F$10:$H$10)</f>
        <v>18000</v>
      </c>
      <c r="N92" s="12">
        <f>_xlfn.XLOOKUP(Assumptions!$B$2,Assumptions!$F$4:$H$4,Assumptions!$F$11:$H$11)</f>
        <v>0.3</v>
      </c>
      <c r="O92" s="14">
        <f>Final_Table[[#This Row],[Units Sold]]*Final_Table[[#This Row],[Sale Price]]</f>
        <v>20400</v>
      </c>
      <c r="P92" s="14">
        <f>Final_Table[[#This Row],[Gross Revenue]]*(1-Final_Table[[#This Row],[Discount %]])</f>
        <v>18360</v>
      </c>
      <c r="Q92">
        <f>Final_Table[[#This Row],[Net Revenue]]*Final_Table[[#This Row],[Variable Cost %]]</f>
        <v>3304.7999999999997</v>
      </c>
      <c r="R92">
        <f>Final_Table[[#This Row],[Variable Cost]]+Final_Table[[#This Row],[Fixed Monthly Cost]]</f>
        <v>21304.799999999999</v>
      </c>
      <c r="S92" s="5">
        <f>Final_Table[[#This Row],[Net Revenue]]-Final_Table[[#This Row],[Total Cost (COGS)]]</f>
        <v>-2944.7999999999993</v>
      </c>
      <c r="T92">
        <f>Final_Table[[#This Row],[Gross Profit]]*Final_Table[[#This Row],[Tax Rate]]</f>
        <v>-883.43999999999971</v>
      </c>
      <c r="U92" s="5">
        <f>Final_Table[[#This Row],[Gross Profit]]-Final_Table[[#This Row],[Tax]]</f>
        <v>-2061.3599999999997</v>
      </c>
      <c r="V92" s="12">
        <f>Final_Table[[#This Row],[Net Profit]]/Final_Table[[#This Row],[Gross Revenue]]</f>
        <v>-0.10104705882352939</v>
      </c>
    </row>
    <row r="93" spans="1:22">
      <c r="A93" s="18" t="s">
        <v>70</v>
      </c>
      <c r="B93">
        <v>2013</v>
      </c>
      <c r="C93" t="s">
        <v>118</v>
      </c>
      <c r="D93">
        <v>1</v>
      </c>
      <c r="E93" s="18" t="s">
        <v>16</v>
      </c>
      <c r="F93" s="18" t="s">
        <v>113</v>
      </c>
      <c r="G93" s="18" t="s">
        <v>23</v>
      </c>
      <c r="H93" s="18" t="str">
        <f>Assumptions!$B$2</f>
        <v>Worst</v>
      </c>
      <c r="I93" s="18">
        <f>_xlfn.XLOOKUP(Assumptions!$B$2,Assumptions!$F$4:$H$4,Assumptions!$F$5:$H$5)</f>
        <v>1200</v>
      </c>
      <c r="J93" s="18">
        <f>_xlfn.XLOOKUP(Assumptions!$B$2,Assumptions!$F$4:$H$4,Assumptions!$F$6:$H$6)</f>
        <v>17</v>
      </c>
      <c r="K93" s="12">
        <f>_xlfn.XLOOKUP(Assumptions!$B$2,Assumptions!$F$4:$H$4,Assumptions!$F$8:$H$8)</f>
        <v>0.1</v>
      </c>
      <c r="L93" s="12">
        <f>_xlfn.XLOOKUP(Assumptions!$B$2,Assumptions!$F$4:$H$4,Assumptions!$F$9:$H$9)</f>
        <v>0.18</v>
      </c>
      <c r="M93" s="18">
        <f>_xlfn.XLOOKUP(Assumptions!$B$2,Assumptions!$F$4:$H$4,Assumptions!$F$10:$H$10)</f>
        <v>18000</v>
      </c>
      <c r="N93" s="12">
        <f>_xlfn.XLOOKUP(Assumptions!$B$2,Assumptions!$F$4:$H$4,Assumptions!$F$11:$H$11)</f>
        <v>0.3</v>
      </c>
      <c r="O93" s="14">
        <f>Final_Table[[#This Row],[Units Sold]]*Final_Table[[#This Row],[Sale Price]]</f>
        <v>20400</v>
      </c>
      <c r="P93" s="14">
        <f>Final_Table[[#This Row],[Gross Revenue]]*(1-Final_Table[[#This Row],[Discount %]])</f>
        <v>18360</v>
      </c>
      <c r="Q93">
        <f>Final_Table[[#This Row],[Net Revenue]]*Final_Table[[#This Row],[Variable Cost %]]</f>
        <v>3304.7999999999997</v>
      </c>
      <c r="R93">
        <f>Final_Table[[#This Row],[Variable Cost]]+Final_Table[[#This Row],[Fixed Monthly Cost]]</f>
        <v>21304.799999999999</v>
      </c>
      <c r="S93" s="5">
        <f>Final_Table[[#This Row],[Net Revenue]]-Final_Table[[#This Row],[Total Cost (COGS)]]</f>
        <v>-2944.7999999999993</v>
      </c>
      <c r="T93">
        <f>Final_Table[[#This Row],[Gross Profit]]*Final_Table[[#This Row],[Tax Rate]]</f>
        <v>-883.43999999999971</v>
      </c>
      <c r="U93" s="5">
        <f>Final_Table[[#This Row],[Gross Profit]]-Final_Table[[#This Row],[Tax]]</f>
        <v>-2061.3599999999997</v>
      </c>
      <c r="V93" s="12">
        <f>Final_Table[[#This Row],[Net Profit]]/Final_Table[[#This Row],[Gross Revenue]]</f>
        <v>-0.10104705882352939</v>
      </c>
    </row>
    <row r="94" spans="1:22">
      <c r="A94" s="18" t="s">
        <v>70</v>
      </c>
      <c r="B94">
        <v>2013</v>
      </c>
      <c r="C94" t="s">
        <v>118</v>
      </c>
      <c r="D94">
        <v>1</v>
      </c>
      <c r="E94" s="18" t="s">
        <v>16</v>
      </c>
      <c r="F94" s="18" t="s">
        <v>113</v>
      </c>
      <c r="G94" s="18" t="s">
        <v>21</v>
      </c>
      <c r="H94" s="18" t="str">
        <f>Assumptions!$B$2</f>
        <v>Worst</v>
      </c>
      <c r="I94" s="18">
        <f>_xlfn.XLOOKUP(Assumptions!$B$2,Assumptions!$F$4:$H$4,Assumptions!$F$5:$H$5)</f>
        <v>1200</v>
      </c>
      <c r="J94" s="18">
        <f>_xlfn.XLOOKUP(Assumptions!$B$2,Assumptions!$F$4:$H$4,Assumptions!$F$6:$H$6)</f>
        <v>17</v>
      </c>
      <c r="K94" s="12">
        <f>_xlfn.XLOOKUP(Assumptions!$B$2,Assumptions!$F$4:$H$4,Assumptions!$F$8:$H$8)</f>
        <v>0.1</v>
      </c>
      <c r="L94" s="12">
        <f>_xlfn.XLOOKUP(Assumptions!$B$2,Assumptions!$F$4:$H$4,Assumptions!$F$9:$H$9)</f>
        <v>0.18</v>
      </c>
      <c r="M94" s="18">
        <f>_xlfn.XLOOKUP(Assumptions!$B$2,Assumptions!$F$4:$H$4,Assumptions!$F$10:$H$10)</f>
        <v>18000</v>
      </c>
      <c r="N94" s="12">
        <f>_xlfn.XLOOKUP(Assumptions!$B$2,Assumptions!$F$4:$H$4,Assumptions!$F$11:$H$11)</f>
        <v>0.3</v>
      </c>
      <c r="O94" s="14">
        <f>Final_Table[[#This Row],[Units Sold]]*Final_Table[[#This Row],[Sale Price]]</f>
        <v>20400</v>
      </c>
      <c r="P94" s="14">
        <f>Final_Table[[#This Row],[Gross Revenue]]*(1-Final_Table[[#This Row],[Discount %]])</f>
        <v>18360</v>
      </c>
      <c r="Q94">
        <f>Final_Table[[#This Row],[Net Revenue]]*Final_Table[[#This Row],[Variable Cost %]]</f>
        <v>3304.7999999999997</v>
      </c>
      <c r="R94">
        <f>Final_Table[[#This Row],[Variable Cost]]+Final_Table[[#This Row],[Fixed Monthly Cost]]</f>
        <v>21304.799999999999</v>
      </c>
      <c r="S94" s="5">
        <f>Final_Table[[#This Row],[Net Revenue]]-Final_Table[[#This Row],[Total Cost (COGS)]]</f>
        <v>-2944.7999999999993</v>
      </c>
      <c r="T94">
        <f>Final_Table[[#This Row],[Gross Profit]]*Final_Table[[#This Row],[Tax Rate]]</f>
        <v>-883.43999999999971</v>
      </c>
      <c r="U94" s="5">
        <f>Final_Table[[#This Row],[Gross Profit]]-Final_Table[[#This Row],[Tax]]</f>
        <v>-2061.3599999999997</v>
      </c>
      <c r="V94" s="12">
        <f>Final_Table[[#This Row],[Net Profit]]/Final_Table[[#This Row],[Gross Revenue]]</f>
        <v>-0.10104705882352939</v>
      </c>
    </row>
    <row r="95" spans="1:22">
      <c r="A95" s="18" t="s">
        <v>70</v>
      </c>
      <c r="B95">
        <v>2013</v>
      </c>
      <c r="C95" t="s">
        <v>118</v>
      </c>
      <c r="D95">
        <v>1</v>
      </c>
      <c r="E95" s="18" t="s">
        <v>16</v>
      </c>
      <c r="F95" s="18" t="s">
        <v>113</v>
      </c>
      <c r="G95" s="18" t="s">
        <v>25</v>
      </c>
      <c r="H95" s="18" t="str">
        <f>Assumptions!$B$2</f>
        <v>Worst</v>
      </c>
      <c r="I95" s="18">
        <f>_xlfn.XLOOKUP(Assumptions!$B$2,Assumptions!$F$4:$H$4,Assumptions!$F$5:$H$5)</f>
        <v>1200</v>
      </c>
      <c r="J95" s="18">
        <f>_xlfn.XLOOKUP(Assumptions!$B$2,Assumptions!$F$4:$H$4,Assumptions!$F$6:$H$6)</f>
        <v>17</v>
      </c>
      <c r="K95" s="12">
        <f>_xlfn.XLOOKUP(Assumptions!$B$2,Assumptions!$F$4:$H$4,Assumptions!$F$8:$H$8)</f>
        <v>0.1</v>
      </c>
      <c r="L95" s="12">
        <f>_xlfn.XLOOKUP(Assumptions!$B$2,Assumptions!$F$4:$H$4,Assumptions!$F$9:$H$9)</f>
        <v>0.18</v>
      </c>
      <c r="M95" s="18">
        <f>_xlfn.XLOOKUP(Assumptions!$B$2,Assumptions!$F$4:$H$4,Assumptions!$F$10:$H$10)</f>
        <v>18000</v>
      </c>
      <c r="N95" s="12">
        <f>_xlfn.XLOOKUP(Assumptions!$B$2,Assumptions!$F$4:$H$4,Assumptions!$F$11:$H$11)</f>
        <v>0.3</v>
      </c>
      <c r="O95" s="14">
        <f>Final_Table[[#This Row],[Units Sold]]*Final_Table[[#This Row],[Sale Price]]</f>
        <v>20400</v>
      </c>
      <c r="P95" s="14">
        <f>Final_Table[[#This Row],[Gross Revenue]]*(1-Final_Table[[#This Row],[Discount %]])</f>
        <v>18360</v>
      </c>
      <c r="Q95">
        <f>Final_Table[[#This Row],[Net Revenue]]*Final_Table[[#This Row],[Variable Cost %]]</f>
        <v>3304.7999999999997</v>
      </c>
      <c r="R95">
        <f>Final_Table[[#This Row],[Variable Cost]]+Final_Table[[#This Row],[Fixed Monthly Cost]]</f>
        <v>21304.799999999999</v>
      </c>
      <c r="S95" s="5">
        <f>Final_Table[[#This Row],[Net Revenue]]-Final_Table[[#This Row],[Total Cost (COGS)]]</f>
        <v>-2944.7999999999993</v>
      </c>
      <c r="T95">
        <f>Final_Table[[#This Row],[Gross Profit]]*Final_Table[[#This Row],[Tax Rate]]</f>
        <v>-883.43999999999971</v>
      </c>
      <c r="U95" s="5">
        <f>Final_Table[[#This Row],[Gross Profit]]-Final_Table[[#This Row],[Tax]]</f>
        <v>-2061.3599999999997</v>
      </c>
      <c r="V95" s="12">
        <f>Final_Table[[#This Row],[Net Profit]]/Final_Table[[#This Row],[Gross Revenue]]</f>
        <v>-0.10104705882352939</v>
      </c>
    </row>
    <row r="96" spans="1:22">
      <c r="A96" s="18" t="s">
        <v>70</v>
      </c>
      <c r="B96">
        <v>2013</v>
      </c>
      <c r="C96" t="s">
        <v>118</v>
      </c>
      <c r="D96">
        <v>1</v>
      </c>
      <c r="E96" s="18" t="s">
        <v>16</v>
      </c>
      <c r="F96" s="18" t="s">
        <v>113</v>
      </c>
      <c r="G96" s="18" t="s">
        <v>17</v>
      </c>
      <c r="H96" s="18" t="str">
        <f>Assumptions!$B$2</f>
        <v>Worst</v>
      </c>
      <c r="I96" s="18">
        <f>_xlfn.XLOOKUP(Assumptions!$B$2,Assumptions!$F$4:$H$4,Assumptions!$F$5:$H$5)</f>
        <v>1200</v>
      </c>
      <c r="J96" s="18">
        <f>_xlfn.XLOOKUP(Assumptions!$B$2,Assumptions!$F$4:$H$4,Assumptions!$F$6:$H$6)</f>
        <v>17</v>
      </c>
      <c r="K96" s="12">
        <f>_xlfn.XLOOKUP(Assumptions!$B$2,Assumptions!$F$4:$H$4,Assumptions!$F$8:$H$8)</f>
        <v>0.1</v>
      </c>
      <c r="L96" s="12">
        <f>_xlfn.XLOOKUP(Assumptions!$B$2,Assumptions!$F$4:$H$4,Assumptions!$F$9:$H$9)</f>
        <v>0.18</v>
      </c>
      <c r="M96" s="18">
        <f>_xlfn.XLOOKUP(Assumptions!$B$2,Assumptions!$F$4:$H$4,Assumptions!$F$10:$H$10)</f>
        <v>18000</v>
      </c>
      <c r="N96" s="12">
        <f>_xlfn.XLOOKUP(Assumptions!$B$2,Assumptions!$F$4:$H$4,Assumptions!$F$11:$H$11)</f>
        <v>0.3</v>
      </c>
      <c r="O96" s="14">
        <f>Final_Table[[#This Row],[Units Sold]]*Final_Table[[#This Row],[Sale Price]]</f>
        <v>20400</v>
      </c>
      <c r="P96" s="14">
        <f>Final_Table[[#This Row],[Gross Revenue]]*(1-Final_Table[[#This Row],[Discount %]])</f>
        <v>18360</v>
      </c>
      <c r="Q96">
        <f>Final_Table[[#This Row],[Net Revenue]]*Final_Table[[#This Row],[Variable Cost %]]</f>
        <v>3304.7999999999997</v>
      </c>
      <c r="R96">
        <f>Final_Table[[#This Row],[Variable Cost]]+Final_Table[[#This Row],[Fixed Monthly Cost]]</f>
        <v>21304.799999999999</v>
      </c>
      <c r="S96" s="5">
        <f>Final_Table[[#This Row],[Net Revenue]]-Final_Table[[#This Row],[Total Cost (COGS)]]</f>
        <v>-2944.7999999999993</v>
      </c>
      <c r="T96">
        <f>Final_Table[[#This Row],[Gross Profit]]*Final_Table[[#This Row],[Tax Rate]]</f>
        <v>-883.43999999999971</v>
      </c>
      <c r="U96" s="5">
        <f>Final_Table[[#This Row],[Gross Profit]]-Final_Table[[#This Row],[Tax]]</f>
        <v>-2061.3599999999997</v>
      </c>
      <c r="V96" s="12">
        <f>Final_Table[[#This Row],[Net Profit]]/Final_Table[[#This Row],[Gross Revenue]]</f>
        <v>-0.10104705882352939</v>
      </c>
    </row>
    <row r="97" spans="1:22">
      <c r="A97" s="18" t="s">
        <v>70</v>
      </c>
      <c r="B97">
        <v>2013</v>
      </c>
      <c r="C97" t="s">
        <v>118</v>
      </c>
      <c r="D97">
        <v>1</v>
      </c>
      <c r="E97" s="18" t="s">
        <v>16</v>
      </c>
      <c r="F97" s="18" t="s">
        <v>114</v>
      </c>
      <c r="G97" s="18" t="s">
        <v>36</v>
      </c>
      <c r="H97" s="18" t="str">
        <f>Assumptions!$B$2</f>
        <v>Worst</v>
      </c>
      <c r="I97" s="18">
        <f>_xlfn.XLOOKUP(Assumptions!$B$2,Assumptions!$F$4:$H$4,Assumptions!$F$5:$H$5)</f>
        <v>1200</v>
      </c>
      <c r="J97" s="18">
        <f>_xlfn.XLOOKUP(Assumptions!$B$2,Assumptions!$F$4:$H$4,Assumptions!$F$6:$H$6)</f>
        <v>17</v>
      </c>
      <c r="K97" s="12">
        <f>_xlfn.XLOOKUP(Assumptions!$B$2,Assumptions!$F$4:$H$4,Assumptions!$F$8:$H$8)</f>
        <v>0.1</v>
      </c>
      <c r="L97" s="12">
        <f>_xlfn.XLOOKUP(Assumptions!$B$2,Assumptions!$F$4:$H$4,Assumptions!$F$9:$H$9)</f>
        <v>0.18</v>
      </c>
      <c r="M97" s="18">
        <f>_xlfn.XLOOKUP(Assumptions!$B$2,Assumptions!$F$4:$H$4,Assumptions!$F$10:$H$10)</f>
        <v>18000</v>
      </c>
      <c r="N97" s="12">
        <f>_xlfn.XLOOKUP(Assumptions!$B$2,Assumptions!$F$4:$H$4,Assumptions!$F$11:$H$11)</f>
        <v>0.3</v>
      </c>
      <c r="O97" s="14">
        <f>Final_Table[[#This Row],[Units Sold]]*Final_Table[[#This Row],[Sale Price]]</f>
        <v>20400</v>
      </c>
      <c r="P97" s="14">
        <f>Final_Table[[#This Row],[Gross Revenue]]*(1-Final_Table[[#This Row],[Discount %]])</f>
        <v>18360</v>
      </c>
      <c r="Q97">
        <f>Final_Table[[#This Row],[Net Revenue]]*Final_Table[[#This Row],[Variable Cost %]]</f>
        <v>3304.7999999999997</v>
      </c>
      <c r="R97">
        <f>Final_Table[[#This Row],[Variable Cost]]+Final_Table[[#This Row],[Fixed Monthly Cost]]</f>
        <v>21304.799999999999</v>
      </c>
      <c r="S97" s="5">
        <f>Final_Table[[#This Row],[Net Revenue]]-Final_Table[[#This Row],[Total Cost (COGS)]]</f>
        <v>-2944.7999999999993</v>
      </c>
      <c r="T97">
        <f>Final_Table[[#This Row],[Gross Profit]]*Final_Table[[#This Row],[Tax Rate]]</f>
        <v>-883.43999999999971</v>
      </c>
      <c r="U97" s="5">
        <f>Final_Table[[#This Row],[Gross Profit]]-Final_Table[[#This Row],[Tax]]</f>
        <v>-2061.3599999999997</v>
      </c>
      <c r="V97" s="12">
        <f>Final_Table[[#This Row],[Net Profit]]/Final_Table[[#This Row],[Gross Revenue]]</f>
        <v>-0.10104705882352939</v>
      </c>
    </row>
    <row r="98" spans="1:22">
      <c r="A98" s="18" t="s">
        <v>70</v>
      </c>
      <c r="B98">
        <v>2013</v>
      </c>
      <c r="C98" t="s">
        <v>118</v>
      </c>
      <c r="D98">
        <v>1</v>
      </c>
      <c r="E98" s="18" t="s">
        <v>16</v>
      </c>
      <c r="F98" s="18" t="s">
        <v>114</v>
      </c>
      <c r="G98" s="18" t="s">
        <v>23</v>
      </c>
      <c r="H98" s="18" t="str">
        <f>Assumptions!$B$2</f>
        <v>Worst</v>
      </c>
      <c r="I98" s="18">
        <f>_xlfn.XLOOKUP(Assumptions!$B$2,Assumptions!$F$4:$H$4,Assumptions!$F$5:$H$5)</f>
        <v>1200</v>
      </c>
      <c r="J98" s="18">
        <f>_xlfn.XLOOKUP(Assumptions!$B$2,Assumptions!$F$4:$H$4,Assumptions!$F$6:$H$6)</f>
        <v>17</v>
      </c>
      <c r="K98" s="12">
        <f>_xlfn.XLOOKUP(Assumptions!$B$2,Assumptions!$F$4:$H$4,Assumptions!$F$8:$H$8)</f>
        <v>0.1</v>
      </c>
      <c r="L98" s="12">
        <f>_xlfn.XLOOKUP(Assumptions!$B$2,Assumptions!$F$4:$H$4,Assumptions!$F$9:$H$9)</f>
        <v>0.18</v>
      </c>
      <c r="M98" s="18">
        <f>_xlfn.XLOOKUP(Assumptions!$B$2,Assumptions!$F$4:$H$4,Assumptions!$F$10:$H$10)</f>
        <v>18000</v>
      </c>
      <c r="N98" s="12">
        <f>_xlfn.XLOOKUP(Assumptions!$B$2,Assumptions!$F$4:$H$4,Assumptions!$F$11:$H$11)</f>
        <v>0.3</v>
      </c>
      <c r="O98" s="14">
        <f>Final_Table[[#This Row],[Units Sold]]*Final_Table[[#This Row],[Sale Price]]</f>
        <v>20400</v>
      </c>
      <c r="P98" s="14">
        <f>Final_Table[[#This Row],[Gross Revenue]]*(1-Final_Table[[#This Row],[Discount %]])</f>
        <v>18360</v>
      </c>
      <c r="Q98">
        <f>Final_Table[[#This Row],[Net Revenue]]*Final_Table[[#This Row],[Variable Cost %]]</f>
        <v>3304.7999999999997</v>
      </c>
      <c r="R98">
        <f>Final_Table[[#This Row],[Variable Cost]]+Final_Table[[#This Row],[Fixed Monthly Cost]]</f>
        <v>21304.799999999999</v>
      </c>
      <c r="S98" s="5">
        <f>Final_Table[[#This Row],[Net Revenue]]-Final_Table[[#This Row],[Total Cost (COGS)]]</f>
        <v>-2944.7999999999993</v>
      </c>
      <c r="T98">
        <f>Final_Table[[#This Row],[Gross Profit]]*Final_Table[[#This Row],[Tax Rate]]</f>
        <v>-883.43999999999971</v>
      </c>
      <c r="U98" s="5">
        <f>Final_Table[[#This Row],[Gross Profit]]-Final_Table[[#This Row],[Tax]]</f>
        <v>-2061.3599999999997</v>
      </c>
      <c r="V98" s="12">
        <f>Final_Table[[#This Row],[Net Profit]]/Final_Table[[#This Row],[Gross Revenue]]</f>
        <v>-0.10104705882352939</v>
      </c>
    </row>
    <row r="99" spans="1:22">
      <c r="A99" s="18" t="s">
        <v>70</v>
      </c>
      <c r="B99">
        <v>2013</v>
      </c>
      <c r="C99" t="s">
        <v>118</v>
      </c>
      <c r="D99">
        <v>1</v>
      </c>
      <c r="E99" s="18" t="s">
        <v>16</v>
      </c>
      <c r="F99" s="18" t="s">
        <v>114</v>
      </c>
      <c r="G99" s="18" t="s">
        <v>21</v>
      </c>
      <c r="H99" s="18" t="str">
        <f>Assumptions!$B$2</f>
        <v>Worst</v>
      </c>
      <c r="I99" s="18">
        <f>_xlfn.XLOOKUP(Assumptions!$B$2,Assumptions!$F$4:$H$4,Assumptions!$F$5:$H$5)</f>
        <v>1200</v>
      </c>
      <c r="J99" s="18">
        <f>_xlfn.XLOOKUP(Assumptions!$B$2,Assumptions!$F$4:$H$4,Assumptions!$F$6:$H$6)</f>
        <v>17</v>
      </c>
      <c r="K99" s="12">
        <f>_xlfn.XLOOKUP(Assumptions!$B$2,Assumptions!$F$4:$H$4,Assumptions!$F$8:$H$8)</f>
        <v>0.1</v>
      </c>
      <c r="L99" s="12">
        <f>_xlfn.XLOOKUP(Assumptions!$B$2,Assumptions!$F$4:$H$4,Assumptions!$F$9:$H$9)</f>
        <v>0.18</v>
      </c>
      <c r="M99" s="18">
        <f>_xlfn.XLOOKUP(Assumptions!$B$2,Assumptions!$F$4:$H$4,Assumptions!$F$10:$H$10)</f>
        <v>18000</v>
      </c>
      <c r="N99" s="12">
        <f>_xlfn.XLOOKUP(Assumptions!$B$2,Assumptions!$F$4:$H$4,Assumptions!$F$11:$H$11)</f>
        <v>0.3</v>
      </c>
      <c r="O99" s="14">
        <f>Final_Table[[#This Row],[Units Sold]]*Final_Table[[#This Row],[Sale Price]]</f>
        <v>20400</v>
      </c>
      <c r="P99" s="14">
        <f>Final_Table[[#This Row],[Gross Revenue]]*(1-Final_Table[[#This Row],[Discount %]])</f>
        <v>18360</v>
      </c>
      <c r="Q99">
        <f>Final_Table[[#This Row],[Net Revenue]]*Final_Table[[#This Row],[Variable Cost %]]</f>
        <v>3304.7999999999997</v>
      </c>
      <c r="R99">
        <f>Final_Table[[#This Row],[Variable Cost]]+Final_Table[[#This Row],[Fixed Monthly Cost]]</f>
        <v>21304.799999999999</v>
      </c>
      <c r="S99" s="5">
        <f>Final_Table[[#This Row],[Net Revenue]]-Final_Table[[#This Row],[Total Cost (COGS)]]</f>
        <v>-2944.7999999999993</v>
      </c>
      <c r="T99">
        <f>Final_Table[[#This Row],[Gross Profit]]*Final_Table[[#This Row],[Tax Rate]]</f>
        <v>-883.43999999999971</v>
      </c>
      <c r="U99" s="5">
        <f>Final_Table[[#This Row],[Gross Profit]]-Final_Table[[#This Row],[Tax]]</f>
        <v>-2061.3599999999997</v>
      </c>
      <c r="V99" s="12">
        <f>Final_Table[[#This Row],[Net Profit]]/Final_Table[[#This Row],[Gross Revenue]]</f>
        <v>-0.10104705882352939</v>
      </c>
    </row>
    <row r="100" spans="1:22">
      <c r="A100" s="18" t="s">
        <v>70</v>
      </c>
      <c r="B100">
        <v>2013</v>
      </c>
      <c r="C100" t="s">
        <v>118</v>
      </c>
      <c r="D100">
        <v>1</v>
      </c>
      <c r="E100" s="18" t="s">
        <v>16</v>
      </c>
      <c r="F100" s="18" t="s">
        <v>114</v>
      </c>
      <c r="G100" s="18" t="s">
        <v>25</v>
      </c>
      <c r="H100" s="18" t="str">
        <f>Assumptions!$B$2</f>
        <v>Worst</v>
      </c>
      <c r="I100" s="18">
        <f>_xlfn.XLOOKUP(Assumptions!$B$2,Assumptions!$F$4:$H$4,Assumptions!$F$5:$H$5)</f>
        <v>1200</v>
      </c>
      <c r="J100" s="18">
        <f>_xlfn.XLOOKUP(Assumptions!$B$2,Assumptions!$F$4:$H$4,Assumptions!$F$6:$H$6)</f>
        <v>17</v>
      </c>
      <c r="K100" s="12">
        <f>_xlfn.XLOOKUP(Assumptions!$B$2,Assumptions!$F$4:$H$4,Assumptions!$F$8:$H$8)</f>
        <v>0.1</v>
      </c>
      <c r="L100" s="12">
        <f>_xlfn.XLOOKUP(Assumptions!$B$2,Assumptions!$F$4:$H$4,Assumptions!$F$9:$H$9)</f>
        <v>0.18</v>
      </c>
      <c r="M100" s="18">
        <f>_xlfn.XLOOKUP(Assumptions!$B$2,Assumptions!$F$4:$H$4,Assumptions!$F$10:$H$10)</f>
        <v>18000</v>
      </c>
      <c r="N100" s="12">
        <f>_xlfn.XLOOKUP(Assumptions!$B$2,Assumptions!$F$4:$H$4,Assumptions!$F$11:$H$11)</f>
        <v>0.3</v>
      </c>
      <c r="O100" s="14">
        <f>Final_Table[[#This Row],[Units Sold]]*Final_Table[[#This Row],[Sale Price]]</f>
        <v>20400</v>
      </c>
      <c r="P100" s="14">
        <f>Final_Table[[#This Row],[Gross Revenue]]*(1-Final_Table[[#This Row],[Discount %]])</f>
        <v>18360</v>
      </c>
      <c r="Q100">
        <f>Final_Table[[#This Row],[Net Revenue]]*Final_Table[[#This Row],[Variable Cost %]]</f>
        <v>3304.7999999999997</v>
      </c>
      <c r="R100">
        <f>Final_Table[[#This Row],[Variable Cost]]+Final_Table[[#This Row],[Fixed Monthly Cost]]</f>
        <v>21304.799999999999</v>
      </c>
      <c r="S100" s="5">
        <f>Final_Table[[#This Row],[Net Revenue]]-Final_Table[[#This Row],[Total Cost (COGS)]]</f>
        <v>-2944.7999999999993</v>
      </c>
      <c r="T100">
        <f>Final_Table[[#This Row],[Gross Profit]]*Final_Table[[#This Row],[Tax Rate]]</f>
        <v>-883.43999999999971</v>
      </c>
      <c r="U100" s="5">
        <f>Final_Table[[#This Row],[Gross Profit]]-Final_Table[[#This Row],[Tax]]</f>
        <v>-2061.3599999999997</v>
      </c>
      <c r="V100" s="12">
        <f>Final_Table[[#This Row],[Net Profit]]/Final_Table[[#This Row],[Gross Revenue]]</f>
        <v>-0.10104705882352939</v>
      </c>
    </row>
    <row r="101" spans="1:22">
      <c r="A101" s="18" t="s">
        <v>70</v>
      </c>
      <c r="B101">
        <v>2013</v>
      </c>
      <c r="C101" t="s">
        <v>118</v>
      </c>
      <c r="D101">
        <v>1</v>
      </c>
      <c r="E101" s="18" t="s">
        <v>16</v>
      </c>
      <c r="F101" s="18" t="s">
        <v>114</v>
      </c>
      <c r="G101" s="18" t="s">
        <v>17</v>
      </c>
      <c r="H101" s="18" t="str">
        <f>Assumptions!$B$2</f>
        <v>Worst</v>
      </c>
      <c r="I101" s="18">
        <f>_xlfn.XLOOKUP(Assumptions!$B$2,Assumptions!$F$4:$H$4,Assumptions!$F$5:$H$5)</f>
        <v>1200</v>
      </c>
      <c r="J101" s="18">
        <f>_xlfn.XLOOKUP(Assumptions!$B$2,Assumptions!$F$4:$H$4,Assumptions!$F$6:$H$6)</f>
        <v>17</v>
      </c>
      <c r="K101" s="12">
        <f>_xlfn.XLOOKUP(Assumptions!$B$2,Assumptions!$F$4:$H$4,Assumptions!$F$8:$H$8)</f>
        <v>0.1</v>
      </c>
      <c r="L101" s="12">
        <f>_xlfn.XLOOKUP(Assumptions!$B$2,Assumptions!$F$4:$H$4,Assumptions!$F$9:$H$9)</f>
        <v>0.18</v>
      </c>
      <c r="M101" s="18">
        <f>_xlfn.XLOOKUP(Assumptions!$B$2,Assumptions!$F$4:$H$4,Assumptions!$F$10:$H$10)</f>
        <v>18000</v>
      </c>
      <c r="N101" s="12">
        <f>_xlfn.XLOOKUP(Assumptions!$B$2,Assumptions!$F$4:$H$4,Assumptions!$F$11:$H$11)</f>
        <v>0.3</v>
      </c>
      <c r="O101" s="14">
        <f>Final_Table[[#This Row],[Units Sold]]*Final_Table[[#This Row],[Sale Price]]</f>
        <v>20400</v>
      </c>
      <c r="P101" s="14">
        <f>Final_Table[[#This Row],[Gross Revenue]]*(1-Final_Table[[#This Row],[Discount %]])</f>
        <v>18360</v>
      </c>
      <c r="Q101">
        <f>Final_Table[[#This Row],[Net Revenue]]*Final_Table[[#This Row],[Variable Cost %]]</f>
        <v>3304.7999999999997</v>
      </c>
      <c r="R101">
        <f>Final_Table[[#This Row],[Variable Cost]]+Final_Table[[#This Row],[Fixed Monthly Cost]]</f>
        <v>21304.799999999999</v>
      </c>
      <c r="S101" s="5">
        <f>Final_Table[[#This Row],[Net Revenue]]-Final_Table[[#This Row],[Total Cost (COGS)]]</f>
        <v>-2944.7999999999993</v>
      </c>
      <c r="T101">
        <f>Final_Table[[#This Row],[Gross Profit]]*Final_Table[[#This Row],[Tax Rate]]</f>
        <v>-883.43999999999971</v>
      </c>
      <c r="U101" s="5">
        <f>Final_Table[[#This Row],[Gross Profit]]-Final_Table[[#This Row],[Tax]]</f>
        <v>-2061.3599999999997</v>
      </c>
      <c r="V101" s="12">
        <f>Final_Table[[#This Row],[Net Profit]]/Final_Table[[#This Row],[Gross Revenue]]</f>
        <v>-0.10104705882352939</v>
      </c>
    </row>
    <row r="102" spans="1:22">
      <c r="A102" s="18" t="s">
        <v>70</v>
      </c>
      <c r="B102">
        <v>2013</v>
      </c>
      <c r="C102" t="s">
        <v>118</v>
      </c>
      <c r="D102">
        <v>1</v>
      </c>
      <c r="E102" s="18" t="s">
        <v>32</v>
      </c>
      <c r="F102" s="18" t="s">
        <v>80</v>
      </c>
      <c r="G102" s="18" t="s">
        <v>36</v>
      </c>
      <c r="H102" s="18" t="str">
        <f>Assumptions!$B$2</f>
        <v>Worst</v>
      </c>
      <c r="I102" s="18">
        <f>_xlfn.XLOOKUP(Assumptions!$B$2,Assumptions!$F$4:$H$4,Assumptions!$F$5:$H$5)</f>
        <v>1200</v>
      </c>
      <c r="J102" s="18">
        <f>_xlfn.XLOOKUP(Assumptions!$B$2,Assumptions!$F$4:$H$4,Assumptions!$F$6:$H$6)</f>
        <v>17</v>
      </c>
      <c r="K102" s="12">
        <f>_xlfn.XLOOKUP(Assumptions!$B$2,Assumptions!$F$4:$H$4,Assumptions!$F$8:$H$8)</f>
        <v>0.1</v>
      </c>
      <c r="L102" s="12">
        <f>_xlfn.XLOOKUP(Assumptions!$B$2,Assumptions!$F$4:$H$4,Assumptions!$F$9:$H$9)</f>
        <v>0.18</v>
      </c>
      <c r="M102" s="18">
        <f>_xlfn.XLOOKUP(Assumptions!$B$2,Assumptions!$F$4:$H$4,Assumptions!$F$10:$H$10)</f>
        <v>18000</v>
      </c>
      <c r="N102" s="12">
        <f>_xlfn.XLOOKUP(Assumptions!$B$2,Assumptions!$F$4:$H$4,Assumptions!$F$11:$H$11)</f>
        <v>0.3</v>
      </c>
      <c r="O102" s="14">
        <f>Final_Table[[#This Row],[Units Sold]]*Final_Table[[#This Row],[Sale Price]]</f>
        <v>20400</v>
      </c>
      <c r="P102" s="14">
        <f>Final_Table[[#This Row],[Gross Revenue]]*(1-Final_Table[[#This Row],[Discount %]])</f>
        <v>18360</v>
      </c>
      <c r="Q102">
        <f>Final_Table[[#This Row],[Net Revenue]]*Final_Table[[#This Row],[Variable Cost %]]</f>
        <v>3304.7999999999997</v>
      </c>
      <c r="R102">
        <f>Final_Table[[#This Row],[Variable Cost]]+Final_Table[[#This Row],[Fixed Monthly Cost]]</f>
        <v>21304.799999999999</v>
      </c>
      <c r="S102" s="5">
        <f>Final_Table[[#This Row],[Net Revenue]]-Final_Table[[#This Row],[Total Cost (COGS)]]</f>
        <v>-2944.7999999999993</v>
      </c>
      <c r="T102">
        <f>Final_Table[[#This Row],[Gross Profit]]*Final_Table[[#This Row],[Tax Rate]]</f>
        <v>-883.43999999999971</v>
      </c>
      <c r="U102" s="5">
        <f>Final_Table[[#This Row],[Gross Profit]]-Final_Table[[#This Row],[Tax]]</f>
        <v>-2061.3599999999997</v>
      </c>
      <c r="V102" s="12">
        <f>Final_Table[[#This Row],[Net Profit]]/Final_Table[[#This Row],[Gross Revenue]]</f>
        <v>-0.10104705882352939</v>
      </c>
    </row>
    <row r="103" spans="1:22">
      <c r="A103" s="18" t="s">
        <v>70</v>
      </c>
      <c r="B103">
        <v>2013</v>
      </c>
      <c r="C103" t="s">
        <v>118</v>
      </c>
      <c r="D103">
        <v>1</v>
      </c>
      <c r="E103" s="18" t="s">
        <v>32</v>
      </c>
      <c r="F103" s="18" t="s">
        <v>80</v>
      </c>
      <c r="G103" s="18" t="s">
        <v>23</v>
      </c>
      <c r="H103" s="18" t="str">
        <f>Assumptions!$B$2</f>
        <v>Worst</v>
      </c>
      <c r="I103" s="18">
        <f>_xlfn.XLOOKUP(Assumptions!$B$2,Assumptions!$F$4:$H$4,Assumptions!$F$5:$H$5)</f>
        <v>1200</v>
      </c>
      <c r="J103" s="18">
        <f>_xlfn.XLOOKUP(Assumptions!$B$2,Assumptions!$F$4:$H$4,Assumptions!$F$6:$H$6)</f>
        <v>17</v>
      </c>
      <c r="K103" s="12">
        <f>_xlfn.XLOOKUP(Assumptions!$B$2,Assumptions!$F$4:$H$4,Assumptions!$F$8:$H$8)</f>
        <v>0.1</v>
      </c>
      <c r="L103" s="12">
        <f>_xlfn.XLOOKUP(Assumptions!$B$2,Assumptions!$F$4:$H$4,Assumptions!$F$9:$H$9)</f>
        <v>0.18</v>
      </c>
      <c r="M103" s="18">
        <f>_xlfn.XLOOKUP(Assumptions!$B$2,Assumptions!$F$4:$H$4,Assumptions!$F$10:$H$10)</f>
        <v>18000</v>
      </c>
      <c r="N103" s="12">
        <f>_xlfn.XLOOKUP(Assumptions!$B$2,Assumptions!$F$4:$H$4,Assumptions!$F$11:$H$11)</f>
        <v>0.3</v>
      </c>
      <c r="O103" s="14">
        <f>Final_Table[[#This Row],[Units Sold]]*Final_Table[[#This Row],[Sale Price]]</f>
        <v>20400</v>
      </c>
      <c r="P103" s="14">
        <f>Final_Table[[#This Row],[Gross Revenue]]*(1-Final_Table[[#This Row],[Discount %]])</f>
        <v>18360</v>
      </c>
      <c r="Q103">
        <f>Final_Table[[#This Row],[Net Revenue]]*Final_Table[[#This Row],[Variable Cost %]]</f>
        <v>3304.7999999999997</v>
      </c>
      <c r="R103">
        <f>Final_Table[[#This Row],[Variable Cost]]+Final_Table[[#This Row],[Fixed Monthly Cost]]</f>
        <v>21304.799999999999</v>
      </c>
      <c r="S103" s="5">
        <f>Final_Table[[#This Row],[Net Revenue]]-Final_Table[[#This Row],[Total Cost (COGS)]]</f>
        <v>-2944.7999999999993</v>
      </c>
      <c r="T103">
        <f>Final_Table[[#This Row],[Gross Profit]]*Final_Table[[#This Row],[Tax Rate]]</f>
        <v>-883.43999999999971</v>
      </c>
      <c r="U103" s="5">
        <f>Final_Table[[#This Row],[Gross Profit]]-Final_Table[[#This Row],[Tax]]</f>
        <v>-2061.3599999999997</v>
      </c>
      <c r="V103" s="12">
        <f>Final_Table[[#This Row],[Net Profit]]/Final_Table[[#This Row],[Gross Revenue]]</f>
        <v>-0.10104705882352939</v>
      </c>
    </row>
    <row r="104" spans="1:22">
      <c r="A104" s="18" t="s">
        <v>70</v>
      </c>
      <c r="B104">
        <v>2013</v>
      </c>
      <c r="C104" t="s">
        <v>118</v>
      </c>
      <c r="D104">
        <v>1</v>
      </c>
      <c r="E104" s="18" t="s">
        <v>32</v>
      </c>
      <c r="F104" s="18" t="s">
        <v>80</v>
      </c>
      <c r="G104" s="18" t="s">
        <v>21</v>
      </c>
      <c r="H104" s="18" t="str">
        <f>Assumptions!$B$2</f>
        <v>Worst</v>
      </c>
      <c r="I104" s="18">
        <f>_xlfn.XLOOKUP(Assumptions!$B$2,Assumptions!$F$4:$H$4,Assumptions!$F$5:$H$5)</f>
        <v>1200</v>
      </c>
      <c r="J104" s="18">
        <f>_xlfn.XLOOKUP(Assumptions!$B$2,Assumptions!$F$4:$H$4,Assumptions!$F$6:$H$6)</f>
        <v>17</v>
      </c>
      <c r="K104" s="12">
        <f>_xlfn.XLOOKUP(Assumptions!$B$2,Assumptions!$F$4:$H$4,Assumptions!$F$8:$H$8)</f>
        <v>0.1</v>
      </c>
      <c r="L104" s="12">
        <f>_xlfn.XLOOKUP(Assumptions!$B$2,Assumptions!$F$4:$H$4,Assumptions!$F$9:$H$9)</f>
        <v>0.18</v>
      </c>
      <c r="M104" s="18">
        <f>_xlfn.XLOOKUP(Assumptions!$B$2,Assumptions!$F$4:$H$4,Assumptions!$F$10:$H$10)</f>
        <v>18000</v>
      </c>
      <c r="N104" s="12">
        <f>_xlfn.XLOOKUP(Assumptions!$B$2,Assumptions!$F$4:$H$4,Assumptions!$F$11:$H$11)</f>
        <v>0.3</v>
      </c>
      <c r="O104" s="14">
        <f>Final_Table[[#This Row],[Units Sold]]*Final_Table[[#This Row],[Sale Price]]</f>
        <v>20400</v>
      </c>
      <c r="P104" s="14">
        <f>Final_Table[[#This Row],[Gross Revenue]]*(1-Final_Table[[#This Row],[Discount %]])</f>
        <v>18360</v>
      </c>
      <c r="Q104">
        <f>Final_Table[[#This Row],[Net Revenue]]*Final_Table[[#This Row],[Variable Cost %]]</f>
        <v>3304.7999999999997</v>
      </c>
      <c r="R104">
        <f>Final_Table[[#This Row],[Variable Cost]]+Final_Table[[#This Row],[Fixed Monthly Cost]]</f>
        <v>21304.799999999999</v>
      </c>
      <c r="S104" s="5">
        <f>Final_Table[[#This Row],[Net Revenue]]-Final_Table[[#This Row],[Total Cost (COGS)]]</f>
        <v>-2944.7999999999993</v>
      </c>
      <c r="T104">
        <f>Final_Table[[#This Row],[Gross Profit]]*Final_Table[[#This Row],[Tax Rate]]</f>
        <v>-883.43999999999971</v>
      </c>
      <c r="U104" s="5">
        <f>Final_Table[[#This Row],[Gross Profit]]-Final_Table[[#This Row],[Tax]]</f>
        <v>-2061.3599999999997</v>
      </c>
      <c r="V104" s="12">
        <f>Final_Table[[#This Row],[Net Profit]]/Final_Table[[#This Row],[Gross Revenue]]</f>
        <v>-0.10104705882352939</v>
      </c>
    </row>
    <row r="105" spans="1:22">
      <c r="A105" s="18" t="s">
        <v>70</v>
      </c>
      <c r="B105">
        <v>2013</v>
      </c>
      <c r="C105" t="s">
        <v>118</v>
      </c>
      <c r="D105">
        <v>1</v>
      </c>
      <c r="E105" s="18" t="s">
        <v>32</v>
      </c>
      <c r="F105" s="18" t="s">
        <v>80</v>
      </c>
      <c r="G105" s="18" t="s">
        <v>25</v>
      </c>
      <c r="H105" s="18" t="str">
        <f>Assumptions!$B$2</f>
        <v>Worst</v>
      </c>
      <c r="I105" s="18">
        <f>_xlfn.XLOOKUP(Assumptions!$B$2,Assumptions!$F$4:$H$4,Assumptions!$F$5:$H$5)</f>
        <v>1200</v>
      </c>
      <c r="J105" s="18">
        <f>_xlfn.XLOOKUP(Assumptions!$B$2,Assumptions!$F$4:$H$4,Assumptions!$F$6:$H$6)</f>
        <v>17</v>
      </c>
      <c r="K105" s="12">
        <f>_xlfn.XLOOKUP(Assumptions!$B$2,Assumptions!$F$4:$H$4,Assumptions!$F$8:$H$8)</f>
        <v>0.1</v>
      </c>
      <c r="L105" s="12">
        <f>_xlfn.XLOOKUP(Assumptions!$B$2,Assumptions!$F$4:$H$4,Assumptions!$F$9:$H$9)</f>
        <v>0.18</v>
      </c>
      <c r="M105" s="18">
        <f>_xlfn.XLOOKUP(Assumptions!$B$2,Assumptions!$F$4:$H$4,Assumptions!$F$10:$H$10)</f>
        <v>18000</v>
      </c>
      <c r="N105" s="12">
        <f>_xlfn.XLOOKUP(Assumptions!$B$2,Assumptions!$F$4:$H$4,Assumptions!$F$11:$H$11)</f>
        <v>0.3</v>
      </c>
      <c r="O105" s="14">
        <f>Final_Table[[#This Row],[Units Sold]]*Final_Table[[#This Row],[Sale Price]]</f>
        <v>20400</v>
      </c>
      <c r="P105" s="14">
        <f>Final_Table[[#This Row],[Gross Revenue]]*(1-Final_Table[[#This Row],[Discount %]])</f>
        <v>18360</v>
      </c>
      <c r="Q105">
        <f>Final_Table[[#This Row],[Net Revenue]]*Final_Table[[#This Row],[Variable Cost %]]</f>
        <v>3304.7999999999997</v>
      </c>
      <c r="R105">
        <f>Final_Table[[#This Row],[Variable Cost]]+Final_Table[[#This Row],[Fixed Monthly Cost]]</f>
        <v>21304.799999999999</v>
      </c>
      <c r="S105" s="5">
        <f>Final_Table[[#This Row],[Net Revenue]]-Final_Table[[#This Row],[Total Cost (COGS)]]</f>
        <v>-2944.7999999999993</v>
      </c>
      <c r="T105">
        <f>Final_Table[[#This Row],[Gross Profit]]*Final_Table[[#This Row],[Tax Rate]]</f>
        <v>-883.43999999999971</v>
      </c>
      <c r="U105" s="5">
        <f>Final_Table[[#This Row],[Gross Profit]]-Final_Table[[#This Row],[Tax]]</f>
        <v>-2061.3599999999997</v>
      </c>
      <c r="V105" s="12">
        <f>Final_Table[[#This Row],[Net Profit]]/Final_Table[[#This Row],[Gross Revenue]]</f>
        <v>-0.10104705882352939</v>
      </c>
    </row>
    <row r="106" spans="1:22">
      <c r="A106" s="18" t="s">
        <v>70</v>
      </c>
      <c r="B106">
        <v>2013</v>
      </c>
      <c r="C106" t="s">
        <v>118</v>
      </c>
      <c r="D106">
        <v>1</v>
      </c>
      <c r="E106" s="18" t="s">
        <v>32</v>
      </c>
      <c r="F106" s="18" t="s">
        <v>80</v>
      </c>
      <c r="G106" s="18" t="s">
        <v>17</v>
      </c>
      <c r="H106" s="18" t="str">
        <f>Assumptions!$B$2</f>
        <v>Worst</v>
      </c>
      <c r="I106" s="18">
        <f>_xlfn.XLOOKUP(Assumptions!$B$2,Assumptions!$F$4:$H$4,Assumptions!$F$5:$H$5)</f>
        <v>1200</v>
      </c>
      <c r="J106" s="18">
        <f>_xlfn.XLOOKUP(Assumptions!$B$2,Assumptions!$F$4:$H$4,Assumptions!$F$6:$H$6)</f>
        <v>17</v>
      </c>
      <c r="K106" s="12">
        <f>_xlfn.XLOOKUP(Assumptions!$B$2,Assumptions!$F$4:$H$4,Assumptions!$F$8:$H$8)</f>
        <v>0.1</v>
      </c>
      <c r="L106" s="12">
        <f>_xlfn.XLOOKUP(Assumptions!$B$2,Assumptions!$F$4:$H$4,Assumptions!$F$9:$H$9)</f>
        <v>0.18</v>
      </c>
      <c r="M106" s="18">
        <f>_xlfn.XLOOKUP(Assumptions!$B$2,Assumptions!$F$4:$H$4,Assumptions!$F$10:$H$10)</f>
        <v>18000</v>
      </c>
      <c r="N106" s="12">
        <f>_xlfn.XLOOKUP(Assumptions!$B$2,Assumptions!$F$4:$H$4,Assumptions!$F$11:$H$11)</f>
        <v>0.3</v>
      </c>
      <c r="O106" s="14">
        <f>Final_Table[[#This Row],[Units Sold]]*Final_Table[[#This Row],[Sale Price]]</f>
        <v>20400</v>
      </c>
      <c r="P106" s="14">
        <f>Final_Table[[#This Row],[Gross Revenue]]*(1-Final_Table[[#This Row],[Discount %]])</f>
        <v>18360</v>
      </c>
      <c r="Q106">
        <f>Final_Table[[#This Row],[Net Revenue]]*Final_Table[[#This Row],[Variable Cost %]]</f>
        <v>3304.7999999999997</v>
      </c>
      <c r="R106">
        <f>Final_Table[[#This Row],[Variable Cost]]+Final_Table[[#This Row],[Fixed Monthly Cost]]</f>
        <v>21304.799999999999</v>
      </c>
      <c r="S106" s="5">
        <f>Final_Table[[#This Row],[Net Revenue]]-Final_Table[[#This Row],[Total Cost (COGS)]]</f>
        <v>-2944.7999999999993</v>
      </c>
      <c r="T106">
        <f>Final_Table[[#This Row],[Gross Profit]]*Final_Table[[#This Row],[Tax Rate]]</f>
        <v>-883.43999999999971</v>
      </c>
      <c r="U106" s="5">
        <f>Final_Table[[#This Row],[Gross Profit]]-Final_Table[[#This Row],[Tax]]</f>
        <v>-2061.3599999999997</v>
      </c>
      <c r="V106" s="12">
        <f>Final_Table[[#This Row],[Net Profit]]/Final_Table[[#This Row],[Gross Revenue]]</f>
        <v>-0.10104705882352939</v>
      </c>
    </row>
    <row r="107" spans="1:22">
      <c r="A107" s="18" t="s">
        <v>70</v>
      </c>
      <c r="B107">
        <v>2013</v>
      </c>
      <c r="C107" t="s">
        <v>118</v>
      </c>
      <c r="D107">
        <v>1</v>
      </c>
      <c r="E107" s="18" t="s">
        <v>32</v>
      </c>
      <c r="F107" s="18" t="s">
        <v>108</v>
      </c>
      <c r="G107" s="18" t="s">
        <v>36</v>
      </c>
      <c r="H107" s="18" t="str">
        <f>Assumptions!$B$2</f>
        <v>Worst</v>
      </c>
      <c r="I107" s="18">
        <f>_xlfn.XLOOKUP(Assumptions!$B$2,Assumptions!$F$4:$H$4,Assumptions!$F$5:$H$5)</f>
        <v>1200</v>
      </c>
      <c r="J107" s="18">
        <f>_xlfn.XLOOKUP(Assumptions!$B$2,Assumptions!$F$4:$H$4,Assumptions!$F$6:$H$6)</f>
        <v>17</v>
      </c>
      <c r="K107" s="12">
        <f>_xlfn.XLOOKUP(Assumptions!$B$2,Assumptions!$F$4:$H$4,Assumptions!$F$8:$H$8)</f>
        <v>0.1</v>
      </c>
      <c r="L107" s="12">
        <f>_xlfn.XLOOKUP(Assumptions!$B$2,Assumptions!$F$4:$H$4,Assumptions!$F$9:$H$9)</f>
        <v>0.18</v>
      </c>
      <c r="M107" s="18">
        <f>_xlfn.XLOOKUP(Assumptions!$B$2,Assumptions!$F$4:$H$4,Assumptions!$F$10:$H$10)</f>
        <v>18000</v>
      </c>
      <c r="N107" s="12">
        <f>_xlfn.XLOOKUP(Assumptions!$B$2,Assumptions!$F$4:$H$4,Assumptions!$F$11:$H$11)</f>
        <v>0.3</v>
      </c>
      <c r="O107" s="14">
        <f>Final_Table[[#This Row],[Units Sold]]*Final_Table[[#This Row],[Sale Price]]</f>
        <v>20400</v>
      </c>
      <c r="P107" s="14">
        <f>Final_Table[[#This Row],[Gross Revenue]]*(1-Final_Table[[#This Row],[Discount %]])</f>
        <v>18360</v>
      </c>
      <c r="Q107">
        <f>Final_Table[[#This Row],[Net Revenue]]*Final_Table[[#This Row],[Variable Cost %]]</f>
        <v>3304.7999999999997</v>
      </c>
      <c r="R107">
        <f>Final_Table[[#This Row],[Variable Cost]]+Final_Table[[#This Row],[Fixed Monthly Cost]]</f>
        <v>21304.799999999999</v>
      </c>
      <c r="S107" s="5">
        <f>Final_Table[[#This Row],[Net Revenue]]-Final_Table[[#This Row],[Total Cost (COGS)]]</f>
        <v>-2944.7999999999993</v>
      </c>
      <c r="T107">
        <f>Final_Table[[#This Row],[Gross Profit]]*Final_Table[[#This Row],[Tax Rate]]</f>
        <v>-883.43999999999971</v>
      </c>
      <c r="U107" s="5">
        <f>Final_Table[[#This Row],[Gross Profit]]-Final_Table[[#This Row],[Tax]]</f>
        <v>-2061.3599999999997</v>
      </c>
      <c r="V107" s="12">
        <f>Final_Table[[#This Row],[Net Profit]]/Final_Table[[#This Row],[Gross Revenue]]</f>
        <v>-0.10104705882352939</v>
      </c>
    </row>
    <row r="108" spans="1:22">
      <c r="A108" s="18" t="s">
        <v>70</v>
      </c>
      <c r="B108">
        <v>2013</v>
      </c>
      <c r="C108" t="s">
        <v>118</v>
      </c>
      <c r="D108">
        <v>1</v>
      </c>
      <c r="E108" s="18" t="s">
        <v>32</v>
      </c>
      <c r="F108" s="18" t="s">
        <v>108</v>
      </c>
      <c r="G108" s="18" t="s">
        <v>23</v>
      </c>
      <c r="H108" s="18" t="str">
        <f>Assumptions!$B$2</f>
        <v>Worst</v>
      </c>
      <c r="I108" s="18">
        <f>_xlfn.XLOOKUP(Assumptions!$B$2,Assumptions!$F$4:$H$4,Assumptions!$F$5:$H$5)</f>
        <v>1200</v>
      </c>
      <c r="J108" s="18">
        <f>_xlfn.XLOOKUP(Assumptions!$B$2,Assumptions!$F$4:$H$4,Assumptions!$F$6:$H$6)</f>
        <v>17</v>
      </c>
      <c r="K108" s="12">
        <f>_xlfn.XLOOKUP(Assumptions!$B$2,Assumptions!$F$4:$H$4,Assumptions!$F$8:$H$8)</f>
        <v>0.1</v>
      </c>
      <c r="L108" s="12">
        <f>_xlfn.XLOOKUP(Assumptions!$B$2,Assumptions!$F$4:$H$4,Assumptions!$F$9:$H$9)</f>
        <v>0.18</v>
      </c>
      <c r="M108" s="18">
        <f>_xlfn.XLOOKUP(Assumptions!$B$2,Assumptions!$F$4:$H$4,Assumptions!$F$10:$H$10)</f>
        <v>18000</v>
      </c>
      <c r="N108" s="12">
        <f>_xlfn.XLOOKUP(Assumptions!$B$2,Assumptions!$F$4:$H$4,Assumptions!$F$11:$H$11)</f>
        <v>0.3</v>
      </c>
      <c r="O108" s="14">
        <f>Final_Table[[#This Row],[Units Sold]]*Final_Table[[#This Row],[Sale Price]]</f>
        <v>20400</v>
      </c>
      <c r="P108" s="14">
        <f>Final_Table[[#This Row],[Gross Revenue]]*(1-Final_Table[[#This Row],[Discount %]])</f>
        <v>18360</v>
      </c>
      <c r="Q108">
        <f>Final_Table[[#This Row],[Net Revenue]]*Final_Table[[#This Row],[Variable Cost %]]</f>
        <v>3304.7999999999997</v>
      </c>
      <c r="R108">
        <f>Final_Table[[#This Row],[Variable Cost]]+Final_Table[[#This Row],[Fixed Monthly Cost]]</f>
        <v>21304.799999999999</v>
      </c>
      <c r="S108" s="5">
        <f>Final_Table[[#This Row],[Net Revenue]]-Final_Table[[#This Row],[Total Cost (COGS)]]</f>
        <v>-2944.7999999999993</v>
      </c>
      <c r="T108">
        <f>Final_Table[[#This Row],[Gross Profit]]*Final_Table[[#This Row],[Tax Rate]]</f>
        <v>-883.43999999999971</v>
      </c>
      <c r="U108" s="5">
        <f>Final_Table[[#This Row],[Gross Profit]]-Final_Table[[#This Row],[Tax]]</f>
        <v>-2061.3599999999997</v>
      </c>
      <c r="V108" s="12">
        <f>Final_Table[[#This Row],[Net Profit]]/Final_Table[[#This Row],[Gross Revenue]]</f>
        <v>-0.10104705882352939</v>
      </c>
    </row>
    <row r="109" spans="1:22">
      <c r="A109" s="18" t="s">
        <v>70</v>
      </c>
      <c r="B109">
        <v>2013</v>
      </c>
      <c r="C109" t="s">
        <v>118</v>
      </c>
      <c r="D109">
        <v>1</v>
      </c>
      <c r="E109" s="18" t="s">
        <v>32</v>
      </c>
      <c r="F109" s="18" t="s">
        <v>108</v>
      </c>
      <c r="G109" s="18" t="s">
        <v>21</v>
      </c>
      <c r="H109" s="18" t="str">
        <f>Assumptions!$B$2</f>
        <v>Worst</v>
      </c>
      <c r="I109" s="18">
        <f>_xlfn.XLOOKUP(Assumptions!$B$2,Assumptions!$F$4:$H$4,Assumptions!$F$5:$H$5)</f>
        <v>1200</v>
      </c>
      <c r="J109" s="18">
        <f>_xlfn.XLOOKUP(Assumptions!$B$2,Assumptions!$F$4:$H$4,Assumptions!$F$6:$H$6)</f>
        <v>17</v>
      </c>
      <c r="K109" s="12">
        <f>_xlfn.XLOOKUP(Assumptions!$B$2,Assumptions!$F$4:$H$4,Assumptions!$F$8:$H$8)</f>
        <v>0.1</v>
      </c>
      <c r="L109" s="12">
        <f>_xlfn.XLOOKUP(Assumptions!$B$2,Assumptions!$F$4:$H$4,Assumptions!$F$9:$H$9)</f>
        <v>0.18</v>
      </c>
      <c r="M109" s="18">
        <f>_xlfn.XLOOKUP(Assumptions!$B$2,Assumptions!$F$4:$H$4,Assumptions!$F$10:$H$10)</f>
        <v>18000</v>
      </c>
      <c r="N109" s="12">
        <f>_xlfn.XLOOKUP(Assumptions!$B$2,Assumptions!$F$4:$H$4,Assumptions!$F$11:$H$11)</f>
        <v>0.3</v>
      </c>
      <c r="O109" s="14">
        <f>Final_Table[[#This Row],[Units Sold]]*Final_Table[[#This Row],[Sale Price]]</f>
        <v>20400</v>
      </c>
      <c r="P109" s="14">
        <f>Final_Table[[#This Row],[Gross Revenue]]*(1-Final_Table[[#This Row],[Discount %]])</f>
        <v>18360</v>
      </c>
      <c r="Q109">
        <f>Final_Table[[#This Row],[Net Revenue]]*Final_Table[[#This Row],[Variable Cost %]]</f>
        <v>3304.7999999999997</v>
      </c>
      <c r="R109">
        <f>Final_Table[[#This Row],[Variable Cost]]+Final_Table[[#This Row],[Fixed Monthly Cost]]</f>
        <v>21304.799999999999</v>
      </c>
      <c r="S109" s="5">
        <f>Final_Table[[#This Row],[Net Revenue]]-Final_Table[[#This Row],[Total Cost (COGS)]]</f>
        <v>-2944.7999999999993</v>
      </c>
      <c r="T109">
        <f>Final_Table[[#This Row],[Gross Profit]]*Final_Table[[#This Row],[Tax Rate]]</f>
        <v>-883.43999999999971</v>
      </c>
      <c r="U109" s="5">
        <f>Final_Table[[#This Row],[Gross Profit]]-Final_Table[[#This Row],[Tax]]</f>
        <v>-2061.3599999999997</v>
      </c>
      <c r="V109" s="12">
        <f>Final_Table[[#This Row],[Net Profit]]/Final_Table[[#This Row],[Gross Revenue]]</f>
        <v>-0.10104705882352939</v>
      </c>
    </row>
    <row r="110" spans="1:22">
      <c r="A110" s="18" t="s">
        <v>70</v>
      </c>
      <c r="B110">
        <v>2013</v>
      </c>
      <c r="C110" t="s">
        <v>118</v>
      </c>
      <c r="D110">
        <v>1</v>
      </c>
      <c r="E110" s="18" t="s">
        <v>32</v>
      </c>
      <c r="F110" s="18" t="s">
        <v>108</v>
      </c>
      <c r="G110" s="18" t="s">
        <v>25</v>
      </c>
      <c r="H110" s="18" t="str">
        <f>Assumptions!$B$2</f>
        <v>Worst</v>
      </c>
      <c r="I110" s="18">
        <f>_xlfn.XLOOKUP(Assumptions!$B$2,Assumptions!$F$4:$H$4,Assumptions!$F$5:$H$5)</f>
        <v>1200</v>
      </c>
      <c r="J110" s="18">
        <f>_xlfn.XLOOKUP(Assumptions!$B$2,Assumptions!$F$4:$H$4,Assumptions!$F$6:$H$6)</f>
        <v>17</v>
      </c>
      <c r="K110" s="12">
        <f>_xlfn.XLOOKUP(Assumptions!$B$2,Assumptions!$F$4:$H$4,Assumptions!$F$8:$H$8)</f>
        <v>0.1</v>
      </c>
      <c r="L110" s="12">
        <f>_xlfn.XLOOKUP(Assumptions!$B$2,Assumptions!$F$4:$H$4,Assumptions!$F$9:$H$9)</f>
        <v>0.18</v>
      </c>
      <c r="M110" s="18">
        <f>_xlfn.XLOOKUP(Assumptions!$B$2,Assumptions!$F$4:$H$4,Assumptions!$F$10:$H$10)</f>
        <v>18000</v>
      </c>
      <c r="N110" s="12">
        <f>_xlfn.XLOOKUP(Assumptions!$B$2,Assumptions!$F$4:$H$4,Assumptions!$F$11:$H$11)</f>
        <v>0.3</v>
      </c>
      <c r="O110" s="14">
        <f>Final_Table[[#This Row],[Units Sold]]*Final_Table[[#This Row],[Sale Price]]</f>
        <v>20400</v>
      </c>
      <c r="P110" s="14">
        <f>Final_Table[[#This Row],[Gross Revenue]]*(1-Final_Table[[#This Row],[Discount %]])</f>
        <v>18360</v>
      </c>
      <c r="Q110">
        <f>Final_Table[[#This Row],[Net Revenue]]*Final_Table[[#This Row],[Variable Cost %]]</f>
        <v>3304.7999999999997</v>
      </c>
      <c r="R110">
        <f>Final_Table[[#This Row],[Variable Cost]]+Final_Table[[#This Row],[Fixed Monthly Cost]]</f>
        <v>21304.799999999999</v>
      </c>
      <c r="S110" s="5">
        <f>Final_Table[[#This Row],[Net Revenue]]-Final_Table[[#This Row],[Total Cost (COGS)]]</f>
        <v>-2944.7999999999993</v>
      </c>
      <c r="T110">
        <f>Final_Table[[#This Row],[Gross Profit]]*Final_Table[[#This Row],[Tax Rate]]</f>
        <v>-883.43999999999971</v>
      </c>
      <c r="U110" s="5">
        <f>Final_Table[[#This Row],[Gross Profit]]-Final_Table[[#This Row],[Tax]]</f>
        <v>-2061.3599999999997</v>
      </c>
      <c r="V110" s="12">
        <f>Final_Table[[#This Row],[Net Profit]]/Final_Table[[#This Row],[Gross Revenue]]</f>
        <v>-0.10104705882352939</v>
      </c>
    </row>
    <row r="111" spans="1:22">
      <c r="A111" s="18" t="s">
        <v>70</v>
      </c>
      <c r="B111">
        <v>2013</v>
      </c>
      <c r="C111" t="s">
        <v>118</v>
      </c>
      <c r="D111">
        <v>1</v>
      </c>
      <c r="E111" s="18" t="s">
        <v>32</v>
      </c>
      <c r="F111" s="18" t="s">
        <v>108</v>
      </c>
      <c r="G111" s="18" t="s">
        <v>17</v>
      </c>
      <c r="H111" s="18" t="str">
        <f>Assumptions!$B$2</f>
        <v>Worst</v>
      </c>
      <c r="I111" s="18">
        <f>_xlfn.XLOOKUP(Assumptions!$B$2,Assumptions!$F$4:$H$4,Assumptions!$F$5:$H$5)</f>
        <v>1200</v>
      </c>
      <c r="J111" s="18">
        <f>_xlfn.XLOOKUP(Assumptions!$B$2,Assumptions!$F$4:$H$4,Assumptions!$F$6:$H$6)</f>
        <v>17</v>
      </c>
      <c r="K111" s="12">
        <f>_xlfn.XLOOKUP(Assumptions!$B$2,Assumptions!$F$4:$H$4,Assumptions!$F$8:$H$8)</f>
        <v>0.1</v>
      </c>
      <c r="L111" s="12">
        <f>_xlfn.XLOOKUP(Assumptions!$B$2,Assumptions!$F$4:$H$4,Assumptions!$F$9:$H$9)</f>
        <v>0.18</v>
      </c>
      <c r="M111" s="18">
        <f>_xlfn.XLOOKUP(Assumptions!$B$2,Assumptions!$F$4:$H$4,Assumptions!$F$10:$H$10)</f>
        <v>18000</v>
      </c>
      <c r="N111" s="12">
        <f>_xlfn.XLOOKUP(Assumptions!$B$2,Assumptions!$F$4:$H$4,Assumptions!$F$11:$H$11)</f>
        <v>0.3</v>
      </c>
      <c r="O111" s="14">
        <f>Final_Table[[#This Row],[Units Sold]]*Final_Table[[#This Row],[Sale Price]]</f>
        <v>20400</v>
      </c>
      <c r="P111" s="14">
        <f>Final_Table[[#This Row],[Gross Revenue]]*(1-Final_Table[[#This Row],[Discount %]])</f>
        <v>18360</v>
      </c>
      <c r="Q111">
        <f>Final_Table[[#This Row],[Net Revenue]]*Final_Table[[#This Row],[Variable Cost %]]</f>
        <v>3304.7999999999997</v>
      </c>
      <c r="R111">
        <f>Final_Table[[#This Row],[Variable Cost]]+Final_Table[[#This Row],[Fixed Monthly Cost]]</f>
        <v>21304.799999999999</v>
      </c>
      <c r="S111" s="5">
        <f>Final_Table[[#This Row],[Net Revenue]]-Final_Table[[#This Row],[Total Cost (COGS)]]</f>
        <v>-2944.7999999999993</v>
      </c>
      <c r="T111">
        <f>Final_Table[[#This Row],[Gross Profit]]*Final_Table[[#This Row],[Tax Rate]]</f>
        <v>-883.43999999999971</v>
      </c>
      <c r="U111" s="5">
        <f>Final_Table[[#This Row],[Gross Profit]]-Final_Table[[#This Row],[Tax]]</f>
        <v>-2061.3599999999997</v>
      </c>
      <c r="V111" s="12">
        <f>Final_Table[[#This Row],[Net Profit]]/Final_Table[[#This Row],[Gross Revenue]]</f>
        <v>-0.10104705882352939</v>
      </c>
    </row>
    <row r="112" spans="1:22">
      <c r="A112" s="18" t="s">
        <v>70</v>
      </c>
      <c r="B112">
        <v>2013</v>
      </c>
      <c r="C112" t="s">
        <v>118</v>
      </c>
      <c r="D112">
        <v>1</v>
      </c>
      <c r="E112" s="18" t="s">
        <v>32</v>
      </c>
      <c r="F112" s="18" t="s">
        <v>112</v>
      </c>
      <c r="G112" s="18" t="s">
        <v>36</v>
      </c>
      <c r="H112" s="18" t="str">
        <f>Assumptions!$B$2</f>
        <v>Worst</v>
      </c>
      <c r="I112" s="18">
        <f>_xlfn.XLOOKUP(Assumptions!$B$2,Assumptions!$F$4:$H$4,Assumptions!$F$5:$H$5)</f>
        <v>1200</v>
      </c>
      <c r="J112" s="18">
        <f>_xlfn.XLOOKUP(Assumptions!$B$2,Assumptions!$F$4:$H$4,Assumptions!$F$6:$H$6)</f>
        <v>17</v>
      </c>
      <c r="K112" s="12">
        <f>_xlfn.XLOOKUP(Assumptions!$B$2,Assumptions!$F$4:$H$4,Assumptions!$F$8:$H$8)</f>
        <v>0.1</v>
      </c>
      <c r="L112" s="12">
        <f>_xlfn.XLOOKUP(Assumptions!$B$2,Assumptions!$F$4:$H$4,Assumptions!$F$9:$H$9)</f>
        <v>0.18</v>
      </c>
      <c r="M112" s="18">
        <f>_xlfn.XLOOKUP(Assumptions!$B$2,Assumptions!$F$4:$H$4,Assumptions!$F$10:$H$10)</f>
        <v>18000</v>
      </c>
      <c r="N112" s="12">
        <f>_xlfn.XLOOKUP(Assumptions!$B$2,Assumptions!$F$4:$H$4,Assumptions!$F$11:$H$11)</f>
        <v>0.3</v>
      </c>
      <c r="O112" s="14">
        <f>Final_Table[[#This Row],[Units Sold]]*Final_Table[[#This Row],[Sale Price]]</f>
        <v>20400</v>
      </c>
      <c r="P112" s="14">
        <f>Final_Table[[#This Row],[Gross Revenue]]*(1-Final_Table[[#This Row],[Discount %]])</f>
        <v>18360</v>
      </c>
      <c r="Q112">
        <f>Final_Table[[#This Row],[Net Revenue]]*Final_Table[[#This Row],[Variable Cost %]]</f>
        <v>3304.7999999999997</v>
      </c>
      <c r="R112">
        <f>Final_Table[[#This Row],[Variable Cost]]+Final_Table[[#This Row],[Fixed Monthly Cost]]</f>
        <v>21304.799999999999</v>
      </c>
      <c r="S112" s="5">
        <f>Final_Table[[#This Row],[Net Revenue]]-Final_Table[[#This Row],[Total Cost (COGS)]]</f>
        <v>-2944.7999999999993</v>
      </c>
      <c r="T112">
        <f>Final_Table[[#This Row],[Gross Profit]]*Final_Table[[#This Row],[Tax Rate]]</f>
        <v>-883.43999999999971</v>
      </c>
      <c r="U112" s="5">
        <f>Final_Table[[#This Row],[Gross Profit]]-Final_Table[[#This Row],[Tax]]</f>
        <v>-2061.3599999999997</v>
      </c>
      <c r="V112" s="12">
        <f>Final_Table[[#This Row],[Net Profit]]/Final_Table[[#This Row],[Gross Revenue]]</f>
        <v>-0.10104705882352939</v>
      </c>
    </row>
    <row r="113" spans="1:22">
      <c r="A113" s="18" t="s">
        <v>70</v>
      </c>
      <c r="B113">
        <v>2013</v>
      </c>
      <c r="C113" t="s">
        <v>118</v>
      </c>
      <c r="D113">
        <v>1</v>
      </c>
      <c r="E113" s="18" t="s">
        <v>32</v>
      </c>
      <c r="F113" s="18" t="s">
        <v>112</v>
      </c>
      <c r="G113" s="18" t="s">
        <v>23</v>
      </c>
      <c r="H113" s="18" t="str">
        <f>Assumptions!$B$2</f>
        <v>Worst</v>
      </c>
      <c r="I113" s="18">
        <f>_xlfn.XLOOKUP(Assumptions!$B$2,Assumptions!$F$4:$H$4,Assumptions!$F$5:$H$5)</f>
        <v>1200</v>
      </c>
      <c r="J113" s="18">
        <f>_xlfn.XLOOKUP(Assumptions!$B$2,Assumptions!$F$4:$H$4,Assumptions!$F$6:$H$6)</f>
        <v>17</v>
      </c>
      <c r="K113" s="12">
        <f>_xlfn.XLOOKUP(Assumptions!$B$2,Assumptions!$F$4:$H$4,Assumptions!$F$8:$H$8)</f>
        <v>0.1</v>
      </c>
      <c r="L113" s="12">
        <f>_xlfn.XLOOKUP(Assumptions!$B$2,Assumptions!$F$4:$H$4,Assumptions!$F$9:$H$9)</f>
        <v>0.18</v>
      </c>
      <c r="M113" s="18">
        <f>_xlfn.XLOOKUP(Assumptions!$B$2,Assumptions!$F$4:$H$4,Assumptions!$F$10:$H$10)</f>
        <v>18000</v>
      </c>
      <c r="N113" s="12">
        <f>_xlfn.XLOOKUP(Assumptions!$B$2,Assumptions!$F$4:$H$4,Assumptions!$F$11:$H$11)</f>
        <v>0.3</v>
      </c>
      <c r="O113" s="14">
        <f>Final_Table[[#This Row],[Units Sold]]*Final_Table[[#This Row],[Sale Price]]</f>
        <v>20400</v>
      </c>
      <c r="P113" s="14">
        <f>Final_Table[[#This Row],[Gross Revenue]]*(1-Final_Table[[#This Row],[Discount %]])</f>
        <v>18360</v>
      </c>
      <c r="Q113">
        <f>Final_Table[[#This Row],[Net Revenue]]*Final_Table[[#This Row],[Variable Cost %]]</f>
        <v>3304.7999999999997</v>
      </c>
      <c r="R113">
        <f>Final_Table[[#This Row],[Variable Cost]]+Final_Table[[#This Row],[Fixed Monthly Cost]]</f>
        <v>21304.799999999999</v>
      </c>
      <c r="S113" s="5">
        <f>Final_Table[[#This Row],[Net Revenue]]-Final_Table[[#This Row],[Total Cost (COGS)]]</f>
        <v>-2944.7999999999993</v>
      </c>
      <c r="T113">
        <f>Final_Table[[#This Row],[Gross Profit]]*Final_Table[[#This Row],[Tax Rate]]</f>
        <v>-883.43999999999971</v>
      </c>
      <c r="U113" s="5">
        <f>Final_Table[[#This Row],[Gross Profit]]-Final_Table[[#This Row],[Tax]]</f>
        <v>-2061.3599999999997</v>
      </c>
      <c r="V113" s="12">
        <f>Final_Table[[#This Row],[Net Profit]]/Final_Table[[#This Row],[Gross Revenue]]</f>
        <v>-0.10104705882352939</v>
      </c>
    </row>
    <row r="114" spans="1:22">
      <c r="A114" s="18" t="s">
        <v>70</v>
      </c>
      <c r="B114">
        <v>2013</v>
      </c>
      <c r="C114" t="s">
        <v>118</v>
      </c>
      <c r="D114">
        <v>1</v>
      </c>
      <c r="E114" s="18" t="s">
        <v>32</v>
      </c>
      <c r="F114" s="18" t="s">
        <v>112</v>
      </c>
      <c r="G114" s="18" t="s">
        <v>21</v>
      </c>
      <c r="H114" s="18" t="str">
        <f>Assumptions!$B$2</f>
        <v>Worst</v>
      </c>
      <c r="I114" s="18">
        <f>_xlfn.XLOOKUP(Assumptions!$B$2,Assumptions!$F$4:$H$4,Assumptions!$F$5:$H$5)</f>
        <v>1200</v>
      </c>
      <c r="J114" s="18">
        <f>_xlfn.XLOOKUP(Assumptions!$B$2,Assumptions!$F$4:$H$4,Assumptions!$F$6:$H$6)</f>
        <v>17</v>
      </c>
      <c r="K114" s="12">
        <f>_xlfn.XLOOKUP(Assumptions!$B$2,Assumptions!$F$4:$H$4,Assumptions!$F$8:$H$8)</f>
        <v>0.1</v>
      </c>
      <c r="L114" s="12">
        <f>_xlfn.XLOOKUP(Assumptions!$B$2,Assumptions!$F$4:$H$4,Assumptions!$F$9:$H$9)</f>
        <v>0.18</v>
      </c>
      <c r="M114" s="18">
        <f>_xlfn.XLOOKUP(Assumptions!$B$2,Assumptions!$F$4:$H$4,Assumptions!$F$10:$H$10)</f>
        <v>18000</v>
      </c>
      <c r="N114" s="12">
        <f>_xlfn.XLOOKUP(Assumptions!$B$2,Assumptions!$F$4:$H$4,Assumptions!$F$11:$H$11)</f>
        <v>0.3</v>
      </c>
      <c r="O114" s="14">
        <f>Final_Table[[#This Row],[Units Sold]]*Final_Table[[#This Row],[Sale Price]]</f>
        <v>20400</v>
      </c>
      <c r="P114" s="14">
        <f>Final_Table[[#This Row],[Gross Revenue]]*(1-Final_Table[[#This Row],[Discount %]])</f>
        <v>18360</v>
      </c>
      <c r="Q114">
        <f>Final_Table[[#This Row],[Net Revenue]]*Final_Table[[#This Row],[Variable Cost %]]</f>
        <v>3304.7999999999997</v>
      </c>
      <c r="R114">
        <f>Final_Table[[#This Row],[Variable Cost]]+Final_Table[[#This Row],[Fixed Monthly Cost]]</f>
        <v>21304.799999999999</v>
      </c>
      <c r="S114" s="5">
        <f>Final_Table[[#This Row],[Net Revenue]]-Final_Table[[#This Row],[Total Cost (COGS)]]</f>
        <v>-2944.7999999999993</v>
      </c>
      <c r="T114">
        <f>Final_Table[[#This Row],[Gross Profit]]*Final_Table[[#This Row],[Tax Rate]]</f>
        <v>-883.43999999999971</v>
      </c>
      <c r="U114" s="5">
        <f>Final_Table[[#This Row],[Gross Profit]]-Final_Table[[#This Row],[Tax]]</f>
        <v>-2061.3599999999997</v>
      </c>
      <c r="V114" s="12">
        <f>Final_Table[[#This Row],[Net Profit]]/Final_Table[[#This Row],[Gross Revenue]]</f>
        <v>-0.10104705882352939</v>
      </c>
    </row>
    <row r="115" spans="1:22">
      <c r="A115" s="18" t="s">
        <v>70</v>
      </c>
      <c r="B115">
        <v>2013</v>
      </c>
      <c r="C115" t="s">
        <v>118</v>
      </c>
      <c r="D115">
        <v>1</v>
      </c>
      <c r="E115" s="18" t="s">
        <v>32</v>
      </c>
      <c r="F115" s="18" t="s">
        <v>112</v>
      </c>
      <c r="G115" s="18" t="s">
        <v>25</v>
      </c>
      <c r="H115" s="18" t="str">
        <f>Assumptions!$B$2</f>
        <v>Worst</v>
      </c>
      <c r="I115" s="18">
        <f>_xlfn.XLOOKUP(Assumptions!$B$2,Assumptions!$F$4:$H$4,Assumptions!$F$5:$H$5)</f>
        <v>1200</v>
      </c>
      <c r="J115" s="18">
        <f>_xlfn.XLOOKUP(Assumptions!$B$2,Assumptions!$F$4:$H$4,Assumptions!$F$6:$H$6)</f>
        <v>17</v>
      </c>
      <c r="K115" s="12">
        <f>_xlfn.XLOOKUP(Assumptions!$B$2,Assumptions!$F$4:$H$4,Assumptions!$F$8:$H$8)</f>
        <v>0.1</v>
      </c>
      <c r="L115" s="12">
        <f>_xlfn.XLOOKUP(Assumptions!$B$2,Assumptions!$F$4:$H$4,Assumptions!$F$9:$H$9)</f>
        <v>0.18</v>
      </c>
      <c r="M115" s="18">
        <f>_xlfn.XLOOKUP(Assumptions!$B$2,Assumptions!$F$4:$H$4,Assumptions!$F$10:$H$10)</f>
        <v>18000</v>
      </c>
      <c r="N115" s="12">
        <f>_xlfn.XLOOKUP(Assumptions!$B$2,Assumptions!$F$4:$H$4,Assumptions!$F$11:$H$11)</f>
        <v>0.3</v>
      </c>
      <c r="O115" s="14">
        <f>Final_Table[[#This Row],[Units Sold]]*Final_Table[[#This Row],[Sale Price]]</f>
        <v>20400</v>
      </c>
      <c r="P115" s="14">
        <f>Final_Table[[#This Row],[Gross Revenue]]*(1-Final_Table[[#This Row],[Discount %]])</f>
        <v>18360</v>
      </c>
      <c r="Q115">
        <f>Final_Table[[#This Row],[Net Revenue]]*Final_Table[[#This Row],[Variable Cost %]]</f>
        <v>3304.7999999999997</v>
      </c>
      <c r="R115">
        <f>Final_Table[[#This Row],[Variable Cost]]+Final_Table[[#This Row],[Fixed Monthly Cost]]</f>
        <v>21304.799999999999</v>
      </c>
      <c r="S115" s="5">
        <f>Final_Table[[#This Row],[Net Revenue]]-Final_Table[[#This Row],[Total Cost (COGS)]]</f>
        <v>-2944.7999999999993</v>
      </c>
      <c r="T115">
        <f>Final_Table[[#This Row],[Gross Profit]]*Final_Table[[#This Row],[Tax Rate]]</f>
        <v>-883.43999999999971</v>
      </c>
      <c r="U115" s="5">
        <f>Final_Table[[#This Row],[Gross Profit]]-Final_Table[[#This Row],[Tax]]</f>
        <v>-2061.3599999999997</v>
      </c>
      <c r="V115" s="12">
        <f>Final_Table[[#This Row],[Net Profit]]/Final_Table[[#This Row],[Gross Revenue]]</f>
        <v>-0.10104705882352939</v>
      </c>
    </row>
    <row r="116" spans="1:22">
      <c r="A116" s="18" t="s">
        <v>70</v>
      </c>
      <c r="B116">
        <v>2013</v>
      </c>
      <c r="C116" t="s">
        <v>118</v>
      </c>
      <c r="D116">
        <v>1</v>
      </c>
      <c r="E116" s="18" t="s">
        <v>32</v>
      </c>
      <c r="F116" s="18" t="s">
        <v>112</v>
      </c>
      <c r="G116" s="18" t="s">
        <v>17</v>
      </c>
      <c r="H116" s="18" t="str">
        <f>Assumptions!$B$2</f>
        <v>Worst</v>
      </c>
      <c r="I116" s="18">
        <f>_xlfn.XLOOKUP(Assumptions!$B$2,Assumptions!$F$4:$H$4,Assumptions!$F$5:$H$5)</f>
        <v>1200</v>
      </c>
      <c r="J116" s="18">
        <f>_xlfn.XLOOKUP(Assumptions!$B$2,Assumptions!$F$4:$H$4,Assumptions!$F$6:$H$6)</f>
        <v>17</v>
      </c>
      <c r="K116" s="12">
        <f>_xlfn.XLOOKUP(Assumptions!$B$2,Assumptions!$F$4:$H$4,Assumptions!$F$8:$H$8)</f>
        <v>0.1</v>
      </c>
      <c r="L116" s="12">
        <f>_xlfn.XLOOKUP(Assumptions!$B$2,Assumptions!$F$4:$H$4,Assumptions!$F$9:$H$9)</f>
        <v>0.18</v>
      </c>
      <c r="M116" s="18">
        <f>_xlfn.XLOOKUP(Assumptions!$B$2,Assumptions!$F$4:$H$4,Assumptions!$F$10:$H$10)</f>
        <v>18000</v>
      </c>
      <c r="N116" s="12">
        <f>_xlfn.XLOOKUP(Assumptions!$B$2,Assumptions!$F$4:$H$4,Assumptions!$F$11:$H$11)</f>
        <v>0.3</v>
      </c>
      <c r="O116" s="14">
        <f>Final_Table[[#This Row],[Units Sold]]*Final_Table[[#This Row],[Sale Price]]</f>
        <v>20400</v>
      </c>
      <c r="P116" s="14">
        <f>Final_Table[[#This Row],[Gross Revenue]]*(1-Final_Table[[#This Row],[Discount %]])</f>
        <v>18360</v>
      </c>
      <c r="Q116">
        <f>Final_Table[[#This Row],[Net Revenue]]*Final_Table[[#This Row],[Variable Cost %]]</f>
        <v>3304.7999999999997</v>
      </c>
      <c r="R116">
        <f>Final_Table[[#This Row],[Variable Cost]]+Final_Table[[#This Row],[Fixed Monthly Cost]]</f>
        <v>21304.799999999999</v>
      </c>
      <c r="S116" s="5">
        <f>Final_Table[[#This Row],[Net Revenue]]-Final_Table[[#This Row],[Total Cost (COGS)]]</f>
        <v>-2944.7999999999993</v>
      </c>
      <c r="T116">
        <f>Final_Table[[#This Row],[Gross Profit]]*Final_Table[[#This Row],[Tax Rate]]</f>
        <v>-883.43999999999971</v>
      </c>
      <c r="U116" s="5">
        <f>Final_Table[[#This Row],[Gross Profit]]-Final_Table[[#This Row],[Tax]]</f>
        <v>-2061.3599999999997</v>
      </c>
      <c r="V116" s="12">
        <f>Final_Table[[#This Row],[Net Profit]]/Final_Table[[#This Row],[Gross Revenue]]</f>
        <v>-0.10104705882352939</v>
      </c>
    </row>
    <row r="117" spans="1:22">
      <c r="A117" s="18" t="s">
        <v>70</v>
      </c>
      <c r="B117">
        <v>2013</v>
      </c>
      <c r="C117" t="s">
        <v>118</v>
      </c>
      <c r="D117">
        <v>1</v>
      </c>
      <c r="E117" s="18" t="s">
        <v>32</v>
      </c>
      <c r="F117" s="18" t="s">
        <v>113</v>
      </c>
      <c r="G117" s="18" t="s">
        <v>36</v>
      </c>
      <c r="H117" s="18" t="str">
        <f>Assumptions!$B$2</f>
        <v>Worst</v>
      </c>
      <c r="I117" s="18">
        <f>_xlfn.XLOOKUP(Assumptions!$B$2,Assumptions!$F$4:$H$4,Assumptions!$F$5:$H$5)</f>
        <v>1200</v>
      </c>
      <c r="J117" s="18">
        <f>_xlfn.XLOOKUP(Assumptions!$B$2,Assumptions!$F$4:$H$4,Assumptions!$F$6:$H$6)</f>
        <v>17</v>
      </c>
      <c r="K117" s="12">
        <f>_xlfn.XLOOKUP(Assumptions!$B$2,Assumptions!$F$4:$H$4,Assumptions!$F$8:$H$8)</f>
        <v>0.1</v>
      </c>
      <c r="L117" s="12">
        <f>_xlfn.XLOOKUP(Assumptions!$B$2,Assumptions!$F$4:$H$4,Assumptions!$F$9:$H$9)</f>
        <v>0.18</v>
      </c>
      <c r="M117" s="18">
        <f>_xlfn.XLOOKUP(Assumptions!$B$2,Assumptions!$F$4:$H$4,Assumptions!$F$10:$H$10)</f>
        <v>18000</v>
      </c>
      <c r="N117" s="12">
        <f>_xlfn.XLOOKUP(Assumptions!$B$2,Assumptions!$F$4:$H$4,Assumptions!$F$11:$H$11)</f>
        <v>0.3</v>
      </c>
      <c r="O117" s="14">
        <f>Final_Table[[#This Row],[Units Sold]]*Final_Table[[#This Row],[Sale Price]]</f>
        <v>20400</v>
      </c>
      <c r="P117" s="14">
        <f>Final_Table[[#This Row],[Gross Revenue]]*(1-Final_Table[[#This Row],[Discount %]])</f>
        <v>18360</v>
      </c>
      <c r="Q117">
        <f>Final_Table[[#This Row],[Net Revenue]]*Final_Table[[#This Row],[Variable Cost %]]</f>
        <v>3304.7999999999997</v>
      </c>
      <c r="R117">
        <f>Final_Table[[#This Row],[Variable Cost]]+Final_Table[[#This Row],[Fixed Monthly Cost]]</f>
        <v>21304.799999999999</v>
      </c>
      <c r="S117" s="5">
        <f>Final_Table[[#This Row],[Net Revenue]]-Final_Table[[#This Row],[Total Cost (COGS)]]</f>
        <v>-2944.7999999999993</v>
      </c>
      <c r="T117">
        <f>Final_Table[[#This Row],[Gross Profit]]*Final_Table[[#This Row],[Tax Rate]]</f>
        <v>-883.43999999999971</v>
      </c>
      <c r="U117" s="5">
        <f>Final_Table[[#This Row],[Gross Profit]]-Final_Table[[#This Row],[Tax]]</f>
        <v>-2061.3599999999997</v>
      </c>
      <c r="V117" s="12">
        <f>Final_Table[[#This Row],[Net Profit]]/Final_Table[[#This Row],[Gross Revenue]]</f>
        <v>-0.10104705882352939</v>
      </c>
    </row>
    <row r="118" spans="1:22">
      <c r="A118" s="18" t="s">
        <v>70</v>
      </c>
      <c r="B118">
        <v>2013</v>
      </c>
      <c r="C118" t="s">
        <v>118</v>
      </c>
      <c r="D118">
        <v>1</v>
      </c>
      <c r="E118" s="18" t="s">
        <v>32</v>
      </c>
      <c r="F118" s="18" t="s">
        <v>113</v>
      </c>
      <c r="G118" s="18" t="s">
        <v>23</v>
      </c>
      <c r="H118" s="18" t="str">
        <f>Assumptions!$B$2</f>
        <v>Worst</v>
      </c>
      <c r="I118" s="18">
        <f>_xlfn.XLOOKUP(Assumptions!$B$2,Assumptions!$F$4:$H$4,Assumptions!$F$5:$H$5)</f>
        <v>1200</v>
      </c>
      <c r="J118" s="18">
        <f>_xlfn.XLOOKUP(Assumptions!$B$2,Assumptions!$F$4:$H$4,Assumptions!$F$6:$H$6)</f>
        <v>17</v>
      </c>
      <c r="K118" s="12">
        <f>_xlfn.XLOOKUP(Assumptions!$B$2,Assumptions!$F$4:$H$4,Assumptions!$F$8:$H$8)</f>
        <v>0.1</v>
      </c>
      <c r="L118" s="12">
        <f>_xlfn.XLOOKUP(Assumptions!$B$2,Assumptions!$F$4:$H$4,Assumptions!$F$9:$H$9)</f>
        <v>0.18</v>
      </c>
      <c r="M118" s="18">
        <f>_xlfn.XLOOKUP(Assumptions!$B$2,Assumptions!$F$4:$H$4,Assumptions!$F$10:$H$10)</f>
        <v>18000</v>
      </c>
      <c r="N118" s="12">
        <f>_xlfn.XLOOKUP(Assumptions!$B$2,Assumptions!$F$4:$H$4,Assumptions!$F$11:$H$11)</f>
        <v>0.3</v>
      </c>
      <c r="O118" s="14">
        <f>Final_Table[[#This Row],[Units Sold]]*Final_Table[[#This Row],[Sale Price]]</f>
        <v>20400</v>
      </c>
      <c r="P118" s="14">
        <f>Final_Table[[#This Row],[Gross Revenue]]*(1-Final_Table[[#This Row],[Discount %]])</f>
        <v>18360</v>
      </c>
      <c r="Q118">
        <f>Final_Table[[#This Row],[Net Revenue]]*Final_Table[[#This Row],[Variable Cost %]]</f>
        <v>3304.7999999999997</v>
      </c>
      <c r="R118">
        <f>Final_Table[[#This Row],[Variable Cost]]+Final_Table[[#This Row],[Fixed Monthly Cost]]</f>
        <v>21304.799999999999</v>
      </c>
      <c r="S118" s="5">
        <f>Final_Table[[#This Row],[Net Revenue]]-Final_Table[[#This Row],[Total Cost (COGS)]]</f>
        <v>-2944.7999999999993</v>
      </c>
      <c r="T118">
        <f>Final_Table[[#This Row],[Gross Profit]]*Final_Table[[#This Row],[Tax Rate]]</f>
        <v>-883.43999999999971</v>
      </c>
      <c r="U118" s="5">
        <f>Final_Table[[#This Row],[Gross Profit]]-Final_Table[[#This Row],[Tax]]</f>
        <v>-2061.3599999999997</v>
      </c>
      <c r="V118" s="12">
        <f>Final_Table[[#This Row],[Net Profit]]/Final_Table[[#This Row],[Gross Revenue]]</f>
        <v>-0.10104705882352939</v>
      </c>
    </row>
    <row r="119" spans="1:22">
      <c r="A119" s="18" t="s">
        <v>70</v>
      </c>
      <c r="B119">
        <v>2013</v>
      </c>
      <c r="C119" t="s">
        <v>118</v>
      </c>
      <c r="D119">
        <v>1</v>
      </c>
      <c r="E119" s="18" t="s">
        <v>32</v>
      </c>
      <c r="F119" s="18" t="s">
        <v>113</v>
      </c>
      <c r="G119" s="18" t="s">
        <v>21</v>
      </c>
      <c r="H119" s="18" t="str">
        <f>Assumptions!$B$2</f>
        <v>Worst</v>
      </c>
      <c r="I119" s="18">
        <f>_xlfn.XLOOKUP(Assumptions!$B$2,Assumptions!$F$4:$H$4,Assumptions!$F$5:$H$5)</f>
        <v>1200</v>
      </c>
      <c r="J119" s="18">
        <f>_xlfn.XLOOKUP(Assumptions!$B$2,Assumptions!$F$4:$H$4,Assumptions!$F$6:$H$6)</f>
        <v>17</v>
      </c>
      <c r="K119" s="12">
        <f>_xlfn.XLOOKUP(Assumptions!$B$2,Assumptions!$F$4:$H$4,Assumptions!$F$8:$H$8)</f>
        <v>0.1</v>
      </c>
      <c r="L119" s="12">
        <f>_xlfn.XLOOKUP(Assumptions!$B$2,Assumptions!$F$4:$H$4,Assumptions!$F$9:$H$9)</f>
        <v>0.18</v>
      </c>
      <c r="M119" s="18">
        <f>_xlfn.XLOOKUP(Assumptions!$B$2,Assumptions!$F$4:$H$4,Assumptions!$F$10:$H$10)</f>
        <v>18000</v>
      </c>
      <c r="N119" s="12">
        <f>_xlfn.XLOOKUP(Assumptions!$B$2,Assumptions!$F$4:$H$4,Assumptions!$F$11:$H$11)</f>
        <v>0.3</v>
      </c>
      <c r="O119" s="14">
        <f>Final_Table[[#This Row],[Units Sold]]*Final_Table[[#This Row],[Sale Price]]</f>
        <v>20400</v>
      </c>
      <c r="P119" s="14">
        <f>Final_Table[[#This Row],[Gross Revenue]]*(1-Final_Table[[#This Row],[Discount %]])</f>
        <v>18360</v>
      </c>
      <c r="Q119">
        <f>Final_Table[[#This Row],[Net Revenue]]*Final_Table[[#This Row],[Variable Cost %]]</f>
        <v>3304.7999999999997</v>
      </c>
      <c r="R119">
        <f>Final_Table[[#This Row],[Variable Cost]]+Final_Table[[#This Row],[Fixed Monthly Cost]]</f>
        <v>21304.799999999999</v>
      </c>
      <c r="S119" s="5">
        <f>Final_Table[[#This Row],[Net Revenue]]-Final_Table[[#This Row],[Total Cost (COGS)]]</f>
        <v>-2944.7999999999993</v>
      </c>
      <c r="T119">
        <f>Final_Table[[#This Row],[Gross Profit]]*Final_Table[[#This Row],[Tax Rate]]</f>
        <v>-883.43999999999971</v>
      </c>
      <c r="U119" s="5">
        <f>Final_Table[[#This Row],[Gross Profit]]-Final_Table[[#This Row],[Tax]]</f>
        <v>-2061.3599999999997</v>
      </c>
      <c r="V119" s="12">
        <f>Final_Table[[#This Row],[Net Profit]]/Final_Table[[#This Row],[Gross Revenue]]</f>
        <v>-0.10104705882352939</v>
      </c>
    </row>
    <row r="120" spans="1:22">
      <c r="A120" s="18" t="s">
        <v>70</v>
      </c>
      <c r="B120">
        <v>2013</v>
      </c>
      <c r="C120" t="s">
        <v>118</v>
      </c>
      <c r="D120">
        <v>1</v>
      </c>
      <c r="E120" s="18" t="s">
        <v>32</v>
      </c>
      <c r="F120" s="18" t="s">
        <v>113</v>
      </c>
      <c r="G120" s="18" t="s">
        <v>25</v>
      </c>
      <c r="H120" s="18" t="str">
        <f>Assumptions!$B$2</f>
        <v>Worst</v>
      </c>
      <c r="I120" s="18">
        <f>_xlfn.XLOOKUP(Assumptions!$B$2,Assumptions!$F$4:$H$4,Assumptions!$F$5:$H$5)</f>
        <v>1200</v>
      </c>
      <c r="J120" s="18">
        <f>_xlfn.XLOOKUP(Assumptions!$B$2,Assumptions!$F$4:$H$4,Assumptions!$F$6:$H$6)</f>
        <v>17</v>
      </c>
      <c r="K120" s="12">
        <f>_xlfn.XLOOKUP(Assumptions!$B$2,Assumptions!$F$4:$H$4,Assumptions!$F$8:$H$8)</f>
        <v>0.1</v>
      </c>
      <c r="L120" s="12">
        <f>_xlfn.XLOOKUP(Assumptions!$B$2,Assumptions!$F$4:$H$4,Assumptions!$F$9:$H$9)</f>
        <v>0.18</v>
      </c>
      <c r="M120" s="18">
        <f>_xlfn.XLOOKUP(Assumptions!$B$2,Assumptions!$F$4:$H$4,Assumptions!$F$10:$H$10)</f>
        <v>18000</v>
      </c>
      <c r="N120" s="12">
        <f>_xlfn.XLOOKUP(Assumptions!$B$2,Assumptions!$F$4:$H$4,Assumptions!$F$11:$H$11)</f>
        <v>0.3</v>
      </c>
      <c r="O120" s="14">
        <f>Final_Table[[#This Row],[Units Sold]]*Final_Table[[#This Row],[Sale Price]]</f>
        <v>20400</v>
      </c>
      <c r="P120" s="14">
        <f>Final_Table[[#This Row],[Gross Revenue]]*(1-Final_Table[[#This Row],[Discount %]])</f>
        <v>18360</v>
      </c>
      <c r="Q120">
        <f>Final_Table[[#This Row],[Net Revenue]]*Final_Table[[#This Row],[Variable Cost %]]</f>
        <v>3304.7999999999997</v>
      </c>
      <c r="R120">
        <f>Final_Table[[#This Row],[Variable Cost]]+Final_Table[[#This Row],[Fixed Monthly Cost]]</f>
        <v>21304.799999999999</v>
      </c>
      <c r="S120" s="5">
        <f>Final_Table[[#This Row],[Net Revenue]]-Final_Table[[#This Row],[Total Cost (COGS)]]</f>
        <v>-2944.7999999999993</v>
      </c>
      <c r="T120">
        <f>Final_Table[[#This Row],[Gross Profit]]*Final_Table[[#This Row],[Tax Rate]]</f>
        <v>-883.43999999999971</v>
      </c>
      <c r="U120" s="5">
        <f>Final_Table[[#This Row],[Gross Profit]]-Final_Table[[#This Row],[Tax]]</f>
        <v>-2061.3599999999997</v>
      </c>
      <c r="V120" s="12">
        <f>Final_Table[[#This Row],[Net Profit]]/Final_Table[[#This Row],[Gross Revenue]]</f>
        <v>-0.10104705882352939</v>
      </c>
    </row>
    <row r="121" spans="1:22">
      <c r="A121" s="18" t="s">
        <v>70</v>
      </c>
      <c r="B121">
        <v>2013</v>
      </c>
      <c r="C121" t="s">
        <v>118</v>
      </c>
      <c r="D121">
        <v>1</v>
      </c>
      <c r="E121" s="18" t="s">
        <v>32</v>
      </c>
      <c r="F121" s="18" t="s">
        <v>113</v>
      </c>
      <c r="G121" s="18" t="s">
        <v>17</v>
      </c>
      <c r="H121" s="18" t="str">
        <f>Assumptions!$B$2</f>
        <v>Worst</v>
      </c>
      <c r="I121" s="18">
        <f>_xlfn.XLOOKUP(Assumptions!$B$2,Assumptions!$F$4:$H$4,Assumptions!$F$5:$H$5)</f>
        <v>1200</v>
      </c>
      <c r="J121" s="18">
        <f>_xlfn.XLOOKUP(Assumptions!$B$2,Assumptions!$F$4:$H$4,Assumptions!$F$6:$H$6)</f>
        <v>17</v>
      </c>
      <c r="K121" s="12">
        <f>_xlfn.XLOOKUP(Assumptions!$B$2,Assumptions!$F$4:$H$4,Assumptions!$F$8:$H$8)</f>
        <v>0.1</v>
      </c>
      <c r="L121" s="12">
        <f>_xlfn.XLOOKUP(Assumptions!$B$2,Assumptions!$F$4:$H$4,Assumptions!$F$9:$H$9)</f>
        <v>0.18</v>
      </c>
      <c r="M121" s="18">
        <f>_xlfn.XLOOKUP(Assumptions!$B$2,Assumptions!$F$4:$H$4,Assumptions!$F$10:$H$10)</f>
        <v>18000</v>
      </c>
      <c r="N121" s="12">
        <f>_xlfn.XLOOKUP(Assumptions!$B$2,Assumptions!$F$4:$H$4,Assumptions!$F$11:$H$11)</f>
        <v>0.3</v>
      </c>
      <c r="O121" s="14">
        <f>Final_Table[[#This Row],[Units Sold]]*Final_Table[[#This Row],[Sale Price]]</f>
        <v>20400</v>
      </c>
      <c r="P121" s="14">
        <f>Final_Table[[#This Row],[Gross Revenue]]*(1-Final_Table[[#This Row],[Discount %]])</f>
        <v>18360</v>
      </c>
      <c r="Q121">
        <f>Final_Table[[#This Row],[Net Revenue]]*Final_Table[[#This Row],[Variable Cost %]]</f>
        <v>3304.7999999999997</v>
      </c>
      <c r="R121">
        <f>Final_Table[[#This Row],[Variable Cost]]+Final_Table[[#This Row],[Fixed Monthly Cost]]</f>
        <v>21304.799999999999</v>
      </c>
      <c r="S121" s="5">
        <f>Final_Table[[#This Row],[Net Revenue]]-Final_Table[[#This Row],[Total Cost (COGS)]]</f>
        <v>-2944.7999999999993</v>
      </c>
      <c r="T121">
        <f>Final_Table[[#This Row],[Gross Profit]]*Final_Table[[#This Row],[Tax Rate]]</f>
        <v>-883.43999999999971</v>
      </c>
      <c r="U121" s="5">
        <f>Final_Table[[#This Row],[Gross Profit]]-Final_Table[[#This Row],[Tax]]</f>
        <v>-2061.3599999999997</v>
      </c>
      <c r="V121" s="12">
        <f>Final_Table[[#This Row],[Net Profit]]/Final_Table[[#This Row],[Gross Revenue]]</f>
        <v>-0.10104705882352939</v>
      </c>
    </row>
    <row r="122" spans="1:22">
      <c r="A122" s="18" t="s">
        <v>70</v>
      </c>
      <c r="B122">
        <v>2013</v>
      </c>
      <c r="C122" t="s">
        <v>118</v>
      </c>
      <c r="D122">
        <v>1</v>
      </c>
      <c r="E122" s="18" t="s">
        <v>32</v>
      </c>
      <c r="F122" s="18" t="s">
        <v>114</v>
      </c>
      <c r="G122" s="18" t="s">
        <v>36</v>
      </c>
      <c r="H122" s="18" t="str">
        <f>Assumptions!$B$2</f>
        <v>Worst</v>
      </c>
      <c r="I122" s="18">
        <f>_xlfn.XLOOKUP(Assumptions!$B$2,Assumptions!$F$4:$H$4,Assumptions!$F$5:$H$5)</f>
        <v>1200</v>
      </c>
      <c r="J122" s="18">
        <f>_xlfn.XLOOKUP(Assumptions!$B$2,Assumptions!$F$4:$H$4,Assumptions!$F$6:$H$6)</f>
        <v>17</v>
      </c>
      <c r="K122" s="12">
        <f>_xlfn.XLOOKUP(Assumptions!$B$2,Assumptions!$F$4:$H$4,Assumptions!$F$8:$H$8)</f>
        <v>0.1</v>
      </c>
      <c r="L122" s="12">
        <f>_xlfn.XLOOKUP(Assumptions!$B$2,Assumptions!$F$4:$H$4,Assumptions!$F$9:$H$9)</f>
        <v>0.18</v>
      </c>
      <c r="M122" s="18">
        <f>_xlfn.XLOOKUP(Assumptions!$B$2,Assumptions!$F$4:$H$4,Assumptions!$F$10:$H$10)</f>
        <v>18000</v>
      </c>
      <c r="N122" s="12">
        <f>_xlfn.XLOOKUP(Assumptions!$B$2,Assumptions!$F$4:$H$4,Assumptions!$F$11:$H$11)</f>
        <v>0.3</v>
      </c>
      <c r="O122" s="14">
        <f>Final_Table[[#This Row],[Units Sold]]*Final_Table[[#This Row],[Sale Price]]</f>
        <v>20400</v>
      </c>
      <c r="P122" s="14">
        <f>Final_Table[[#This Row],[Gross Revenue]]*(1-Final_Table[[#This Row],[Discount %]])</f>
        <v>18360</v>
      </c>
      <c r="Q122">
        <f>Final_Table[[#This Row],[Net Revenue]]*Final_Table[[#This Row],[Variable Cost %]]</f>
        <v>3304.7999999999997</v>
      </c>
      <c r="R122">
        <f>Final_Table[[#This Row],[Variable Cost]]+Final_Table[[#This Row],[Fixed Monthly Cost]]</f>
        <v>21304.799999999999</v>
      </c>
      <c r="S122" s="5">
        <f>Final_Table[[#This Row],[Net Revenue]]-Final_Table[[#This Row],[Total Cost (COGS)]]</f>
        <v>-2944.7999999999993</v>
      </c>
      <c r="T122">
        <f>Final_Table[[#This Row],[Gross Profit]]*Final_Table[[#This Row],[Tax Rate]]</f>
        <v>-883.43999999999971</v>
      </c>
      <c r="U122" s="5">
        <f>Final_Table[[#This Row],[Gross Profit]]-Final_Table[[#This Row],[Tax]]</f>
        <v>-2061.3599999999997</v>
      </c>
      <c r="V122" s="12">
        <f>Final_Table[[#This Row],[Net Profit]]/Final_Table[[#This Row],[Gross Revenue]]</f>
        <v>-0.10104705882352939</v>
      </c>
    </row>
    <row r="123" spans="1:22">
      <c r="A123" s="18" t="s">
        <v>70</v>
      </c>
      <c r="B123">
        <v>2013</v>
      </c>
      <c r="C123" t="s">
        <v>118</v>
      </c>
      <c r="D123">
        <v>1</v>
      </c>
      <c r="E123" s="18" t="s">
        <v>32</v>
      </c>
      <c r="F123" s="18" t="s">
        <v>114</v>
      </c>
      <c r="G123" s="18" t="s">
        <v>23</v>
      </c>
      <c r="H123" s="18" t="str">
        <f>Assumptions!$B$2</f>
        <v>Worst</v>
      </c>
      <c r="I123" s="18">
        <f>_xlfn.XLOOKUP(Assumptions!$B$2,Assumptions!$F$4:$H$4,Assumptions!$F$5:$H$5)</f>
        <v>1200</v>
      </c>
      <c r="J123" s="18">
        <f>_xlfn.XLOOKUP(Assumptions!$B$2,Assumptions!$F$4:$H$4,Assumptions!$F$6:$H$6)</f>
        <v>17</v>
      </c>
      <c r="K123" s="12">
        <f>_xlfn.XLOOKUP(Assumptions!$B$2,Assumptions!$F$4:$H$4,Assumptions!$F$8:$H$8)</f>
        <v>0.1</v>
      </c>
      <c r="L123" s="12">
        <f>_xlfn.XLOOKUP(Assumptions!$B$2,Assumptions!$F$4:$H$4,Assumptions!$F$9:$H$9)</f>
        <v>0.18</v>
      </c>
      <c r="M123" s="18">
        <f>_xlfn.XLOOKUP(Assumptions!$B$2,Assumptions!$F$4:$H$4,Assumptions!$F$10:$H$10)</f>
        <v>18000</v>
      </c>
      <c r="N123" s="12">
        <f>_xlfn.XLOOKUP(Assumptions!$B$2,Assumptions!$F$4:$H$4,Assumptions!$F$11:$H$11)</f>
        <v>0.3</v>
      </c>
      <c r="O123" s="14">
        <f>Final_Table[[#This Row],[Units Sold]]*Final_Table[[#This Row],[Sale Price]]</f>
        <v>20400</v>
      </c>
      <c r="P123" s="14">
        <f>Final_Table[[#This Row],[Gross Revenue]]*(1-Final_Table[[#This Row],[Discount %]])</f>
        <v>18360</v>
      </c>
      <c r="Q123">
        <f>Final_Table[[#This Row],[Net Revenue]]*Final_Table[[#This Row],[Variable Cost %]]</f>
        <v>3304.7999999999997</v>
      </c>
      <c r="R123">
        <f>Final_Table[[#This Row],[Variable Cost]]+Final_Table[[#This Row],[Fixed Monthly Cost]]</f>
        <v>21304.799999999999</v>
      </c>
      <c r="S123" s="5">
        <f>Final_Table[[#This Row],[Net Revenue]]-Final_Table[[#This Row],[Total Cost (COGS)]]</f>
        <v>-2944.7999999999993</v>
      </c>
      <c r="T123">
        <f>Final_Table[[#This Row],[Gross Profit]]*Final_Table[[#This Row],[Tax Rate]]</f>
        <v>-883.43999999999971</v>
      </c>
      <c r="U123" s="5">
        <f>Final_Table[[#This Row],[Gross Profit]]-Final_Table[[#This Row],[Tax]]</f>
        <v>-2061.3599999999997</v>
      </c>
      <c r="V123" s="12">
        <f>Final_Table[[#This Row],[Net Profit]]/Final_Table[[#This Row],[Gross Revenue]]</f>
        <v>-0.10104705882352939</v>
      </c>
    </row>
    <row r="124" spans="1:22">
      <c r="A124" s="18" t="s">
        <v>70</v>
      </c>
      <c r="B124">
        <v>2013</v>
      </c>
      <c r="C124" t="s">
        <v>118</v>
      </c>
      <c r="D124">
        <v>1</v>
      </c>
      <c r="E124" s="18" t="s">
        <v>32</v>
      </c>
      <c r="F124" s="18" t="s">
        <v>114</v>
      </c>
      <c r="G124" s="18" t="s">
        <v>21</v>
      </c>
      <c r="H124" s="18" t="str">
        <f>Assumptions!$B$2</f>
        <v>Worst</v>
      </c>
      <c r="I124" s="18">
        <f>_xlfn.XLOOKUP(Assumptions!$B$2,Assumptions!$F$4:$H$4,Assumptions!$F$5:$H$5)</f>
        <v>1200</v>
      </c>
      <c r="J124" s="18">
        <f>_xlfn.XLOOKUP(Assumptions!$B$2,Assumptions!$F$4:$H$4,Assumptions!$F$6:$H$6)</f>
        <v>17</v>
      </c>
      <c r="K124" s="12">
        <f>_xlfn.XLOOKUP(Assumptions!$B$2,Assumptions!$F$4:$H$4,Assumptions!$F$8:$H$8)</f>
        <v>0.1</v>
      </c>
      <c r="L124" s="12">
        <f>_xlfn.XLOOKUP(Assumptions!$B$2,Assumptions!$F$4:$H$4,Assumptions!$F$9:$H$9)</f>
        <v>0.18</v>
      </c>
      <c r="M124" s="18">
        <f>_xlfn.XLOOKUP(Assumptions!$B$2,Assumptions!$F$4:$H$4,Assumptions!$F$10:$H$10)</f>
        <v>18000</v>
      </c>
      <c r="N124" s="12">
        <f>_xlfn.XLOOKUP(Assumptions!$B$2,Assumptions!$F$4:$H$4,Assumptions!$F$11:$H$11)</f>
        <v>0.3</v>
      </c>
      <c r="O124" s="14">
        <f>Final_Table[[#This Row],[Units Sold]]*Final_Table[[#This Row],[Sale Price]]</f>
        <v>20400</v>
      </c>
      <c r="P124" s="14">
        <f>Final_Table[[#This Row],[Gross Revenue]]*(1-Final_Table[[#This Row],[Discount %]])</f>
        <v>18360</v>
      </c>
      <c r="Q124">
        <f>Final_Table[[#This Row],[Net Revenue]]*Final_Table[[#This Row],[Variable Cost %]]</f>
        <v>3304.7999999999997</v>
      </c>
      <c r="R124">
        <f>Final_Table[[#This Row],[Variable Cost]]+Final_Table[[#This Row],[Fixed Monthly Cost]]</f>
        <v>21304.799999999999</v>
      </c>
      <c r="S124" s="5">
        <f>Final_Table[[#This Row],[Net Revenue]]-Final_Table[[#This Row],[Total Cost (COGS)]]</f>
        <v>-2944.7999999999993</v>
      </c>
      <c r="T124">
        <f>Final_Table[[#This Row],[Gross Profit]]*Final_Table[[#This Row],[Tax Rate]]</f>
        <v>-883.43999999999971</v>
      </c>
      <c r="U124" s="5">
        <f>Final_Table[[#This Row],[Gross Profit]]-Final_Table[[#This Row],[Tax]]</f>
        <v>-2061.3599999999997</v>
      </c>
      <c r="V124" s="12">
        <f>Final_Table[[#This Row],[Net Profit]]/Final_Table[[#This Row],[Gross Revenue]]</f>
        <v>-0.10104705882352939</v>
      </c>
    </row>
    <row r="125" spans="1:22">
      <c r="A125" s="18" t="s">
        <v>70</v>
      </c>
      <c r="B125">
        <v>2013</v>
      </c>
      <c r="C125" t="s">
        <v>118</v>
      </c>
      <c r="D125">
        <v>1</v>
      </c>
      <c r="E125" s="18" t="s">
        <v>32</v>
      </c>
      <c r="F125" s="18" t="s">
        <v>114</v>
      </c>
      <c r="G125" s="18" t="s">
        <v>25</v>
      </c>
      <c r="H125" s="18" t="str">
        <f>Assumptions!$B$2</f>
        <v>Worst</v>
      </c>
      <c r="I125" s="18">
        <f>_xlfn.XLOOKUP(Assumptions!$B$2,Assumptions!$F$4:$H$4,Assumptions!$F$5:$H$5)</f>
        <v>1200</v>
      </c>
      <c r="J125" s="18">
        <f>_xlfn.XLOOKUP(Assumptions!$B$2,Assumptions!$F$4:$H$4,Assumptions!$F$6:$H$6)</f>
        <v>17</v>
      </c>
      <c r="K125" s="12">
        <f>_xlfn.XLOOKUP(Assumptions!$B$2,Assumptions!$F$4:$H$4,Assumptions!$F$8:$H$8)</f>
        <v>0.1</v>
      </c>
      <c r="L125" s="12">
        <f>_xlfn.XLOOKUP(Assumptions!$B$2,Assumptions!$F$4:$H$4,Assumptions!$F$9:$H$9)</f>
        <v>0.18</v>
      </c>
      <c r="M125" s="18">
        <f>_xlfn.XLOOKUP(Assumptions!$B$2,Assumptions!$F$4:$H$4,Assumptions!$F$10:$H$10)</f>
        <v>18000</v>
      </c>
      <c r="N125" s="12">
        <f>_xlfn.XLOOKUP(Assumptions!$B$2,Assumptions!$F$4:$H$4,Assumptions!$F$11:$H$11)</f>
        <v>0.3</v>
      </c>
      <c r="O125" s="14">
        <f>Final_Table[[#This Row],[Units Sold]]*Final_Table[[#This Row],[Sale Price]]</f>
        <v>20400</v>
      </c>
      <c r="P125" s="14">
        <f>Final_Table[[#This Row],[Gross Revenue]]*(1-Final_Table[[#This Row],[Discount %]])</f>
        <v>18360</v>
      </c>
      <c r="Q125">
        <f>Final_Table[[#This Row],[Net Revenue]]*Final_Table[[#This Row],[Variable Cost %]]</f>
        <v>3304.7999999999997</v>
      </c>
      <c r="R125">
        <f>Final_Table[[#This Row],[Variable Cost]]+Final_Table[[#This Row],[Fixed Monthly Cost]]</f>
        <v>21304.799999999999</v>
      </c>
      <c r="S125" s="5">
        <f>Final_Table[[#This Row],[Net Revenue]]-Final_Table[[#This Row],[Total Cost (COGS)]]</f>
        <v>-2944.7999999999993</v>
      </c>
      <c r="T125">
        <f>Final_Table[[#This Row],[Gross Profit]]*Final_Table[[#This Row],[Tax Rate]]</f>
        <v>-883.43999999999971</v>
      </c>
      <c r="U125" s="5">
        <f>Final_Table[[#This Row],[Gross Profit]]-Final_Table[[#This Row],[Tax]]</f>
        <v>-2061.3599999999997</v>
      </c>
      <c r="V125" s="12">
        <f>Final_Table[[#This Row],[Net Profit]]/Final_Table[[#This Row],[Gross Revenue]]</f>
        <v>-0.10104705882352939</v>
      </c>
    </row>
    <row r="126" spans="1:22">
      <c r="A126" s="18" t="s">
        <v>70</v>
      </c>
      <c r="B126">
        <v>2013</v>
      </c>
      <c r="C126" t="s">
        <v>118</v>
      </c>
      <c r="D126">
        <v>1</v>
      </c>
      <c r="E126" s="18" t="s">
        <v>32</v>
      </c>
      <c r="F126" s="18" t="s">
        <v>114</v>
      </c>
      <c r="G126" s="18" t="s">
        <v>17</v>
      </c>
      <c r="H126" s="18" t="str">
        <f>Assumptions!$B$2</f>
        <v>Worst</v>
      </c>
      <c r="I126" s="18">
        <f>_xlfn.XLOOKUP(Assumptions!$B$2,Assumptions!$F$4:$H$4,Assumptions!$F$5:$H$5)</f>
        <v>1200</v>
      </c>
      <c r="J126" s="18">
        <f>_xlfn.XLOOKUP(Assumptions!$B$2,Assumptions!$F$4:$H$4,Assumptions!$F$6:$H$6)</f>
        <v>17</v>
      </c>
      <c r="K126" s="12">
        <f>_xlfn.XLOOKUP(Assumptions!$B$2,Assumptions!$F$4:$H$4,Assumptions!$F$8:$H$8)</f>
        <v>0.1</v>
      </c>
      <c r="L126" s="12">
        <f>_xlfn.XLOOKUP(Assumptions!$B$2,Assumptions!$F$4:$H$4,Assumptions!$F$9:$H$9)</f>
        <v>0.18</v>
      </c>
      <c r="M126" s="18">
        <f>_xlfn.XLOOKUP(Assumptions!$B$2,Assumptions!$F$4:$H$4,Assumptions!$F$10:$H$10)</f>
        <v>18000</v>
      </c>
      <c r="N126" s="12">
        <f>_xlfn.XLOOKUP(Assumptions!$B$2,Assumptions!$F$4:$H$4,Assumptions!$F$11:$H$11)</f>
        <v>0.3</v>
      </c>
      <c r="O126" s="14">
        <f>Final_Table[[#This Row],[Units Sold]]*Final_Table[[#This Row],[Sale Price]]</f>
        <v>20400</v>
      </c>
      <c r="P126" s="14">
        <f>Final_Table[[#This Row],[Gross Revenue]]*(1-Final_Table[[#This Row],[Discount %]])</f>
        <v>18360</v>
      </c>
      <c r="Q126">
        <f>Final_Table[[#This Row],[Net Revenue]]*Final_Table[[#This Row],[Variable Cost %]]</f>
        <v>3304.7999999999997</v>
      </c>
      <c r="R126">
        <f>Final_Table[[#This Row],[Variable Cost]]+Final_Table[[#This Row],[Fixed Monthly Cost]]</f>
        <v>21304.799999999999</v>
      </c>
      <c r="S126" s="5">
        <f>Final_Table[[#This Row],[Net Revenue]]-Final_Table[[#This Row],[Total Cost (COGS)]]</f>
        <v>-2944.7999999999993</v>
      </c>
      <c r="T126">
        <f>Final_Table[[#This Row],[Gross Profit]]*Final_Table[[#This Row],[Tax Rate]]</f>
        <v>-883.43999999999971</v>
      </c>
      <c r="U126" s="5">
        <f>Final_Table[[#This Row],[Gross Profit]]-Final_Table[[#This Row],[Tax]]</f>
        <v>-2061.3599999999997</v>
      </c>
      <c r="V126" s="12">
        <f>Final_Table[[#This Row],[Net Profit]]/Final_Table[[#This Row],[Gross Revenue]]</f>
        <v>-0.10104705882352939</v>
      </c>
    </row>
    <row r="127" spans="1:22">
      <c r="A127" s="18" t="s">
        <v>35</v>
      </c>
      <c r="B127">
        <v>2013</v>
      </c>
      <c r="C127" t="s">
        <v>119</v>
      </c>
      <c r="D127">
        <v>1</v>
      </c>
      <c r="E127" s="18" t="s">
        <v>30</v>
      </c>
      <c r="F127" s="18" t="s">
        <v>80</v>
      </c>
      <c r="G127" s="18" t="s">
        <v>36</v>
      </c>
      <c r="H127" s="18" t="str">
        <f>Assumptions!$B$2</f>
        <v>Worst</v>
      </c>
      <c r="I127" s="18">
        <f>_xlfn.XLOOKUP(Assumptions!$B$2,Assumptions!$F$4:$H$4,Assumptions!$F$5:$H$5)</f>
        <v>1200</v>
      </c>
      <c r="J127" s="18">
        <f>_xlfn.XLOOKUP(Assumptions!$B$2,Assumptions!$F$4:$H$4,Assumptions!$F$6:$H$6)</f>
        <v>17</v>
      </c>
      <c r="K127" s="12">
        <f>_xlfn.XLOOKUP(Assumptions!$B$2,Assumptions!$F$4:$H$4,Assumptions!$F$8:$H$8)</f>
        <v>0.1</v>
      </c>
      <c r="L127" s="12">
        <f>_xlfn.XLOOKUP(Assumptions!$B$2,Assumptions!$F$4:$H$4,Assumptions!$F$9:$H$9)</f>
        <v>0.18</v>
      </c>
      <c r="M127" s="18">
        <f>_xlfn.XLOOKUP(Assumptions!$B$2,Assumptions!$F$4:$H$4,Assumptions!$F$10:$H$10)</f>
        <v>18000</v>
      </c>
      <c r="N127" s="12">
        <f>_xlfn.XLOOKUP(Assumptions!$B$2,Assumptions!$F$4:$H$4,Assumptions!$F$11:$H$11)</f>
        <v>0.3</v>
      </c>
      <c r="O127" s="14">
        <f>Final_Table[[#This Row],[Units Sold]]*Final_Table[[#This Row],[Sale Price]]</f>
        <v>20400</v>
      </c>
      <c r="P127" s="14">
        <f>Final_Table[[#This Row],[Gross Revenue]]*(1-Final_Table[[#This Row],[Discount %]])</f>
        <v>18360</v>
      </c>
      <c r="Q127">
        <f>Final_Table[[#This Row],[Net Revenue]]*Final_Table[[#This Row],[Variable Cost %]]</f>
        <v>3304.7999999999997</v>
      </c>
      <c r="R127">
        <f>Final_Table[[#This Row],[Variable Cost]]+Final_Table[[#This Row],[Fixed Monthly Cost]]</f>
        <v>21304.799999999999</v>
      </c>
      <c r="S127" s="5">
        <f>Final_Table[[#This Row],[Net Revenue]]-Final_Table[[#This Row],[Total Cost (COGS)]]</f>
        <v>-2944.7999999999993</v>
      </c>
      <c r="T127">
        <f>Final_Table[[#This Row],[Gross Profit]]*Final_Table[[#This Row],[Tax Rate]]</f>
        <v>-883.43999999999971</v>
      </c>
      <c r="U127" s="5">
        <f>Final_Table[[#This Row],[Gross Profit]]-Final_Table[[#This Row],[Tax]]</f>
        <v>-2061.3599999999997</v>
      </c>
      <c r="V127" s="12">
        <f>Final_Table[[#This Row],[Net Profit]]/Final_Table[[#This Row],[Gross Revenue]]</f>
        <v>-0.10104705882352939</v>
      </c>
    </row>
    <row r="128" spans="1:22">
      <c r="A128" s="18" t="s">
        <v>35</v>
      </c>
      <c r="B128">
        <v>2013</v>
      </c>
      <c r="C128" t="s">
        <v>119</v>
      </c>
      <c r="D128">
        <v>1</v>
      </c>
      <c r="E128" s="18" t="s">
        <v>30</v>
      </c>
      <c r="F128" s="18" t="s">
        <v>80</v>
      </c>
      <c r="G128" s="18" t="s">
        <v>23</v>
      </c>
      <c r="H128" s="18" t="str">
        <f>Assumptions!$B$2</f>
        <v>Worst</v>
      </c>
      <c r="I128" s="18">
        <f>_xlfn.XLOOKUP(Assumptions!$B$2,Assumptions!$F$4:$H$4,Assumptions!$F$5:$H$5)</f>
        <v>1200</v>
      </c>
      <c r="J128" s="18">
        <f>_xlfn.XLOOKUP(Assumptions!$B$2,Assumptions!$F$4:$H$4,Assumptions!$F$6:$H$6)</f>
        <v>17</v>
      </c>
      <c r="K128" s="12">
        <f>_xlfn.XLOOKUP(Assumptions!$B$2,Assumptions!$F$4:$H$4,Assumptions!$F$8:$H$8)</f>
        <v>0.1</v>
      </c>
      <c r="L128" s="12">
        <f>_xlfn.XLOOKUP(Assumptions!$B$2,Assumptions!$F$4:$H$4,Assumptions!$F$9:$H$9)</f>
        <v>0.18</v>
      </c>
      <c r="M128" s="18">
        <f>_xlfn.XLOOKUP(Assumptions!$B$2,Assumptions!$F$4:$H$4,Assumptions!$F$10:$H$10)</f>
        <v>18000</v>
      </c>
      <c r="N128" s="12">
        <f>_xlfn.XLOOKUP(Assumptions!$B$2,Assumptions!$F$4:$H$4,Assumptions!$F$11:$H$11)</f>
        <v>0.3</v>
      </c>
      <c r="O128" s="14">
        <f>Final_Table[[#This Row],[Units Sold]]*Final_Table[[#This Row],[Sale Price]]</f>
        <v>20400</v>
      </c>
      <c r="P128" s="14">
        <f>Final_Table[[#This Row],[Gross Revenue]]*(1-Final_Table[[#This Row],[Discount %]])</f>
        <v>18360</v>
      </c>
      <c r="Q128">
        <f>Final_Table[[#This Row],[Net Revenue]]*Final_Table[[#This Row],[Variable Cost %]]</f>
        <v>3304.7999999999997</v>
      </c>
      <c r="R128">
        <f>Final_Table[[#This Row],[Variable Cost]]+Final_Table[[#This Row],[Fixed Monthly Cost]]</f>
        <v>21304.799999999999</v>
      </c>
      <c r="S128" s="5">
        <f>Final_Table[[#This Row],[Net Revenue]]-Final_Table[[#This Row],[Total Cost (COGS)]]</f>
        <v>-2944.7999999999993</v>
      </c>
      <c r="T128">
        <f>Final_Table[[#This Row],[Gross Profit]]*Final_Table[[#This Row],[Tax Rate]]</f>
        <v>-883.43999999999971</v>
      </c>
      <c r="U128" s="5">
        <f>Final_Table[[#This Row],[Gross Profit]]-Final_Table[[#This Row],[Tax]]</f>
        <v>-2061.3599999999997</v>
      </c>
      <c r="V128" s="12">
        <f>Final_Table[[#This Row],[Net Profit]]/Final_Table[[#This Row],[Gross Revenue]]</f>
        <v>-0.10104705882352939</v>
      </c>
    </row>
    <row r="129" spans="1:22">
      <c r="A129" s="18" t="s">
        <v>35</v>
      </c>
      <c r="B129">
        <v>2013</v>
      </c>
      <c r="C129" t="s">
        <v>119</v>
      </c>
      <c r="D129">
        <v>1</v>
      </c>
      <c r="E129" s="18" t="s">
        <v>30</v>
      </c>
      <c r="F129" s="18" t="s">
        <v>80</v>
      </c>
      <c r="G129" s="18" t="s">
        <v>21</v>
      </c>
      <c r="H129" s="18" t="str">
        <f>Assumptions!$B$2</f>
        <v>Worst</v>
      </c>
      <c r="I129" s="18">
        <f>_xlfn.XLOOKUP(Assumptions!$B$2,Assumptions!$F$4:$H$4,Assumptions!$F$5:$H$5)</f>
        <v>1200</v>
      </c>
      <c r="J129" s="18">
        <f>_xlfn.XLOOKUP(Assumptions!$B$2,Assumptions!$F$4:$H$4,Assumptions!$F$6:$H$6)</f>
        <v>17</v>
      </c>
      <c r="K129" s="12">
        <f>_xlfn.XLOOKUP(Assumptions!$B$2,Assumptions!$F$4:$H$4,Assumptions!$F$8:$H$8)</f>
        <v>0.1</v>
      </c>
      <c r="L129" s="12">
        <f>_xlfn.XLOOKUP(Assumptions!$B$2,Assumptions!$F$4:$H$4,Assumptions!$F$9:$H$9)</f>
        <v>0.18</v>
      </c>
      <c r="M129" s="18">
        <f>_xlfn.XLOOKUP(Assumptions!$B$2,Assumptions!$F$4:$H$4,Assumptions!$F$10:$H$10)</f>
        <v>18000</v>
      </c>
      <c r="N129" s="12">
        <f>_xlfn.XLOOKUP(Assumptions!$B$2,Assumptions!$F$4:$H$4,Assumptions!$F$11:$H$11)</f>
        <v>0.3</v>
      </c>
      <c r="O129" s="14">
        <f>Final_Table[[#This Row],[Units Sold]]*Final_Table[[#This Row],[Sale Price]]</f>
        <v>20400</v>
      </c>
      <c r="P129" s="14">
        <f>Final_Table[[#This Row],[Gross Revenue]]*(1-Final_Table[[#This Row],[Discount %]])</f>
        <v>18360</v>
      </c>
      <c r="Q129">
        <f>Final_Table[[#This Row],[Net Revenue]]*Final_Table[[#This Row],[Variable Cost %]]</f>
        <v>3304.7999999999997</v>
      </c>
      <c r="R129">
        <f>Final_Table[[#This Row],[Variable Cost]]+Final_Table[[#This Row],[Fixed Monthly Cost]]</f>
        <v>21304.799999999999</v>
      </c>
      <c r="S129" s="5">
        <f>Final_Table[[#This Row],[Net Revenue]]-Final_Table[[#This Row],[Total Cost (COGS)]]</f>
        <v>-2944.7999999999993</v>
      </c>
      <c r="T129">
        <f>Final_Table[[#This Row],[Gross Profit]]*Final_Table[[#This Row],[Tax Rate]]</f>
        <v>-883.43999999999971</v>
      </c>
      <c r="U129" s="5">
        <f>Final_Table[[#This Row],[Gross Profit]]-Final_Table[[#This Row],[Tax]]</f>
        <v>-2061.3599999999997</v>
      </c>
      <c r="V129" s="12">
        <f>Final_Table[[#This Row],[Net Profit]]/Final_Table[[#This Row],[Gross Revenue]]</f>
        <v>-0.10104705882352939</v>
      </c>
    </row>
    <row r="130" spans="1:22">
      <c r="A130" s="18" t="s">
        <v>35</v>
      </c>
      <c r="B130">
        <v>2013</v>
      </c>
      <c r="C130" t="s">
        <v>119</v>
      </c>
      <c r="D130">
        <v>1</v>
      </c>
      <c r="E130" s="18" t="s">
        <v>30</v>
      </c>
      <c r="F130" s="18" t="s">
        <v>80</v>
      </c>
      <c r="G130" s="18" t="s">
        <v>25</v>
      </c>
      <c r="H130" s="18" t="str">
        <f>Assumptions!$B$2</f>
        <v>Worst</v>
      </c>
      <c r="I130" s="18">
        <f>_xlfn.XLOOKUP(Assumptions!$B$2,Assumptions!$F$4:$H$4,Assumptions!$F$5:$H$5)</f>
        <v>1200</v>
      </c>
      <c r="J130" s="18">
        <f>_xlfn.XLOOKUP(Assumptions!$B$2,Assumptions!$F$4:$H$4,Assumptions!$F$6:$H$6)</f>
        <v>17</v>
      </c>
      <c r="K130" s="12">
        <f>_xlfn.XLOOKUP(Assumptions!$B$2,Assumptions!$F$4:$H$4,Assumptions!$F$8:$H$8)</f>
        <v>0.1</v>
      </c>
      <c r="L130" s="12">
        <f>_xlfn.XLOOKUP(Assumptions!$B$2,Assumptions!$F$4:$H$4,Assumptions!$F$9:$H$9)</f>
        <v>0.18</v>
      </c>
      <c r="M130" s="18">
        <f>_xlfn.XLOOKUP(Assumptions!$B$2,Assumptions!$F$4:$H$4,Assumptions!$F$10:$H$10)</f>
        <v>18000</v>
      </c>
      <c r="N130" s="12">
        <f>_xlfn.XLOOKUP(Assumptions!$B$2,Assumptions!$F$4:$H$4,Assumptions!$F$11:$H$11)</f>
        <v>0.3</v>
      </c>
      <c r="O130" s="14">
        <f>Final_Table[[#This Row],[Units Sold]]*Final_Table[[#This Row],[Sale Price]]</f>
        <v>20400</v>
      </c>
      <c r="P130" s="14">
        <f>Final_Table[[#This Row],[Gross Revenue]]*(1-Final_Table[[#This Row],[Discount %]])</f>
        <v>18360</v>
      </c>
      <c r="Q130">
        <f>Final_Table[[#This Row],[Net Revenue]]*Final_Table[[#This Row],[Variable Cost %]]</f>
        <v>3304.7999999999997</v>
      </c>
      <c r="R130">
        <f>Final_Table[[#This Row],[Variable Cost]]+Final_Table[[#This Row],[Fixed Monthly Cost]]</f>
        <v>21304.799999999999</v>
      </c>
      <c r="S130" s="5">
        <f>Final_Table[[#This Row],[Net Revenue]]-Final_Table[[#This Row],[Total Cost (COGS)]]</f>
        <v>-2944.7999999999993</v>
      </c>
      <c r="T130">
        <f>Final_Table[[#This Row],[Gross Profit]]*Final_Table[[#This Row],[Tax Rate]]</f>
        <v>-883.43999999999971</v>
      </c>
      <c r="U130" s="5">
        <f>Final_Table[[#This Row],[Gross Profit]]-Final_Table[[#This Row],[Tax]]</f>
        <v>-2061.3599999999997</v>
      </c>
      <c r="V130" s="12">
        <f>Final_Table[[#This Row],[Net Profit]]/Final_Table[[#This Row],[Gross Revenue]]</f>
        <v>-0.10104705882352939</v>
      </c>
    </row>
    <row r="131" spans="1:22">
      <c r="A131" s="18" t="s">
        <v>35</v>
      </c>
      <c r="B131">
        <v>2013</v>
      </c>
      <c r="C131" t="s">
        <v>119</v>
      </c>
      <c r="D131">
        <v>1</v>
      </c>
      <c r="E131" s="18" t="s">
        <v>30</v>
      </c>
      <c r="F131" s="18" t="s">
        <v>80</v>
      </c>
      <c r="G131" s="18" t="s">
        <v>17</v>
      </c>
      <c r="H131" s="18" t="str">
        <f>Assumptions!$B$2</f>
        <v>Worst</v>
      </c>
      <c r="I131" s="18">
        <f>_xlfn.XLOOKUP(Assumptions!$B$2,Assumptions!$F$4:$H$4,Assumptions!$F$5:$H$5)</f>
        <v>1200</v>
      </c>
      <c r="J131" s="18">
        <f>_xlfn.XLOOKUP(Assumptions!$B$2,Assumptions!$F$4:$H$4,Assumptions!$F$6:$H$6)</f>
        <v>17</v>
      </c>
      <c r="K131" s="12">
        <f>_xlfn.XLOOKUP(Assumptions!$B$2,Assumptions!$F$4:$H$4,Assumptions!$F$8:$H$8)</f>
        <v>0.1</v>
      </c>
      <c r="L131" s="12">
        <f>_xlfn.XLOOKUP(Assumptions!$B$2,Assumptions!$F$4:$H$4,Assumptions!$F$9:$H$9)</f>
        <v>0.18</v>
      </c>
      <c r="M131" s="18">
        <f>_xlfn.XLOOKUP(Assumptions!$B$2,Assumptions!$F$4:$H$4,Assumptions!$F$10:$H$10)</f>
        <v>18000</v>
      </c>
      <c r="N131" s="12">
        <f>_xlfn.XLOOKUP(Assumptions!$B$2,Assumptions!$F$4:$H$4,Assumptions!$F$11:$H$11)</f>
        <v>0.3</v>
      </c>
      <c r="O131" s="14">
        <f>Final_Table[[#This Row],[Units Sold]]*Final_Table[[#This Row],[Sale Price]]</f>
        <v>20400</v>
      </c>
      <c r="P131" s="14">
        <f>Final_Table[[#This Row],[Gross Revenue]]*(1-Final_Table[[#This Row],[Discount %]])</f>
        <v>18360</v>
      </c>
      <c r="Q131">
        <f>Final_Table[[#This Row],[Net Revenue]]*Final_Table[[#This Row],[Variable Cost %]]</f>
        <v>3304.7999999999997</v>
      </c>
      <c r="R131">
        <f>Final_Table[[#This Row],[Variable Cost]]+Final_Table[[#This Row],[Fixed Monthly Cost]]</f>
        <v>21304.799999999999</v>
      </c>
      <c r="S131" s="5">
        <f>Final_Table[[#This Row],[Net Revenue]]-Final_Table[[#This Row],[Total Cost (COGS)]]</f>
        <v>-2944.7999999999993</v>
      </c>
      <c r="T131">
        <f>Final_Table[[#This Row],[Gross Profit]]*Final_Table[[#This Row],[Tax Rate]]</f>
        <v>-883.43999999999971</v>
      </c>
      <c r="U131" s="5">
        <f>Final_Table[[#This Row],[Gross Profit]]-Final_Table[[#This Row],[Tax]]</f>
        <v>-2061.3599999999997</v>
      </c>
      <c r="V131" s="12">
        <f>Final_Table[[#This Row],[Net Profit]]/Final_Table[[#This Row],[Gross Revenue]]</f>
        <v>-0.10104705882352939</v>
      </c>
    </row>
    <row r="132" spans="1:22">
      <c r="A132" s="18" t="s">
        <v>35</v>
      </c>
      <c r="B132">
        <v>2013</v>
      </c>
      <c r="C132" t="s">
        <v>119</v>
      </c>
      <c r="D132">
        <v>1</v>
      </c>
      <c r="E132" s="18" t="s">
        <v>30</v>
      </c>
      <c r="F132" s="18" t="s">
        <v>108</v>
      </c>
      <c r="G132" s="18" t="s">
        <v>36</v>
      </c>
      <c r="H132" s="18" t="str">
        <f>Assumptions!$B$2</f>
        <v>Worst</v>
      </c>
      <c r="I132" s="18">
        <f>_xlfn.XLOOKUP(Assumptions!$B$2,Assumptions!$F$4:$H$4,Assumptions!$F$5:$H$5)</f>
        <v>1200</v>
      </c>
      <c r="J132" s="18">
        <f>_xlfn.XLOOKUP(Assumptions!$B$2,Assumptions!$F$4:$H$4,Assumptions!$F$6:$H$6)</f>
        <v>17</v>
      </c>
      <c r="K132" s="12">
        <f>_xlfn.XLOOKUP(Assumptions!$B$2,Assumptions!$F$4:$H$4,Assumptions!$F$8:$H$8)</f>
        <v>0.1</v>
      </c>
      <c r="L132" s="12">
        <f>_xlfn.XLOOKUP(Assumptions!$B$2,Assumptions!$F$4:$H$4,Assumptions!$F$9:$H$9)</f>
        <v>0.18</v>
      </c>
      <c r="M132" s="18">
        <f>_xlfn.XLOOKUP(Assumptions!$B$2,Assumptions!$F$4:$H$4,Assumptions!$F$10:$H$10)</f>
        <v>18000</v>
      </c>
      <c r="N132" s="12">
        <f>_xlfn.XLOOKUP(Assumptions!$B$2,Assumptions!$F$4:$H$4,Assumptions!$F$11:$H$11)</f>
        <v>0.3</v>
      </c>
      <c r="O132" s="14">
        <f>Final_Table[[#This Row],[Units Sold]]*Final_Table[[#This Row],[Sale Price]]</f>
        <v>20400</v>
      </c>
      <c r="P132" s="14">
        <f>Final_Table[[#This Row],[Gross Revenue]]*(1-Final_Table[[#This Row],[Discount %]])</f>
        <v>18360</v>
      </c>
      <c r="Q132">
        <f>Final_Table[[#This Row],[Net Revenue]]*Final_Table[[#This Row],[Variable Cost %]]</f>
        <v>3304.7999999999997</v>
      </c>
      <c r="R132">
        <f>Final_Table[[#This Row],[Variable Cost]]+Final_Table[[#This Row],[Fixed Monthly Cost]]</f>
        <v>21304.799999999999</v>
      </c>
      <c r="S132" s="5">
        <f>Final_Table[[#This Row],[Net Revenue]]-Final_Table[[#This Row],[Total Cost (COGS)]]</f>
        <v>-2944.7999999999993</v>
      </c>
      <c r="T132">
        <f>Final_Table[[#This Row],[Gross Profit]]*Final_Table[[#This Row],[Tax Rate]]</f>
        <v>-883.43999999999971</v>
      </c>
      <c r="U132" s="5">
        <f>Final_Table[[#This Row],[Gross Profit]]-Final_Table[[#This Row],[Tax]]</f>
        <v>-2061.3599999999997</v>
      </c>
      <c r="V132" s="12">
        <f>Final_Table[[#This Row],[Net Profit]]/Final_Table[[#This Row],[Gross Revenue]]</f>
        <v>-0.10104705882352939</v>
      </c>
    </row>
    <row r="133" spans="1:22">
      <c r="A133" s="18" t="s">
        <v>35</v>
      </c>
      <c r="B133">
        <v>2013</v>
      </c>
      <c r="C133" t="s">
        <v>119</v>
      </c>
      <c r="D133">
        <v>1</v>
      </c>
      <c r="E133" s="18" t="s">
        <v>30</v>
      </c>
      <c r="F133" s="18" t="s">
        <v>108</v>
      </c>
      <c r="G133" s="18" t="s">
        <v>23</v>
      </c>
      <c r="H133" s="18" t="str">
        <f>Assumptions!$B$2</f>
        <v>Worst</v>
      </c>
      <c r="I133" s="18">
        <f>_xlfn.XLOOKUP(Assumptions!$B$2,Assumptions!$F$4:$H$4,Assumptions!$F$5:$H$5)</f>
        <v>1200</v>
      </c>
      <c r="J133" s="18">
        <f>_xlfn.XLOOKUP(Assumptions!$B$2,Assumptions!$F$4:$H$4,Assumptions!$F$6:$H$6)</f>
        <v>17</v>
      </c>
      <c r="K133" s="12">
        <f>_xlfn.XLOOKUP(Assumptions!$B$2,Assumptions!$F$4:$H$4,Assumptions!$F$8:$H$8)</f>
        <v>0.1</v>
      </c>
      <c r="L133" s="12">
        <f>_xlfn.XLOOKUP(Assumptions!$B$2,Assumptions!$F$4:$H$4,Assumptions!$F$9:$H$9)</f>
        <v>0.18</v>
      </c>
      <c r="M133" s="18">
        <f>_xlfn.XLOOKUP(Assumptions!$B$2,Assumptions!$F$4:$H$4,Assumptions!$F$10:$H$10)</f>
        <v>18000</v>
      </c>
      <c r="N133" s="12">
        <f>_xlfn.XLOOKUP(Assumptions!$B$2,Assumptions!$F$4:$H$4,Assumptions!$F$11:$H$11)</f>
        <v>0.3</v>
      </c>
      <c r="O133" s="14">
        <f>Final_Table[[#This Row],[Units Sold]]*Final_Table[[#This Row],[Sale Price]]</f>
        <v>20400</v>
      </c>
      <c r="P133" s="14">
        <f>Final_Table[[#This Row],[Gross Revenue]]*(1-Final_Table[[#This Row],[Discount %]])</f>
        <v>18360</v>
      </c>
      <c r="Q133">
        <f>Final_Table[[#This Row],[Net Revenue]]*Final_Table[[#This Row],[Variable Cost %]]</f>
        <v>3304.7999999999997</v>
      </c>
      <c r="R133">
        <f>Final_Table[[#This Row],[Variable Cost]]+Final_Table[[#This Row],[Fixed Monthly Cost]]</f>
        <v>21304.799999999999</v>
      </c>
      <c r="S133" s="5">
        <f>Final_Table[[#This Row],[Net Revenue]]-Final_Table[[#This Row],[Total Cost (COGS)]]</f>
        <v>-2944.7999999999993</v>
      </c>
      <c r="T133">
        <f>Final_Table[[#This Row],[Gross Profit]]*Final_Table[[#This Row],[Tax Rate]]</f>
        <v>-883.43999999999971</v>
      </c>
      <c r="U133" s="5">
        <f>Final_Table[[#This Row],[Gross Profit]]-Final_Table[[#This Row],[Tax]]</f>
        <v>-2061.3599999999997</v>
      </c>
      <c r="V133" s="12">
        <f>Final_Table[[#This Row],[Net Profit]]/Final_Table[[#This Row],[Gross Revenue]]</f>
        <v>-0.10104705882352939</v>
      </c>
    </row>
    <row r="134" spans="1:22">
      <c r="A134" s="18" t="s">
        <v>35</v>
      </c>
      <c r="B134">
        <v>2013</v>
      </c>
      <c r="C134" t="s">
        <v>119</v>
      </c>
      <c r="D134">
        <v>1</v>
      </c>
      <c r="E134" s="18" t="s">
        <v>30</v>
      </c>
      <c r="F134" s="18" t="s">
        <v>108</v>
      </c>
      <c r="G134" s="18" t="s">
        <v>21</v>
      </c>
      <c r="H134" s="18" t="str">
        <f>Assumptions!$B$2</f>
        <v>Worst</v>
      </c>
      <c r="I134" s="18">
        <f>_xlfn.XLOOKUP(Assumptions!$B$2,Assumptions!$F$4:$H$4,Assumptions!$F$5:$H$5)</f>
        <v>1200</v>
      </c>
      <c r="J134" s="18">
        <f>_xlfn.XLOOKUP(Assumptions!$B$2,Assumptions!$F$4:$H$4,Assumptions!$F$6:$H$6)</f>
        <v>17</v>
      </c>
      <c r="K134" s="12">
        <f>_xlfn.XLOOKUP(Assumptions!$B$2,Assumptions!$F$4:$H$4,Assumptions!$F$8:$H$8)</f>
        <v>0.1</v>
      </c>
      <c r="L134" s="12">
        <f>_xlfn.XLOOKUP(Assumptions!$B$2,Assumptions!$F$4:$H$4,Assumptions!$F$9:$H$9)</f>
        <v>0.18</v>
      </c>
      <c r="M134" s="18">
        <f>_xlfn.XLOOKUP(Assumptions!$B$2,Assumptions!$F$4:$H$4,Assumptions!$F$10:$H$10)</f>
        <v>18000</v>
      </c>
      <c r="N134" s="12">
        <f>_xlfn.XLOOKUP(Assumptions!$B$2,Assumptions!$F$4:$H$4,Assumptions!$F$11:$H$11)</f>
        <v>0.3</v>
      </c>
      <c r="O134" s="14">
        <f>Final_Table[[#This Row],[Units Sold]]*Final_Table[[#This Row],[Sale Price]]</f>
        <v>20400</v>
      </c>
      <c r="P134" s="14">
        <f>Final_Table[[#This Row],[Gross Revenue]]*(1-Final_Table[[#This Row],[Discount %]])</f>
        <v>18360</v>
      </c>
      <c r="Q134">
        <f>Final_Table[[#This Row],[Net Revenue]]*Final_Table[[#This Row],[Variable Cost %]]</f>
        <v>3304.7999999999997</v>
      </c>
      <c r="R134">
        <f>Final_Table[[#This Row],[Variable Cost]]+Final_Table[[#This Row],[Fixed Monthly Cost]]</f>
        <v>21304.799999999999</v>
      </c>
      <c r="S134" s="5">
        <f>Final_Table[[#This Row],[Net Revenue]]-Final_Table[[#This Row],[Total Cost (COGS)]]</f>
        <v>-2944.7999999999993</v>
      </c>
      <c r="T134">
        <f>Final_Table[[#This Row],[Gross Profit]]*Final_Table[[#This Row],[Tax Rate]]</f>
        <v>-883.43999999999971</v>
      </c>
      <c r="U134" s="5">
        <f>Final_Table[[#This Row],[Gross Profit]]-Final_Table[[#This Row],[Tax]]</f>
        <v>-2061.3599999999997</v>
      </c>
      <c r="V134" s="12">
        <f>Final_Table[[#This Row],[Net Profit]]/Final_Table[[#This Row],[Gross Revenue]]</f>
        <v>-0.10104705882352939</v>
      </c>
    </row>
    <row r="135" spans="1:22">
      <c r="A135" s="18" t="s">
        <v>35</v>
      </c>
      <c r="B135">
        <v>2013</v>
      </c>
      <c r="C135" t="s">
        <v>119</v>
      </c>
      <c r="D135">
        <v>1</v>
      </c>
      <c r="E135" s="18" t="s">
        <v>30</v>
      </c>
      <c r="F135" s="18" t="s">
        <v>108</v>
      </c>
      <c r="G135" s="18" t="s">
        <v>25</v>
      </c>
      <c r="H135" s="18" t="str">
        <f>Assumptions!$B$2</f>
        <v>Worst</v>
      </c>
      <c r="I135" s="18">
        <f>_xlfn.XLOOKUP(Assumptions!$B$2,Assumptions!$F$4:$H$4,Assumptions!$F$5:$H$5)</f>
        <v>1200</v>
      </c>
      <c r="J135" s="18">
        <f>_xlfn.XLOOKUP(Assumptions!$B$2,Assumptions!$F$4:$H$4,Assumptions!$F$6:$H$6)</f>
        <v>17</v>
      </c>
      <c r="K135" s="12">
        <f>_xlfn.XLOOKUP(Assumptions!$B$2,Assumptions!$F$4:$H$4,Assumptions!$F$8:$H$8)</f>
        <v>0.1</v>
      </c>
      <c r="L135" s="12">
        <f>_xlfn.XLOOKUP(Assumptions!$B$2,Assumptions!$F$4:$H$4,Assumptions!$F$9:$H$9)</f>
        <v>0.18</v>
      </c>
      <c r="M135" s="18">
        <f>_xlfn.XLOOKUP(Assumptions!$B$2,Assumptions!$F$4:$H$4,Assumptions!$F$10:$H$10)</f>
        <v>18000</v>
      </c>
      <c r="N135" s="12">
        <f>_xlfn.XLOOKUP(Assumptions!$B$2,Assumptions!$F$4:$H$4,Assumptions!$F$11:$H$11)</f>
        <v>0.3</v>
      </c>
      <c r="O135" s="14">
        <f>Final_Table[[#This Row],[Units Sold]]*Final_Table[[#This Row],[Sale Price]]</f>
        <v>20400</v>
      </c>
      <c r="P135" s="14">
        <f>Final_Table[[#This Row],[Gross Revenue]]*(1-Final_Table[[#This Row],[Discount %]])</f>
        <v>18360</v>
      </c>
      <c r="Q135">
        <f>Final_Table[[#This Row],[Net Revenue]]*Final_Table[[#This Row],[Variable Cost %]]</f>
        <v>3304.7999999999997</v>
      </c>
      <c r="R135">
        <f>Final_Table[[#This Row],[Variable Cost]]+Final_Table[[#This Row],[Fixed Monthly Cost]]</f>
        <v>21304.799999999999</v>
      </c>
      <c r="S135" s="5">
        <f>Final_Table[[#This Row],[Net Revenue]]-Final_Table[[#This Row],[Total Cost (COGS)]]</f>
        <v>-2944.7999999999993</v>
      </c>
      <c r="T135">
        <f>Final_Table[[#This Row],[Gross Profit]]*Final_Table[[#This Row],[Tax Rate]]</f>
        <v>-883.43999999999971</v>
      </c>
      <c r="U135" s="5">
        <f>Final_Table[[#This Row],[Gross Profit]]-Final_Table[[#This Row],[Tax]]</f>
        <v>-2061.3599999999997</v>
      </c>
      <c r="V135" s="12">
        <f>Final_Table[[#This Row],[Net Profit]]/Final_Table[[#This Row],[Gross Revenue]]</f>
        <v>-0.10104705882352939</v>
      </c>
    </row>
    <row r="136" spans="1:22">
      <c r="A136" s="18" t="s">
        <v>35</v>
      </c>
      <c r="B136">
        <v>2013</v>
      </c>
      <c r="C136" t="s">
        <v>119</v>
      </c>
      <c r="D136">
        <v>1</v>
      </c>
      <c r="E136" s="18" t="s">
        <v>30</v>
      </c>
      <c r="F136" s="18" t="s">
        <v>108</v>
      </c>
      <c r="G136" s="18" t="s">
        <v>17</v>
      </c>
      <c r="H136" s="18" t="str">
        <f>Assumptions!$B$2</f>
        <v>Worst</v>
      </c>
      <c r="I136" s="18">
        <f>_xlfn.XLOOKUP(Assumptions!$B$2,Assumptions!$F$4:$H$4,Assumptions!$F$5:$H$5)</f>
        <v>1200</v>
      </c>
      <c r="J136" s="18">
        <f>_xlfn.XLOOKUP(Assumptions!$B$2,Assumptions!$F$4:$H$4,Assumptions!$F$6:$H$6)</f>
        <v>17</v>
      </c>
      <c r="K136" s="12">
        <f>_xlfn.XLOOKUP(Assumptions!$B$2,Assumptions!$F$4:$H$4,Assumptions!$F$8:$H$8)</f>
        <v>0.1</v>
      </c>
      <c r="L136" s="12">
        <f>_xlfn.XLOOKUP(Assumptions!$B$2,Assumptions!$F$4:$H$4,Assumptions!$F$9:$H$9)</f>
        <v>0.18</v>
      </c>
      <c r="M136" s="18">
        <f>_xlfn.XLOOKUP(Assumptions!$B$2,Assumptions!$F$4:$H$4,Assumptions!$F$10:$H$10)</f>
        <v>18000</v>
      </c>
      <c r="N136" s="12">
        <f>_xlfn.XLOOKUP(Assumptions!$B$2,Assumptions!$F$4:$H$4,Assumptions!$F$11:$H$11)</f>
        <v>0.3</v>
      </c>
      <c r="O136" s="14">
        <f>Final_Table[[#This Row],[Units Sold]]*Final_Table[[#This Row],[Sale Price]]</f>
        <v>20400</v>
      </c>
      <c r="P136" s="14">
        <f>Final_Table[[#This Row],[Gross Revenue]]*(1-Final_Table[[#This Row],[Discount %]])</f>
        <v>18360</v>
      </c>
      <c r="Q136">
        <f>Final_Table[[#This Row],[Net Revenue]]*Final_Table[[#This Row],[Variable Cost %]]</f>
        <v>3304.7999999999997</v>
      </c>
      <c r="R136">
        <f>Final_Table[[#This Row],[Variable Cost]]+Final_Table[[#This Row],[Fixed Monthly Cost]]</f>
        <v>21304.799999999999</v>
      </c>
      <c r="S136" s="5">
        <f>Final_Table[[#This Row],[Net Revenue]]-Final_Table[[#This Row],[Total Cost (COGS)]]</f>
        <v>-2944.7999999999993</v>
      </c>
      <c r="T136">
        <f>Final_Table[[#This Row],[Gross Profit]]*Final_Table[[#This Row],[Tax Rate]]</f>
        <v>-883.43999999999971</v>
      </c>
      <c r="U136" s="5">
        <f>Final_Table[[#This Row],[Gross Profit]]-Final_Table[[#This Row],[Tax]]</f>
        <v>-2061.3599999999997</v>
      </c>
      <c r="V136" s="12">
        <f>Final_Table[[#This Row],[Net Profit]]/Final_Table[[#This Row],[Gross Revenue]]</f>
        <v>-0.10104705882352939</v>
      </c>
    </row>
    <row r="137" spans="1:22">
      <c r="A137" s="18" t="s">
        <v>35</v>
      </c>
      <c r="B137">
        <v>2013</v>
      </c>
      <c r="C137" t="s">
        <v>119</v>
      </c>
      <c r="D137">
        <v>1</v>
      </c>
      <c r="E137" s="18" t="s">
        <v>30</v>
      </c>
      <c r="F137" s="18" t="s">
        <v>112</v>
      </c>
      <c r="G137" s="18" t="s">
        <v>36</v>
      </c>
      <c r="H137" s="18" t="str">
        <f>Assumptions!$B$2</f>
        <v>Worst</v>
      </c>
      <c r="I137" s="18">
        <f>_xlfn.XLOOKUP(Assumptions!$B$2,Assumptions!$F$4:$H$4,Assumptions!$F$5:$H$5)</f>
        <v>1200</v>
      </c>
      <c r="J137" s="18">
        <f>_xlfn.XLOOKUP(Assumptions!$B$2,Assumptions!$F$4:$H$4,Assumptions!$F$6:$H$6)</f>
        <v>17</v>
      </c>
      <c r="K137" s="12">
        <f>_xlfn.XLOOKUP(Assumptions!$B$2,Assumptions!$F$4:$H$4,Assumptions!$F$8:$H$8)</f>
        <v>0.1</v>
      </c>
      <c r="L137" s="12">
        <f>_xlfn.XLOOKUP(Assumptions!$B$2,Assumptions!$F$4:$H$4,Assumptions!$F$9:$H$9)</f>
        <v>0.18</v>
      </c>
      <c r="M137" s="18">
        <f>_xlfn.XLOOKUP(Assumptions!$B$2,Assumptions!$F$4:$H$4,Assumptions!$F$10:$H$10)</f>
        <v>18000</v>
      </c>
      <c r="N137" s="12">
        <f>_xlfn.XLOOKUP(Assumptions!$B$2,Assumptions!$F$4:$H$4,Assumptions!$F$11:$H$11)</f>
        <v>0.3</v>
      </c>
      <c r="O137" s="14">
        <f>Final_Table[[#This Row],[Units Sold]]*Final_Table[[#This Row],[Sale Price]]</f>
        <v>20400</v>
      </c>
      <c r="P137" s="14">
        <f>Final_Table[[#This Row],[Gross Revenue]]*(1-Final_Table[[#This Row],[Discount %]])</f>
        <v>18360</v>
      </c>
      <c r="Q137">
        <f>Final_Table[[#This Row],[Net Revenue]]*Final_Table[[#This Row],[Variable Cost %]]</f>
        <v>3304.7999999999997</v>
      </c>
      <c r="R137">
        <f>Final_Table[[#This Row],[Variable Cost]]+Final_Table[[#This Row],[Fixed Monthly Cost]]</f>
        <v>21304.799999999999</v>
      </c>
      <c r="S137" s="5">
        <f>Final_Table[[#This Row],[Net Revenue]]-Final_Table[[#This Row],[Total Cost (COGS)]]</f>
        <v>-2944.7999999999993</v>
      </c>
      <c r="T137">
        <f>Final_Table[[#This Row],[Gross Profit]]*Final_Table[[#This Row],[Tax Rate]]</f>
        <v>-883.43999999999971</v>
      </c>
      <c r="U137" s="5">
        <f>Final_Table[[#This Row],[Gross Profit]]-Final_Table[[#This Row],[Tax]]</f>
        <v>-2061.3599999999997</v>
      </c>
      <c r="V137" s="12">
        <f>Final_Table[[#This Row],[Net Profit]]/Final_Table[[#This Row],[Gross Revenue]]</f>
        <v>-0.10104705882352939</v>
      </c>
    </row>
    <row r="138" spans="1:22">
      <c r="A138" s="18" t="s">
        <v>35</v>
      </c>
      <c r="B138">
        <v>2013</v>
      </c>
      <c r="C138" t="s">
        <v>119</v>
      </c>
      <c r="D138">
        <v>1</v>
      </c>
      <c r="E138" s="18" t="s">
        <v>30</v>
      </c>
      <c r="F138" s="18" t="s">
        <v>112</v>
      </c>
      <c r="G138" s="18" t="s">
        <v>23</v>
      </c>
      <c r="H138" s="18" t="str">
        <f>Assumptions!$B$2</f>
        <v>Worst</v>
      </c>
      <c r="I138" s="18">
        <f>_xlfn.XLOOKUP(Assumptions!$B$2,Assumptions!$F$4:$H$4,Assumptions!$F$5:$H$5)</f>
        <v>1200</v>
      </c>
      <c r="J138" s="18">
        <f>_xlfn.XLOOKUP(Assumptions!$B$2,Assumptions!$F$4:$H$4,Assumptions!$F$6:$H$6)</f>
        <v>17</v>
      </c>
      <c r="K138" s="12">
        <f>_xlfn.XLOOKUP(Assumptions!$B$2,Assumptions!$F$4:$H$4,Assumptions!$F$8:$H$8)</f>
        <v>0.1</v>
      </c>
      <c r="L138" s="12">
        <f>_xlfn.XLOOKUP(Assumptions!$B$2,Assumptions!$F$4:$H$4,Assumptions!$F$9:$H$9)</f>
        <v>0.18</v>
      </c>
      <c r="M138" s="18">
        <f>_xlfn.XLOOKUP(Assumptions!$B$2,Assumptions!$F$4:$H$4,Assumptions!$F$10:$H$10)</f>
        <v>18000</v>
      </c>
      <c r="N138" s="12">
        <f>_xlfn.XLOOKUP(Assumptions!$B$2,Assumptions!$F$4:$H$4,Assumptions!$F$11:$H$11)</f>
        <v>0.3</v>
      </c>
      <c r="O138" s="14">
        <f>Final_Table[[#This Row],[Units Sold]]*Final_Table[[#This Row],[Sale Price]]</f>
        <v>20400</v>
      </c>
      <c r="P138" s="14">
        <f>Final_Table[[#This Row],[Gross Revenue]]*(1-Final_Table[[#This Row],[Discount %]])</f>
        <v>18360</v>
      </c>
      <c r="Q138">
        <f>Final_Table[[#This Row],[Net Revenue]]*Final_Table[[#This Row],[Variable Cost %]]</f>
        <v>3304.7999999999997</v>
      </c>
      <c r="R138">
        <f>Final_Table[[#This Row],[Variable Cost]]+Final_Table[[#This Row],[Fixed Monthly Cost]]</f>
        <v>21304.799999999999</v>
      </c>
      <c r="S138" s="5">
        <f>Final_Table[[#This Row],[Net Revenue]]-Final_Table[[#This Row],[Total Cost (COGS)]]</f>
        <v>-2944.7999999999993</v>
      </c>
      <c r="T138">
        <f>Final_Table[[#This Row],[Gross Profit]]*Final_Table[[#This Row],[Tax Rate]]</f>
        <v>-883.43999999999971</v>
      </c>
      <c r="U138" s="5">
        <f>Final_Table[[#This Row],[Gross Profit]]-Final_Table[[#This Row],[Tax]]</f>
        <v>-2061.3599999999997</v>
      </c>
      <c r="V138" s="12">
        <f>Final_Table[[#This Row],[Net Profit]]/Final_Table[[#This Row],[Gross Revenue]]</f>
        <v>-0.10104705882352939</v>
      </c>
    </row>
    <row r="139" spans="1:22">
      <c r="A139" s="18" t="s">
        <v>35</v>
      </c>
      <c r="B139">
        <v>2013</v>
      </c>
      <c r="C139" t="s">
        <v>119</v>
      </c>
      <c r="D139">
        <v>1</v>
      </c>
      <c r="E139" s="18" t="s">
        <v>30</v>
      </c>
      <c r="F139" s="18" t="s">
        <v>112</v>
      </c>
      <c r="G139" s="18" t="s">
        <v>21</v>
      </c>
      <c r="H139" s="18" t="str">
        <f>Assumptions!$B$2</f>
        <v>Worst</v>
      </c>
      <c r="I139" s="18">
        <f>_xlfn.XLOOKUP(Assumptions!$B$2,Assumptions!$F$4:$H$4,Assumptions!$F$5:$H$5)</f>
        <v>1200</v>
      </c>
      <c r="J139" s="18">
        <f>_xlfn.XLOOKUP(Assumptions!$B$2,Assumptions!$F$4:$H$4,Assumptions!$F$6:$H$6)</f>
        <v>17</v>
      </c>
      <c r="K139" s="12">
        <f>_xlfn.XLOOKUP(Assumptions!$B$2,Assumptions!$F$4:$H$4,Assumptions!$F$8:$H$8)</f>
        <v>0.1</v>
      </c>
      <c r="L139" s="12">
        <f>_xlfn.XLOOKUP(Assumptions!$B$2,Assumptions!$F$4:$H$4,Assumptions!$F$9:$H$9)</f>
        <v>0.18</v>
      </c>
      <c r="M139" s="18">
        <f>_xlfn.XLOOKUP(Assumptions!$B$2,Assumptions!$F$4:$H$4,Assumptions!$F$10:$H$10)</f>
        <v>18000</v>
      </c>
      <c r="N139" s="12">
        <f>_xlfn.XLOOKUP(Assumptions!$B$2,Assumptions!$F$4:$H$4,Assumptions!$F$11:$H$11)</f>
        <v>0.3</v>
      </c>
      <c r="O139" s="14">
        <f>Final_Table[[#This Row],[Units Sold]]*Final_Table[[#This Row],[Sale Price]]</f>
        <v>20400</v>
      </c>
      <c r="P139" s="14">
        <f>Final_Table[[#This Row],[Gross Revenue]]*(1-Final_Table[[#This Row],[Discount %]])</f>
        <v>18360</v>
      </c>
      <c r="Q139">
        <f>Final_Table[[#This Row],[Net Revenue]]*Final_Table[[#This Row],[Variable Cost %]]</f>
        <v>3304.7999999999997</v>
      </c>
      <c r="R139">
        <f>Final_Table[[#This Row],[Variable Cost]]+Final_Table[[#This Row],[Fixed Monthly Cost]]</f>
        <v>21304.799999999999</v>
      </c>
      <c r="S139" s="5">
        <f>Final_Table[[#This Row],[Net Revenue]]-Final_Table[[#This Row],[Total Cost (COGS)]]</f>
        <v>-2944.7999999999993</v>
      </c>
      <c r="T139">
        <f>Final_Table[[#This Row],[Gross Profit]]*Final_Table[[#This Row],[Tax Rate]]</f>
        <v>-883.43999999999971</v>
      </c>
      <c r="U139" s="5">
        <f>Final_Table[[#This Row],[Gross Profit]]-Final_Table[[#This Row],[Tax]]</f>
        <v>-2061.3599999999997</v>
      </c>
      <c r="V139" s="12">
        <f>Final_Table[[#This Row],[Net Profit]]/Final_Table[[#This Row],[Gross Revenue]]</f>
        <v>-0.10104705882352939</v>
      </c>
    </row>
    <row r="140" spans="1:22">
      <c r="A140" s="18" t="s">
        <v>35</v>
      </c>
      <c r="B140">
        <v>2013</v>
      </c>
      <c r="C140" t="s">
        <v>119</v>
      </c>
      <c r="D140">
        <v>1</v>
      </c>
      <c r="E140" s="18" t="s">
        <v>30</v>
      </c>
      <c r="F140" s="18" t="s">
        <v>112</v>
      </c>
      <c r="G140" s="18" t="s">
        <v>25</v>
      </c>
      <c r="H140" s="18" t="str">
        <f>Assumptions!$B$2</f>
        <v>Worst</v>
      </c>
      <c r="I140" s="18">
        <f>_xlfn.XLOOKUP(Assumptions!$B$2,Assumptions!$F$4:$H$4,Assumptions!$F$5:$H$5)</f>
        <v>1200</v>
      </c>
      <c r="J140" s="18">
        <f>_xlfn.XLOOKUP(Assumptions!$B$2,Assumptions!$F$4:$H$4,Assumptions!$F$6:$H$6)</f>
        <v>17</v>
      </c>
      <c r="K140" s="12">
        <f>_xlfn.XLOOKUP(Assumptions!$B$2,Assumptions!$F$4:$H$4,Assumptions!$F$8:$H$8)</f>
        <v>0.1</v>
      </c>
      <c r="L140" s="12">
        <f>_xlfn.XLOOKUP(Assumptions!$B$2,Assumptions!$F$4:$H$4,Assumptions!$F$9:$H$9)</f>
        <v>0.18</v>
      </c>
      <c r="M140" s="18">
        <f>_xlfn.XLOOKUP(Assumptions!$B$2,Assumptions!$F$4:$H$4,Assumptions!$F$10:$H$10)</f>
        <v>18000</v>
      </c>
      <c r="N140" s="12">
        <f>_xlfn.XLOOKUP(Assumptions!$B$2,Assumptions!$F$4:$H$4,Assumptions!$F$11:$H$11)</f>
        <v>0.3</v>
      </c>
      <c r="O140" s="14">
        <f>Final_Table[[#This Row],[Units Sold]]*Final_Table[[#This Row],[Sale Price]]</f>
        <v>20400</v>
      </c>
      <c r="P140" s="14">
        <f>Final_Table[[#This Row],[Gross Revenue]]*(1-Final_Table[[#This Row],[Discount %]])</f>
        <v>18360</v>
      </c>
      <c r="Q140">
        <f>Final_Table[[#This Row],[Net Revenue]]*Final_Table[[#This Row],[Variable Cost %]]</f>
        <v>3304.7999999999997</v>
      </c>
      <c r="R140">
        <f>Final_Table[[#This Row],[Variable Cost]]+Final_Table[[#This Row],[Fixed Monthly Cost]]</f>
        <v>21304.799999999999</v>
      </c>
      <c r="S140" s="5">
        <f>Final_Table[[#This Row],[Net Revenue]]-Final_Table[[#This Row],[Total Cost (COGS)]]</f>
        <v>-2944.7999999999993</v>
      </c>
      <c r="T140">
        <f>Final_Table[[#This Row],[Gross Profit]]*Final_Table[[#This Row],[Tax Rate]]</f>
        <v>-883.43999999999971</v>
      </c>
      <c r="U140" s="5">
        <f>Final_Table[[#This Row],[Gross Profit]]-Final_Table[[#This Row],[Tax]]</f>
        <v>-2061.3599999999997</v>
      </c>
      <c r="V140" s="12">
        <f>Final_Table[[#This Row],[Net Profit]]/Final_Table[[#This Row],[Gross Revenue]]</f>
        <v>-0.10104705882352939</v>
      </c>
    </row>
    <row r="141" spans="1:22">
      <c r="A141" s="18" t="s">
        <v>35</v>
      </c>
      <c r="B141">
        <v>2013</v>
      </c>
      <c r="C141" t="s">
        <v>119</v>
      </c>
      <c r="D141">
        <v>1</v>
      </c>
      <c r="E141" s="18" t="s">
        <v>30</v>
      </c>
      <c r="F141" s="18" t="s">
        <v>112</v>
      </c>
      <c r="G141" s="18" t="s">
        <v>17</v>
      </c>
      <c r="H141" s="18" t="str">
        <f>Assumptions!$B$2</f>
        <v>Worst</v>
      </c>
      <c r="I141" s="18">
        <f>_xlfn.XLOOKUP(Assumptions!$B$2,Assumptions!$F$4:$H$4,Assumptions!$F$5:$H$5)</f>
        <v>1200</v>
      </c>
      <c r="J141" s="18">
        <f>_xlfn.XLOOKUP(Assumptions!$B$2,Assumptions!$F$4:$H$4,Assumptions!$F$6:$H$6)</f>
        <v>17</v>
      </c>
      <c r="K141" s="12">
        <f>_xlfn.XLOOKUP(Assumptions!$B$2,Assumptions!$F$4:$H$4,Assumptions!$F$8:$H$8)</f>
        <v>0.1</v>
      </c>
      <c r="L141" s="12">
        <f>_xlfn.XLOOKUP(Assumptions!$B$2,Assumptions!$F$4:$H$4,Assumptions!$F$9:$H$9)</f>
        <v>0.18</v>
      </c>
      <c r="M141" s="18">
        <f>_xlfn.XLOOKUP(Assumptions!$B$2,Assumptions!$F$4:$H$4,Assumptions!$F$10:$H$10)</f>
        <v>18000</v>
      </c>
      <c r="N141" s="12">
        <f>_xlfn.XLOOKUP(Assumptions!$B$2,Assumptions!$F$4:$H$4,Assumptions!$F$11:$H$11)</f>
        <v>0.3</v>
      </c>
      <c r="O141" s="14">
        <f>Final_Table[[#This Row],[Units Sold]]*Final_Table[[#This Row],[Sale Price]]</f>
        <v>20400</v>
      </c>
      <c r="P141" s="14">
        <f>Final_Table[[#This Row],[Gross Revenue]]*(1-Final_Table[[#This Row],[Discount %]])</f>
        <v>18360</v>
      </c>
      <c r="Q141">
        <f>Final_Table[[#This Row],[Net Revenue]]*Final_Table[[#This Row],[Variable Cost %]]</f>
        <v>3304.7999999999997</v>
      </c>
      <c r="R141">
        <f>Final_Table[[#This Row],[Variable Cost]]+Final_Table[[#This Row],[Fixed Monthly Cost]]</f>
        <v>21304.799999999999</v>
      </c>
      <c r="S141" s="5">
        <f>Final_Table[[#This Row],[Net Revenue]]-Final_Table[[#This Row],[Total Cost (COGS)]]</f>
        <v>-2944.7999999999993</v>
      </c>
      <c r="T141">
        <f>Final_Table[[#This Row],[Gross Profit]]*Final_Table[[#This Row],[Tax Rate]]</f>
        <v>-883.43999999999971</v>
      </c>
      <c r="U141" s="5">
        <f>Final_Table[[#This Row],[Gross Profit]]-Final_Table[[#This Row],[Tax]]</f>
        <v>-2061.3599999999997</v>
      </c>
      <c r="V141" s="12">
        <f>Final_Table[[#This Row],[Net Profit]]/Final_Table[[#This Row],[Gross Revenue]]</f>
        <v>-0.10104705882352939</v>
      </c>
    </row>
    <row r="142" spans="1:22">
      <c r="A142" s="18" t="s">
        <v>35</v>
      </c>
      <c r="B142">
        <v>2013</v>
      </c>
      <c r="C142" t="s">
        <v>119</v>
      </c>
      <c r="D142">
        <v>1</v>
      </c>
      <c r="E142" s="18" t="s">
        <v>30</v>
      </c>
      <c r="F142" s="18" t="s">
        <v>113</v>
      </c>
      <c r="G142" s="18" t="s">
        <v>36</v>
      </c>
      <c r="H142" s="18" t="str">
        <f>Assumptions!$B$2</f>
        <v>Worst</v>
      </c>
      <c r="I142" s="18">
        <f>_xlfn.XLOOKUP(Assumptions!$B$2,Assumptions!$F$4:$H$4,Assumptions!$F$5:$H$5)</f>
        <v>1200</v>
      </c>
      <c r="J142" s="18">
        <f>_xlfn.XLOOKUP(Assumptions!$B$2,Assumptions!$F$4:$H$4,Assumptions!$F$6:$H$6)</f>
        <v>17</v>
      </c>
      <c r="K142" s="12">
        <f>_xlfn.XLOOKUP(Assumptions!$B$2,Assumptions!$F$4:$H$4,Assumptions!$F$8:$H$8)</f>
        <v>0.1</v>
      </c>
      <c r="L142" s="12">
        <f>_xlfn.XLOOKUP(Assumptions!$B$2,Assumptions!$F$4:$H$4,Assumptions!$F$9:$H$9)</f>
        <v>0.18</v>
      </c>
      <c r="M142" s="18">
        <f>_xlfn.XLOOKUP(Assumptions!$B$2,Assumptions!$F$4:$H$4,Assumptions!$F$10:$H$10)</f>
        <v>18000</v>
      </c>
      <c r="N142" s="12">
        <f>_xlfn.XLOOKUP(Assumptions!$B$2,Assumptions!$F$4:$H$4,Assumptions!$F$11:$H$11)</f>
        <v>0.3</v>
      </c>
      <c r="O142" s="14">
        <f>Final_Table[[#This Row],[Units Sold]]*Final_Table[[#This Row],[Sale Price]]</f>
        <v>20400</v>
      </c>
      <c r="P142" s="14">
        <f>Final_Table[[#This Row],[Gross Revenue]]*(1-Final_Table[[#This Row],[Discount %]])</f>
        <v>18360</v>
      </c>
      <c r="Q142">
        <f>Final_Table[[#This Row],[Net Revenue]]*Final_Table[[#This Row],[Variable Cost %]]</f>
        <v>3304.7999999999997</v>
      </c>
      <c r="R142">
        <f>Final_Table[[#This Row],[Variable Cost]]+Final_Table[[#This Row],[Fixed Monthly Cost]]</f>
        <v>21304.799999999999</v>
      </c>
      <c r="S142" s="5">
        <f>Final_Table[[#This Row],[Net Revenue]]-Final_Table[[#This Row],[Total Cost (COGS)]]</f>
        <v>-2944.7999999999993</v>
      </c>
      <c r="T142">
        <f>Final_Table[[#This Row],[Gross Profit]]*Final_Table[[#This Row],[Tax Rate]]</f>
        <v>-883.43999999999971</v>
      </c>
      <c r="U142" s="5">
        <f>Final_Table[[#This Row],[Gross Profit]]-Final_Table[[#This Row],[Tax]]</f>
        <v>-2061.3599999999997</v>
      </c>
      <c r="V142" s="12">
        <f>Final_Table[[#This Row],[Net Profit]]/Final_Table[[#This Row],[Gross Revenue]]</f>
        <v>-0.10104705882352939</v>
      </c>
    </row>
    <row r="143" spans="1:22">
      <c r="A143" s="18" t="s">
        <v>35</v>
      </c>
      <c r="B143">
        <v>2013</v>
      </c>
      <c r="C143" t="s">
        <v>119</v>
      </c>
      <c r="D143">
        <v>1</v>
      </c>
      <c r="E143" s="18" t="s">
        <v>30</v>
      </c>
      <c r="F143" s="18" t="s">
        <v>113</v>
      </c>
      <c r="G143" s="18" t="s">
        <v>23</v>
      </c>
      <c r="H143" s="18" t="str">
        <f>Assumptions!$B$2</f>
        <v>Worst</v>
      </c>
      <c r="I143" s="18">
        <f>_xlfn.XLOOKUP(Assumptions!$B$2,Assumptions!$F$4:$H$4,Assumptions!$F$5:$H$5)</f>
        <v>1200</v>
      </c>
      <c r="J143" s="18">
        <f>_xlfn.XLOOKUP(Assumptions!$B$2,Assumptions!$F$4:$H$4,Assumptions!$F$6:$H$6)</f>
        <v>17</v>
      </c>
      <c r="K143" s="12">
        <f>_xlfn.XLOOKUP(Assumptions!$B$2,Assumptions!$F$4:$H$4,Assumptions!$F$8:$H$8)</f>
        <v>0.1</v>
      </c>
      <c r="L143" s="12">
        <f>_xlfn.XLOOKUP(Assumptions!$B$2,Assumptions!$F$4:$H$4,Assumptions!$F$9:$H$9)</f>
        <v>0.18</v>
      </c>
      <c r="M143" s="18">
        <f>_xlfn.XLOOKUP(Assumptions!$B$2,Assumptions!$F$4:$H$4,Assumptions!$F$10:$H$10)</f>
        <v>18000</v>
      </c>
      <c r="N143" s="12">
        <f>_xlfn.XLOOKUP(Assumptions!$B$2,Assumptions!$F$4:$H$4,Assumptions!$F$11:$H$11)</f>
        <v>0.3</v>
      </c>
      <c r="O143" s="14">
        <f>Final_Table[[#This Row],[Units Sold]]*Final_Table[[#This Row],[Sale Price]]</f>
        <v>20400</v>
      </c>
      <c r="P143" s="14">
        <f>Final_Table[[#This Row],[Gross Revenue]]*(1-Final_Table[[#This Row],[Discount %]])</f>
        <v>18360</v>
      </c>
      <c r="Q143">
        <f>Final_Table[[#This Row],[Net Revenue]]*Final_Table[[#This Row],[Variable Cost %]]</f>
        <v>3304.7999999999997</v>
      </c>
      <c r="R143">
        <f>Final_Table[[#This Row],[Variable Cost]]+Final_Table[[#This Row],[Fixed Monthly Cost]]</f>
        <v>21304.799999999999</v>
      </c>
      <c r="S143" s="5">
        <f>Final_Table[[#This Row],[Net Revenue]]-Final_Table[[#This Row],[Total Cost (COGS)]]</f>
        <v>-2944.7999999999993</v>
      </c>
      <c r="T143">
        <f>Final_Table[[#This Row],[Gross Profit]]*Final_Table[[#This Row],[Tax Rate]]</f>
        <v>-883.43999999999971</v>
      </c>
      <c r="U143" s="5">
        <f>Final_Table[[#This Row],[Gross Profit]]-Final_Table[[#This Row],[Tax]]</f>
        <v>-2061.3599999999997</v>
      </c>
      <c r="V143" s="12">
        <f>Final_Table[[#This Row],[Net Profit]]/Final_Table[[#This Row],[Gross Revenue]]</f>
        <v>-0.10104705882352939</v>
      </c>
    </row>
    <row r="144" spans="1:22">
      <c r="A144" s="18" t="s">
        <v>35</v>
      </c>
      <c r="B144">
        <v>2013</v>
      </c>
      <c r="C144" t="s">
        <v>119</v>
      </c>
      <c r="D144">
        <v>1</v>
      </c>
      <c r="E144" s="18" t="s">
        <v>30</v>
      </c>
      <c r="F144" s="18" t="s">
        <v>113</v>
      </c>
      <c r="G144" s="18" t="s">
        <v>21</v>
      </c>
      <c r="H144" s="18" t="str">
        <f>Assumptions!$B$2</f>
        <v>Worst</v>
      </c>
      <c r="I144" s="18">
        <f>_xlfn.XLOOKUP(Assumptions!$B$2,Assumptions!$F$4:$H$4,Assumptions!$F$5:$H$5)</f>
        <v>1200</v>
      </c>
      <c r="J144" s="18">
        <f>_xlfn.XLOOKUP(Assumptions!$B$2,Assumptions!$F$4:$H$4,Assumptions!$F$6:$H$6)</f>
        <v>17</v>
      </c>
      <c r="K144" s="12">
        <f>_xlfn.XLOOKUP(Assumptions!$B$2,Assumptions!$F$4:$H$4,Assumptions!$F$8:$H$8)</f>
        <v>0.1</v>
      </c>
      <c r="L144" s="12">
        <f>_xlfn.XLOOKUP(Assumptions!$B$2,Assumptions!$F$4:$H$4,Assumptions!$F$9:$H$9)</f>
        <v>0.18</v>
      </c>
      <c r="M144" s="18">
        <f>_xlfn.XLOOKUP(Assumptions!$B$2,Assumptions!$F$4:$H$4,Assumptions!$F$10:$H$10)</f>
        <v>18000</v>
      </c>
      <c r="N144" s="12">
        <f>_xlfn.XLOOKUP(Assumptions!$B$2,Assumptions!$F$4:$H$4,Assumptions!$F$11:$H$11)</f>
        <v>0.3</v>
      </c>
      <c r="O144" s="14">
        <f>Final_Table[[#This Row],[Units Sold]]*Final_Table[[#This Row],[Sale Price]]</f>
        <v>20400</v>
      </c>
      <c r="P144" s="14">
        <f>Final_Table[[#This Row],[Gross Revenue]]*(1-Final_Table[[#This Row],[Discount %]])</f>
        <v>18360</v>
      </c>
      <c r="Q144">
        <f>Final_Table[[#This Row],[Net Revenue]]*Final_Table[[#This Row],[Variable Cost %]]</f>
        <v>3304.7999999999997</v>
      </c>
      <c r="R144">
        <f>Final_Table[[#This Row],[Variable Cost]]+Final_Table[[#This Row],[Fixed Monthly Cost]]</f>
        <v>21304.799999999999</v>
      </c>
      <c r="S144" s="5">
        <f>Final_Table[[#This Row],[Net Revenue]]-Final_Table[[#This Row],[Total Cost (COGS)]]</f>
        <v>-2944.7999999999993</v>
      </c>
      <c r="T144">
        <f>Final_Table[[#This Row],[Gross Profit]]*Final_Table[[#This Row],[Tax Rate]]</f>
        <v>-883.43999999999971</v>
      </c>
      <c r="U144" s="5">
        <f>Final_Table[[#This Row],[Gross Profit]]-Final_Table[[#This Row],[Tax]]</f>
        <v>-2061.3599999999997</v>
      </c>
      <c r="V144" s="12">
        <f>Final_Table[[#This Row],[Net Profit]]/Final_Table[[#This Row],[Gross Revenue]]</f>
        <v>-0.10104705882352939</v>
      </c>
    </row>
    <row r="145" spans="1:22">
      <c r="A145" s="18" t="s">
        <v>35</v>
      </c>
      <c r="B145">
        <v>2013</v>
      </c>
      <c r="C145" t="s">
        <v>119</v>
      </c>
      <c r="D145">
        <v>1</v>
      </c>
      <c r="E145" s="18" t="s">
        <v>30</v>
      </c>
      <c r="F145" s="18" t="s">
        <v>113</v>
      </c>
      <c r="G145" s="18" t="s">
        <v>25</v>
      </c>
      <c r="H145" s="18" t="str">
        <f>Assumptions!$B$2</f>
        <v>Worst</v>
      </c>
      <c r="I145" s="18">
        <f>_xlfn.XLOOKUP(Assumptions!$B$2,Assumptions!$F$4:$H$4,Assumptions!$F$5:$H$5)</f>
        <v>1200</v>
      </c>
      <c r="J145" s="18">
        <f>_xlfn.XLOOKUP(Assumptions!$B$2,Assumptions!$F$4:$H$4,Assumptions!$F$6:$H$6)</f>
        <v>17</v>
      </c>
      <c r="K145" s="12">
        <f>_xlfn.XLOOKUP(Assumptions!$B$2,Assumptions!$F$4:$H$4,Assumptions!$F$8:$H$8)</f>
        <v>0.1</v>
      </c>
      <c r="L145" s="12">
        <f>_xlfn.XLOOKUP(Assumptions!$B$2,Assumptions!$F$4:$H$4,Assumptions!$F$9:$H$9)</f>
        <v>0.18</v>
      </c>
      <c r="M145" s="18">
        <f>_xlfn.XLOOKUP(Assumptions!$B$2,Assumptions!$F$4:$H$4,Assumptions!$F$10:$H$10)</f>
        <v>18000</v>
      </c>
      <c r="N145" s="12">
        <f>_xlfn.XLOOKUP(Assumptions!$B$2,Assumptions!$F$4:$H$4,Assumptions!$F$11:$H$11)</f>
        <v>0.3</v>
      </c>
      <c r="O145" s="14">
        <f>Final_Table[[#This Row],[Units Sold]]*Final_Table[[#This Row],[Sale Price]]</f>
        <v>20400</v>
      </c>
      <c r="P145" s="14">
        <f>Final_Table[[#This Row],[Gross Revenue]]*(1-Final_Table[[#This Row],[Discount %]])</f>
        <v>18360</v>
      </c>
      <c r="Q145">
        <f>Final_Table[[#This Row],[Net Revenue]]*Final_Table[[#This Row],[Variable Cost %]]</f>
        <v>3304.7999999999997</v>
      </c>
      <c r="R145">
        <f>Final_Table[[#This Row],[Variable Cost]]+Final_Table[[#This Row],[Fixed Monthly Cost]]</f>
        <v>21304.799999999999</v>
      </c>
      <c r="S145" s="5">
        <f>Final_Table[[#This Row],[Net Revenue]]-Final_Table[[#This Row],[Total Cost (COGS)]]</f>
        <v>-2944.7999999999993</v>
      </c>
      <c r="T145">
        <f>Final_Table[[#This Row],[Gross Profit]]*Final_Table[[#This Row],[Tax Rate]]</f>
        <v>-883.43999999999971</v>
      </c>
      <c r="U145" s="5">
        <f>Final_Table[[#This Row],[Gross Profit]]-Final_Table[[#This Row],[Tax]]</f>
        <v>-2061.3599999999997</v>
      </c>
      <c r="V145" s="12">
        <f>Final_Table[[#This Row],[Net Profit]]/Final_Table[[#This Row],[Gross Revenue]]</f>
        <v>-0.10104705882352939</v>
      </c>
    </row>
    <row r="146" spans="1:22">
      <c r="A146" s="18" t="s">
        <v>35</v>
      </c>
      <c r="B146">
        <v>2013</v>
      </c>
      <c r="C146" t="s">
        <v>119</v>
      </c>
      <c r="D146">
        <v>1</v>
      </c>
      <c r="E146" s="18" t="s">
        <v>30</v>
      </c>
      <c r="F146" s="18" t="s">
        <v>113</v>
      </c>
      <c r="G146" s="18" t="s">
        <v>17</v>
      </c>
      <c r="H146" s="18" t="str">
        <f>Assumptions!$B$2</f>
        <v>Worst</v>
      </c>
      <c r="I146" s="18">
        <f>_xlfn.XLOOKUP(Assumptions!$B$2,Assumptions!$F$4:$H$4,Assumptions!$F$5:$H$5)</f>
        <v>1200</v>
      </c>
      <c r="J146" s="18">
        <f>_xlfn.XLOOKUP(Assumptions!$B$2,Assumptions!$F$4:$H$4,Assumptions!$F$6:$H$6)</f>
        <v>17</v>
      </c>
      <c r="K146" s="12">
        <f>_xlfn.XLOOKUP(Assumptions!$B$2,Assumptions!$F$4:$H$4,Assumptions!$F$8:$H$8)</f>
        <v>0.1</v>
      </c>
      <c r="L146" s="12">
        <f>_xlfn.XLOOKUP(Assumptions!$B$2,Assumptions!$F$4:$H$4,Assumptions!$F$9:$H$9)</f>
        <v>0.18</v>
      </c>
      <c r="M146" s="18">
        <f>_xlfn.XLOOKUP(Assumptions!$B$2,Assumptions!$F$4:$H$4,Assumptions!$F$10:$H$10)</f>
        <v>18000</v>
      </c>
      <c r="N146" s="12">
        <f>_xlfn.XLOOKUP(Assumptions!$B$2,Assumptions!$F$4:$H$4,Assumptions!$F$11:$H$11)</f>
        <v>0.3</v>
      </c>
      <c r="O146" s="14">
        <f>Final_Table[[#This Row],[Units Sold]]*Final_Table[[#This Row],[Sale Price]]</f>
        <v>20400</v>
      </c>
      <c r="P146" s="14">
        <f>Final_Table[[#This Row],[Gross Revenue]]*(1-Final_Table[[#This Row],[Discount %]])</f>
        <v>18360</v>
      </c>
      <c r="Q146">
        <f>Final_Table[[#This Row],[Net Revenue]]*Final_Table[[#This Row],[Variable Cost %]]</f>
        <v>3304.7999999999997</v>
      </c>
      <c r="R146">
        <f>Final_Table[[#This Row],[Variable Cost]]+Final_Table[[#This Row],[Fixed Monthly Cost]]</f>
        <v>21304.799999999999</v>
      </c>
      <c r="S146" s="5">
        <f>Final_Table[[#This Row],[Net Revenue]]-Final_Table[[#This Row],[Total Cost (COGS)]]</f>
        <v>-2944.7999999999993</v>
      </c>
      <c r="T146">
        <f>Final_Table[[#This Row],[Gross Profit]]*Final_Table[[#This Row],[Tax Rate]]</f>
        <v>-883.43999999999971</v>
      </c>
      <c r="U146" s="5">
        <f>Final_Table[[#This Row],[Gross Profit]]-Final_Table[[#This Row],[Tax]]</f>
        <v>-2061.3599999999997</v>
      </c>
      <c r="V146" s="12">
        <f>Final_Table[[#This Row],[Net Profit]]/Final_Table[[#This Row],[Gross Revenue]]</f>
        <v>-0.10104705882352939</v>
      </c>
    </row>
    <row r="147" spans="1:22">
      <c r="A147" s="18" t="s">
        <v>35</v>
      </c>
      <c r="B147">
        <v>2013</v>
      </c>
      <c r="C147" t="s">
        <v>119</v>
      </c>
      <c r="D147">
        <v>1</v>
      </c>
      <c r="E147" s="18" t="s">
        <v>30</v>
      </c>
      <c r="F147" s="18" t="s">
        <v>114</v>
      </c>
      <c r="G147" s="18" t="s">
        <v>36</v>
      </c>
      <c r="H147" s="18" t="str">
        <f>Assumptions!$B$2</f>
        <v>Worst</v>
      </c>
      <c r="I147" s="18">
        <f>_xlfn.XLOOKUP(Assumptions!$B$2,Assumptions!$F$4:$H$4,Assumptions!$F$5:$H$5)</f>
        <v>1200</v>
      </c>
      <c r="J147" s="18">
        <f>_xlfn.XLOOKUP(Assumptions!$B$2,Assumptions!$F$4:$H$4,Assumptions!$F$6:$H$6)</f>
        <v>17</v>
      </c>
      <c r="K147" s="12">
        <f>_xlfn.XLOOKUP(Assumptions!$B$2,Assumptions!$F$4:$H$4,Assumptions!$F$8:$H$8)</f>
        <v>0.1</v>
      </c>
      <c r="L147" s="12">
        <f>_xlfn.XLOOKUP(Assumptions!$B$2,Assumptions!$F$4:$H$4,Assumptions!$F$9:$H$9)</f>
        <v>0.18</v>
      </c>
      <c r="M147" s="18">
        <f>_xlfn.XLOOKUP(Assumptions!$B$2,Assumptions!$F$4:$H$4,Assumptions!$F$10:$H$10)</f>
        <v>18000</v>
      </c>
      <c r="N147" s="12">
        <f>_xlfn.XLOOKUP(Assumptions!$B$2,Assumptions!$F$4:$H$4,Assumptions!$F$11:$H$11)</f>
        <v>0.3</v>
      </c>
      <c r="O147" s="14">
        <f>Final_Table[[#This Row],[Units Sold]]*Final_Table[[#This Row],[Sale Price]]</f>
        <v>20400</v>
      </c>
      <c r="P147" s="14">
        <f>Final_Table[[#This Row],[Gross Revenue]]*(1-Final_Table[[#This Row],[Discount %]])</f>
        <v>18360</v>
      </c>
      <c r="Q147">
        <f>Final_Table[[#This Row],[Net Revenue]]*Final_Table[[#This Row],[Variable Cost %]]</f>
        <v>3304.7999999999997</v>
      </c>
      <c r="R147">
        <f>Final_Table[[#This Row],[Variable Cost]]+Final_Table[[#This Row],[Fixed Monthly Cost]]</f>
        <v>21304.799999999999</v>
      </c>
      <c r="S147" s="5">
        <f>Final_Table[[#This Row],[Net Revenue]]-Final_Table[[#This Row],[Total Cost (COGS)]]</f>
        <v>-2944.7999999999993</v>
      </c>
      <c r="T147">
        <f>Final_Table[[#This Row],[Gross Profit]]*Final_Table[[#This Row],[Tax Rate]]</f>
        <v>-883.43999999999971</v>
      </c>
      <c r="U147" s="5">
        <f>Final_Table[[#This Row],[Gross Profit]]-Final_Table[[#This Row],[Tax]]</f>
        <v>-2061.3599999999997</v>
      </c>
      <c r="V147" s="12">
        <f>Final_Table[[#This Row],[Net Profit]]/Final_Table[[#This Row],[Gross Revenue]]</f>
        <v>-0.10104705882352939</v>
      </c>
    </row>
    <row r="148" spans="1:22">
      <c r="A148" s="18" t="s">
        <v>35</v>
      </c>
      <c r="B148">
        <v>2013</v>
      </c>
      <c r="C148" t="s">
        <v>119</v>
      </c>
      <c r="D148">
        <v>1</v>
      </c>
      <c r="E148" s="18" t="s">
        <v>30</v>
      </c>
      <c r="F148" s="18" t="s">
        <v>114</v>
      </c>
      <c r="G148" s="18" t="s">
        <v>23</v>
      </c>
      <c r="H148" s="18" t="str">
        <f>Assumptions!$B$2</f>
        <v>Worst</v>
      </c>
      <c r="I148" s="18">
        <f>_xlfn.XLOOKUP(Assumptions!$B$2,Assumptions!$F$4:$H$4,Assumptions!$F$5:$H$5)</f>
        <v>1200</v>
      </c>
      <c r="J148" s="18">
        <f>_xlfn.XLOOKUP(Assumptions!$B$2,Assumptions!$F$4:$H$4,Assumptions!$F$6:$H$6)</f>
        <v>17</v>
      </c>
      <c r="K148" s="12">
        <f>_xlfn.XLOOKUP(Assumptions!$B$2,Assumptions!$F$4:$H$4,Assumptions!$F$8:$H$8)</f>
        <v>0.1</v>
      </c>
      <c r="L148" s="12">
        <f>_xlfn.XLOOKUP(Assumptions!$B$2,Assumptions!$F$4:$H$4,Assumptions!$F$9:$H$9)</f>
        <v>0.18</v>
      </c>
      <c r="M148" s="18">
        <f>_xlfn.XLOOKUP(Assumptions!$B$2,Assumptions!$F$4:$H$4,Assumptions!$F$10:$H$10)</f>
        <v>18000</v>
      </c>
      <c r="N148" s="12">
        <f>_xlfn.XLOOKUP(Assumptions!$B$2,Assumptions!$F$4:$H$4,Assumptions!$F$11:$H$11)</f>
        <v>0.3</v>
      </c>
      <c r="O148" s="14">
        <f>Final_Table[[#This Row],[Units Sold]]*Final_Table[[#This Row],[Sale Price]]</f>
        <v>20400</v>
      </c>
      <c r="P148" s="14">
        <f>Final_Table[[#This Row],[Gross Revenue]]*(1-Final_Table[[#This Row],[Discount %]])</f>
        <v>18360</v>
      </c>
      <c r="Q148">
        <f>Final_Table[[#This Row],[Net Revenue]]*Final_Table[[#This Row],[Variable Cost %]]</f>
        <v>3304.7999999999997</v>
      </c>
      <c r="R148">
        <f>Final_Table[[#This Row],[Variable Cost]]+Final_Table[[#This Row],[Fixed Monthly Cost]]</f>
        <v>21304.799999999999</v>
      </c>
      <c r="S148" s="5">
        <f>Final_Table[[#This Row],[Net Revenue]]-Final_Table[[#This Row],[Total Cost (COGS)]]</f>
        <v>-2944.7999999999993</v>
      </c>
      <c r="T148">
        <f>Final_Table[[#This Row],[Gross Profit]]*Final_Table[[#This Row],[Tax Rate]]</f>
        <v>-883.43999999999971</v>
      </c>
      <c r="U148" s="5">
        <f>Final_Table[[#This Row],[Gross Profit]]-Final_Table[[#This Row],[Tax]]</f>
        <v>-2061.3599999999997</v>
      </c>
      <c r="V148" s="12">
        <f>Final_Table[[#This Row],[Net Profit]]/Final_Table[[#This Row],[Gross Revenue]]</f>
        <v>-0.10104705882352939</v>
      </c>
    </row>
    <row r="149" spans="1:22">
      <c r="A149" s="18" t="s">
        <v>35</v>
      </c>
      <c r="B149">
        <v>2013</v>
      </c>
      <c r="C149" t="s">
        <v>119</v>
      </c>
      <c r="D149">
        <v>1</v>
      </c>
      <c r="E149" s="18" t="s">
        <v>30</v>
      </c>
      <c r="F149" s="18" t="s">
        <v>114</v>
      </c>
      <c r="G149" s="18" t="s">
        <v>21</v>
      </c>
      <c r="H149" s="18" t="str">
        <f>Assumptions!$B$2</f>
        <v>Worst</v>
      </c>
      <c r="I149" s="18">
        <f>_xlfn.XLOOKUP(Assumptions!$B$2,Assumptions!$F$4:$H$4,Assumptions!$F$5:$H$5)</f>
        <v>1200</v>
      </c>
      <c r="J149" s="18">
        <f>_xlfn.XLOOKUP(Assumptions!$B$2,Assumptions!$F$4:$H$4,Assumptions!$F$6:$H$6)</f>
        <v>17</v>
      </c>
      <c r="K149" s="12">
        <f>_xlfn.XLOOKUP(Assumptions!$B$2,Assumptions!$F$4:$H$4,Assumptions!$F$8:$H$8)</f>
        <v>0.1</v>
      </c>
      <c r="L149" s="12">
        <f>_xlfn.XLOOKUP(Assumptions!$B$2,Assumptions!$F$4:$H$4,Assumptions!$F$9:$H$9)</f>
        <v>0.18</v>
      </c>
      <c r="M149" s="18">
        <f>_xlfn.XLOOKUP(Assumptions!$B$2,Assumptions!$F$4:$H$4,Assumptions!$F$10:$H$10)</f>
        <v>18000</v>
      </c>
      <c r="N149" s="12">
        <f>_xlfn.XLOOKUP(Assumptions!$B$2,Assumptions!$F$4:$H$4,Assumptions!$F$11:$H$11)</f>
        <v>0.3</v>
      </c>
      <c r="O149" s="14">
        <f>Final_Table[[#This Row],[Units Sold]]*Final_Table[[#This Row],[Sale Price]]</f>
        <v>20400</v>
      </c>
      <c r="P149" s="14">
        <f>Final_Table[[#This Row],[Gross Revenue]]*(1-Final_Table[[#This Row],[Discount %]])</f>
        <v>18360</v>
      </c>
      <c r="Q149">
        <f>Final_Table[[#This Row],[Net Revenue]]*Final_Table[[#This Row],[Variable Cost %]]</f>
        <v>3304.7999999999997</v>
      </c>
      <c r="R149">
        <f>Final_Table[[#This Row],[Variable Cost]]+Final_Table[[#This Row],[Fixed Monthly Cost]]</f>
        <v>21304.799999999999</v>
      </c>
      <c r="S149" s="5">
        <f>Final_Table[[#This Row],[Net Revenue]]-Final_Table[[#This Row],[Total Cost (COGS)]]</f>
        <v>-2944.7999999999993</v>
      </c>
      <c r="T149">
        <f>Final_Table[[#This Row],[Gross Profit]]*Final_Table[[#This Row],[Tax Rate]]</f>
        <v>-883.43999999999971</v>
      </c>
      <c r="U149" s="5">
        <f>Final_Table[[#This Row],[Gross Profit]]-Final_Table[[#This Row],[Tax]]</f>
        <v>-2061.3599999999997</v>
      </c>
      <c r="V149" s="12">
        <f>Final_Table[[#This Row],[Net Profit]]/Final_Table[[#This Row],[Gross Revenue]]</f>
        <v>-0.10104705882352939</v>
      </c>
    </row>
    <row r="150" spans="1:22">
      <c r="A150" s="18" t="s">
        <v>35</v>
      </c>
      <c r="B150">
        <v>2013</v>
      </c>
      <c r="C150" t="s">
        <v>119</v>
      </c>
      <c r="D150">
        <v>1</v>
      </c>
      <c r="E150" s="18" t="s">
        <v>30</v>
      </c>
      <c r="F150" s="18" t="s">
        <v>114</v>
      </c>
      <c r="G150" s="18" t="s">
        <v>25</v>
      </c>
      <c r="H150" s="18" t="str">
        <f>Assumptions!$B$2</f>
        <v>Worst</v>
      </c>
      <c r="I150" s="18">
        <f>_xlfn.XLOOKUP(Assumptions!$B$2,Assumptions!$F$4:$H$4,Assumptions!$F$5:$H$5)</f>
        <v>1200</v>
      </c>
      <c r="J150" s="18">
        <f>_xlfn.XLOOKUP(Assumptions!$B$2,Assumptions!$F$4:$H$4,Assumptions!$F$6:$H$6)</f>
        <v>17</v>
      </c>
      <c r="K150" s="12">
        <f>_xlfn.XLOOKUP(Assumptions!$B$2,Assumptions!$F$4:$H$4,Assumptions!$F$8:$H$8)</f>
        <v>0.1</v>
      </c>
      <c r="L150" s="12">
        <f>_xlfn.XLOOKUP(Assumptions!$B$2,Assumptions!$F$4:$H$4,Assumptions!$F$9:$H$9)</f>
        <v>0.18</v>
      </c>
      <c r="M150" s="18">
        <f>_xlfn.XLOOKUP(Assumptions!$B$2,Assumptions!$F$4:$H$4,Assumptions!$F$10:$H$10)</f>
        <v>18000</v>
      </c>
      <c r="N150" s="12">
        <f>_xlfn.XLOOKUP(Assumptions!$B$2,Assumptions!$F$4:$H$4,Assumptions!$F$11:$H$11)</f>
        <v>0.3</v>
      </c>
      <c r="O150" s="14">
        <f>Final_Table[[#This Row],[Units Sold]]*Final_Table[[#This Row],[Sale Price]]</f>
        <v>20400</v>
      </c>
      <c r="P150" s="14">
        <f>Final_Table[[#This Row],[Gross Revenue]]*(1-Final_Table[[#This Row],[Discount %]])</f>
        <v>18360</v>
      </c>
      <c r="Q150">
        <f>Final_Table[[#This Row],[Net Revenue]]*Final_Table[[#This Row],[Variable Cost %]]</f>
        <v>3304.7999999999997</v>
      </c>
      <c r="R150">
        <f>Final_Table[[#This Row],[Variable Cost]]+Final_Table[[#This Row],[Fixed Monthly Cost]]</f>
        <v>21304.799999999999</v>
      </c>
      <c r="S150" s="5">
        <f>Final_Table[[#This Row],[Net Revenue]]-Final_Table[[#This Row],[Total Cost (COGS)]]</f>
        <v>-2944.7999999999993</v>
      </c>
      <c r="T150">
        <f>Final_Table[[#This Row],[Gross Profit]]*Final_Table[[#This Row],[Tax Rate]]</f>
        <v>-883.43999999999971</v>
      </c>
      <c r="U150" s="5">
        <f>Final_Table[[#This Row],[Gross Profit]]-Final_Table[[#This Row],[Tax]]</f>
        <v>-2061.3599999999997</v>
      </c>
      <c r="V150" s="12">
        <f>Final_Table[[#This Row],[Net Profit]]/Final_Table[[#This Row],[Gross Revenue]]</f>
        <v>-0.10104705882352939</v>
      </c>
    </row>
    <row r="151" spans="1:22">
      <c r="A151" s="18" t="s">
        <v>35</v>
      </c>
      <c r="B151">
        <v>2013</v>
      </c>
      <c r="C151" t="s">
        <v>119</v>
      </c>
      <c r="D151">
        <v>1</v>
      </c>
      <c r="E151" s="18" t="s">
        <v>30</v>
      </c>
      <c r="F151" s="18" t="s">
        <v>114</v>
      </c>
      <c r="G151" s="18" t="s">
        <v>17</v>
      </c>
      <c r="H151" s="18" t="str">
        <f>Assumptions!$B$2</f>
        <v>Worst</v>
      </c>
      <c r="I151" s="18">
        <f>_xlfn.XLOOKUP(Assumptions!$B$2,Assumptions!$F$4:$H$4,Assumptions!$F$5:$H$5)</f>
        <v>1200</v>
      </c>
      <c r="J151" s="18">
        <f>_xlfn.XLOOKUP(Assumptions!$B$2,Assumptions!$F$4:$H$4,Assumptions!$F$6:$H$6)</f>
        <v>17</v>
      </c>
      <c r="K151" s="12">
        <f>_xlfn.XLOOKUP(Assumptions!$B$2,Assumptions!$F$4:$H$4,Assumptions!$F$8:$H$8)</f>
        <v>0.1</v>
      </c>
      <c r="L151" s="12">
        <f>_xlfn.XLOOKUP(Assumptions!$B$2,Assumptions!$F$4:$H$4,Assumptions!$F$9:$H$9)</f>
        <v>0.18</v>
      </c>
      <c r="M151" s="18">
        <f>_xlfn.XLOOKUP(Assumptions!$B$2,Assumptions!$F$4:$H$4,Assumptions!$F$10:$H$10)</f>
        <v>18000</v>
      </c>
      <c r="N151" s="12">
        <f>_xlfn.XLOOKUP(Assumptions!$B$2,Assumptions!$F$4:$H$4,Assumptions!$F$11:$H$11)</f>
        <v>0.3</v>
      </c>
      <c r="O151" s="14">
        <f>Final_Table[[#This Row],[Units Sold]]*Final_Table[[#This Row],[Sale Price]]</f>
        <v>20400</v>
      </c>
      <c r="P151" s="14">
        <f>Final_Table[[#This Row],[Gross Revenue]]*(1-Final_Table[[#This Row],[Discount %]])</f>
        <v>18360</v>
      </c>
      <c r="Q151">
        <f>Final_Table[[#This Row],[Net Revenue]]*Final_Table[[#This Row],[Variable Cost %]]</f>
        <v>3304.7999999999997</v>
      </c>
      <c r="R151">
        <f>Final_Table[[#This Row],[Variable Cost]]+Final_Table[[#This Row],[Fixed Monthly Cost]]</f>
        <v>21304.799999999999</v>
      </c>
      <c r="S151" s="5">
        <f>Final_Table[[#This Row],[Net Revenue]]-Final_Table[[#This Row],[Total Cost (COGS)]]</f>
        <v>-2944.7999999999993</v>
      </c>
      <c r="T151">
        <f>Final_Table[[#This Row],[Gross Profit]]*Final_Table[[#This Row],[Tax Rate]]</f>
        <v>-883.43999999999971</v>
      </c>
      <c r="U151" s="5">
        <f>Final_Table[[#This Row],[Gross Profit]]-Final_Table[[#This Row],[Tax]]</f>
        <v>-2061.3599999999997</v>
      </c>
      <c r="V151" s="12">
        <f>Final_Table[[#This Row],[Net Profit]]/Final_Table[[#This Row],[Gross Revenue]]</f>
        <v>-0.10104705882352939</v>
      </c>
    </row>
    <row r="152" spans="1:22">
      <c r="A152" s="18" t="s">
        <v>35</v>
      </c>
      <c r="B152">
        <v>2013</v>
      </c>
      <c r="C152" t="s">
        <v>119</v>
      </c>
      <c r="D152">
        <v>1</v>
      </c>
      <c r="E152" s="18" t="s">
        <v>29</v>
      </c>
      <c r="F152" s="18" t="s">
        <v>80</v>
      </c>
      <c r="G152" s="18" t="s">
        <v>36</v>
      </c>
      <c r="H152" s="18" t="str">
        <f>Assumptions!$B$2</f>
        <v>Worst</v>
      </c>
      <c r="I152" s="18">
        <f>_xlfn.XLOOKUP(Assumptions!$B$2,Assumptions!$F$4:$H$4,Assumptions!$F$5:$H$5)</f>
        <v>1200</v>
      </c>
      <c r="J152" s="18">
        <f>_xlfn.XLOOKUP(Assumptions!$B$2,Assumptions!$F$4:$H$4,Assumptions!$F$6:$H$6)</f>
        <v>17</v>
      </c>
      <c r="K152" s="12">
        <f>_xlfn.XLOOKUP(Assumptions!$B$2,Assumptions!$F$4:$H$4,Assumptions!$F$8:$H$8)</f>
        <v>0.1</v>
      </c>
      <c r="L152" s="12">
        <f>_xlfn.XLOOKUP(Assumptions!$B$2,Assumptions!$F$4:$H$4,Assumptions!$F$9:$H$9)</f>
        <v>0.18</v>
      </c>
      <c r="M152" s="18">
        <f>_xlfn.XLOOKUP(Assumptions!$B$2,Assumptions!$F$4:$H$4,Assumptions!$F$10:$H$10)</f>
        <v>18000</v>
      </c>
      <c r="N152" s="12">
        <f>_xlfn.XLOOKUP(Assumptions!$B$2,Assumptions!$F$4:$H$4,Assumptions!$F$11:$H$11)</f>
        <v>0.3</v>
      </c>
      <c r="O152" s="14">
        <f>Final_Table[[#This Row],[Units Sold]]*Final_Table[[#This Row],[Sale Price]]</f>
        <v>20400</v>
      </c>
      <c r="P152" s="14">
        <f>Final_Table[[#This Row],[Gross Revenue]]*(1-Final_Table[[#This Row],[Discount %]])</f>
        <v>18360</v>
      </c>
      <c r="Q152">
        <f>Final_Table[[#This Row],[Net Revenue]]*Final_Table[[#This Row],[Variable Cost %]]</f>
        <v>3304.7999999999997</v>
      </c>
      <c r="R152">
        <f>Final_Table[[#This Row],[Variable Cost]]+Final_Table[[#This Row],[Fixed Monthly Cost]]</f>
        <v>21304.799999999999</v>
      </c>
      <c r="S152" s="5">
        <f>Final_Table[[#This Row],[Net Revenue]]-Final_Table[[#This Row],[Total Cost (COGS)]]</f>
        <v>-2944.7999999999993</v>
      </c>
      <c r="T152">
        <f>Final_Table[[#This Row],[Gross Profit]]*Final_Table[[#This Row],[Tax Rate]]</f>
        <v>-883.43999999999971</v>
      </c>
      <c r="U152" s="5">
        <f>Final_Table[[#This Row],[Gross Profit]]-Final_Table[[#This Row],[Tax]]</f>
        <v>-2061.3599999999997</v>
      </c>
      <c r="V152" s="12">
        <f>Final_Table[[#This Row],[Net Profit]]/Final_Table[[#This Row],[Gross Revenue]]</f>
        <v>-0.10104705882352939</v>
      </c>
    </row>
    <row r="153" spans="1:22">
      <c r="A153" s="18" t="s">
        <v>35</v>
      </c>
      <c r="B153">
        <v>2013</v>
      </c>
      <c r="C153" t="s">
        <v>119</v>
      </c>
      <c r="D153">
        <v>1</v>
      </c>
      <c r="E153" s="18" t="s">
        <v>29</v>
      </c>
      <c r="F153" s="18" t="s">
        <v>80</v>
      </c>
      <c r="G153" s="18" t="s">
        <v>23</v>
      </c>
      <c r="H153" s="18" t="str">
        <f>Assumptions!$B$2</f>
        <v>Worst</v>
      </c>
      <c r="I153" s="18">
        <f>_xlfn.XLOOKUP(Assumptions!$B$2,Assumptions!$F$4:$H$4,Assumptions!$F$5:$H$5)</f>
        <v>1200</v>
      </c>
      <c r="J153" s="18">
        <f>_xlfn.XLOOKUP(Assumptions!$B$2,Assumptions!$F$4:$H$4,Assumptions!$F$6:$H$6)</f>
        <v>17</v>
      </c>
      <c r="K153" s="12">
        <f>_xlfn.XLOOKUP(Assumptions!$B$2,Assumptions!$F$4:$H$4,Assumptions!$F$8:$H$8)</f>
        <v>0.1</v>
      </c>
      <c r="L153" s="12">
        <f>_xlfn.XLOOKUP(Assumptions!$B$2,Assumptions!$F$4:$H$4,Assumptions!$F$9:$H$9)</f>
        <v>0.18</v>
      </c>
      <c r="M153" s="18">
        <f>_xlfn.XLOOKUP(Assumptions!$B$2,Assumptions!$F$4:$H$4,Assumptions!$F$10:$H$10)</f>
        <v>18000</v>
      </c>
      <c r="N153" s="12">
        <f>_xlfn.XLOOKUP(Assumptions!$B$2,Assumptions!$F$4:$H$4,Assumptions!$F$11:$H$11)</f>
        <v>0.3</v>
      </c>
      <c r="O153" s="14">
        <f>Final_Table[[#This Row],[Units Sold]]*Final_Table[[#This Row],[Sale Price]]</f>
        <v>20400</v>
      </c>
      <c r="P153" s="14">
        <f>Final_Table[[#This Row],[Gross Revenue]]*(1-Final_Table[[#This Row],[Discount %]])</f>
        <v>18360</v>
      </c>
      <c r="Q153">
        <f>Final_Table[[#This Row],[Net Revenue]]*Final_Table[[#This Row],[Variable Cost %]]</f>
        <v>3304.7999999999997</v>
      </c>
      <c r="R153">
        <f>Final_Table[[#This Row],[Variable Cost]]+Final_Table[[#This Row],[Fixed Monthly Cost]]</f>
        <v>21304.799999999999</v>
      </c>
      <c r="S153" s="5">
        <f>Final_Table[[#This Row],[Net Revenue]]-Final_Table[[#This Row],[Total Cost (COGS)]]</f>
        <v>-2944.7999999999993</v>
      </c>
      <c r="T153">
        <f>Final_Table[[#This Row],[Gross Profit]]*Final_Table[[#This Row],[Tax Rate]]</f>
        <v>-883.43999999999971</v>
      </c>
      <c r="U153" s="5">
        <f>Final_Table[[#This Row],[Gross Profit]]-Final_Table[[#This Row],[Tax]]</f>
        <v>-2061.3599999999997</v>
      </c>
      <c r="V153" s="12">
        <f>Final_Table[[#This Row],[Net Profit]]/Final_Table[[#This Row],[Gross Revenue]]</f>
        <v>-0.10104705882352939</v>
      </c>
    </row>
    <row r="154" spans="1:22">
      <c r="A154" s="18" t="s">
        <v>35</v>
      </c>
      <c r="B154">
        <v>2013</v>
      </c>
      <c r="C154" t="s">
        <v>119</v>
      </c>
      <c r="D154">
        <v>1</v>
      </c>
      <c r="E154" s="18" t="s">
        <v>29</v>
      </c>
      <c r="F154" s="18" t="s">
        <v>80</v>
      </c>
      <c r="G154" s="18" t="s">
        <v>21</v>
      </c>
      <c r="H154" s="18" t="str">
        <f>Assumptions!$B$2</f>
        <v>Worst</v>
      </c>
      <c r="I154" s="18">
        <f>_xlfn.XLOOKUP(Assumptions!$B$2,Assumptions!$F$4:$H$4,Assumptions!$F$5:$H$5)</f>
        <v>1200</v>
      </c>
      <c r="J154" s="18">
        <f>_xlfn.XLOOKUP(Assumptions!$B$2,Assumptions!$F$4:$H$4,Assumptions!$F$6:$H$6)</f>
        <v>17</v>
      </c>
      <c r="K154" s="12">
        <f>_xlfn.XLOOKUP(Assumptions!$B$2,Assumptions!$F$4:$H$4,Assumptions!$F$8:$H$8)</f>
        <v>0.1</v>
      </c>
      <c r="L154" s="12">
        <f>_xlfn.XLOOKUP(Assumptions!$B$2,Assumptions!$F$4:$H$4,Assumptions!$F$9:$H$9)</f>
        <v>0.18</v>
      </c>
      <c r="M154" s="18">
        <f>_xlfn.XLOOKUP(Assumptions!$B$2,Assumptions!$F$4:$H$4,Assumptions!$F$10:$H$10)</f>
        <v>18000</v>
      </c>
      <c r="N154" s="12">
        <f>_xlfn.XLOOKUP(Assumptions!$B$2,Assumptions!$F$4:$H$4,Assumptions!$F$11:$H$11)</f>
        <v>0.3</v>
      </c>
      <c r="O154" s="14">
        <f>Final_Table[[#This Row],[Units Sold]]*Final_Table[[#This Row],[Sale Price]]</f>
        <v>20400</v>
      </c>
      <c r="P154" s="14">
        <f>Final_Table[[#This Row],[Gross Revenue]]*(1-Final_Table[[#This Row],[Discount %]])</f>
        <v>18360</v>
      </c>
      <c r="Q154">
        <f>Final_Table[[#This Row],[Net Revenue]]*Final_Table[[#This Row],[Variable Cost %]]</f>
        <v>3304.7999999999997</v>
      </c>
      <c r="R154">
        <f>Final_Table[[#This Row],[Variable Cost]]+Final_Table[[#This Row],[Fixed Monthly Cost]]</f>
        <v>21304.799999999999</v>
      </c>
      <c r="S154" s="5">
        <f>Final_Table[[#This Row],[Net Revenue]]-Final_Table[[#This Row],[Total Cost (COGS)]]</f>
        <v>-2944.7999999999993</v>
      </c>
      <c r="T154">
        <f>Final_Table[[#This Row],[Gross Profit]]*Final_Table[[#This Row],[Tax Rate]]</f>
        <v>-883.43999999999971</v>
      </c>
      <c r="U154" s="5">
        <f>Final_Table[[#This Row],[Gross Profit]]-Final_Table[[#This Row],[Tax]]</f>
        <v>-2061.3599999999997</v>
      </c>
      <c r="V154" s="12">
        <f>Final_Table[[#This Row],[Net Profit]]/Final_Table[[#This Row],[Gross Revenue]]</f>
        <v>-0.10104705882352939</v>
      </c>
    </row>
    <row r="155" spans="1:22">
      <c r="A155" s="18" t="s">
        <v>35</v>
      </c>
      <c r="B155">
        <v>2013</v>
      </c>
      <c r="C155" t="s">
        <v>119</v>
      </c>
      <c r="D155">
        <v>1</v>
      </c>
      <c r="E155" s="18" t="s">
        <v>29</v>
      </c>
      <c r="F155" s="18" t="s">
        <v>80</v>
      </c>
      <c r="G155" s="18" t="s">
        <v>25</v>
      </c>
      <c r="H155" s="18" t="str">
        <f>Assumptions!$B$2</f>
        <v>Worst</v>
      </c>
      <c r="I155" s="18">
        <f>_xlfn.XLOOKUP(Assumptions!$B$2,Assumptions!$F$4:$H$4,Assumptions!$F$5:$H$5)</f>
        <v>1200</v>
      </c>
      <c r="J155" s="18">
        <f>_xlfn.XLOOKUP(Assumptions!$B$2,Assumptions!$F$4:$H$4,Assumptions!$F$6:$H$6)</f>
        <v>17</v>
      </c>
      <c r="K155" s="12">
        <f>_xlfn.XLOOKUP(Assumptions!$B$2,Assumptions!$F$4:$H$4,Assumptions!$F$8:$H$8)</f>
        <v>0.1</v>
      </c>
      <c r="L155" s="12">
        <f>_xlfn.XLOOKUP(Assumptions!$B$2,Assumptions!$F$4:$H$4,Assumptions!$F$9:$H$9)</f>
        <v>0.18</v>
      </c>
      <c r="M155" s="18">
        <f>_xlfn.XLOOKUP(Assumptions!$B$2,Assumptions!$F$4:$H$4,Assumptions!$F$10:$H$10)</f>
        <v>18000</v>
      </c>
      <c r="N155" s="12">
        <f>_xlfn.XLOOKUP(Assumptions!$B$2,Assumptions!$F$4:$H$4,Assumptions!$F$11:$H$11)</f>
        <v>0.3</v>
      </c>
      <c r="O155" s="14">
        <f>Final_Table[[#This Row],[Units Sold]]*Final_Table[[#This Row],[Sale Price]]</f>
        <v>20400</v>
      </c>
      <c r="P155" s="14">
        <f>Final_Table[[#This Row],[Gross Revenue]]*(1-Final_Table[[#This Row],[Discount %]])</f>
        <v>18360</v>
      </c>
      <c r="Q155">
        <f>Final_Table[[#This Row],[Net Revenue]]*Final_Table[[#This Row],[Variable Cost %]]</f>
        <v>3304.7999999999997</v>
      </c>
      <c r="R155">
        <f>Final_Table[[#This Row],[Variable Cost]]+Final_Table[[#This Row],[Fixed Monthly Cost]]</f>
        <v>21304.799999999999</v>
      </c>
      <c r="S155" s="5">
        <f>Final_Table[[#This Row],[Net Revenue]]-Final_Table[[#This Row],[Total Cost (COGS)]]</f>
        <v>-2944.7999999999993</v>
      </c>
      <c r="T155">
        <f>Final_Table[[#This Row],[Gross Profit]]*Final_Table[[#This Row],[Tax Rate]]</f>
        <v>-883.43999999999971</v>
      </c>
      <c r="U155" s="5">
        <f>Final_Table[[#This Row],[Gross Profit]]-Final_Table[[#This Row],[Tax]]</f>
        <v>-2061.3599999999997</v>
      </c>
      <c r="V155" s="12">
        <f>Final_Table[[#This Row],[Net Profit]]/Final_Table[[#This Row],[Gross Revenue]]</f>
        <v>-0.10104705882352939</v>
      </c>
    </row>
    <row r="156" spans="1:22">
      <c r="A156" s="18" t="s">
        <v>35</v>
      </c>
      <c r="B156">
        <v>2013</v>
      </c>
      <c r="C156" t="s">
        <v>119</v>
      </c>
      <c r="D156">
        <v>1</v>
      </c>
      <c r="E156" s="18" t="s">
        <v>29</v>
      </c>
      <c r="F156" s="18" t="s">
        <v>80</v>
      </c>
      <c r="G156" s="18" t="s">
        <v>17</v>
      </c>
      <c r="H156" s="18" t="str">
        <f>Assumptions!$B$2</f>
        <v>Worst</v>
      </c>
      <c r="I156" s="18">
        <f>_xlfn.XLOOKUP(Assumptions!$B$2,Assumptions!$F$4:$H$4,Assumptions!$F$5:$H$5)</f>
        <v>1200</v>
      </c>
      <c r="J156" s="18">
        <f>_xlfn.XLOOKUP(Assumptions!$B$2,Assumptions!$F$4:$H$4,Assumptions!$F$6:$H$6)</f>
        <v>17</v>
      </c>
      <c r="K156" s="12">
        <f>_xlfn.XLOOKUP(Assumptions!$B$2,Assumptions!$F$4:$H$4,Assumptions!$F$8:$H$8)</f>
        <v>0.1</v>
      </c>
      <c r="L156" s="12">
        <f>_xlfn.XLOOKUP(Assumptions!$B$2,Assumptions!$F$4:$H$4,Assumptions!$F$9:$H$9)</f>
        <v>0.18</v>
      </c>
      <c r="M156" s="18">
        <f>_xlfn.XLOOKUP(Assumptions!$B$2,Assumptions!$F$4:$H$4,Assumptions!$F$10:$H$10)</f>
        <v>18000</v>
      </c>
      <c r="N156" s="12">
        <f>_xlfn.XLOOKUP(Assumptions!$B$2,Assumptions!$F$4:$H$4,Assumptions!$F$11:$H$11)</f>
        <v>0.3</v>
      </c>
      <c r="O156" s="14">
        <f>Final_Table[[#This Row],[Units Sold]]*Final_Table[[#This Row],[Sale Price]]</f>
        <v>20400</v>
      </c>
      <c r="P156" s="14">
        <f>Final_Table[[#This Row],[Gross Revenue]]*(1-Final_Table[[#This Row],[Discount %]])</f>
        <v>18360</v>
      </c>
      <c r="Q156">
        <f>Final_Table[[#This Row],[Net Revenue]]*Final_Table[[#This Row],[Variable Cost %]]</f>
        <v>3304.7999999999997</v>
      </c>
      <c r="R156">
        <f>Final_Table[[#This Row],[Variable Cost]]+Final_Table[[#This Row],[Fixed Monthly Cost]]</f>
        <v>21304.799999999999</v>
      </c>
      <c r="S156" s="5">
        <f>Final_Table[[#This Row],[Net Revenue]]-Final_Table[[#This Row],[Total Cost (COGS)]]</f>
        <v>-2944.7999999999993</v>
      </c>
      <c r="T156">
        <f>Final_Table[[#This Row],[Gross Profit]]*Final_Table[[#This Row],[Tax Rate]]</f>
        <v>-883.43999999999971</v>
      </c>
      <c r="U156" s="5">
        <f>Final_Table[[#This Row],[Gross Profit]]-Final_Table[[#This Row],[Tax]]</f>
        <v>-2061.3599999999997</v>
      </c>
      <c r="V156" s="12">
        <f>Final_Table[[#This Row],[Net Profit]]/Final_Table[[#This Row],[Gross Revenue]]</f>
        <v>-0.10104705882352939</v>
      </c>
    </row>
    <row r="157" spans="1:22">
      <c r="A157" s="18" t="s">
        <v>35</v>
      </c>
      <c r="B157">
        <v>2013</v>
      </c>
      <c r="C157" t="s">
        <v>119</v>
      </c>
      <c r="D157">
        <v>1</v>
      </c>
      <c r="E157" s="18" t="s">
        <v>29</v>
      </c>
      <c r="F157" s="18" t="s">
        <v>108</v>
      </c>
      <c r="G157" s="18" t="s">
        <v>36</v>
      </c>
      <c r="H157" s="18" t="str">
        <f>Assumptions!$B$2</f>
        <v>Worst</v>
      </c>
      <c r="I157" s="18">
        <f>_xlfn.XLOOKUP(Assumptions!$B$2,Assumptions!$F$4:$H$4,Assumptions!$F$5:$H$5)</f>
        <v>1200</v>
      </c>
      <c r="J157" s="18">
        <f>_xlfn.XLOOKUP(Assumptions!$B$2,Assumptions!$F$4:$H$4,Assumptions!$F$6:$H$6)</f>
        <v>17</v>
      </c>
      <c r="K157" s="12">
        <f>_xlfn.XLOOKUP(Assumptions!$B$2,Assumptions!$F$4:$H$4,Assumptions!$F$8:$H$8)</f>
        <v>0.1</v>
      </c>
      <c r="L157" s="12">
        <f>_xlfn.XLOOKUP(Assumptions!$B$2,Assumptions!$F$4:$H$4,Assumptions!$F$9:$H$9)</f>
        <v>0.18</v>
      </c>
      <c r="M157" s="18">
        <f>_xlfn.XLOOKUP(Assumptions!$B$2,Assumptions!$F$4:$H$4,Assumptions!$F$10:$H$10)</f>
        <v>18000</v>
      </c>
      <c r="N157" s="12">
        <f>_xlfn.XLOOKUP(Assumptions!$B$2,Assumptions!$F$4:$H$4,Assumptions!$F$11:$H$11)</f>
        <v>0.3</v>
      </c>
      <c r="O157" s="14">
        <f>Final_Table[[#This Row],[Units Sold]]*Final_Table[[#This Row],[Sale Price]]</f>
        <v>20400</v>
      </c>
      <c r="P157" s="14">
        <f>Final_Table[[#This Row],[Gross Revenue]]*(1-Final_Table[[#This Row],[Discount %]])</f>
        <v>18360</v>
      </c>
      <c r="Q157">
        <f>Final_Table[[#This Row],[Net Revenue]]*Final_Table[[#This Row],[Variable Cost %]]</f>
        <v>3304.7999999999997</v>
      </c>
      <c r="R157">
        <f>Final_Table[[#This Row],[Variable Cost]]+Final_Table[[#This Row],[Fixed Monthly Cost]]</f>
        <v>21304.799999999999</v>
      </c>
      <c r="S157" s="5">
        <f>Final_Table[[#This Row],[Net Revenue]]-Final_Table[[#This Row],[Total Cost (COGS)]]</f>
        <v>-2944.7999999999993</v>
      </c>
      <c r="T157">
        <f>Final_Table[[#This Row],[Gross Profit]]*Final_Table[[#This Row],[Tax Rate]]</f>
        <v>-883.43999999999971</v>
      </c>
      <c r="U157" s="5">
        <f>Final_Table[[#This Row],[Gross Profit]]-Final_Table[[#This Row],[Tax]]</f>
        <v>-2061.3599999999997</v>
      </c>
      <c r="V157" s="12">
        <f>Final_Table[[#This Row],[Net Profit]]/Final_Table[[#This Row],[Gross Revenue]]</f>
        <v>-0.10104705882352939</v>
      </c>
    </row>
    <row r="158" spans="1:22">
      <c r="A158" s="18" t="s">
        <v>35</v>
      </c>
      <c r="B158">
        <v>2013</v>
      </c>
      <c r="C158" t="s">
        <v>119</v>
      </c>
      <c r="D158">
        <v>1</v>
      </c>
      <c r="E158" s="18" t="s">
        <v>29</v>
      </c>
      <c r="F158" s="18" t="s">
        <v>108</v>
      </c>
      <c r="G158" s="18" t="s">
        <v>23</v>
      </c>
      <c r="H158" s="18" t="str">
        <f>Assumptions!$B$2</f>
        <v>Worst</v>
      </c>
      <c r="I158" s="18">
        <f>_xlfn.XLOOKUP(Assumptions!$B$2,Assumptions!$F$4:$H$4,Assumptions!$F$5:$H$5)</f>
        <v>1200</v>
      </c>
      <c r="J158" s="18">
        <f>_xlfn.XLOOKUP(Assumptions!$B$2,Assumptions!$F$4:$H$4,Assumptions!$F$6:$H$6)</f>
        <v>17</v>
      </c>
      <c r="K158" s="12">
        <f>_xlfn.XLOOKUP(Assumptions!$B$2,Assumptions!$F$4:$H$4,Assumptions!$F$8:$H$8)</f>
        <v>0.1</v>
      </c>
      <c r="L158" s="12">
        <f>_xlfn.XLOOKUP(Assumptions!$B$2,Assumptions!$F$4:$H$4,Assumptions!$F$9:$H$9)</f>
        <v>0.18</v>
      </c>
      <c r="M158" s="18">
        <f>_xlfn.XLOOKUP(Assumptions!$B$2,Assumptions!$F$4:$H$4,Assumptions!$F$10:$H$10)</f>
        <v>18000</v>
      </c>
      <c r="N158" s="12">
        <f>_xlfn.XLOOKUP(Assumptions!$B$2,Assumptions!$F$4:$H$4,Assumptions!$F$11:$H$11)</f>
        <v>0.3</v>
      </c>
      <c r="O158" s="14">
        <f>Final_Table[[#This Row],[Units Sold]]*Final_Table[[#This Row],[Sale Price]]</f>
        <v>20400</v>
      </c>
      <c r="P158" s="14">
        <f>Final_Table[[#This Row],[Gross Revenue]]*(1-Final_Table[[#This Row],[Discount %]])</f>
        <v>18360</v>
      </c>
      <c r="Q158">
        <f>Final_Table[[#This Row],[Net Revenue]]*Final_Table[[#This Row],[Variable Cost %]]</f>
        <v>3304.7999999999997</v>
      </c>
      <c r="R158">
        <f>Final_Table[[#This Row],[Variable Cost]]+Final_Table[[#This Row],[Fixed Monthly Cost]]</f>
        <v>21304.799999999999</v>
      </c>
      <c r="S158" s="5">
        <f>Final_Table[[#This Row],[Net Revenue]]-Final_Table[[#This Row],[Total Cost (COGS)]]</f>
        <v>-2944.7999999999993</v>
      </c>
      <c r="T158">
        <f>Final_Table[[#This Row],[Gross Profit]]*Final_Table[[#This Row],[Tax Rate]]</f>
        <v>-883.43999999999971</v>
      </c>
      <c r="U158" s="5">
        <f>Final_Table[[#This Row],[Gross Profit]]-Final_Table[[#This Row],[Tax]]</f>
        <v>-2061.3599999999997</v>
      </c>
      <c r="V158" s="12">
        <f>Final_Table[[#This Row],[Net Profit]]/Final_Table[[#This Row],[Gross Revenue]]</f>
        <v>-0.10104705882352939</v>
      </c>
    </row>
    <row r="159" spans="1:22">
      <c r="A159" s="18" t="s">
        <v>35</v>
      </c>
      <c r="B159">
        <v>2013</v>
      </c>
      <c r="C159" t="s">
        <v>119</v>
      </c>
      <c r="D159">
        <v>1</v>
      </c>
      <c r="E159" s="18" t="s">
        <v>29</v>
      </c>
      <c r="F159" s="18" t="s">
        <v>108</v>
      </c>
      <c r="G159" s="18" t="s">
        <v>21</v>
      </c>
      <c r="H159" s="18" t="str">
        <f>Assumptions!$B$2</f>
        <v>Worst</v>
      </c>
      <c r="I159" s="18">
        <f>_xlfn.XLOOKUP(Assumptions!$B$2,Assumptions!$F$4:$H$4,Assumptions!$F$5:$H$5)</f>
        <v>1200</v>
      </c>
      <c r="J159" s="18">
        <f>_xlfn.XLOOKUP(Assumptions!$B$2,Assumptions!$F$4:$H$4,Assumptions!$F$6:$H$6)</f>
        <v>17</v>
      </c>
      <c r="K159" s="12">
        <f>_xlfn.XLOOKUP(Assumptions!$B$2,Assumptions!$F$4:$H$4,Assumptions!$F$8:$H$8)</f>
        <v>0.1</v>
      </c>
      <c r="L159" s="12">
        <f>_xlfn.XLOOKUP(Assumptions!$B$2,Assumptions!$F$4:$H$4,Assumptions!$F$9:$H$9)</f>
        <v>0.18</v>
      </c>
      <c r="M159" s="18">
        <f>_xlfn.XLOOKUP(Assumptions!$B$2,Assumptions!$F$4:$H$4,Assumptions!$F$10:$H$10)</f>
        <v>18000</v>
      </c>
      <c r="N159" s="12">
        <f>_xlfn.XLOOKUP(Assumptions!$B$2,Assumptions!$F$4:$H$4,Assumptions!$F$11:$H$11)</f>
        <v>0.3</v>
      </c>
      <c r="O159" s="14">
        <f>Final_Table[[#This Row],[Units Sold]]*Final_Table[[#This Row],[Sale Price]]</f>
        <v>20400</v>
      </c>
      <c r="P159" s="14">
        <f>Final_Table[[#This Row],[Gross Revenue]]*(1-Final_Table[[#This Row],[Discount %]])</f>
        <v>18360</v>
      </c>
      <c r="Q159">
        <f>Final_Table[[#This Row],[Net Revenue]]*Final_Table[[#This Row],[Variable Cost %]]</f>
        <v>3304.7999999999997</v>
      </c>
      <c r="R159">
        <f>Final_Table[[#This Row],[Variable Cost]]+Final_Table[[#This Row],[Fixed Monthly Cost]]</f>
        <v>21304.799999999999</v>
      </c>
      <c r="S159" s="5">
        <f>Final_Table[[#This Row],[Net Revenue]]-Final_Table[[#This Row],[Total Cost (COGS)]]</f>
        <v>-2944.7999999999993</v>
      </c>
      <c r="T159">
        <f>Final_Table[[#This Row],[Gross Profit]]*Final_Table[[#This Row],[Tax Rate]]</f>
        <v>-883.43999999999971</v>
      </c>
      <c r="U159" s="5">
        <f>Final_Table[[#This Row],[Gross Profit]]-Final_Table[[#This Row],[Tax]]</f>
        <v>-2061.3599999999997</v>
      </c>
      <c r="V159" s="12">
        <f>Final_Table[[#This Row],[Net Profit]]/Final_Table[[#This Row],[Gross Revenue]]</f>
        <v>-0.10104705882352939</v>
      </c>
    </row>
    <row r="160" spans="1:22">
      <c r="A160" s="18" t="s">
        <v>35</v>
      </c>
      <c r="B160">
        <v>2013</v>
      </c>
      <c r="C160" t="s">
        <v>119</v>
      </c>
      <c r="D160">
        <v>1</v>
      </c>
      <c r="E160" s="18" t="s">
        <v>29</v>
      </c>
      <c r="F160" s="18" t="s">
        <v>108</v>
      </c>
      <c r="G160" s="18" t="s">
        <v>25</v>
      </c>
      <c r="H160" s="18" t="str">
        <f>Assumptions!$B$2</f>
        <v>Worst</v>
      </c>
      <c r="I160" s="18">
        <f>_xlfn.XLOOKUP(Assumptions!$B$2,Assumptions!$F$4:$H$4,Assumptions!$F$5:$H$5)</f>
        <v>1200</v>
      </c>
      <c r="J160" s="18">
        <f>_xlfn.XLOOKUP(Assumptions!$B$2,Assumptions!$F$4:$H$4,Assumptions!$F$6:$H$6)</f>
        <v>17</v>
      </c>
      <c r="K160" s="12">
        <f>_xlfn.XLOOKUP(Assumptions!$B$2,Assumptions!$F$4:$H$4,Assumptions!$F$8:$H$8)</f>
        <v>0.1</v>
      </c>
      <c r="L160" s="12">
        <f>_xlfn.XLOOKUP(Assumptions!$B$2,Assumptions!$F$4:$H$4,Assumptions!$F$9:$H$9)</f>
        <v>0.18</v>
      </c>
      <c r="M160" s="18">
        <f>_xlfn.XLOOKUP(Assumptions!$B$2,Assumptions!$F$4:$H$4,Assumptions!$F$10:$H$10)</f>
        <v>18000</v>
      </c>
      <c r="N160" s="12">
        <f>_xlfn.XLOOKUP(Assumptions!$B$2,Assumptions!$F$4:$H$4,Assumptions!$F$11:$H$11)</f>
        <v>0.3</v>
      </c>
      <c r="O160" s="14">
        <f>Final_Table[[#This Row],[Units Sold]]*Final_Table[[#This Row],[Sale Price]]</f>
        <v>20400</v>
      </c>
      <c r="P160" s="14">
        <f>Final_Table[[#This Row],[Gross Revenue]]*(1-Final_Table[[#This Row],[Discount %]])</f>
        <v>18360</v>
      </c>
      <c r="Q160">
        <f>Final_Table[[#This Row],[Net Revenue]]*Final_Table[[#This Row],[Variable Cost %]]</f>
        <v>3304.7999999999997</v>
      </c>
      <c r="R160">
        <f>Final_Table[[#This Row],[Variable Cost]]+Final_Table[[#This Row],[Fixed Monthly Cost]]</f>
        <v>21304.799999999999</v>
      </c>
      <c r="S160" s="5">
        <f>Final_Table[[#This Row],[Net Revenue]]-Final_Table[[#This Row],[Total Cost (COGS)]]</f>
        <v>-2944.7999999999993</v>
      </c>
      <c r="T160">
        <f>Final_Table[[#This Row],[Gross Profit]]*Final_Table[[#This Row],[Tax Rate]]</f>
        <v>-883.43999999999971</v>
      </c>
      <c r="U160" s="5">
        <f>Final_Table[[#This Row],[Gross Profit]]-Final_Table[[#This Row],[Tax]]</f>
        <v>-2061.3599999999997</v>
      </c>
      <c r="V160" s="12">
        <f>Final_Table[[#This Row],[Net Profit]]/Final_Table[[#This Row],[Gross Revenue]]</f>
        <v>-0.10104705882352939</v>
      </c>
    </row>
    <row r="161" spans="1:22">
      <c r="A161" s="18" t="s">
        <v>35</v>
      </c>
      <c r="B161">
        <v>2013</v>
      </c>
      <c r="C161" t="s">
        <v>119</v>
      </c>
      <c r="D161">
        <v>1</v>
      </c>
      <c r="E161" s="18" t="s">
        <v>29</v>
      </c>
      <c r="F161" s="18" t="s">
        <v>108</v>
      </c>
      <c r="G161" s="18" t="s">
        <v>17</v>
      </c>
      <c r="H161" s="18" t="str">
        <f>Assumptions!$B$2</f>
        <v>Worst</v>
      </c>
      <c r="I161" s="18">
        <f>_xlfn.XLOOKUP(Assumptions!$B$2,Assumptions!$F$4:$H$4,Assumptions!$F$5:$H$5)</f>
        <v>1200</v>
      </c>
      <c r="J161" s="18">
        <f>_xlfn.XLOOKUP(Assumptions!$B$2,Assumptions!$F$4:$H$4,Assumptions!$F$6:$H$6)</f>
        <v>17</v>
      </c>
      <c r="K161" s="12">
        <f>_xlfn.XLOOKUP(Assumptions!$B$2,Assumptions!$F$4:$H$4,Assumptions!$F$8:$H$8)</f>
        <v>0.1</v>
      </c>
      <c r="L161" s="12">
        <f>_xlfn.XLOOKUP(Assumptions!$B$2,Assumptions!$F$4:$H$4,Assumptions!$F$9:$H$9)</f>
        <v>0.18</v>
      </c>
      <c r="M161" s="18">
        <f>_xlfn.XLOOKUP(Assumptions!$B$2,Assumptions!$F$4:$H$4,Assumptions!$F$10:$H$10)</f>
        <v>18000</v>
      </c>
      <c r="N161" s="12">
        <f>_xlfn.XLOOKUP(Assumptions!$B$2,Assumptions!$F$4:$H$4,Assumptions!$F$11:$H$11)</f>
        <v>0.3</v>
      </c>
      <c r="O161" s="14">
        <f>Final_Table[[#This Row],[Units Sold]]*Final_Table[[#This Row],[Sale Price]]</f>
        <v>20400</v>
      </c>
      <c r="P161" s="14">
        <f>Final_Table[[#This Row],[Gross Revenue]]*(1-Final_Table[[#This Row],[Discount %]])</f>
        <v>18360</v>
      </c>
      <c r="Q161">
        <f>Final_Table[[#This Row],[Net Revenue]]*Final_Table[[#This Row],[Variable Cost %]]</f>
        <v>3304.7999999999997</v>
      </c>
      <c r="R161">
        <f>Final_Table[[#This Row],[Variable Cost]]+Final_Table[[#This Row],[Fixed Monthly Cost]]</f>
        <v>21304.799999999999</v>
      </c>
      <c r="S161" s="5">
        <f>Final_Table[[#This Row],[Net Revenue]]-Final_Table[[#This Row],[Total Cost (COGS)]]</f>
        <v>-2944.7999999999993</v>
      </c>
      <c r="T161">
        <f>Final_Table[[#This Row],[Gross Profit]]*Final_Table[[#This Row],[Tax Rate]]</f>
        <v>-883.43999999999971</v>
      </c>
      <c r="U161" s="5">
        <f>Final_Table[[#This Row],[Gross Profit]]-Final_Table[[#This Row],[Tax]]</f>
        <v>-2061.3599999999997</v>
      </c>
      <c r="V161" s="12">
        <f>Final_Table[[#This Row],[Net Profit]]/Final_Table[[#This Row],[Gross Revenue]]</f>
        <v>-0.10104705882352939</v>
      </c>
    </row>
    <row r="162" spans="1:22">
      <c r="A162" s="18" t="s">
        <v>35</v>
      </c>
      <c r="B162">
        <v>2013</v>
      </c>
      <c r="C162" t="s">
        <v>119</v>
      </c>
      <c r="D162">
        <v>1</v>
      </c>
      <c r="E162" s="18" t="s">
        <v>29</v>
      </c>
      <c r="F162" s="18" t="s">
        <v>112</v>
      </c>
      <c r="G162" s="18" t="s">
        <v>36</v>
      </c>
      <c r="H162" s="18" t="str">
        <f>Assumptions!$B$2</f>
        <v>Worst</v>
      </c>
      <c r="I162" s="18">
        <f>_xlfn.XLOOKUP(Assumptions!$B$2,Assumptions!$F$4:$H$4,Assumptions!$F$5:$H$5)</f>
        <v>1200</v>
      </c>
      <c r="J162" s="18">
        <f>_xlfn.XLOOKUP(Assumptions!$B$2,Assumptions!$F$4:$H$4,Assumptions!$F$6:$H$6)</f>
        <v>17</v>
      </c>
      <c r="K162" s="12">
        <f>_xlfn.XLOOKUP(Assumptions!$B$2,Assumptions!$F$4:$H$4,Assumptions!$F$8:$H$8)</f>
        <v>0.1</v>
      </c>
      <c r="L162" s="12">
        <f>_xlfn.XLOOKUP(Assumptions!$B$2,Assumptions!$F$4:$H$4,Assumptions!$F$9:$H$9)</f>
        <v>0.18</v>
      </c>
      <c r="M162" s="18">
        <f>_xlfn.XLOOKUP(Assumptions!$B$2,Assumptions!$F$4:$H$4,Assumptions!$F$10:$H$10)</f>
        <v>18000</v>
      </c>
      <c r="N162" s="12">
        <f>_xlfn.XLOOKUP(Assumptions!$B$2,Assumptions!$F$4:$H$4,Assumptions!$F$11:$H$11)</f>
        <v>0.3</v>
      </c>
      <c r="O162" s="14">
        <f>Final_Table[[#This Row],[Units Sold]]*Final_Table[[#This Row],[Sale Price]]</f>
        <v>20400</v>
      </c>
      <c r="P162" s="14">
        <f>Final_Table[[#This Row],[Gross Revenue]]*(1-Final_Table[[#This Row],[Discount %]])</f>
        <v>18360</v>
      </c>
      <c r="Q162">
        <f>Final_Table[[#This Row],[Net Revenue]]*Final_Table[[#This Row],[Variable Cost %]]</f>
        <v>3304.7999999999997</v>
      </c>
      <c r="R162">
        <f>Final_Table[[#This Row],[Variable Cost]]+Final_Table[[#This Row],[Fixed Monthly Cost]]</f>
        <v>21304.799999999999</v>
      </c>
      <c r="S162" s="5">
        <f>Final_Table[[#This Row],[Net Revenue]]-Final_Table[[#This Row],[Total Cost (COGS)]]</f>
        <v>-2944.7999999999993</v>
      </c>
      <c r="T162">
        <f>Final_Table[[#This Row],[Gross Profit]]*Final_Table[[#This Row],[Tax Rate]]</f>
        <v>-883.43999999999971</v>
      </c>
      <c r="U162" s="5">
        <f>Final_Table[[#This Row],[Gross Profit]]-Final_Table[[#This Row],[Tax]]</f>
        <v>-2061.3599999999997</v>
      </c>
      <c r="V162" s="12">
        <f>Final_Table[[#This Row],[Net Profit]]/Final_Table[[#This Row],[Gross Revenue]]</f>
        <v>-0.10104705882352939</v>
      </c>
    </row>
    <row r="163" spans="1:22">
      <c r="A163" s="18" t="s">
        <v>35</v>
      </c>
      <c r="B163">
        <v>2013</v>
      </c>
      <c r="C163" t="s">
        <v>119</v>
      </c>
      <c r="D163">
        <v>1</v>
      </c>
      <c r="E163" s="18" t="s">
        <v>29</v>
      </c>
      <c r="F163" s="18" t="s">
        <v>112</v>
      </c>
      <c r="G163" s="18" t="s">
        <v>23</v>
      </c>
      <c r="H163" s="18" t="str">
        <f>Assumptions!$B$2</f>
        <v>Worst</v>
      </c>
      <c r="I163" s="18">
        <f>_xlfn.XLOOKUP(Assumptions!$B$2,Assumptions!$F$4:$H$4,Assumptions!$F$5:$H$5)</f>
        <v>1200</v>
      </c>
      <c r="J163" s="18">
        <f>_xlfn.XLOOKUP(Assumptions!$B$2,Assumptions!$F$4:$H$4,Assumptions!$F$6:$H$6)</f>
        <v>17</v>
      </c>
      <c r="K163" s="12">
        <f>_xlfn.XLOOKUP(Assumptions!$B$2,Assumptions!$F$4:$H$4,Assumptions!$F$8:$H$8)</f>
        <v>0.1</v>
      </c>
      <c r="L163" s="12">
        <f>_xlfn.XLOOKUP(Assumptions!$B$2,Assumptions!$F$4:$H$4,Assumptions!$F$9:$H$9)</f>
        <v>0.18</v>
      </c>
      <c r="M163" s="18">
        <f>_xlfn.XLOOKUP(Assumptions!$B$2,Assumptions!$F$4:$H$4,Assumptions!$F$10:$H$10)</f>
        <v>18000</v>
      </c>
      <c r="N163" s="12">
        <f>_xlfn.XLOOKUP(Assumptions!$B$2,Assumptions!$F$4:$H$4,Assumptions!$F$11:$H$11)</f>
        <v>0.3</v>
      </c>
      <c r="O163" s="14">
        <f>Final_Table[[#This Row],[Units Sold]]*Final_Table[[#This Row],[Sale Price]]</f>
        <v>20400</v>
      </c>
      <c r="P163" s="14">
        <f>Final_Table[[#This Row],[Gross Revenue]]*(1-Final_Table[[#This Row],[Discount %]])</f>
        <v>18360</v>
      </c>
      <c r="Q163">
        <f>Final_Table[[#This Row],[Net Revenue]]*Final_Table[[#This Row],[Variable Cost %]]</f>
        <v>3304.7999999999997</v>
      </c>
      <c r="R163">
        <f>Final_Table[[#This Row],[Variable Cost]]+Final_Table[[#This Row],[Fixed Monthly Cost]]</f>
        <v>21304.799999999999</v>
      </c>
      <c r="S163" s="5">
        <f>Final_Table[[#This Row],[Net Revenue]]-Final_Table[[#This Row],[Total Cost (COGS)]]</f>
        <v>-2944.7999999999993</v>
      </c>
      <c r="T163">
        <f>Final_Table[[#This Row],[Gross Profit]]*Final_Table[[#This Row],[Tax Rate]]</f>
        <v>-883.43999999999971</v>
      </c>
      <c r="U163" s="5">
        <f>Final_Table[[#This Row],[Gross Profit]]-Final_Table[[#This Row],[Tax]]</f>
        <v>-2061.3599999999997</v>
      </c>
      <c r="V163" s="12">
        <f>Final_Table[[#This Row],[Net Profit]]/Final_Table[[#This Row],[Gross Revenue]]</f>
        <v>-0.10104705882352939</v>
      </c>
    </row>
    <row r="164" spans="1:22">
      <c r="A164" s="18" t="s">
        <v>35</v>
      </c>
      <c r="B164">
        <v>2013</v>
      </c>
      <c r="C164" t="s">
        <v>119</v>
      </c>
      <c r="D164">
        <v>1</v>
      </c>
      <c r="E164" s="18" t="s">
        <v>29</v>
      </c>
      <c r="F164" s="18" t="s">
        <v>112</v>
      </c>
      <c r="G164" s="18" t="s">
        <v>21</v>
      </c>
      <c r="H164" s="18" t="str">
        <f>Assumptions!$B$2</f>
        <v>Worst</v>
      </c>
      <c r="I164" s="18">
        <f>_xlfn.XLOOKUP(Assumptions!$B$2,Assumptions!$F$4:$H$4,Assumptions!$F$5:$H$5)</f>
        <v>1200</v>
      </c>
      <c r="J164" s="18">
        <f>_xlfn.XLOOKUP(Assumptions!$B$2,Assumptions!$F$4:$H$4,Assumptions!$F$6:$H$6)</f>
        <v>17</v>
      </c>
      <c r="K164" s="12">
        <f>_xlfn.XLOOKUP(Assumptions!$B$2,Assumptions!$F$4:$H$4,Assumptions!$F$8:$H$8)</f>
        <v>0.1</v>
      </c>
      <c r="L164" s="12">
        <f>_xlfn.XLOOKUP(Assumptions!$B$2,Assumptions!$F$4:$H$4,Assumptions!$F$9:$H$9)</f>
        <v>0.18</v>
      </c>
      <c r="M164" s="18">
        <f>_xlfn.XLOOKUP(Assumptions!$B$2,Assumptions!$F$4:$H$4,Assumptions!$F$10:$H$10)</f>
        <v>18000</v>
      </c>
      <c r="N164" s="12">
        <f>_xlfn.XLOOKUP(Assumptions!$B$2,Assumptions!$F$4:$H$4,Assumptions!$F$11:$H$11)</f>
        <v>0.3</v>
      </c>
      <c r="O164" s="14">
        <f>Final_Table[[#This Row],[Units Sold]]*Final_Table[[#This Row],[Sale Price]]</f>
        <v>20400</v>
      </c>
      <c r="P164" s="14">
        <f>Final_Table[[#This Row],[Gross Revenue]]*(1-Final_Table[[#This Row],[Discount %]])</f>
        <v>18360</v>
      </c>
      <c r="Q164">
        <f>Final_Table[[#This Row],[Net Revenue]]*Final_Table[[#This Row],[Variable Cost %]]</f>
        <v>3304.7999999999997</v>
      </c>
      <c r="R164">
        <f>Final_Table[[#This Row],[Variable Cost]]+Final_Table[[#This Row],[Fixed Monthly Cost]]</f>
        <v>21304.799999999999</v>
      </c>
      <c r="S164" s="5">
        <f>Final_Table[[#This Row],[Net Revenue]]-Final_Table[[#This Row],[Total Cost (COGS)]]</f>
        <v>-2944.7999999999993</v>
      </c>
      <c r="T164">
        <f>Final_Table[[#This Row],[Gross Profit]]*Final_Table[[#This Row],[Tax Rate]]</f>
        <v>-883.43999999999971</v>
      </c>
      <c r="U164" s="5">
        <f>Final_Table[[#This Row],[Gross Profit]]-Final_Table[[#This Row],[Tax]]</f>
        <v>-2061.3599999999997</v>
      </c>
      <c r="V164" s="12">
        <f>Final_Table[[#This Row],[Net Profit]]/Final_Table[[#This Row],[Gross Revenue]]</f>
        <v>-0.10104705882352939</v>
      </c>
    </row>
    <row r="165" spans="1:22">
      <c r="A165" s="18" t="s">
        <v>35</v>
      </c>
      <c r="B165">
        <v>2013</v>
      </c>
      <c r="C165" t="s">
        <v>119</v>
      </c>
      <c r="D165">
        <v>1</v>
      </c>
      <c r="E165" s="18" t="s">
        <v>29</v>
      </c>
      <c r="F165" s="18" t="s">
        <v>112</v>
      </c>
      <c r="G165" s="18" t="s">
        <v>25</v>
      </c>
      <c r="H165" s="18" t="str">
        <f>Assumptions!$B$2</f>
        <v>Worst</v>
      </c>
      <c r="I165" s="18">
        <f>_xlfn.XLOOKUP(Assumptions!$B$2,Assumptions!$F$4:$H$4,Assumptions!$F$5:$H$5)</f>
        <v>1200</v>
      </c>
      <c r="J165" s="18">
        <f>_xlfn.XLOOKUP(Assumptions!$B$2,Assumptions!$F$4:$H$4,Assumptions!$F$6:$H$6)</f>
        <v>17</v>
      </c>
      <c r="K165" s="12">
        <f>_xlfn.XLOOKUP(Assumptions!$B$2,Assumptions!$F$4:$H$4,Assumptions!$F$8:$H$8)</f>
        <v>0.1</v>
      </c>
      <c r="L165" s="12">
        <f>_xlfn.XLOOKUP(Assumptions!$B$2,Assumptions!$F$4:$H$4,Assumptions!$F$9:$H$9)</f>
        <v>0.18</v>
      </c>
      <c r="M165" s="18">
        <f>_xlfn.XLOOKUP(Assumptions!$B$2,Assumptions!$F$4:$H$4,Assumptions!$F$10:$H$10)</f>
        <v>18000</v>
      </c>
      <c r="N165" s="12">
        <f>_xlfn.XLOOKUP(Assumptions!$B$2,Assumptions!$F$4:$H$4,Assumptions!$F$11:$H$11)</f>
        <v>0.3</v>
      </c>
      <c r="O165" s="14">
        <f>Final_Table[[#This Row],[Units Sold]]*Final_Table[[#This Row],[Sale Price]]</f>
        <v>20400</v>
      </c>
      <c r="P165" s="14">
        <f>Final_Table[[#This Row],[Gross Revenue]]*(1-Final_Table[[#This Row],[Discount %]])</f>
        <v>18360</v>
      </c>
      <c r="Q165">
        <f>Final_Table[[#This Row],[Net Revenue]]*Final_Table[[#This Row],[Variable Cost %]]</f>
        <v>3304.7999999999997</v>
      </c>
      <c r="R165">
        <f>Final_Table[[#This Row],[Variable Cost]]+Final_Table[[#This Row],[Fixed Monthly Cost]]</f>
        <v>21304.799999999999</v>
      </c>
      <c r="S165" s="5">
        <f>Final_Table[[#This Row],[Net Revenue]]-Final_Table[[#This Row],[Total Cost (COGS)]]</f>
        <v>-2944.7999999999993</v>
      </c>
      <c r="T165">
        <f>Final_Table[[#This Row],[Gross Profit]]*Final_Table[[#This Row],[Tax Rate]]</f>
        <v>-883.43999999999971</v>
      </c>
      <c r="U165" s="5">
        <f>Final_Table[[#This Row],[Gross Profit]]-Final_Table[[#This Row],[Tax]]</f>
        <v>-2061.3599999999997</v>
      </c>
      <c r="V165" s="12">
        <f>Final_Table[[#This Row],[Net Profit]]/Final_Table[[#This Row],[Gross Revenue]]</f>
        <v>-0.10104705882352939</v>
      </c>
    </row>
    <row r="166" spans="1:22">
      <c r="A166" s="18" t="s">
        <v>35</v>
      </c>
      <c r="B166">
        <v>2013</v>
      </c>
      <c r="C166" t="s">
        <v>119</v>
      </c>
      <c r="D166">
        <v>1</v>
      </c>
      <c r="E166" s="18" t="s">
        <v>29</v>
      </c>
      <c r="F166" s="18" t="s">
        <v>112</v>
      </c>
      <c r="G166" s="18" t="s">
        <v>17</v>
      </c>
      <c r="H166" s="18" t="str">
        <f>Assumptions!$B$2</f>
        <v>Worst</v>
      </c>
      <c r="I166" s="18">
        <f>_xlfn.XLOOKUP(Assumptions!$B$2,Assumptions!$F$4:$H$4,Assumptions!$F$5:$H$5)</f>
        <v>1200</v>
      </c>
      <c r="J166" s="18">
        <f>_xlfn.XLOOKUP(Assumptions!$B$2,Assumptions!$F$4:$H$4,Assumptions!$F$6:$H$6)</f>
        <v>17</v>
      </c>
      <c r="K166" s="12">
        <f>_xlfn.XLOOKUP(Assumptions!$B$2,Assumptions!$F$4:$H$4,Assumptions!$F$8:$H$8)</f>
        <v>0.1</v>
      </c>
      <c r="L166" s="12">
        <f>_xlfn.XLOOKUP(Assumptions!$B$2,Assumptions!$F$4:$H$4,Assumptions!$F$9:$H$9)</f>
        <v>0.18</v>
      </c>
      <c r="M166" s="18">
        <f>_xlfn.XLOOKUP(Assumptions!$B$2,Assumptions!$F$4:$H$4,Assumptions!$F$10:$H$10)</f>
        <v>18000</v>
      </c>
      <c r="N166" s="12">
        <f>_xlfn.XLOOKUP(Assumptions!$B$2,Assumptions!$F$4:$H$4,Assumptions!$F$11:$H$11)</f>
        <v>0.3</v>
      </c>
      <c r="O166" s="14">
        <f>Final_Table[[#This Row],[Units Sold]]*Final_Table[[#This Row],[Sale Price]]</f>
        <v>20400</v>
      </c>
      <c r="P166" s="14">
        <f>Final_Table[[#This Row],[Gross Revenue]]*(1-Final_Table[[#This Row],[Discount %]])</f>
        <v>18360</v>
      </c>
      <c r="Q166">
        <f>Final_Table[[#This Row],[Net Revenue]]*Final_Table[[#This Row],[Variable Cost %]]</f>
        <v>3304.7999999999997</v>
      </c>
      <c r="R166">
        <f>Final_Table[[#This Row],[Variable Cost]]+Final_Table[[#This Row],[Fixed Monthly Cost]]</f>
        <v>21304.799999999999</v>
      </c>
      <c r="S166" s="5">
        <f>Final_Table[[#This Row],[Net Revenue]]-Final_Table[[#This Row],[Total Cost (COGS)]]</f>
        <v>-2944.7999999999993</v>
      </c>
      <c r="T166">
        <f>Final_Table[[#This Row],[Gross Profit]]*Final_Table[[#This Row],[Tax Rate]]</f>
        <v>-883.43999999999971</v>
      </c>
      <c r="U166" s="5">
        <f>Final_Table[[#This Row],[Gross Profit]]-Final_Table[[#This Row],[Tax]]</f>
        <v>-2061.3599999999997</v>
      </c>
      <c r="V166" s="12">
        <f>Final_Table[[#This Row],[Net Profit]]/Final_Table[[#This Row],[Gross Revenue]]</f>
        <v>-0.10104705882352939</v>
      </c>
    </row>
    <row r="167" spans="1:22">
      <c r="A167" s="18" t="s">
        <v>35</v>
      </c>
      <c r="B167">
        <v>2013</v>
      </c>
      <c r="C167" t="s">
        <v>119</v>
      </c>
      <c r="D167">
        <v>1</v>
      </c>
      <c r="E167" s="18" t="s">
        <v>29</v>
      </c>
      <c r="F167" s="18" t="s">
        <v>113</v>
      </c>
      <c r="G167" s="18" t="s">
        <v>36</v>
      </c>
      <c r="H167" s="18" t="str">
        <f>Assumptions!$B$2</f>
        <v>Worst</v>
      </c>
      <c r="I167" s="18">
        <f>_xlfn.XLOOKUP(Assumptions!$B$2,Assumptions!$F$4:$H$4,Assumptions!$F$5:$H$5)</f>
        <v>1200</v>
      </c>
      <c r="J167" s="18">
        <f>_xlfn.XLOOKUP(Assumptions!$B$2,Assumptions!$F$4:$H$4,Assumptions!$F$6:$H$6)</f>
        <v>17</v>
      </c>
      <c r="K167" s="12">
        <f>_xlfn.XLOOKUP(Assumptions!$B$2,Assumptions!$F$4:$H$4,Assumptions!$F$8:$H$8)</f>
        <v>0.1</v>
      </c>
      <c r="L167" s="12">
        <f>_xlfn.XLOOKUP(Assumptions!$B$2,Assumptions!$F$4:$H$4,Assumptions!$F$9:$H$9)</f>
        <v>0.18</v>
      </c>
      <c r="M167" s="18">
        <f>_xlfn.XLOOKUP(Assumptions!$B$2,Assumptions!$F$4:$H$4,Assumptions!$F$10:$H$10)</f>
        <v>18000</v>
      </c>
      <c r="N167" s="12">
        <f>_xlfn.XLOOKUP(Assumptions!$B$2,Assumptions!$F$4:$H$4,Assumptions!$F$11:$H$11)</f>
        <v>0.3</v>
      </c>
      <c r="O167" s="14">
        <f>Final_Table[[#This Row],[Units Sold]]*Final_Table[[#This Row],[Sale Price]]</f>
        <v>20400</v>
      </c>
      <c r="P167" s="14">
        <f>Final_Table[[#This Row],[Gross Revenue]]*(1-Final_Table[[#This Row],[Discount %]])</f>
        <v>18360</v>
      </c>
      <c r="Q167">
        <f>Final_Table[[#This Row],[Net Revenue]]*Final_Table[[#This Row],[Variable Cost %]]</f>
        <v>3304.7999999999997</v>
      </c>
      <c r="R167">
        <f>Final_Table[[#This Row],[Variable Cost]]+Final_Table[[#This Row],[Fixed Monthly Cost]]</f>
        <v>21304.799999999999</v>
      </c>
      <c r="S167" s="5">
        <f>Final_Table[[#This Row],[Net Revenue]]-Final_Table[[#This Row],[Total Cost (COGS)]]</f>
        <v>-2944.7999999999993</v>
      </c>
      <c r="T167">
        <f>Final_Table[[#This Row],[Gross Profit]]*Final_Table[[#This Row],[Tax Rate]]</f>
        <v>-883.43999999999971</v>
      </c>
      <c r="U167" s="5">
        <f>Final_Table[[#This Row],[Gross Profit]]-Final_Table[[#This Row],[Tax]]</f>
        <v>-2061.3599999999997</v>
      </c>
      <c r="V167" s="12">
        <f>Final_Table[[#This Row],[Net Profit]]/Final_Table[[#This Row],[Gross Revenue]]</f>
        <v>-0.10104705882352939</v>
      </c>
    </row>
    <row r="168" spans="1:22">
      <c r="A168" s="18" t="s">
        <v>35</v>
      </c>
      <c r="B168">
        <v>2013</v>
      </c>
      <c r="C168" t="s">
        <v>119</v>
      </c>
      <c r="D168">
        <v>1</v>
      </c>
      <c r="E168" s="18" t="s">
        <v>29</v>
      </c>
      <c r="F168" s="18" t="s">
        <v>113</v>
      </c>
      <c r="G168" s="18" t="s">
        <v>23</v>
      </c>
      <c r="H168" s="18" t="str">
        <f>Assumptions!$B$2</f>
        <v>Worst</v>
      </c>
      <c r="I168" s="18">
        <f>_xlfn.XLOOKUP(Assumptions!$B$2,Assumptions!$F$4:$H$4,Assumptions!$F$5:$H$5)</f>
        <v>1200</v>
      </c>
      <c r="J168" s="18">
        <f>_xlfn.XLOOKUP(Assumptions!$B$2,Assumptions!$F$4:$H$4,Assumptions!$F$6:$H$6)</f>
        <v>17</v>
      </c>
      <c r="K168" s="12">
        <f>_xlfn.XLOOKUP(Assumptions!$B$2,Assumptions!$F$4:$H$4,Assumptions!$F$8:$H$8)</f>
        <v>0.1</v>
      </c>
      <c r="L168" s="12">
        <f>_xlfn.XLOOKUP(Assumptions!$B$2,Assumptions!$F$4:$H$4,Assumptions!$F$9:$H$9)</f>
        <v>0.18</v>
      </c>
      <c r="M168" s="18">
        <f>_xlfn.XLOOKUP(Assumptions!$B$2,Assumptions!$F$4:$H$4,Assumptions!$F$10:$H$10)</f>
        <v>18000</v>
      </c>
      <c r="N168" s="12">
        <f>_xlfn.XLOOKUP(Assumptions!$B$2,Assumptions!$F$4:$H$4,Assumptions!$F$11:$H$11)</f>
        <v>0.3</v>
      </c>
      <c r="O168" s="14">
        <f>Final_Table[[#This Row],[Units Sold]]*Final_Table[[#This Row],[Sale Price]]</f>
        <v>20400</v>
      </c>
      <c r="P168" s="14">
        <f>Final_Table[[#This Row],[Gross Revenue]]*(1-Final_Table[[#This Row],[Discount %]])</f>
        <v>18360</v>
      </c>
      <c r="Q168">
        <f>Final_Table[[#This Row],[Net Revenue]]*Final_Table[[#This Row],[Variable Cost %]]</f>
        <v>3304.7999999999997</v>
      </c>
      <c r="R168">
        <f>Final_Table[[#This Row],[Variable Cost]]+Final_Table[[#This Row],[Fixed Monthly Cost]]</f>
        <v>21304.799999999999</v>
      </c>
      <c r="S168" s="5">
        <f>Final_Table[[#This Row],[Net Revenue]]-Final_Table[[#This Row],[Total Cost (COGS)]]</f>
        <v>-2944.7999999999993</v>
      </c>
      <c r="T168">
        <f>Final_Table[[#This Row],[Gross Profit]]*Final_Table[[#This Row],[Tax Rate]]</f>
        <v>-883.43999999999971</v>
      </c>
      <c r="U168" s="5">
        <f>Final_Table[[#This Row],[Gross Profit]]-Final_Table[[#This Row],[Tax]]</f>
        <v>-2061.3599999999997</v>
      </c>
      <c r="V168" s="12">
        <f>Final_Table[[#This Row],[Net Profit]]/Final_Table[[#This Row],[Gross Revenue]]</f>
        <v>-0.10104705882352939</v>
      </c>
    </row>
    <row r="169" spans="1:22">
      <c r="A169" s="18" t="s">
        <v>35</v>
      </c>
      <c r="B169">
        <v>2013</v>
      </c>
      <c r="C169" t="s">
        <v>119</v>
      </c>
      <c r="D169">
        <v>1</v>
      </c>
      <c r="E169" s="18" t="s">
        <v>29</v>
      </c>
      <c r="F169" s="18" t="s">
        <v>113</v>
      </c>
      <c r="G169" s="18" t="s">
        <v>21</v>
      </c>
      <c r="H169" s="18" t="str">
        <f>Assumptions!$B$2</f>
        <v>Worst</v>
      </c>
      <c r="I169" s="18">
        <f>_xlfn.XLOOKUP(Assumptions!$B$2,Assumptions!$F$4:$H$4,Assumptions!$F$5:$H$5)</f>
        <v>1200</v>
      </c>
      <c r="J169" s="18">
        <f>_xlfn.XLOOKUP(Assumptions!$B$2,Assumptions!$F$4:$H$4,Assumptions!$F$6:$H$6)</f>
        <v>17</v>
      </c>
      <c r="K169" s="12">
        <f>_xlfn.XLOOKUP(Assumptions!$B$2,Assumptions!$F$4:$H$4,Assumptions!$F$8:$H$8)</f>
        <v>0.1</v>
      </c>
      <c r="L169" s="12">
        <f>_xlfn.XLOOKUP(Assumptions!$B$2,Assumptions!$F$4:$H$4,Assumptions!$F$9:$H$9)</f>
        <v>0.18</v>
      </c>
      <c r="M169" s="18">
        <f>_xlfn.XLOOKUP(Assumptions!$B$2,Assumptions!$F$4:$H$4,Assumptions!$F$10:$H$10)</f>
        <v>18000</v>
      </c>
      <c r="N169" s="12">
        <f>_xlfn.XLOOKUP(Assumptions!$B$2,Assumptions!$F$4:$H$4,Assumptions!$F$11:$H$11)</f>
        <v>0.3</v>
      </c>
      <c r="O169" s="14">
        <f>Final_Table[[#This Row],[Units Sold]]*Final_Table[[#This Row],[Sale Price]]</f>
        <v>20400</v>
      </c>
      <c r="P169" s="14">
        <f>Final_Table[[#This Row],[Gross Revenue]]*(1-Final_Table[[#This Row],[Discount %]])</f>
        <v>18360</v>
      </c>
      <c r="Q169">
        <f>Final_Table[[#This Row],[Net Revenue]]*Final_Table[[#This Row],[Variable Cost %]]</f>
        <v>3304.7999999999997</v>
      </c>
      <c r="R169">
        <f>Final_Table[[#This Row],[Variable Cost]]+Final_Table[[#This Row],[Fixed Monthly Cost]]</f>
        <v>21304.799999999999</v>
      </c>
      <c r="S169" s="5">
        <f>Final_Table[[#This Row],[Net Revenue]]-Final_Table[[#This Row],[Total Cost (COGS)]]</f>
        <v>-2944.7999999999993</v>
      </c>
      <c r="T169">
        <f>Final_Table[[#This Row],[Gross Profit]]*Final_Table[[#This Row],[Tax Rate]]</f>
        <v>-883.43999999999971</v>
      </c>
      <c r="U169" s="5">
        <f>Final_Table[[#This Row],[Gross Profit]]-Final_Table[[#This Row],[Tax]]</f>
        <v>-2061.3599999999997</v>
      </c>
      <c r="V169" s="12">
        <f>Final_Table[[#This Row],[Net Profit]]/Final_Table[[#This Row],[Gross Revenue]]</f>
        <v>-0.10104705882352939</v>
      </c>
    </row>
    <row r="170" spans="1:22">
      <c r="A170" s="18" t="s">
        <v>35</v>
      </c>
      <c r="B170">
        <v>2013</v>
      </c>
      <c r="C170" t="s">
        <v>119</v>
      </c>
      <c r="D170">
        <v>1</v>
      </c>
      <c r="E170" s="18" t="s">
        <v>29</v>
      </c>
      <c r="F170" s="18" t="s">
        <v>113</v>
      </c>
      <c r="G170" s="18" t="s">
        <v>25</v>
      </c>
      <c r="H170" s="18" t="str">
        <f>Assumptions!$B$2</f>
        <v>Worst</v>
      </c>
      <c r="I170" s="18">
        <f>_xlfn.XLOOKUP(Assumptions!$B$2,Assumptions!$F$4:$H$4,Assumptions!$F$5:$H$5)</f>
        <v>1200</v>
      </c>
      <c r="J170" s="18">
        <f>_xlfn.XLOOKUP(Assumptions!$B$2,Assumptions!$F$4:$H$4,Assumptions!$F$6:$H$6)</f>
        <v>17</v>
      </c>
      <c r="K170" s="12">
        <f>_xlfn.XLOOKUP(Assumptions!$B$2,Assumptions!$F$4:$H$4,Assumptions!$F$8:$H$8)</f>
        <v>0.1</v>
      </c>
      <c r="L170" s="12">
        <f>_xlfn.XLOOKUP(Assumptions!$B$2,Assumptions!$F$4:$H$4,Assumptions!$F$9:$H$9)</f>
        <v>0.18</v>
      </c>
      <c r="M170" s="18">
        <f>_xlfn.XLOOKUP(Assumptions!$B$2,Assumptions!$F$4:$H$4,Assumptions!$F$10:$H$10)</f>
        <v>18000</v>
      </c>
      <c r="N170" s="12">
        <f>_xlfn.XLOOKUP(Assumptions!$B$2,Assumptions!$F$4:$H$4,Assumptions!$F$11:$H$11)</f>
        <v>0.3</v>
      </c>
      <c r="O170" s="14">
        <f>Final_Table[[#This Row],[Units Sold]]*Final_Table[[#This Row],[Sale Price]]</f>
        <v>20400</v>
      </c>
      <c r="P170" s="14">
        <f>Final_Table[[#This Row],[Gross Revenue]]*(1-Final_Table[[#This Row],[Discount %]])</f>
        <v>18360</v>
      </c>
      <c r="Q170">
        <f>Final_Table[[#This Row],[Net Revenue]]*Final_Table[[#This Row],[Variable Cost %]]</f>
        <v>3304.7999999999997</v>
      </c>
      <c r="R170">
        <f>Final_Table[[#This Row],[Variable Cost]]+Final_Table[[#This Row],[Fixed Monthly Cost]]</f>
        <v>21304.799999999999</v>
      </c>
      <c r="S170" s="5">
        <f>Final_Table[[#This Row],[Net Revenue]]-Final_Table[[#This Row],[Total Cost (COGS)]]</f>
        <v>-2944.7999999999993</v>
      </c>
      <c r="T170">
        <f>Final_Table[[#This Row],[Gross Profit]]*Final_Table[[#This Row],[Tax Rate]]</f>
        <v>-883.43999999999971</v>
      </c>
      <c r="U170" s="5">
        <f>Final_Table[[#This Row],[Gross Profit]]-Final_Table[[#This Row],[Tax]]</f>
        <v>-2061.3599999999997</v>
      </c>
      <c r="V170" s="12">
        <f>Final_Table[[#This Row],[Net Profit]]/Final_Table[[#This Row],[Gross Revenue]]</f>
        <v>-0.10104705882352939</v>
      </c>
    </row>
    <row r="171" spans="1:22">
      <c r="A171" s="18" t="s">
        <v>35</v>
      </c>
      <c r="B171">
        <v>2013</v>
      </c>
      <c r="C171" t="s">
        <v>119</v>
      </c>
      <c r="D171">
        <v>1</v>
      </c>
      <c r="E171" s="18" t="s">
        <v>29</v>
      </c>
      <c r="F171" s="18" t="s">
        <v>113</v>
      </c>
      <c r="G171" s="18" t="s">
        <v>17</v>
      </c>
      <c r="H171" s="18" t="str">
        <f>Assumptions!$B$2</f>
        <v>Worst</v>
      </c>
      <c r="I171" s="18">
        <f>_xlfn.XLOOKUP(Assumptions!$B$2,Assumptions!$F$4:$H$4,Assumptions!$F$5:$H$5)</f>
        <v>1200</v>
      </c>
      <c r="J171" s="18">
        <f>_xlfn.XLOOKUP(Assumptions!$B$2,Assumptions!$F$4:$H$4,Assumptions!$F$6:$H$6)</f>
        <v>17</v>
      </c>
      <c r="K171" s="12">
        <f>_xlfn.XLOOKUP(Assumptions!$B$2,Assumptions!$F$4:$H$4,Assumptions!$F$8:$H$8)</f>
        <v>0.1</v>
      </c>
      <c r="L171" s="12">
        <f>_xlfn.XLOOKUP(Assumptions!$B$2,Assumptions!$F$4:$H$4,Assumptions!$F$9:$H$9)</f>
        <v>0.18</v>
      </c>
      <c r="M171" s="18">
        <f>_xlfn.XLOOKUP(Assumptions!$B$2,Assumptions!$F$4:$H$4,Assumptions!$F$10:$H$10)</f>
        <v>18000</v>
      </c>
      <c r="N171" s="12">
        <f>_xlfn.XLOOKUP(Assumptions!$B$2,Assumptions!$F$4:$H$4,Assumptions!$F$11:$H$11)</f>
        <v>0.3</v>
      </c>
      <c r="O171" s="14">
        <f>Final_Table[[#This Row],[Units Sold]]*Final_Table[[#This Row],[Sale Price]]</f>
        <v>20400</v>
      </c>
      <c r="P171" s="14">
        <f>Final_Table[[#This Row],[Gross Revenue]]*(1-Final_Table[[#This Row],[Discount %]])</f>
        <v>18360</v>
      </c>
      <c r="Q171">
        <f>Final_Table[[#This Row],[Net Revenue]]*Final_Table[[#This Row],[Variable Cost %]]</f>
        <v>3304.7999999999997</v>
      </c>
      <c r="R171">
        <f>Final_Table[[#This Row],[Variable Cost]]+Final_Table[[#This Row],[Fixed Monthly Cost]]</f>
        <v>21304.799999999999</v>
      </c>
      <c r="S171" s="5">
        <f>Final_Table[[#This Row],[Net Revenue]]-Final_Table[[#This Row],[Total Cost (COGS)]]</f>
        <v>-2944.7999999999993</v>
      </c>
      <c r="T171">
        <f>Final_Table[[#This Row],[Gross Profit]]*Final_Table[[#This Row],[Tax Rate]]</f>
        <v>-883.43999999999971</v>
      </c>
      <c r="U171" s="5">
        <f>Final_Table[[#This Row],[Gross Profit]]-Final_Table[[#This Row],[Tax]]</f>
        <v>-2061.3599999999997</v>
      </c>
      <c r="V171" s="12">
        <f>Final_Table[[#This Row],[Net Profit]]/Final_Table[[#This Row],[Gross Revenue]]</f>
        <v>-0.10104705882352939</v>
      </c>
    </row>
    <row r="172" spans="1:22">
      <c r="A172" s="18" t="s">
        <v>35</v>
      </c>
      <c r="B172">
        <v>2013</v>
      </c>
      <c r="C172" t="s">
        <v>119</v>
      </c>
      <c r="D172">
        <v>1</v>
      </c>
      <c r="E172" s="18" t="s">
        <v>29</v>
      </c>
      <c r="F172" s="18" t="s">
        <v>114</v>
      </c>
      <c r="G172" s="18" t="s">
        <v>36</v>
      </c>
      <c r="H172" s="18" t="str">
        <f>Assumptions!$B$2</f>
        <v>Worst</v>
      </c>
      <c r="I172" s="18">
        <f>_xlfn.XLOOKUP(Assumptions!$B$2,Assumptions!$F$4:$H$4,Assumptions!$F$5:$H$5)</f>
        <v>1200</v>
      </c>
      <c r="J172" s="18">
        <f>_xlfn.XLOOKUP(Assumptions!$B$2,Assumptions!$F$4:$H$4,Assumptions!$F$6:$H$6)</f>
        <v>17</v>
      </c>
      <c r="K172" s="12">
        <f>_xlfn.XLOOKUP(Assumptions!$B$2,Assumptions!$F$4:$H$4,Assumptions!$F$8:$H$8)</f>
        <v>0.1</v>
      </c>
      <c r="L172" s="12">
        <f>_xlfn.XLOOKUP(Assumptions!$B$2,Assumptions!$F$4:$H$4,Assumptions!$F$9:$H$9)</f>
        <v>0.18</v>
      </c>
      <c r="M172" s="18">
        <f>_xlfn.XLOOKUP(Assumptions!$B$2,Assumptions!$F$4:$H$4,Assumptions!$F$10:$H$10)</f>
        <v>18000</v>
      </c>
      <c r="N172" s="12">
        <f>_xlfn.XLOOKUP(Assumptions!$B$2,Assumptions!$F$4:$H$4,Assumptions!$F$11:$H$11)</f>
        <v>0.3</v>
      </c>
      <c r="O172" s="14">
        <f>Final_Table[[#This Row],[Units Sold]]*Final_Table[[#This Row],[Sale Price]]</f>
        <v>20400</v>
      </c>
      <c r="P172" s="14">
        <f>Final_Table[[#This Row],[Gross Revenue]]*(1-Final_Table[[#This Row],[Discount %]])</f>
        <v>18360</v>
      </c>
      <c r="Q172">
        <f>Final_Table[[#This Row],[Net Revenue]]*Final_Table[[#This Row],[Variable Cost %]]</f>
        <v>3304.7999999999997</v>
      </c>
      <c r="R172">
        <f>Final_Table[[#This Row],[Variable Cost]]+Final_Table[[#This Row],[Fixed Monthly Cost]]</f>
        <v>21304.799999999999</v>
      </c>
      <c r="S172" s="5">
        <f>Final_Table[[#This Row],[Net Revenue]]-Final_Table[[#This Row],[Total Cost (COGS)]]</f>
        <v>-2944.7999999999993</v>
      </c>
      <c r="T172">
        <f>Final_Table[[#This Row],[Gross Profit]]*Final_Table[[#This Row],[Tax Rate]]</f>
        <v>-883.43999999999971</v>
      </c>
      <c r="U172" s="5">
        <f>Final_Table[[#This Row],[Gross Profit]]-Final_Table[[#This Row],[Tax]]</f>
        <v>-2061.3599999999997</v>
      </c>
      <c r="V172" s="12">
        <f>Final_Table[[#This Row],[Net Profit]]/Final_Table[[#This Row],[Gross Revenue]]</f>
        <v>-0.10104705882352939</v>
      </c>
    </row>
    <row r="173" spans="1:22">
      <c r="A173" s="18" t="s">
        <v>35</v>
      </c>
      <c r="B173">
        <v>2013</v>
      </c>
      <c r="C173" t="s">
        <v>119</v>
      </c>
      <c r="D173">
        <v>1</v>
      </c>
      <c r="E173" s="18" t="s">
        <v>29</v>
      </c>
      <c r="F173" s="18" t="s">
        <v>114</v>
      </c>
      <c r="G173" s="18" t="s">
        <v>23</v>
      </c>
      <c r="H173" s="18" t="str">
        <f>Assumptions!$B$2</f>
        <v>Worst</v>
      </c>
      <c r="I173" s="18">
        <f>_xlfn.XLOOKUP(Assumptions!$B$2,Assumptions!$F$4:$H$4,Assumptions!$F$5:$H$5)</f>
        <v>1200</v>
      </c>
      <c r="J173" s="18">
        <f>_xlfn.XLOOKUP(Assumptions!$B$2,Assumptions!$F$4:$H$4,Assumptions!$F$6:$H$6)</f>
        <v>17</v>
      </c>
      <c r="K173" s="12">
        <f>_xlfn.XLOOKUP(Assumptions!$B$2,Assumptions!$F$4:$H$4,Assumptions!$F$8:$H$8)</f>
        <v>0.1</v>
      </c>
      <c r="L173" s="12">
        <f>_xlfn.XLOOKUP(Assumptions!$B$2,Assumptions!$F$4:$H$4,Assumptions!$F$9:$H$9)</f>
        <v>0.18</v>
      </c>
      <c r="M173" s="18">
        <f>_xlfn.XLOOKUP(Assumptions!$B$2,Assumptions!$F$4:$H$4,Assumptions!$F$10:$H$10)</f>
        <v>18000</v>
      </c>
      <c r="N173" s="12">
        <f>_xlfn.XLOOKUP(Assumptions!$B$2,Assumptions!$F$4:$H$4,Assumptions!$F$11:$H$11)</f>
        <v>0.3</v>
      </c>
      <c r="O173" s="14">
        <f>Final_Table[[#This Row],[Units Sold]]*Final_Table[[#This Row],[Sale Price]]</f>
        <v>20400</v>
      </c>
      <c r="P173" s="14">
        <f>Final_Table[[#This Row],[Gross Revenue]]*(1-Final_Table[[#This Row],[Discount %]])</f>
        <v>18360</v>
      </c>
      <c r="Q173">
        <f>Final_Table[[#This Row],[Net Revenue]]*Final_Table[[#This Row],[Variable Cost %]]</f>
        <v>3304.7999999999997</v>
      </c>
      <c r="R173">
        <f>Final_Table[[#This Row],[Variable Cost]]+Final_Table[[#This Row],[Fixed Monthly Cost]]</f>
        <v>21304.799999999999</v>
      </c>
      <c r="S173" s="5">
        <f>Final_Table[[#This Row],[Net Revenue]]-Final_Table[[#This Row],[Total Cost (COGS)]]</f>
        <v>-2944.7999999999993</v>
      </c>
      <c r="T173">
        <f>Final_Table[[#This Row],[Gross Profit]]*Final_Table[[#This Row],[Tax Rate]]</f>
        <v>-883.43999999999971</v>
      </c>
      <c r="U173" s="5">
        <f>Final_Table[[#This Row],[Gross Profit]]-Final_Table[[#This Row],[Tax]]</f>
        <v>-2061.3599999999997</v>
      </c>
      <c r="V173" s="12">
        <f>Final_Table[[#This Row],[Net Profit]]/Final_Table[[#This Row],[Gross Revenue]]</f>
        <v>-0.10104705882352939</v>
      </c>
    </row>
    <row r="174" spans="1:22">
      <c r="A174" s="18" t="s">
        <v>35</v>
      </c>
      <c r="B174">
        <v>2013</v>
      </c>
      <c r="C174" t="s">
        <v>119</v>
      </c>
      <c r="D174">
        <v>1</v>
      </c>
      <c r="E174" s="18" t="s">
        <v>29</v>
      </c>
      <c r="F174" s="18" t="s">
        <v>114</v>
      </c>
      <c r="G174" s="18" t="s">
        <v>21</v>
      </c>
      <c r="H174" s="18" t="str">
        <f>Assumptions!$B$2</f>
        <v>Worst</v>
      </c>
      <c r="I174" s="18">
        <f>_xlfn.XLOOKUP(Assumptions!$B$2,Assumptions!$F$4:$H$4,Assumptions!$F$5:$H$5)</f>
        <v>1200</v>
      </c>
      <c r="J174" s="18">
        <f>_xlfn.XLOOKUP(Assumptions!$B$2,Assumptions!$F$4:$H$4,Assumptions!$F$6:$H$6)</f>
        <v>17</v>
      </c>
      <c r="K174" s="12">
        <f>_xlfn.XLOOKUP(Assumptions!$B$2,Assumptions!$F$4:$H$4,Assumptions!$F$8:$H$8)</f>
        <v>0.1</v>
      </c>
      <c r="L174" s="12">
        <f>_xlfn.XLOOKUP(Assumptions!$B$2,Assumptions!$F$4:$H$4,Assumptions!$F$9:$H$9)</f>
        <v>0.18</v>
      </c>
      <c r="M174" s="18">
        <f>_xlfn.XLOOKUP(Assumptions!$B$2,Assumptions!$F$4:$H$4,Assumptions!$F$10:$H$10)</f>
        <v>18000</v>
      </c>
      <c r="N174" s="12">
        <f>_xlfn.XLOOKUP(Assumptions!$B$2,Assumptions!$F$4:$H$4,Assumptions!$F$11:$H$11)</f>
        <v>0.3</v>
      </c>
      <c r="O174" s="14">
        <f>Final_Table[[#This Row],[Units Sold]]*Final_Table[[#This Row],[Sale Price]]</f>
        <v>20400</v>
      </c>
      <c r="P174" s="14">
        <f>Final_Table[[#This Row],[Gross Revenue]]*(1-Final_Table[[#This Row],[Discount %]])</f>
        <v>18360</v>
      </c>
      <c r="Q174">
        <f>Final_Table[[#This Row],[Net Revenue]]*Final_Table[[#This Row],[Variable Cost %]]</f>
        <v>3304.7999999999997</v>
      </c>
      <c r="R174">
        <f>Final_Table[[#This Row],[Variable Cost]]+Final_Table[[#This Row],[Fixed Monthly Cost]]</f>
        <v>21304.799999999999</v>
      </c>
      <c r="S174" s="5">
        <f>Final_Table[[#This Row],[Net Revenue]]-Final_Table[[#This Row],[Total Cost (COGS)]]</f>
        <v>-2944.7999999999993</v>
      </c>
      <c r="T174">
        <f>Final_Table[[#This Row],[Gross Profit]]*Final_Table[[#This Row],[Tax Rate]]</f>
        <v>-883.43999999999971</v>
      </c>
      <c r="U174" s="5">
        <f>Final_Table[[#This Row],[Gross Profit]]-Final_Table[[#This Row],[Tax]]</f>
        <v>-2061.3599999999997</v>
      </c>
      <c r="V174" s="12">
        <f>Final_Table[[#This Row],[Net Profit]]/Final_Table[[#This Row],[Gross Revenue]]</f>
        <v>-0.10104705882352939</v>
      </c>
    </row>
    <row r="175" spans="1:22">
      <c r="A175" s="18" t="s">
        <v>35</v>
      </c>
      <c r="B175">
        <v>2013</v>
      </c>
      <c r="C175" t="s">
        <v>119</v>
      </c>
      <c r="D175">
        <v>1</v>
      </c>
      <c r="E175" s="18" t="s">
        <v>29</v>
      </c>
      <c r="F175" s="18" t="s">
        <v>114</v>
      </c>
      <c r="G175" s="18" t="s">
        <v>25</v>
      </c>
      <c r="H175" s="18" t="str">
        <f>Assumptions!$B$2</f>
        <v>Worst</v>
      </c>
      <c r="I175" s="18">
        <f>_xlfn.XLOOKUP(Assumptions!$B$2,Assumptions!$F$4:$H$4,Assumptions!$F$5:$H$5)</f>
        <v>1200</v>
      </c>
      <c r="J175" s="18">
        <f>_xlfn.XLOOKUP(Assumptions!$B$2,Assumptions!$F$4:$H$4,Assumptions!$F$6:$H$6)</f>
        <v>17</v>
      </c>
      <c r="K175" s="12">
        <f>_xlfn.XLOOKUP(Assumptions!$B$2,Assumptions!$F$4:$H$4,Assumptions!$F$8:$H$8)</f>
        <v>0.1</v>
      </c>
      <c r="L175" s="12">
        <f>_xlfn.XLOOKUP(Assumptions!$B$2,Assumptions!$F$4:$H$4,Assumptions!$F$9:$H$9)</f>
        <v>0.18</v>
      </c>
      <c r="M175" s="18">
        <f>_xlfn.XLOOKUP(Assumptions!$B$2,Assumptions!$F$4:$H$4,Assumptions!$F$10:$H$10)</f>
        <v>18000</v>
      </c>
      <c r="N175" s="12">
        <f>_xlfn.XLOOKUP(Assumptions!$B$2,Assumptions!$F$4:$H$4,Assumptions!$F$11:$H$11)</f>
        <v>0.3</v>
      </c>
      <c r="O175" s="14">
        <f>Final_Table[[#This Row],[Units Sold]]*Final_Table[[#This Row],[Sale Price]]</f>
        <v>20400</v>
      </c>
      <c r="P175" s="14">
        <f>Final_Table[[#This Row],[Gross Revenue]]*(1-Final_Table[[#This Row],[Discount %]])</f>
        <v>18360</v>
      </c>
      <c r="Q175">
        <f>Final_Table[[#This Row],[Net Revenue]]*Final_Table[[#This Row],[Variable Cost %]]</f>
        <v>3304.7999999999997</v>
      </c>
      <c r="R175">
        <f>Final_Table[[#This Row],[Variable Cost]]+Final_Table[[#This Row],[Fixed Monthly Cost]]</f>
        <v>21304.799999999999</v>
      </c>
      <c r="S175" s="5">
        <f>Final_Table[[#This Row],[Net Revenue]]-Final_Table[[#This Row],[Total Cost (COGS)]]</f>
        <v>-2944.7999999999993</v>
      </c>
      <c r="T175">
        <f>Final_Table[[#This Row],[Gross Profit]]*Final_Table[[#This Row],[Tax Rate]]</f>
        <v>-883.43999999999971</v>
      </c>
      <c r="U175" s="5">
        <f>Final_Table[[#This Row],[Gross Profit]]-Final_Table[[#This Row],[Tax]]</f>
        <v>-2061.3599999999997</v>
      </c>
      <c r="V175" s="12">
        <f>Final_Table[[#This Row],[Net Profit]]/Final_Table[[#This Row],[Gross Revenue]]</f>
        <v>-0.10104705882352939</v>
      </c>
    </row>
    <row r="176" spans="1:22">
      <c r="A176" s="18" t="s">
        <v>35</v>
      </c>
      <c r="B176">
        <v>2013</v>
      </c>
      <c r="C176" t="s">
        <v>119</v>
      </c>
      <c r="D176">
        <v>1</v>
      </c>
      <c r="E176" s="18" t="s">
        <v>29</v>
      </c>
      <c r="F176" s="18" t="s">
        <v>114</v>
      </c>
      <c r="G176" s="18" t="s">
        <v>17</v>
      </c>
      <c r="H176" s="18" t="str">
        <f>Assumptions!$B$2</f>
        <v>Worst</v>
      </c>
      <c r="I176" s="18">
        <f>_xlfn.XLOOKUP(Assumptions!$B$2,Assumptions!$F$4:$H$4,Assumptions!$F$5:$H$5)</f>
        <v>1200</v>
      </c>
      <c r="J176" s="18">
        <f>_xlfn.XLOOKUP(Assumptions!$B$2,Assumptions!$F$4:$H$4,Assumptions!$F$6:$H$6)</f>
        <v>17</v>
      </c>
      <c r="K176" s="12">
        <f>_xlfn.XLOOKUP(Assumptions!$B$2,Assumptions!$F$4:$H$4,Assumptions!$F$8:$H$8)</f>
        <v>0.1</v>
      </c>
      <c r="L176" s="12">
        <f>_xlfn.XLOOKUP(Assumptions!$B$2,Assumptions!$F$4:$H$4,Assumptions!$F$9:$H$9)</f>
        <v>0.18</v>
      </c>
      <c r="M176" s="18">
        <f>_xlfn.XLOOKUP(Assumptions!$B$2,Assumptions!$F$4:$H$4,Assumptions!$F$10:$H$10)</f>
        <v>18000</v>
      </c>
      <c r="N176" s="12">
        <f>_xlfn.XLOOKUP(Assumptions!$B$2,Assumptions!$F$4:$H$4,Assumptions!$F$11:$H$11)</f>
        <v>0.3</v>
      </c>
      <c r="O176" s="14">
        <f>Final_Table[[#This Row],[Units Sold]]*Final_Table[[#This Row],[Sale Price]]</f>
        <v>20400</v>
      </c>
      <c r="P176" s="14">
        <f>Final_Table[[#This Row],[Gross Revenue]]*(1-Final_Table[[#This Row],[Discount %]])</f>
        <v>18360</v>
      </c>
      <c r="Q176">
        <f>Final_Table[[#This Row],[Net Revenue]]*Final_Table[[#This Row],[Variable Cost %]]</f>
        <v>3304.7999999999997</v>
      </c>
      <c r="R176">
        <f>Final_Table[[#This Row],[Variable Cost]]+Final_Table[[#This Row],[Fixed Monthly Cost]]</f>
        <v>21304.799999999999</v>
      </c>
      <c r="S176" s="5">
        <f>Final_Table[[#This Row],[Net Revenue]]-Final_Table[[#This Row],[Total Cost (COGS)]]</f>
        <v>-2944.7999999999993</v>
      </c>
      <c r="T176">
        <f>Final_Table[[#This Row],[Gross Profit]]*Final_Table[[#This Row],[Tax Rate]]</f>
        <v>-883.43999999999971</v>
      </c>
      <c r="U176" s="5">
        <f>Final_Table[[#This Row],[Gross Profit]]-Final_Table[[#This Row],[Tax]]</f>
        <v>-2061.3599999999997</v>
      </c>
      <c r="V176" s="12">
        <f>Final_Table[[#This Row],[Net Profit]]/Final_Table[[#This Row],[Gross Revenue]]</f>
        <v>-0.10104705882352939</v>
      </c>
    </row>
    <row r="177" spans="1:22">
      <c r="A177" s="18" t="s">
        <v>35</v>
      </c>
      <c r="B177">
        <v>2013</v>
      </c>
      <c r="C177" t="s">
        <v>119</v>
      </c>
      <c r="D177">
        <v>1</v>
      </c>
      <c r="E177" s="18" t="s">
        <v>22</v>
      </c>
      <c r="F177" s="18" t="s">
        <v>80</v>
      </c>
      <c r="G177" s="18" t="s">
        <v>36</v>
      </c>
      <c r="H177" s="18" t="str">
        <f>Assumptions!$B$2</f>
        <v>Worst</v>
      </c>
      <c r="I177" s="18">
        <f>_xlfn.XLOOKUP(Assumptions!$B$2,Assumptions!$F$4:$H$4,Assumptions!$F$5:$H$5)</f>
        <v>1200</v>
      </c>
      <c r="J177" s="18">
        <f>_xlfn.XLOOKUP(Assumptions!$B$2,Assumptions!$F$4:$H$4,Assumptions!$F$6:$H$6)</f>
        <v>17</v>
      </c>
      <c r="K177" s="12">
        <f>_xlfn.XLOOKUP(Assumptions!$B$2,Assumptions!$F$4:$H$4,Assumptions!$F$8:$H$8)</f>
        <v>0.1</v>
      </c>
      <c r="L177" s="12">
        <f>_xlfn.XLOOKUP(Assumptions!$B$2,Assumptions!$F$4:$H$4,Assumptions!$F$9:$H$9)</f>
        <v>0.18</v>
      </c>
      <c r="M177" s="18">
        <f>_xlfn.XLOOKUP(Assumptions!$B$2,Assumptions!$F$4:$H$4,Assumptions!$F$10:$H$10)</f>
        <v>18000</v>
      </c>
      <c r="N177" s="12">
        <f>_xlfn.XLOOKUP(Assumptions!$B$2,Assumptions!$F$4:$H$4,Assumptions!$F$11:$H$11)</f>
        <v>0.3</v>
      </c>
      <c r="O177" s="14">
        <f>Final_Table[[#This Row],[Units Sold]]*Final_Table[[#This Row],[Sale Price]]</f>
        <v>20400</v>
      </c>
      <c r="P177" s="14">
        <f>Final_Table[[#This Row],[Gross Revenue]]*(1-Final_Table[[#This Row],[Discount %]])</f>
        <v>18360</v>
      </c>
      <c r="Q177">
        <f>Final_Table[[#This Row],[Net Revenue]]*Final_Table[[#This Row],[Variable Cost %]]</f>
        <v>3304.7999999999997</v>
      </c>
      <c r="R177">
        <f>Final_Table[[#This Row],[Variable Cost]]+Final_Table[[#This Row],[Fixed Monthly Cost]]</f>
        <v>21304.799999999999</v>
      </c>
      <c r="S177" s="5">
        <f>Final_Table[[#This Row],[Net Revenue]]-Final_Table[[#This Row],[Total Cost (COGS)]]</f>
        <v>-2944.7999999999993</v>
      </c>
      <c r="T177">
        <f>Final_Table[[#This Row],[Gross Profit]]*Final_Table[[#This Row],[Tax Rate]]</f>
        <v>-883.43999999999971</v>
      </c>
      <c r="U177" s="5">
        <f>Final_Table[[#This Row],[Gross Profit]]-Final_Table[[#This Row],[Tax]]</f>
        <v>-2061.3599999999997</v>
      </c>
      <c r="V177" s="12">
        <f>Final_Table[[#This Row],[Net Profit]]/Final_Table[[#This Row],[Gross Revenue]]</f>
        <v>-0.10104705882352939</v>
      </c>
    </row>
    <row r="178" spans="1:22">
      <c r="A178" s="18" t="s">
        <v>35</v>
      </c>
      <c r="B178">
        <v>2013</v>
      </c>
      <c r="C178" t="s">
        <v>119</v>
      </c>
      <c r="D178">
        <v>1</v>
      </c>
      <c r="E178" s="18" t="s">
        <v>22</v>
      </c>
      <c r="F178" s="18" t="s">
        <v>80</v>
      </c>
      <c r="G178" s="18" t="s">
        <v>23</v>
      </c>
      <c r="H178" s="18" t="str">
        <f>Assumptions!$B$2</f>
        <v>Worst</v>
      </c>
      <c r="I178" s="18">
        <f>_xlfn.XLOOKUP(Assumptions!$B$2,Assumptions!$F$4:$H$4,Assumptions!$F$5:$H$5)</f>
        <v>1200</v>
      </c>
      <c r="J178" s="18">
        <f>_xlfn.XLOOKUP(Assumptions!$B$2,Assumptions!$F$4:$H$4,Assumptions!$F$6:$H$6)</f>
        <v>17</v>
      </c>
      <c r="K178" s="12">
        <f>_xlfn.XLOOKUP(Assumptions!$B$2,Assumptions!$F$4:$H$4,Assumptions!$F$8:$H$8)</f>
        <v>0.1</v>
      </c>
      <c r="L178" s="12">
        <f>_xlfn.XLOOKUP(Assumptions!$B$2,Assumptions!$F$4:$H$4,Assumptions!$F$9:$H$9)</f>
        <v>0.18</v>
      </c>
      <c r="M178" s="18">
        <f>_xlfn.XLOOKUP(Assumptions!$B$2,Assumptions!$F$4:$H$4,Assumptions!$F$10:$H$10)</f>
        <v>18000</v>
      </c>
      <c r="N178" s="12">
        <f>_xlfn.XLOOKUP(Assumptions!$B$2,Assumptions!$F$4:$H$4,Assumptions!$F$11:$H$11)</f>
        <v>0.3</v>
      </c>
      <c r="O178" s="14">
        <f>Final_Table[[#This Row],[Units Sold]]*Final_Table[[#This Row],[Sale Price]]</f>
        <v>20400</v>
      </c>
      <c r="P178" s="14">
        <f>Final_Table[[#This Row],[Gross Revenue]]*(1-Final_Table[[#This Row],[Discount %]])</f>
        <v>18360</v>
      </c>
      <c r="Q178">
        <f>Final_Table[[#This Row],[Net Revenue]]*Final_Table[[#This Row],[Variable Cost %]]</f>
        <v>3304.7999999999997</v>
      </c>
      <c r="R178">
        <f>Final_Table[[#This Row],[Variable Cost]]+Final_Table[[#This Row],[Fixed Monthly Cost]]</f>
        <v>21304.799999999999</v>
      </c>
      <c r="S178" s="5">
        <f>Final_Table[[#This Row],[Net Revenue]]-Final_Table[[#This Row],[Total Cost (COGS)]]</f>
        <v>-2944.7999999999993</v>
      </c>
      <c r="T178">
        <f>Final_Table[[#This Row],[Gross Profit]]*Final_Table[[#This Row],[Tax Rate]]</f>
        <v>-883.43999999999971</v>
      </c>
      <c r="U178" s="5">
        <f>Final_Table[[#This Row],[Gross Profit]]-Final_Table[[#This Row],[Tax]]</f>
        <v>-2061.3599999999997</v>
      </c>
      <c r="V178" s="12">
        <f>Final_Table[[#This Row],[Net Profit]]/Final_Table[[#This Row],[Gross Revenue]]</f>
        <v>-0.10104705882352939</v>
      </c>
    </row>
    <row r="179" spans="1:22">
      <c r="A179" s="18" t="s">
        <v>35</v>
      </c>
      <c r="B179">
        <v>2013</v>
      </c>
      <c r="C179" t="s">
        <v>119</v>
      </c>
      <c r="D179">
        <v>1</v>
      </c>
      <c r="E179" s="18" t="s">
        <v>22</v>
      </c>
      <c r="F179" s="18" t="s">
        <v>80</v>
      </c>
      <c r="G179" s="18" t="s">
        <v>21</v>
      </c>
      <c r="H179" s="18" t="str">
        <f>Assumptions!$B$2</f>
        <v>Worst</v>
      </c>
      <c r="I179" s="18">
        <f>_xlfn.XLOOKUP(Assumptions!$B$2,Assumptions!$F$4:$H$4,Assumptions!$F$5:$H$5)</f>
        <v>1200</v>
      </c>
      <c r="J179" s="18">
        <f>_xlfn.XLOOKUP(Assumptions!$B$2,Assumptions!$F$4:$H$4,Assumptions!$F$6:$H$6)</f>
        <v>17</v>
      </c>
      <c r="K179" s="12">
        <f>_xlfn.XLOOKUP(Assumptions!$B$2,Assumptions!$F$4:$H$4,Assumptions!$F$8:$H$8)</f>
        <v>0.1</v>
      </c>
      <c r="L179" s="12">
        <f>_xlfn.XLOOKUP(Assumptions!$B$2,Assumptions!$F$4:$H$4,Assumptions!$F$9:$H$9)</f>
        <v>0.18</v>
      </c>
      <c r="M179" s="18">
        <f>_xlfn.XLOOKUP(Assumptions!$B$2,Assumptions!$F$4:$H$4,Assumptions!$F$10:$H$10)</f>
        <v>18000</v>
      </c>
      <c r="N179" s="12">
        <f>_xlfn.XLOOKUP(Assumptions!$B$2,Assumptions!$F$4:$H$4,Assumptions!$F$11:$H$11)</f>
        <v>0.3</v>
      </c>
      <c r="O179" s="14">
        <f>Final_Table[[#This Row],[Units Sold]]*Final_Table[[#This Row],[Sale Price]]</f>
        <v>20400</v>
      </c>
      <c r="P179" s="14">
        <f>Final_Table[[#This Row],[Gross Revenue]]*(1-Final_Table[[#This Row],[Discount %]])</f>
        <v>18360</v>
      </c>
      <c r="Q179">
        <f>Final_Table[[#This Row],[Net Revenue]]*Final_Table[[#This Row],[Variable Cost %]]</f>
        <v>3304.7999999999997</v>
      </c>
      <c r="R179">
        <f>Final_Table[[#This Row],[Variable Cost]]+Final_Table[[#This Row],[Fixed Monthly Cost]]</f>
        <v>21304.799999999999</v>
      </c>
      <c r="S179" s="5">
        <f>Final_Table[[#This Row],[Net Revenue]]-Final_Table[[#This Row],[Total Cost (COGS)]]</f>
        <v>-2944.7999999999993</v>
      </c>
      <c r="T179">
        <f>Final_Table[[#This Row],[Gross Profit]]*Final_Table[[#This Row],[Tax Rate]]</f>
        <v>-883.43999999999971</v>
      </c>
      <c r="U179" s="5">
        <f>Final_Table[[#This Row],[Gross Profit]]-Final_Table[[#This Row],[Tax]]</f>
        <v>-2061.3599999999997</v>
      </c>
      <c r="V179" s="12">
        <f>Final_Table[[#This Row],[Net Profit]]/Final_Table[[#This Row],[Gross Revenue]]</f>
        <v>-0.10104705882352939</v>
      </c>
    </row>
    <row r="180" spans="1:22">
      <c r="A180" s="18" t="s">
        <v>35</v>
      </c>
      <c r="B180">
        <v>2013</v>
      </c>
      <c r="C180" t="s">
        <v>119</v>
      </c>
      <c r="D180">
        <v>1</v>
      </c>
      <c r="E180" s="18" t="s">
        <v>22</v>
      </c>
      <c r="F180" s="18" t="s">
        <v>80</v>
      </c>
      <c r="G180" s="18" t="s">
        <v>25</v>
      </c>
      <c r="H180" s="18" t="str">
        <f>Assumptions!$B$2</f>
        <v>Worst</v>
      </c>
      <c r="I180" s="18">
        <f>_xlfn.XLOOKUP(Assumptions!$B$2,Assumptions!$F$4:$H$4,Assumptions!$F$5:$H$5)</f>
        <v>1200</v>
      </c>
      <c r="J180" s="18">
        <f>_xlfn.XLOOKUP(Assumptions!$B$2,Assumptions!$F$4:$H$4,Assumptions!$F$6:$H$6)</f>
        <v>17</v>
      </c>
      <c r="K180" s="12">
        <f>_xlfn.XLOOKUP(Assumptions!$B$2,Assumptions!$F$4:$H$4,Assumptions!$F$8:$H$8)</f>
        <v>0.1</v>
      </c>
      <c r="L180" s="12">
        <f>_xlfn.XLOOKUP(Assumptions!$B$2,Assumptions!$F$4:$H$4,Assumptions!$F$9:$H$9)</f>
        <v>0.18</v>
      </c>
      <c r="M180" s="18">
        <f>_xlfn.XLOOKUP(Assumptions!$B$2,Assumptions!$F$4:$H$4,Assumptions!$F$10:$H$10)</f>
        <v>18000</v>
      </c>
      <c r="N180" s="12">
        <f>_xlfn.XLOOKUP(Assumptions!$B$2,Assumptions!$F$4:$H$4,Assumptions!$F$11:$H$11)</f>
        <v>0.3</v>
      </c>
      <c r="O180" s="14">
        <f>Final_Table[[#This Row],[Units Sold]]*Final_Table[[#This Row],[Sale Price]]</f>
        <v>20400</v>
      </c>
      <c r="P180" s="14">
        <f>Final_Table[[#This Row],[Gross Revenue]]*(1-Final_Table[[#This Row],[Discount %]])</f>
        <v>18360</v>
      </c>
      <c r="Q180">
        <f>Final_Table[[#This Row],[Net Revenue]]*Final_Table[[#This Row],[Variable Cost %]]</f>
        <v>3304.7999999999997</v>
      </c>
      <c r="R180">
        <f>Final_Table[[#This Row],[Variable Cost]]+Final_Table[[#This Row],[Fixed Monthly Cost]]</f>
        <v>21304.799999999999</v>
      </c>
      <c r="S180" s="5">
        <f>Final_Table[[#This Row],[Net Revenue]]-Final_Table[[#This Row],[Total Cost (COGS)]]</f>
        <v>-2944.7999999999993</v>
      </c>
      <c r="T180">
        <f>Final_Table[[#This Row],[Gross Profit]]*Final_Table[[#This Row],[Tax Rate]]</f>
        <v>-883.43999999999971</v>
      </c>
      <c r="U180" s="5">
        <f>Final_Table[[#This Row],[Gross Profit]]-Final_Table[[#This Row],[Tax]]</f>
        <v>-2061.3599999999997</v>
      </c>
      <c r="V180" s="12">
        <f>Final_Table[[#This Row],[Net Profit]]/Final_Table[[#This Row],[Gross Revenue]]</f>
        <v>-0.10104705882352939</v>
      </c>
    </row>
    <row r="181" spans="1:22">
      <c r="A181" s="18" t="s">
        <v>35</v>
      </c>
      <c r="B181">
        <v>2013</v>
      </c>
      <c r="C181" t="s">
        <v>119</v>
      </c>
      <c r="D181">
        <v>1</v>
      </c>
      <c r="E181" s="18" t="s">
        <v>22</v>
      </c>
      <c r="F181" s="18" t="s">
        <v>80</v>
      </c>
      <c r="G181" s="18" t="s">
        <v>17</v>
      </c>
      <c r="H181" s="18" t="str">
        <f>Assumptions!$B$2</f>
        <v>Worst</v>
      </c>
      <c r="I181" s="18">
        <f>_xlfn.XLOOKUP(Assumptions!$B$2,Assumptions!$F$4:$H$4,Assumptions!$F$5:$H$5)</f>
        <v>1200</v>
      </c>
      <c r="J181" s="18">
        <f>_xlfn.XLOOKUP(Assumptions!$B$2,Assumptions!$F$4:$H$4,Assumptions!$F$6:$H$6)</f>
        <v>17</v>
      </c>
      <c r="K181" s="12">
        <f>_xlfn.XLOOKUP(Assumptions!$B$2,Assumptions!$F$4:$H$4,Assumptions!$F$8:$H$8)</f>
        <v>0.1</v>
      </c>
      <c r="L181" s="12">
        <f>_xlfn.XLOOKUP(Assumptions!$B$2,Assumptions!$F$4:$H$4,Assumptions!$F$9:$H$9)</f>
        <v>0.18</v>
      </c>
      <c r="M181" s="18">
        <f>_xlfn.XLOOKUP(Assumptions!$B$2,Assumptions!$F$4:$H$4,Assumptions!$F$10:$H$10)</f>
        <v>18000</v>
      </c>
      <c r="N181" s="12">
        <f>_xlfn.XLOOKUP(Assumptions!$B$2,Assumptions!$F$4:$H$4,Assumptions!$F$11:$H$11)</f>
        <v>0.3</v>
      </c>
      <c r="O181" s="14">
        <f>Final_Table[[#This Row],[Units Sold]]*Final_Table[[#This Row],[Sale Price]]</f>
        <v>20400</v>
      </c>
      <c r="P181" s="14">
        <f>Final_Table[[#This Row],[Gross Revenue]]*(1-Final_Table[[#This Row],[Discount %]])</f>
        <v>18360</v>
      </c>
      <c r="Q181">
        <f>Final_Table[[#This Row],[Net Revenue]]*Final_Table[[#This Row],[Variable Cost %]]</f>
        <v>3304.7999999999997</v>
      </c>
      <c r="R181">
        <f>Final_Table[[#This Row],[Variable Cost]]+Final_Table[[#This Row],[Fixed Monthly Cost]]</f>
        <v>21304.799999999999</v>
      </c>
      <c r="S181" s="5">
        <f>Final_Table[[#This Row],[Net Revenue]]-Final_Table[[#This Row],[Total Cost (COGS)]]</f>
        <v>-2944.7999999999993</v>
      </c>
      <c r="T181">
        <f>Final_Table[[#This Row],[Gross Profit]]*Final_Table[[#This Row],[Tax Rate]]</f>
        <v>-883.43999999999971</v>
      </c>
      <c r="U181" s="5">
        <f>Final_Table[[#This Row],[Gross Profit]]-Final_Table[[#This Row],[Tax]]</f>
        <v>-2061.3599999999997</v>
      </c>
      <c r="V181" s="12">
        <f>Final_Table[[#This Row],[Net Profit]]/Final_Table[[#This Row],[Gross Revenue]]</f>
        <v>-0.10104705882352939</v>
      </c>
    </row>
    <row r="182" spans="1:22">
      <c r="A182" s="18" t="s">
        <v>35</v>
      </c>
      <c r="B182">
        <v>2013</v>
      </c>
      <c r="C182" t="s">
        <v>119</v>
      </c>
      <c r="D182">
        <v>1</v>
      </c>
      <c r="E182" s="18" t="s">
        <v>22</v>
      </c>
      <c r="F182" s="18" t="s">
        <v>108</v>
      </c>
      <c r="G182" s="18" t="s">
        <v>36</v>
      </c>
      <c r="H182" s="18" t="str">
        <f>Assumptions!$B$2</f>
        <v>Worst</v>
      </c>
      <c r="I182" s="18">
        <f>_xlfn.XLOOKUP(Assumptions!$B$2,Assumptions!$F$4:$H$4,Assumptions!$F$5:$H$5)</f>
        <v>1200</v>
      </c>
      <c r="J182" s="18">
        <f>_xlfn.XLOOKUP(Assumptions!$B$2,Assumptions!$F$4:$H$4,Assumptions!$F$6:$H$6)</f>
        <v>17</v>
      </c>
      <c r="K182" s="12">
        <f>_xlfn.XLOOKUP(Assumptions!$B$2,Assumptions!$F$4:$H$4,Assumptions!$F$8:$H$8)</f>
        <v>0.1</v>
      </c>
      <c r="L182" s="12">
        <f>_xlfn.XLOOKUP(Assumptions!$B$2,Assumptions!$F$4:$H$4,Assumptions!$F$9:$H$9)</f>
        <v>0.18</v>
      </c>
      <c r="M182" s="18">
        <f>_xlfn.XLOOKUP(Assumptions!$B$2,Assumptions!$F$4:$H$4,Assumptions!$F$10:$H$10)</f>
        <v>18000</v>
      </c>
      <c r="N182" s="12">
        <f>_xlfn.XLOOKUP(Assumptions!$B$2,Assumptions!$F$4:$H$4,Assumptions!$F$11:$H$11)</f>
        <v>0.3</v>
      </c>
      <c r="O182" s="14">
        <f>Final_Table[[#This Row],[Units Sold]]*Final_Table[[#This Row],[Sale Price]]</f>
        <v>20400</v>
      </c>
      <c r="P182" s="14">
        <f>Final_Table[[#This Row],[Gross Revenue]]*(1-Final_Table[[#This Row],[Discount %]])</f>
        <v>18360</v>
      </c>
      <c r="Q182">
        <f>Final_Table[[#This Row],[Net Revenue]]*Final_Table[[#This Row],[Variable Cost %]]</f>
        <v>3304.7999999999997</v>
      </c>
      <c r="R182">
        <f>Final_Table[[#This Row],[Variable Cost]]+Final_Table[[#This Row],[Fixed Monthly Cost]]</f>
        <v>21304.799999999999</v>
      </c>
      <c r="S182" s="5">
        <f>Final_Table[[#This Row],[Net Revenue]]-Final_Table[[#This Row],[Total Cost (COGS)]]</f>
        <v>-2944.7999999999993</v>
      </c>
      <c r="T182">
        <f>Final_Table[[#This Row],[Gross Profit]]*Final_Table[[#This Row],[Tax Rate]]</f>
        <v>-883.43999999999971</v>
      </c>
      <c r="U182" s="5">
        <f>Final_Table[[#This Row],[Gross Profit]]-Final_Table[[#This Row],[Tax]]</f>
        <v>-2061.3599999999997</v>
      </c>
      <c r="V182" s="12">
        <f>Final_Table[[#This Row],[Net Profit]]/Final_Table[[#This Row],[Gross Revenue]]</f>
        <v>-0.10104705882352939</v>
      </c>
    </row>
    <row r="183" spans="1:22">
      <c r="A183" s="18" t="s">
        <v>35</v>
      </c>
      <c r="B183">
        <v>2013</v>
      </c>
      <c r="C183" t="s">
        <v>119</v>
      </c>
      <c r="D183">
        <v>1</v>
      </c>
      <c r="E183" s="18" t="s">
        <v>22</v>
      </c>
      <c r="F183" s="18" t="s">
        <v>108</v>
      </c>
      <c r="G183" s="18" t="s">
        <v>23</v>
      </c>
      <c r="H183" s="18" t="str">
        <f>Assumptions!$B$2</f>
        <v>Worst</v>
      </c>
      <c r="I183" s="18">
        <f>_xlfn.XLOOKUP(Assumptions!$B$2,Assumptions!$F$4:$H$4,Assumptions!$F$5:$H$5)</f>
        <v>1200</v>
      </c>
      <c r="J183" s="18">
        <f>_xlfn.XLOOKUP(Assumptions!$B$2,Assumptions!$F$4:$H$4,Assumptions!$F$6:$H$6)</f>
        <v>17</v>
      </c>
      <c r="K183" s="12">
        <f>_xlfn.XLOOKUP(Assumptions!$B$2,Assumptions!$F$4:$H$4,Assumptions!$F$8:$H$8)</f>
        <v>0.1</v>
      </c>
      <c r="L183" s="12">
        <f>_xlfn.XLOOKUP(Assumptions!$B$2,Assumptions!$F$4:$H$4,Assumptions!$F$9:$H$9)</f>
        <v>0.18</v>
      </c>
      <c r="M183" s="18">
        <f>_xlfn.XLOOKUP(Assumptions!$B$2,Assumptions!$F$4:$H$4,Assumptions!$F$10:$H$10)</f>
        <v>18000</v>
      </c>
      <c r="N183" s="12">
        <f>_xlfn.XLOOKUP(Assumptions!$B$2,Assumptions!$F$4:$H$4,Assumptions!$F$11:$H$11)</f>
        <v>0.3</v>
      </c>
      <c r="O183" s="14">
        <f>Final_Table[[#This Row],[Units Sold]]*Final_Table[[#This Row],[Sale Price]]</f>
        <v>20400</v>
      </c>
      <c r="P183" s="14">
        <f>Final_Table[[#This Row],[Gross Revenue]]*(1-Final_Table[[#This Row],[Discount %]])</f>
        <v>18360</v>
      </c>
      <c r="Q183">
        <f>Final_Table[[#This Row],[Net Revenue]]*Final_Table[[#This Row],[Variable Cost %]]</f>
        <v>3304.7999999999997</v>
      </c>
      <c r="R183">
        <f>Final_Table[[#This Row],[Variable Cost]]+Final_Table[[#This Row],[Fixed Monthly Cost]]</f>
        <v>21304.799999999999</v>
      </c>
      <c r="S183" s="5">
        <f>Final_Table[[#This Row],[Net Revenue]]-Final_Table[[#This Row],[Total Cost (COGS)]]</f>
        <v>-2944.7999999999993</v>
      </c>
      <c r="T183">
        <f>Final_Table[[#This Row],[Gross Profit]]*Final_Table[[#This Row],[Tax Rate]]</f>
        <v>-883.43999999999971</v>
      </c>
      <c r="U183" s="5">
        <f>Final_Table[[#This Row],[Gross Profit]]-Final_Table[[#This Row],[Tax]]</f>
        <v>-2061.3599999999997</v>
      </c>
      <c r="V183" s="12">
        <f>Final_Table[[#This Row],[Net Profit]]/Final_Table[[#This Row],[Gross Revenue]]</f>
        <v>-0.10104705882352939</v>
      </c>
    </row>
    <row r="184" spans="1:22">
      <c r="A184" s="18" t="s">
        <v>35</v>
      </c>
      <c r="B184">
        <v>2013</v>
      </c>
      <c r="C184" t="s">
        <v>119</v>
      </c>
      <c r="D184">
        <v>1</v>
      </c>
      <c r="E184" s="18" t="s">
        <v>22</v>
      </c>
      <c r="F184" s="18" t="s">
        <v>108</v>
      </c>
      <c r="G184" s="18" t="s">
        <v>21</v>
      </c>
      <c r="H184" s="18" t="str">
        <f>Assumptions!$B$2</f>
        <v>Worst</v>
      </c>
      <c r="I184" s="18">
        <f>_xlfn.XLOOKUP(Assumptions!$B$2,Assumptions!$F$4:$H$4,Assumptions!$F$5:$H$5)</f>
        <v>1200</v>
      </c>
      <c r="J184" s="18">
        <f>_xlfn.XLOOKUP(Assumptions!$B$2,Assumptions!$F$4:$H$4,Assumptions!$F$6:$H$6)</f>
        <v>17</v>
      </c>
      <c r="K184" s="12">
        <f>_xlfn.XLOOKUP(Assumptions!$B$2,Assumptions!$F$4:$H$4,Assumptions!$F$8:$H$8)</f>
        <v>0.1</v>
      </c>
      <c r="L184" s="12">
        <f>_xlfn.XLOOKUP(Assumptions!$B$2,Assumptions!$F$4:$H$4,Assumptions!$F$9:$H$9)</f>
        <v>0.18</v>
      </c>
      <c r="M184" s="18">
        <f>_xlfn.XLOOKUP(Assumptions!$B$2,Assumptions!$F$4:$H$4,Assumptions!$F$10:$H$10)</f>
        <v>18000</v>
      </c>
      <c r="N184" s="12">
        <f>_xlfn.XLOOKUP(Assumptions!$B$2,Assumptions!$F$4:$H$4,Assumptions!$F$11:$H$11)</f>
        <v>0.3</v>
      </c>
      <c r="O184" s="14">
        <f>Final_Table[[#This Row],[Units Sold]]*Final_Table[[#This Row],[Sale Price]]</f>
        <v>20400</v>
      </c>
      <c r="P184" s="14">
        <f>Final_Table[[#This Row],[Gross Revenue]]*(1-Final_Table[[#This Row],[Discount %]])</f>
        <v>18360</v>
      </c>
      <c r="Q184">
        <f>Final_Table[[#This Row],[Net Revenue]]*Final_Table[[#This Row],[Variable Cost %]]</f>
        <v>3304.7999999999997</v>
      </c>
      <c r="R184">
        <f>Final_Table[[#This Row],[Variable Cost]]+Final_Table[[#This Row],[Fixed Monthly Cost]]</f>
        <v>21304.799999999999</v>
      </c>
      <c r="S184" s="5">
        <f>Final_Table[[#This Row],[Net Revenue]]-Final_Table[[#This Row],[Total Cost (COGS)]]</f>
        <v>-2944.7999999999993</v>
      </c>
      <c r="T184">
        <f>Final_Table[[#This Row],[Gross Profit]]*Final_Table[[#This Row],[Tax Rate]]</f>
        <v>-883.43999999999971</v>
      </c>
      <c r="U184" s="5">
        <f>Final_Table[[#This Row],[Gross Profit]]-Final_Table[[#This Row],[Tax]]</f>
        <v>-2061.3599999999997</v>
      </c>
      <c r="V184" s="12">
        <f>Final_Table[[#This Row],[Net Profit]]/Final_Table[[#This Row],[Gross Revenue]]</f>
        <v>-0.10104705882352939</v>
      </c>
    </row>
    <row r="185" spans="1:22">
      <c r="A185" s="18" t="s">
        <v>35</v>
      </c>
      <c r="B185">
        <v>2013</v>
      </c>
      <c r="C185" t="s">
        <v>119</v>
      </c>
      <c r="D185">
        <v>1</v>
      </c>
      <c r="E185" s="18" t="s">
        <v>22</v>
      </c>
      <c r="F185" s="18" t="s">
        <v>108</v>
      </c>
      <c r="G185" s="18" t="s">
        <v>25</v>
      </c>
      <c r="H185" s="18" t="str">
        <f>Assumptions!$B$2</f>
        <v>Worst</v>
      </c>
      <c r="I185" s="18">
        <f>_xlfn.XLOOKUP(Assumptions!$B$2,Assumptions!$F$4:$H$4,Assumptions!$F$5:$H$5)</f>
        <v>1200</v>
      </c>
      <c r="J185" s="18">
        <f>_xlfn.XLOOKUP(Assumptions!$B$2,Assumptions!$F$4:$H$4,Assumptions!$F$6:$H$6)</f>
        <v>17</v>
      </c>
      <c r="K185" s="12">
        <f>_xlfn.XLOOKUP(Assumptions!$B$2,Assumptions!$F$4:$H$4,Assumptions!$F$8:$H$8)</f>
        <v>0.1</v>
      </c>
      <c r="L185" s="12">
        <f>_xlfn.XLOOKUP(Assumptions!$B$2,Assumptions!$F$4:$H$4,Assumptions!$F$9:$H$9)</f>
        <v>0.18</v>
      </c>
      <c r="M185" s="18">
        <f>_xlfn.XLOOKUP(Assumptions!$B$2,Assumptions!$F$4:$H$4,Assumptions!$F$10:$H$10)</f>
        <v>18000</v>
      </c>
      <c r="N185" s="12">
        <f>_xlfn.XLOOKUP(Assumptions!$B$2,Assumptions!$F$4:$H$4,Assumptions!$F$11:$H$11)</f>
        <v>0.3</v>
      </c>
      <c r="O185" s="14">
        <f>Final_Table[[#This Row],[Units Sold]]*Final_Table[[#This Row],[Sale Price]]</f>
        <v>20400</v>
      </c>
      <c r="P185" s="14">
        <f>Final_Table[[#This Row],[Gross Revenue]]*(1-Final_Table[[#This Row],[Discount %]])</f>
        <v>18360</v>
      </c>
      <c r="Q185">
        <f>Final_Table[[#This Row],[Net Revenue]]*Final_Table[[#This Row],[Variable Cost %]]</f>
        <v>3304.7999999999997</v>
      </c>
      <c r="R185">
        <f>Final_Table[[#This Row],[Variable Cost]]+Final_Table[[#This Row],[Fixed Monthly Cost]]</f>
        <v>21304.799999999999</v>
      </c>
      <c r="S185" s="5">
        <f>Final_Table[[#This Row],[Net Revenue]]-Final_Table[[#This Row],[Total Cost (COGS)]]</f>
        <v>-2944.7999999999993</v>
      </c>
      <c r="T185">
        <f>Final_Table[[#This Row],[Gross Profit]]*Final_Table[[#This Row],[Tax Rate]]</f>
        <v>-883.43999999999971</v>
      </c>
      <c r="U185" s="5">
        <f>Final_Table[[#This Row],[Gross Profit]]-Final_Table[[#This Row],[Tax]]</f>
        <v>-2061.3599999999997</v>
      </c>
      <c r="V185" s="12">
        <f>Final_Table[[#This Row],[Net Profit]]/Final_Table[[#This Row],[Gross Revenue]]</f>
        <v>-0.10104705882352939</v>
      </c>
    </row>
    <row r="186" spans="1:22">
      <c r="A186" s="18" t="s">
        <v>35</v>
      </c>
      <c r="B186">
        <v>2013</v>
      </c>
      <c r="C186" t="s">
        <v>119</v>
      </c>
      <c r="D186">
        <v>1</v>
      </c>
      <c r="E186" s="18" t="s">
        <v>22</v>
      </c>
      <c r="F186" s="18" t="s">
        <v>108</v>
      </c>
      <c r="G186" s="18" t="s">
        <v>17</v>
      </c>
      <c r="H186" s="18" t="str">
        <f>Assumptions!$B$2</f>
        <v>Worst</v>
      </c>
      <c r="I186" s="18">
        <f>_xlfn.XLOOKUP(Assumptions!$B$2,Assumptions!$F$4:$H$4,Assumptions!$F$5:$H$5)</f>
        <v>1200</v>
      </c>
      <c r="J186" s="18">
        <f>_xlfn.XLOOKUP(Assumptions!$B$2,Assumptions!$F$4:$H$4,Assumptions!$F$6:$H$6)</f>
        <v>17</v>
      </c>
      <c r="K186" s="12">
        <f>_xlfn.XLOOKUP(Assumptions!$B$2,Assumptions!$F$4:$H$4,Assumptions!$F$8:$H$8)</f>
        <v>0.1</v>
      </c>
      <c r="L186" s="12">
        <f>_xlfn.XLOOKUP(Assumptions!$B$2,Assumptions!$F$4:$H$4,Assumptions!$F$9:$H$9)</f>
        <v>0.18</v>
      </c>
      <c r="M186" s="18">
        <f>_xlfn.XLOOKUP(Assumptions!$B$2,Assumptions!$F$4:$H$4,Assumptions!$F$10:$H$10)</f>
        <v>18000</v>
      </c>
      <c r="N186" s="12">
        <f>_xlfn.XLOOKUP(Assumptions!$B$2,Assumptions!$F$4:$H$4,Assumptions!$F$11:$H$11)</f>
        <v>0.3</v>
      </c>
      <c r="O186" s="14">
        <f>Final_Table[[#This Row],[Units Sold]]*Final_Table[[#This Row],[Sale Price]]</f>
        <v>20400</v>
      </c>
      <c r="P186" s="14">
        <f>Final_Table[[#This Row],[Gross Revenue]]*(1-Final_Table[[#This Row],[Discount %]])</f>
        <v>18360</v>
      </c>
      <c r="Q186">
        <f>Final_Table[[#This Row],[Net Revenue]]*Final_Table[[#This Row],[Variable Cost %]]</f>
        <v>3304.7999999999997</v>
      </c>
      <c r="R186">
        <f>Final_Table[[#This Row],[Variable Cost]]+Final_Table[[#This Row],[Fixed Monthly Cost]]</f>
        <v>21304.799999999999</v>
      </c>
      <c r="S186" s="5">
        <f>Final_Table[[#This Row],[Net Revenue]]-Final_Table[[#This Row],[Total Cost (COGS)]]</f>
        <v>-2944.7999999999993</v>
      </c>
      <c r="T186">
        <f>Final_Table[[#This Row],[Gross Profit]]*Final_Table[[#This Row],[Tax Rate]]</f>
        <v>-883.43999999999971</v>
      </c>
      <c r="U186" s="5">
        <f>Final_Table[[#This Row],[Gross Profit]]-Final_Table[[#This Row],[Tax]]</f>
        <v>-2061.3599999999997</v>
      </c>
      <c r="V186" s="12">
        <f>Final_Table[[#This Row],[Net Profit]]/Final_Table[[#This Row],[Gross Revenue]]</f>
        <v>-0.10104705882352939</v>
      </c>
    </row>
    <row r="187" spans="1:22">
      <c r="A187" s="18" t="s">
        <v>35</v>
      </c>
      <c r="B187">
        <v>2013</v>
      </c>
      <c r="C187" t="s">
        <v>119</v>
      </c>
      <c r="D187">
        <v>1</v>
      </c>
      <c r="E187" s="18" t="s">
        <v>22</v>
      </c>
      <c r="F187" s="18" t="s">
        <v>112</v>
      </c>
      <c r="G187" s="18" t="s">
        <v>36</v>
      </c>
      <c r="H187" s="18" t="str">
        <f>Assumptions!$B$2</f>
        <v>Worst</v>
      </c>
      <c r="I187" s="18">
        <f>_xlfn.XLOOKUP(Assumptions!$B$2,Assumptions!$F$4:$H$4,Assumptions!$F$5:$H$5)</f>
        <v>1200</v>
      </c>
      <c r="J187" s="18">
        <f>_xlfn.XLOOKUP(Assumptions!$B$2,Assumptions!$F$4:$H$4,Assumptions!$F$6:$H$6)</f>
        <v>17</v>
      </c>
      <c r="K187" s="12">
        <f>_xlfn.XLOOKUP(Assumptions!$B$2,Assumptions!$F$4:$H$4,Assumptions!$F$8:$H$8)</f>
        <v>0.1</v>
      </c>
      <c r="L187" s="12">
        <f>_xlfn.XLOOKUP(Assumptions!$B$2,Assumptions!$F$4:$H$4,Assumptions!$F$9:$H$9)</f>
        <v>0.18</v>
      </c>
      <c r="M187" s="18">
        <f>_xlfn.XLOOKUP(Assumptions!$B$2,Assumptions!$F$4:$H$4,Assumptions!$F$10:$H$10)</f>
        <v>18000</v>
      </c>
      <c r="N187" s="12">
        <f>_xlfn.XLOOKUP(Assumptions!$B$2,Assumptions!$F$4:$H$4,Assumptions!$F$11:$H$11)</f>
        <v>0.3</v>
      </c>
      <c r="O187" s="14">
        <f>Final_Table[[#This Row],[Units Sold]]*Final_Table[[#This Row],[Sale Price]]</f>
        <v>20400</v>
      </c>
      <c r="P187" s="14">
        <f>Final_Table[[#This Row],[Gross Revenue]]*(1-Final_Table[[#This Row],[Discount %]])</f>
        <v>18360</v>
      </c>
      <c r="Q187">
        <f>Final_Table[[#This Row],[Net Revenue]]*Final_Table[[#This Row],[Variable Cost %]]</f>
        <v>3304.7999999999997</v>
      </c>
      <c r="R187">
        <f>Final_Table[[#This Row],[Variable Cost]]+Final_Table[[#This Row],[Fixed Monthly Cost]]</f>
        <v>21304.799999999999</v>
      </c>
      <c r="S187" s="5">
        <f>Final_Table[[#This Row],[Net Revenue]]-Final_Table[[#This Row],[Total Cost (COGS)]]</f>
        <v>-2944.7999999999993</v>
      </c>
      <c r="T187">
        <f>Final_Table[[#This Row],[Gross Profit]]*Final_Table[[#This Row],[Tax Rate]]</f>
        <v>-883.43999999999971</v>
      </c>
      <c r="U187" s="5">
        <f>Final_Table[[#This Row],[Gross Profit]]-Final_Table[[#This Row],[Tax]]</f>
        <v>-2061.3599999999997</v>
      </c>
      <c r="V187" s="12">
        <f>Final_Table[[#This Row],[Net Profit]]/Final_Table[[#This Row],[Gross Revenue]]</f>
        <v>-0.10104705882352939</v>
      </c>
    </row>
    <row r="188" spans="1:22">
      <c r="A188" s="18" t="s">
        <v>35</v>
      </c>
      <c r="B188">
        <v>2013</v>
      </c>
      <c r="C188" t="s">
        <v>119</v>
      </c>
      <c r="D188">
        <v>1</v>
      </c>
      <c r="E188" s="18" t="s">
        <v>22</v>
      </c>
      <c r="F188" s="18" t="s">
        <v>112</v>
      </c>
      <c r="G188" s="18" t="s">
        <v>23</v>
      </c>
      <c r="H188" s="18" t="str">
        <f>Assumptions!$B$2</f>
        <v>Worst</v>
      </c>
      <c r="I188" s="18">
        <f>_xlfn.XLOOKUP(Assumptions!$B$2,Assumptions!$F$4:$H$4,Assumptions!$F$5:$H$5)</f>
        <v>1200</v>
      </c>
      <c r="J188" s="18">
        <f>_xlfn.XLOOKUP(Assumptions!$B$2,Assumptions!$F$4:$H$4,Assumptions!$F$6:$H$6)</f>
        <v>17</v>
      </c>
      <c r="K188" s="12">
        <f>_xlfn.XLOOKUP(Assumptions!$B$2,Assumptions!$F$4:$H$4,Assumptions!$F$8:$H$8)</f>
        <v>0.1</v>
      </c>
      <c r="L188" s="12">
        <f>_xlfn.XLOOKUP(Assumptions!$B$2,Assumptions!$F$4:$H$4,Assumptions!$F$9:$H$9)</f>
        <v>0.18</v>
      </c>
      <c r="M188" s="18">
        <f>_xlfn.XLOOKUP(Assumptions!$B$2,Assumptions!$F$4:$H$4,Assumptions!$F$10:$H$10)</f>
        <v>18000</v>
      </c>
      <c r="N188" s="12">
        <f>_xlfn.XLOOKUP(Assumptions!$B$2,Assumptions!$F$4:$H$4,Assumptions!$F$11:$H$11)</f>
        <v>0.3</v>
      </c>
      <c r="O188" s="14">
        <f>Final_Table[[#This Row],[Units Sold]]*Final_Table[[#This Row],[Sale Price]]</f>
        <v>20400</v>
      </c>
      <c r="P188" s="14">
        <f>Final_Table[[#This Row],[Gross Revenue]]*(1-Final_Table[[#This Row],[Discount %]])</f>
        <v>18360</v>
      </c>
      <c r="Q188">
        <f>Final_Table[[#This Row],[Net Revenue]]*Final_Table[[#This Row],[Variable Cost %]]</f>
        <v>3304.7999999999997</v>
      </c>
      <c r="R188">
        <f>Final_Table[[#This Row],[Variable Cost]]+Final_Table[[#This Row],[Fixed Monthly Cost]]</f>
        <v>21304.799999999999</v>
      </c>
      <c r="S188" s="5">
        <f>Final_Table[[#This Row],[Net Revenue]]-Final_Table[[#This Row],[Total Cost (COGS)]]</f>
        <v>-2944.7999999999993</v>
      </c>
      <c r="T188">
        <f>Final_Table[[#This Row],[Gross Profit]]*Final_Table[[#This Row],[Tax Rate]]</f>
        <v>-883.43999999999971</v>
      </c>
      <c r="U188" s="5">
        <f>Final_Table[[#This Row],[Gross Profit]]-Final_Table[[#This Row],[Tax]]</f>
        <v>-2061.3599999999997</v>
      </c>
      <c r="V188" s="12">
        <f>Final_Table[[#This Row],[Net Profit]]/Final_Table[[#This Row],[Gross Revenue]]</f>
        <v>-0.10104705882352939</v>
      </c>
    </row>
    <row r="189" spans="1:22">
      <c r="A189" s="18" t="s">
        <v>35</v>
      </c>
      <c r="B189">
        <v>2013</v>
      </c>
      <c r="C189" t="s">
        <v>119</v>
      </c>
      <c r="D189">
        <v>1</v>
      </c>
      <c r="E189" s="18" t="s">
        <v>22</v>
      </c>
      <c r="F189" s="18" t="s">
        <v>112</v>
      </c>
      <c r="G189" s="18" t="s">
        <v>21</v>
      </c>
      <c r="H189" s="18" t="str">
        <f>Assumptions!$B$2</f>
        <v>Worst</v>
      </c>
      <c r="I189" s="18">
        <f>_xlfn.XLOOKUP(Assumptions!$B$2,Assumptions!$F$4:$H$4,Assumptions!$F$5:$H$5)</f>
        <v>1200</v>
      </c>
      <c r="J189" s="18">
        <f>_xlfn.XLOOKUP(Assumptions!$B$2,Assumptions!$F$4:$H$4,Assumptions!$F$6:$H$6)</f>
        <v>17</v>
      </c>
      <c r="K189" s="12">
        <f>_xlfn.XLOOKUP(Assumptions!$B$2,Assumptions!$F$4:$H$4,Assumptions!$F$8:$H$8)</f>
        <v>0.1</v>
      </c>
      <c r="L189" s="12">
        <f>_xlfn.XLOOKUP(Assumptions!$B$2,Assumptions!$F$4:$H$4,Assumptions!$F$9:$H$9)</f>
        <v>0.18</v>
      </c>
      <c r="M189" s="18">
        <f>_xlfn.XLOOKUP(Assumptions!$B$2,Assumptions!$F$4:$H$4,Assumptions!$F$10:$H$10)</f>
        <v>18000</v>
      </c>
      <c r="N189" s="12">
        <f>_xlfn.XLOOKUP(Assumptions!$B$2,Assumptions!$F$4:$H$4,Assumptions!$F$11:$H$11)</f>
        <v>0.3</v>
      </c>
      <c r="O189" s="14">
        <f>Final_Table[[#This Row],[Units Sold]]*Final_Table[[#This Row],[Sale Price]]</f>
        <v>20400</v>
      </c>
      <c r="P189" s="14">
        <f>Final_Table[[#This Row],[Gross Revenue]]*(1-Final_Table[[#This Row],[Discount %]])</f>
        <v>18360</v>
      </c>
      <c r="Q189">
        <f>Final_Table[[#This Row],[Net Revenue]]*Final_Table[[#This Row],[Variable Cost %]]</f>
        <v>3304.7999999999997</v>
      </c>
      <c r="R189">
        <f>Final_Table[[#This Row],[Variable Cost]]+Final_Table[[#This Row],[Fixed Monthly Cost]]</f>
        <v>21304.799999999999</v>
      </c>
      <c r="S189" s="5">
        <f>Final_Table[[#This Row],[Net Revenue]]-Final_Table[[#This Row],[Total Cost (COGS)]]</f>
        <v>-2944.7999999999993</v>
      </c>
      <c r="T189">
        <f>Final_Table[[#This Row],[Gross Profit]]*Final_Table[[#This Row],[Tax Rate]]</f>
        <v>-883.43999999999971</v>
      </c>
      <c r="U189" s="5">
        <f>Final_Table[[#This Row],[Gross Profit]]-Final_Table[[#This Row],[Tax]]</f>
        <v>-2061.3599999999997</v>
      </c>
      <c r="V189" s="12">
        <f>Final_Table[[#This Row],[Net Profit]]/Final_Table[[#This Row],[Gross Revenue]]</f>
        <v>-0.10104705882352939</v>
      </c>
    </row>
    <row r="190" spans="1:22">
      <c r="A190" s="18" t="s">
        <v>35</v>
      </c>
      <c r="B190">
        <v>2013</v>
      </c>
      <c r="C190" t="s">
        <v>119</v>
      </c>
      <c r="D190">
        <v>1</v>
      </c>
      <c r="E190" s="18" t="s">
        <v>22</v>
      </c>
      <c r="F190" s="18" t="s">
        <v>112</v>
      </c>
      <c r="G190" s="18" t="s">
        <v>25</v>
      </c>
      <c r="H190" s="18" t="str">
        <f>Assumptions!$B$2</f>
        <v>Worst</v>
      </c>
      <c r="I190" s="18">
        <f>_xlfn.XLOOKUP(Assumptions!$B$2,Assumptions!$F$4:$H$4,Assumptions!$F$5:$H$5)</f>
        <v>1200</v>
      </c>
      <c r="J190" s="18">
        <f>_xlfn.XLOOKUP(Assumptions!$B$2,Assumptions!$F$4:$H$4,Assumptions!$F$6:$H$6)</f>
        <v>17</v>
      </c>
      <c r="K190" s="12">
        <f>_xlfn.XLOOKUP(Assumptions!$B$2,Assumptions!$F$4:$H$4,Assumptions!$F$8:$H$8)</f>
        <v>0.1</v>
      </c>
      <c r="L190" s="12">
        <f>_xlfn.XLOOKUP(Assumptions!$B$2,Assumptions!$F$4:$H$4,Assumptions!$F$9:$H$9)</f>
        <v>0.18</v>
      </c>
      <c r="M190" s="18">
        <f>_xlfn.XLOOKUP(Assumptions!$B$2,Assumptions!$F$4:$H$4,Assumptions!$F$10:$H$10)</f>
        <v>18000</v>
      </c>
      <c r="N190" s="12">
        <f>_xlfn.XLOOKUP(Assumptions!$B$2,Assumptions!$F$4:$H$4,Assumptions!$F$11:$H$11)</f>
        <v>0.3</v>
      </c>
      <c r="O190" s="14">
        <f>Final_Table[[#This Row],[Units Sold]]*Final_Table[[#This Row],[Sale Price]]</f>
        <v>20400</v>
      </c>
      <c r="P190" s="14">
        <f>Final_Table[[#This Row],[Gross Revenue]]*(1-Final_Table[[#This Row],[Discount %]])</f>
        <v>18360</v>
      </c>
      <c r="Q190">
        <f>Final_Table[[#This Row],[Net Revenue]]*Final_Table[[#This Row],[Variable Cost %]]</f>
        <v>3304.7999999999997</v>
      </c>
      <c r="R190">
        <f>Final_Table[[#This Row],[Variable Cost]]+Final_Table[[#This Row],[Fixed Monthly Cost]]</f>
        <v>21304.799999999999</v>
      </c>
      <c r="S190" s="5">
        <f>Final_Table[[#This Row],[Net Revenue]]-Final_Table[[#This Row],[Total Cost (COGS)]]</f>
        <v>-2944.7999999999993</v>
      </c>
      <c r="T190">
        <f>Final_Table[[#This Row],[Gross Profit]]*Final_Table[[#This Row],[Tax Rate]]</f>
        <v>-883.43999999999971</v>
      </c>
      <c r="U190" s="5">
        <f>Final_Table[[#This Row],[Gross Profit]]-Final_Table[[#This Row],[Tax]]</f>
        <v>-2061.3599999999997</v>
      </c>
      <c r="V190" s="12">
        <f>Final_Table[[#This Row],[Net Profit]]/Final_Table[[#This Row],[Gross Revenue]]</f>
        <v>-0.10104705882352939</v>
      </c>
    </row>
    <row r="191" spans="1:22">
      <c r="A191" s="18" t="s">
        <v>35</v>
      </c>
      <c r="B191">
        <v>2013</v>
      </c>
      <c r="C191" t="s">
        <v>119</v>
      </c>
      <c r="D191">
        <v>1</v>
      </c>
      <c r="E191" s="18" t="s">
        <v>22</v>
      </c>
      <c r="F191" s="18" t="s">
        <v>112</v>
      </c>
      <c r="G191" s="18" t="s">
        <v>17</v>
      </c>
      <c r="H191" s="18" t="str">
        <f>Assumptions!$B$2</f>
        <v>Worst</v>
      </c>
      <c r="I191" s="18">
        <f>_xlfn.XLOOKUP(Assumptions!$B$2,Assumptions!$F$4:$H$4,Assumptions!$F$5:$H$5)</f>
        <v>1200</v>
      </c>
      <c r="J191" s="18">
        <f>_xlfn.XLOOKUP(Assumptions!$B$2,Assumptions!$F$4:$H$4,Assumptions!$F$6:$H$6)</f>
        <v>17</v>
      </c>
      <c r="K191" s="12">
        <f>_xlfn.XLOOKUP(Assumptions!$B$2,Assumptions!$F$4:$H$4,Assumptions!$F$8:$H$8)</f>
        <v>0.1</v>
      </c>
      <c r="L191" s="12">
        <f>_xlfn.XLOOKUP(Assumptions!$B$2,Assumptions!$F$4:$H$4,Assumptions!$F$9:$H$9)</f>
        <v>0.18</v>
      </c>
      <c r="M191" s="18">
        <f>_xlfn.XLOOKUP(Assumptions!$B$2,Assumptions!$F$4:$H$4,Assumptions!$F$10:$H$10)</f>
        <v>18000</v>
      </c>
      <c r="N191" s="12">
        <f>_xlfn.XLOOKUP(Assumptions!$B$2,Assumptions!$F$4:$H$4,Assumptions!$F$11:$H$11)</f>
        <v>0.3</v>
      </c>
      <c r="O191" s="14">
        <f>Final_Table[[#This Row],[Units Sold]]*Final_Table[[#This Row],[Sale Price]]</f>
        <v>20400</v>
      </c>
      <c r="P191" s="14">
        <f>Final_Table[[#This Row],[Gross Revenue]]*(1-Final_Table[[#This Row],[Discount %]])</f>
        <v>18360</v>
      </c>
      <c r="Q191">
        <f>Final_Table[[#This Row],[Net Revenue]]*Final_Table[[#This Row],[Variable Cost %]]</f>
        <v>3304.7999999999997</v>
      </c>
      <c r="R191">
        <f>Final_Table[[#This Row],[Variable Cost]]+Final_Table[[#This Row],[Fixed Monthly Cost]]</f>
        <v>21304.799999999999</v>
      </c>
      <c r="S191" s="5">
        <f>Final_Table[[#This Row],[Net Revenue]]-Final_Table[[#This Row],[Total Cost (COGS)]]</f>
        <v>-2944.7999999999993</v>
      </c>
      <c r="T191">
        <f>Final_Table[[#This Row],[Gross Profit]]*Final_Table[[#This Row],[Tax Rate]]</f>
        <v>-883.43999999999971</v>
      </c>
      <c r="U191" s="5">
        <f>Final_Table[[#This Row],[Gross Profit]]-Final_Table[[#This Row],[Tax]]</f>
        <v>-2061.3599999999997</v>
      </c>
      <c r="V191" s="12">
        <f>Final_Table[[#This Row],[Net Profit]]/Final_Table[[#This Row],[Gross Revenue]]</f>
        <v>-0.10104705882352939</v>
      </c>
    </row>
    <row r="192" spans="1:22">
      <c r="A192" s="18" t="s">
        <v>35</v>
      </c>
      <c r="B192">
        <v>2013</v>
      </c>
      <c r="C192" t="s">
        <v>119</v>
      </c>
      <c r="D192">
        <v>1</v>
      </c>
      <c r="E192" s="18" t="s">
        <v>22</v>
      </c>
      <c r="F192" s="18" t="s">
        <v>113</v>
      </c>
      <c r="G192" s="18" t="s">
        <v>36</v>
      </c>
      <c r="H192" s="18" t="str">
        <f>Assumptions!$B$2</f>
        <v>Worst</v>
      </c>
      <c r="I192" s="18">
        <f>_xlfn.XLOOKUP(Assumptions!$B$2,Assumptions!$F$4:$H$4,Assumptions!$F$5:$H$5)</f>
        <v>1200</v>
      </c>
      <c r="J192" s="18">
        <f>_xlfn.XLOOKUP(Assumptions!$B$2,Assumptions!$F$4:$H$4,Assumptions!$F$6:$H$6)</f>
        <v>17</v>
      </c>
      <c r="K192" s="12">
        <f>_xlfn.XLOOKUP(Assumptions!$B$2,Assumptions!$F$4:$H$4,Assumptions!$F$8:$H$8)</f>
        <v>0.1</v>
      </c>
      <c r="L192" s="12">
        <f>_xlfn.XLOOKUP(Assumptions!$B$2,Assumptions!$F$4:$H$4,Assumptions!$F$9:$H$9)</f>
        <v>0.18</v>
      </c>
      <c r="M192" s="18">
        <f>_xlfn.XLOOKUP(Assumptions!$B$2,Assumptions!$F$4:$H$4,Assumptions!$F$10:$H$10)</f>
        <v>18000</v>
      </c>
      <c r="N192" s="12">
        <f>_xlfn.XLOOKUP(Assumptions!$B$2,Assumptions!$F$4:$H$4,Assumptions!$F$11:$H$11)</f>
        <v>0.3</v>
      </c>
      <c r="O192" s="14">
        <f>Final_Table[[#This Row],[Units Sold]]*Final_Table[[#This Row],[Sale Price]]</f>
        <v>20400</v>
      </c>
      <c r="P192" s="14">
        <f>Final_Table[[#This Row],[Gross Revenue]]*(1-Final_Table[[#This Row],[Discount %]])</f>
        <v>18360</v>
      </c>
      <c r="Q192">
        <f>Final_Table[[#This Row],[Net Revenue]]*Final_Table[[#This Row],[Variable Cost %]]</f>
        <v>3304.7999999999997</v>
      </c>
      <c r="R192">
        <f>Final_Table[[#This Row],[Variable Cost]]+Final_Table[[#This Row],[Fixed Monthly Cost]]</f>
        <v>21304.799999999999</v>
      </c>
      <c r="S192" s="5">
        <f>Final_Table[[#This Row],[Net Revenue]]-Final_Table[[#This Row],[Total Cost (COGS)]]</f>
        <v>-2944.7999999999993</v>
      </c>
      <c r="T192">
        <f>Final_Table[[#This Row],[Gross Profit]]*Final_Table[[#This Row],[Tax Rate]]</f>
        <v>-883.43999999999971</v>
      </c>
      <c r="U192" s="5">
        <f>Final_Table[[#This Row],[Gross Profit]]-Final_Table[[#This Row],[Tax]]</f>
        <v>-2061.3599999999997</v>
      </c>
      <c r="V192" s="12">
        <f>Final_Table[[#This Row],[Net Profit]]/Final_Table[[#This Row],[Gross Revenue]]</f>
        <v>-0.10104705882352939</v>
      </c>
    </row>
    <row r="193" spans="1:22">
      <c r="A193" s="18" t="s">
        <v>35</v>
      </c>
      <c r="B193">
        <v>2013</v>
      </c>
      <c r="C193" t="s">
        <v>119</v>
      </c>
      <c r="D193">
        <v>1</v>
      </c>
      <c r="E193" s="18" t="s">
        <v>22</v>
      </c>
      <c r="F193" s="18" t="s">
        <v>113</v>
      </c>
      <c r="G193" s="18" t="s">
        <v>23</v>
      </c>
      <c r="H193" s="18" t="str">
        <f>Assumptions!$B$2</f>
        <v>Worst</v>
      </c>
      <c r="I193" s="18">
        <f>_xlfn.XLOOKUP(Assumptions!$B$2,Assumptions!$F$4:$H$4,Assumptions!$F$5:$H$5)</f>
        <v>1200</v>
      </c>
      <c r="J193" s="18">
        <f>_xlfn.XLOOKUP(Assumptions!$B$2,Assumptions!$F$4:$H$4,Assumptions!$F$6:$H$6)</f>
        <v>17</v>
      </c>
      <c r="K193" s="12">
        <f>_xlfn.XLOOKUP(Assumptions!$B$2,Assumptions!$F$4:$H$4,Assumptions!$F$8:$H$8)</f>
        <v>0.1</v>
      </c>
      <c r="L193" s="12">
        <f>_xlfn.XLOOKUP(Assumptions!$B$2,Assumptions!$F$4:$H$4,Assumptions!$F$9:$H$9)</f>
        <v>0.18</v>
      </c>
      <c r="M193" s="18">
        <f>_xlfn.XLOOKUP(Assumptions!$B$2,Assumptions!$F$4:$H$4,Assumptions!$F$10:$H$10)</f>
        <v>18000</v>
      </c>
      <c r="N193" s="12">
        <f>_xlfn.XLOOKUP(Assumptions!$B$2,Assumptions!$F$4:$H$4,Assumptions!$F$11:$H$11)</f>
        <v>0.3</v>
      </c>
      <c r="O193" s="14">
        <f>Final_Table[[#This Row],[Units Sold]]*Final_Table[[#This Row],[Sale Price]]</f>
        <v>20400</v>
      </c>
      <c r="P193" s="14">
        <f>Final_Table[[#This Row],[Gross Revenue]]*(1-Final_Table[[#This Row],[Discount %]])</f>
        <v>18360</v>
      </c>
      <c r="Q193">
        <f>Final_Table[[#This Row],[Net Revenue]]*Final_Table[[#This Row],[Variable Cost %]]</f>
        <v>3304.7999999999997</v>
      </c>
      <c r="R193">
        <f>Final_Table[[#This Row],[Variable Cost]]+Final_Table[[#This Row],[Fixed Monthly Cost]]</f>
        <v>21304.799999999999</v>
      </c>
      <c r="S193" s="5">
        <f>Final_Table[[#This Row],[Net Revenue]]-Final_Table[[#This Row],[Total Cost (COGS)]]</f>
        <v>-2944.7999999999993</v>
      </c>
      <c r="T193">
        <f>Final_Table[[#This Row],[Gross Profit]]*Final_Table[[#This Row],[Tax Rate]]</f>
        <v>-883.43999999999971</v>
      </c>
      <c r="U193" s="5">
        <f>Final_Table[[#This Row],[Gross Profit]]-Final_Table[[#This Row],[Tax]]</f>
        <v>-2061.3599999999997</v>
      </c>
      <c r="V193" s="12">
        <f>Final_Table[[#This Row],[Net Profit]]/Final_Table[[#This Row],[Gross Revenue]]</f>
        <v>-0.10104705882352939</v>
      </c>
    </row>
    <row r="194" spans="1:22">
      <c r="A194" s="18" t="s">
        <v>35</v>
      </c>
      <c r="B194">
        <v>2013</v>
      </c>
      <c r="C194" t="s">
        <v>119</v>
      </c>
      <c r="D194">
        <v>1</v>
      </c>
      <c r="E194" s="18" t="s">
        <v>22</v>
      </c>
      <c r="F194" s="18" t="s">
        <v>113</v>
      </c>
      <c r="G194" s="18" t="s">
        <v>21</v>
      </c>
      <c r="H194" s="18" t="str">
        <f>Assumptions!$B$2</f>
        <v>Worst</v>
      </c>
      <c r="I194" s="18">
        <f>_xlfn.XLOOKUP(Assumptions!$B$2,Assumptions!$F$4:$H$4,Assumptions!$F$5:$H$5)</f>
        <v>1200</v>
      </c>
      <c r="J194" s="18">
        <f>_xlfn.XLOOKUP(Assumptions!$B$2,Assumptions!$F$4:$H$4,Assumptions!$F$6:$H$6)</f>
        <v>17</v>
      </c>
      <c r="K194" s="12">
        <f>_xlfn.XLOOKUP(Assumptions!$B$2,Assumptions!$F$4:$H$4,Assumptions!$F$8:$H$8)</f>
        <v>0.1</v>
      </c>
      <c r="L194" s="12">
        <f>_xlfn.XLOOKUP(Assumptions!$B$2,Assumptions!$F$4:$H$4,Assumptions!$F$9:$H$9)</f>
        <v>0.18</v>
      </c>
      <c r="M194" s="18">
        <f>_xlfn.XLOOKUP(Assumptions!$B$2,Assumptions!$F$4:$H$4,Assumptions!$F$10:$H$10)</f>
        <v>18000</v>
      </c>
      <c r="N194" s="12">
        <f>_xlfn.XLOOKUP(Assumptions!$B$2,Assumptions!$F$4:$H$4,Assumptions!$F$11:$H$11)</f>
        <v>0.3</v>
      </c>
      <c r="O194" s="14">
        <f>Final_Table[[#This Row],[Units Sold]]*Final_Table[[#This Row],[Sale Price]]</f>
        <v>20400</v>
      </c>
      <c r="P194" s="14">
        <f>Final_Table[[#This Row],[Gross Revenue]]*(1-Final_Table[[#This Row],[Discount %]])</f>
        <v>18360</v>
      </c>
      <c r="Q194">
        <f>Final_Table[[#This Row],[Net Revenue]]*Final_Table[[#This Row],[Variable Cost %]]</f>
        <v>3304.7999999999997</v>
      </c>
      <c r="R194">
        <f>Final_Table[[#This Row],[Variable Cost]]+Final_Table[[#This Row],[Fixed Monthly Cost]]</f>
        <v>21304.799999999999</v>
      </c>
      <c r="S194" s="5">
        <f>Final_Table[[#This Row],[Net Revenue]]-Final_Table[[#This Row],[Total Cost (COGS)]]</f>
        <v>-2944.7999999999993</v>
      </c>
      <c r="T194">
        <f>Final_Table[[#This Row],[Gross Profit]]*Final_Table[[#This Row],[Tax Rate]]</f>
        <v>-883.43999999999971</v>
      </c>
      <c r="U194" s="5">
        <f>Final_Table[[#This Row],[Gross Profit]]-Final_Table[[#This Row],[Tax]]</f>
        <v>-2061.3599999999997</v>
      </c>
      <c r="V194" s="12">
        <f>Final_Table[[#This Row],[Net Profit]]/Final_Table[[#This Row],[Gross Revenue]]</f>
        <v>-0.10104705882352939</v>
      </c>
    </row>
    <row r="195" spans="1:22">
      <c r="A195" s="18" t="s">
        <v>35</v>
      </c>
      <c r="B195">
        <v>2013</v>
      </c>
      <c r="C195" t="s">
        <v>119</v>
      </c>
      <c r="D195">
        <v>1</v>
      </c>
      <c r="E195" s="18" t="s">
        <v>22</v>
      </c>
      <c r="F195" s="18" t="s">
        <v>113</v>
      </c>
      <c r="G195" s="18" t="s">
        <v>25</v>
      </c>
      <c r="H195" s="18" t="str">
        <f>Assumptions!$B$2</f>
        <v>Worst</v>
      </c>
      <c r="I195" s="18">
        <f>_xlfn.XLOOKUP(Assumptions!$B$2,Assumptions!$F$4:$H$4,Assumptions!$F$5:$H$5)</f>
        <v>1200</v>
      </c>
      <c r="J195" s="18">
        <f>_xlfn.XLOOKUP(Assumptions!$B$2,Assumptions!$F$4:$H$4,Assumptions!$F$6:$H$6)</f>
        <v>17</v>
      </c>
      <c r="K195" s="12">
        <f>_xlfn.XLOOKUP(Assumptions!$B$2,Assumptions!$F$4:$H$4,Assumptions!$F$8:$H$8)</f>
        <v>0.1</v>
      </c>
      <c r="L195" s="12">
        <f>_xlfn.XLOOKUP(Assumptions!$B$2,Assumptions!$F$4:$H$4,Assumptions!$F$9:$H$9)</f>
        <v>0.18</v>
      </c>
      <c r="M195" s="18">
        <f>_xlfn.XLOOKUP(Assumptions!$B$2,Assumptions!$F$4:$H$4,Assumptions!$F$10:$H$10)</f>
        <v>18000</v>
      </c>
      <c r="N195" s="12">
        <f>_xlfn.XLOOKUP(Assumptions!$B$2,Assumptions!$F$4:$H$4,Assumptions!$F$11:$H$11)</f>
        <v>0.3</v>
      </c>
      <c r="O195" s="14">
        <f>Final_Table[[#This Row],[Units Sold]]*Final_Table[[#This Row],[Sale Price]]</f>
        <v>20400</v>
      </c>
      <c r="P195" s="14">
        <f>Final_Table[[#This Row],[Gross Revenue]]*(1-Final_Table[[#This Row],[Discount %]])</f>
        <v>18360</v>
      </c>
      <c r="Q195">
        <f>Final_Table[[#This Row],[Net Revenue]]*Final_Table[[#This Row],[Variable Cost %]]</f>
        <v>3304.7999999999997</v>
      </c>
      <c r="R195">
        <f>Final_Table[[#This Row],[Variable Cost]]+Final_Table[[#This Row],[Fixed Monthly Cost]]</f>
        <v>21304.799999999999</v>
      </c>
      <c r="S195" s="5">
        <f>Final_Table[[#This Row],[Net Revenue]]-Final_Table[[#This Row],[Total Cost (COGS)]]</f>
        <v>-2944.7999999999993</v>
      </c>
      <c r="T195">
        <f>Final_Table[[#This Row],[Gross Profit]]*Final_Table[[#This Row],[Tax Rate]]</f>
        <v>-883.43999999999971</v>
      </c>
      <c r="U195" s="5">
        <f>Final_Table[[#This Row],[Gross Profit]]-Final_Table[[#This Row],[Tax]]</f>
        <v>-2061.3599999999997</v>
      </c>
      <c r="V195" s="12">
        <f>Final_Table[[#This Row],[Net Profit]]/Final_Table[[#This Row],[Gross Revenue]]</f>
        <v>-0.10104705882352939</v>
      </c>
    </row>
    <row r="196" spans="1:22">
      <c r="A196" s="18" t="s">
        <v>35</v>
      </c>
      <c r="B196">
        <v>2013</v>
      </c>
      <c r="C196" t="s">
        <v>119</v>
      </c>
      <c r="D196">
        <v>1</v>
      </c>
      <c r="E196" s="18" t="s">
        <v>22</v>
      </c>
      <c r="F196" s="18" t="s">
        <v>113</v>
      </c>
      <c r="G196" s="18" t="s">
        <v>17</v>
      </c>
      <c r="H196" s="18" t="str">
        <f>Assumptions!$B$2</f>
        <v>Worst</v>
      </c>
      <c r="I196" s="18">
        <f>_xlfn.XLOOKUP(Assumptions!$B$2,Assumptions!$F$4:$H$4,Assumptions!$F$5:$H$5)</f>
        <v>1200</v>
      </c>
      <c r="J196" s="18">
        <f>_xlfn.XLOOKUP(Assumptions!$B$2,Assumptions!$F$4:$H$4,Assumptions!$F$6:$H$6)</f>
        <v>17</v>
      </c>
      <c r="K196" s="12">
        <f>_xlfn.XLOOKUP(Assumptions!$B$2,Assumptions!$F$4:$H$4,Assumptions!$F$8:$H$8)</f>
        <v>0.1</v>
      </c>
      <c r="L196" s="12">
        <f>_xlfn.XLOOKUP(Assumptions!$B$2,Assumptions!$F$4:$H$4,Assumptions!$F$9:$H$9)</f>
        <v>0.18</v>
      </c>
      <c r="M196" s="18">
        <f>_xlfn.XLOOKUP(Assumptions!$B$2,Assumptions!$F$4:$H$4,Assumptions!$F$10:$H$10)</f>
        <v>18000</v>
      </c>
      <c r="N196" s="12">
        <f>_xlfn.XLOOKUP(Assumptions!$B$2,Assumptions!$F$4:$H$4,Assumptions!$F$11:$H$11)</f>
        <v>0.3</v>
      </c>
      <c r="O196" s="14">
        <f>Final_Table[[#This Row],[Units Sold]]*Final_Table[[#This Row],[Sale Price]]</f>
        <v>20400</v>
      </c>
      <c r="P196" s="14">
        <f>Final_Table[[#This Row],[Gross Revenue]]*(1-Final_Table[[#This Row],[Discount %]])</f>
        <v>18360</v>
      </c>
      <c r="Q196">
        <f>Final_Table[[#This Row],[Net Revenue]]*Final_Table[[#This Row],[Variable Cost %]]</f>
        <v>3304.7999999999997</v>
      </c>
      <c r="R196">
        <f>Final_Table[[#This Row],[Variable Cost]]+Final_Table[[#This Row],[Fixed Monthly Cost]]</f>
        <v>21304.799999999999</v>
      </c>
      <c r="S196" s="5">
        <f>Final_Table[[#This Row],[Net Revenue]]-Final_Table[[#This Row],[Total Cost (COGS)]]</f>
        <v>-2944.7999999999993</v>
      </c>
      <c r="T196">
        <f>Final_Table[[#This Row],[Gross Profit]]*Final_Table[[#This Row],[Tax Rate]]</f>
        <v>-883.43999999999971</v>
      </c>
      <c r="U196" s="5">
        <f>Final_Table[[#This Row],[Gross Profit]]-Final_Table[[#This Row],[Tax]]</f>
        <v>-2061.3599999999997</v>
      </c>
      <c r="V196" s="12">
        <f>Final_Table[[#This Row],[Net Profit]]/Final_Table[[#This Row],[Gross Revenue]]</f>
        <v>-0.10104705882352939</v>
      </c>
    </row>
    <row r="197" spans="1:22">
      <c r="A197" s="18" t="s">
        <v>35</v>
      </c>
      <c r="B197">
        <v>2013</v>
      </c>
      <c r="C197" t="s">
        <v>119</v>
      </c>
      <c r="D197">
        <v>1</v>
      </c>
      <c r="E197" s="18" t="s">
        <v>22</v>
      </c>
      <c r="F197" s="18" t="s">
        <v>114</v>
      </c>
      <c r="G197" s="18" t="s">
        <v>36</v>
      </c>
      <c r="H197" s="18" t="str">
        <f>Assumptions!$B$2</f>
        <v>Worst</v>
      </c>
      <c r="I197" s="18">
        <f>_xlfn.XLOOKUP(Assumptions!$B$2,Assumptions!$F$4:$H$4,Assumptions!$F$5:$H$5)</f>
        <v>1200</v>
      </c>
      <c r="J197" s="18">
        <f>_xlfn.XLOOKUP(Assumptions!$B$2,Assumptions!$F$4:$H$4,Assumptions!$F$6:$H$6)</f>
        <v>17</v>
      </c>
      <c r="K197" s="12">
        <f>_xlfn.XLOOKUP(Assumptions!$B$2,Assumptions!$F$4:$H$4,Assumptions!$F$8:$H$8)</f>
        <v>0.1</v>
      </c>
      <c r="L197" s="12">
        <f>_xlfn.XLOOKUP(Assumptions!$B$2,Assumptions!$F$4:$H$4,Assumptions!$F$9:$H$9)</f>
        <v>0.18</v>
      </c>
      <c r="M197" s="18">
        <f>_xlfn.XLOOKUP(Assumptions!$B$2,Assumptions!$F$4:$H$4,Assumptions!$F$10:$H$10)</f>
        <v>18000</v>
      </c>
      <c r="N197" s="12">
        <f>_xlfn.XLOOKUP(Assumptions!$B$2,Assumptions!$F$4:$H$4,Assumptions!$F$11:$H$11)</f>
        <v>0.3</v>
      </c>
      <c r="O197" s="14">
        <f>Final_Table[[#This Row],[Units Sold]]*Final_Table[[#This Row],[Sale Price]]</f>
        <v>20400</v>
      </c>
      <c r="P197" s="14">
        <f>Final_Table[[#This Row],[Gross Revenue]]*(1-Final_Table[[#This Row],[Discount %]])</f>
        <v>18360</v>
      </c>
      <c r="Q197">
        <f>Final_Table[[#This Row],[Net Revenue]]*Final_Table[[#This Row],[Variable Cost %]]</f>
        <v>3304.7999999999997</v>
      </c>
      <c r="R197">
        <f>Final_Table[[#This Row],[Variable Cost]]+Final_Table[[#This Row],[Fixed Monthly Cost]]</f>
        <v>21304.799999999999</v>
      </c>
      <c r="S197" s="5">
        <f>Final_Table[[#This Row],[Net Revenue]]-Final_Table[[#This Row],[Total Cost (COGS)]]</f>
        <v>-2944.7999999999993</v>
      </c>
      <c r="T197">
        <f>Final_Table[[#This Row],[Gross Profit]]*Final_Table[[#This Row],[Tax Rate]]</f>
        <v>-883.43999999999971</v>
      </c>
      <c r="U197" s="5">
        <f>Final_Table[[#This Row],[Gross Profit]]-Final_Table[[#This Row],[Tax]]</f>
        <v>-2061.3599999999997</v>
      </c>
      <c r="V197" s="12">
        <f>Final_Table[[#This Row],[Net Profit]]/Final_Table[[#This Row],[Gross Revenue]]</f>
        <v>-0.10104705882352939</v>
      </c>
    </row>
    <row r="198" spans="1:22">
      <c r="A198" s="18" t="s">
        <v>35</v>
      </c>
      <c r="B198">
        <v>2013</v>
      </c>
      <c r="C198" t="s">
        <v>119</v>
      </c>
      <c r="D198">
        <v>1</v>
      </c>
      <c r="E198" s="18" t="s">
        <v>22</v>
      </c>
      <c r="F198" s="18" t="s">
        <v>114</v>
      </c>
      <c r="G198" s="18" t="s">
        <v>23</v>
      </c>
      <c r="H198" s="18" t="str">
        <f>Assumptions!$B$2</f>
        <v>Worst</v>
      </c>
      <c r="I198" s="18">
        <f>_xlfn.XLOOKUP(Assumptions!$B$2,Assumptions!$F$4:$H$4,Assumptions!$F$5:$H$5)</f>
        <v>1200</v>
      </c>
      <c r="J198" s="18">
        <f>_xlfn.XLOOKUP(Assumptions!$B$2,Assumptions!$F$4:$H$4,Assumptions!$F$6:$H$6)</f>
        <v>17</v>
      </c>
      <c r="K198" s="12">
        <f>_xlfn.XLOOKUP(Assumptions!$B$2,Assumptions!$F$4:$H$4,Assumptions!$F$8:$H$8)</f>
        <v>0.1</v>
      </c>
      <c r="L198" s="12">
        <f>_xlfn.XLOOKUP(Assumptions!$B$2,Assumptions!$F$4:$H$4,Assumptions!$F$9:$H$9)</f>
        <v>0.18</v>
      </c>
      <c r="M198" s="18">
        <f>_xlfn.XLOOKUP(Assumptions!$B$2,Assumptions!$F$4:$H$4,Assumptions!$F$10:$H$10)</f>
        <v>18000</v>
      </c>
      <c r="N198" s="12">
        <f>_xlfn.XLOOKUP(Assumptions!$B$2,Assumptions!$F$4:$H$4,Assumptions!$F$11:$H$11)</f>
        <v>0.3</v>
      </c>
      <c r="O198" s="14">
        <f>Final_Table[[#This Row],[Units Sold]]*Final_Table[[#This Row],[Sale Price]]</f>
        <v>20400</v>
      </c>
      <c r="P198" s="14">
        <f>Final_Table[[#This Row],[Gross Revenue]]*(1-Final_Table[[#This Row],[Discount %]])</f>
        <v>18360</v>
      </c>
      <c r="Q198">
        <f>Final_Table[[#This Row],[Net Revenue]]*Final_Table[[#This Row],[Variable Cost %]]</f>
        <v>3304.7999999999997</v>
      </c>
      <c r="R198">
        <f>Final_Table[[#This Row],[Variable Cost]]+Final_Table[[#This Row],[Fixed Monthly Cost]]</f>
        <v>21304.799999999999</v>
      </c>
      <c r="S198" s="5">
        <f>Final_Table[[#This Row],[Net Revenue]]-Final_Table[[#This Row],[Total Cost (COGS)]]</f>
        <v>-2944.7999999999993</v>
      </c>
      <c r="T198">
        <f>Final_Table[[#This Row],[Gross Profit]]*Final_Table[[#This Row],[Tax Rate]]</f>
        <v>-883.43999999999971</v>
      </c>
      <c r="U198" s="5">
        <f>Final_Table[[#This Row],[Gross Profit]]-Final_Table[[#This Row],[Tax]]</f>
        <v>-2061.3599999999997</v>
      </c>
      <c r="V198" s="12">
        <f>Final_Table[[#This Row],[Net Profit]]/Final_Table[[#This Row],[Gross Revenue]]</f>
        <v>-0.10104705882352939</v>
      </c>
    </row>
    <row r="199" spans="1:22">
      <c r="A199" s="18" t="s">
        <v>35</v>
      </c>
      <c r="B199">
        <v>2013</v>
      </c>
      <c r="C199" t="s">
        <v>119</v>
      </c>
      <c r="D199">
        <v>1</v>
      </c>
      <c r="E199" s="18" t="s">
        <v>22</v>
      </c>
      <c r="F199" s="18" t="s">
        <v>114</v>
      </c>
      <c r="G199" s="18" t="s">
        <v>21</v>
      </c>
      <c r="H199" s="18" t="str">
        <f>Assumptions!$B$2</f>
        <v>Worst</v>
      </c>
      <c r="I199" s="18">
        <f>_xlfn.XLOOKUP(Assumptions!$B$2,Assumptions!$F$4:$H$4,Assumptions!$F$5:$H$5)</f>
        <v>1200</v>
      </c>
      <c r="J199" s="18">
        <f>_xlfn.XLOOKUP(Assumptions!$B$2,Assumptions!$F$4:$H$4,Assumptions!$F$6:$H$6)</f>
        <v>17</v>
      </c>
      <c r="K199" s="12">
        <f>_xlfn.XLOOKUP(Assumptions!$B$2,Assumptions!$F$4:$H$4,Assumptions!$F$8:$H$8)</f>
        <v>0.1</v>
      </c>
      <c r="L199" s="12">
        <f>_xlfn.XLOOKUP(Assumptions!$B$2,Assumptions!$F$4:$H$4,Assumptions!$F$9:$H$9)</f>
        <v>0.18</v>
      </c>
      <c r="M199" s="18">
        <f>_xlfn.XLOOKUP(Assumptions!$B$2,Assumptions!$F$4:$H$4,Assumptions!$F$10:$H$10)</f>
        <v>18000</v>
      </c>
      <c r="N199" s="12">
        <f>_xlfn.XLOOKUP(Assumptions!$B$2,Assumptions!$F$4:$H$4,Assumptions!$F$11:$H$11)</f>
        <v>0.3</v>
      </c>
      <c r="O199" s="14">
        <f>Final_Table[[#This Row],[Units Sold]]*Final_Table[[#This Row],[Sale Price]]</f>
        <v>20400</v>
      </c>
      <c r="P199" s="14">
        <f>Final_Table[[#This Row],[Gross Revenue]]*(1-Final_Table[[#This Row],[Discount %]])</f>
        <v>18360</v>
      </c>
      <c r="Q199">
        <f>Final_Table[[#This Row],[Net Revenue]]*Final_Table[[#This Row],[Variable Cost %]]</f>
        <v>3304.7999999999997</v>
      </c>
      <c r="R199">
        <f>Final_Table[[#This Row],[Variable Cost]]+Final_Table[[#This Row],[Fixed Monthly Cost]]</f>
        <v>21304.799999999999</v>
      </c>
      <c r="S199" s="5">
        <f>Final_Table[[#This Row],[Net Revenue]]-Final_Table[[#This Row],[Total Cost (COGS)]]</f>
        <v>-2944.7999999999993</v>
      </c>
      <c r="T199">
        <f>Final_Table[[#This Row],[Gross Profit]]*Final_Table[[#This Row],[Tax Rate]]</f>
        <v>-883.43999999999971</v>
      </c>
      <c r="U199" s="5">
        <f>Final_Table[[#This Row],[Gross Profit]]-Final_Table[[#This Row],[Tax]]</f>
        <v>-2061.3599999999997</v>
      </c>
      <c r="V199" s="12">
        <f>Final_Table[[#This Row],[Net Profit]]/Final_Table[[#This Row],[Gross Revenue]]</f>
        <v>-0.10104705882352939</v>
      </c>
    </row>
    <row r="200" spans="1:22">
      <c r="A200" s="18" t="s">
        <v>35</v>
      </c>
      <c r="B200">
        <v>2013</v>
      </c>
      <c r="C200" t="s">
        <v>119</v>
      </c>
      <c r="D200">
        <v>1</v>
      </c>
      <c r="E200" s="18" t="s">
        <v>22</v>
      </c>
      <c r="F200" s="18" t="s">
        <v>114</v>
      </c>
      <c r="G200" s="18" t="s">
        <v>25</v>
      </c>
      <c r="H200" s="18" t="str">
        <f>Assumptions!$B$2</f>
        <v>Worst</v>
      </c>
      <c r="I200" s="18">
        <f>_xlfn.XLOOKUP(Assumptions!$B$2,Assumptions!$F$4:$H$4,Assumptions!$F$5:$H$5)</f>
        <v>1200</v>
      </c>
      <c r="J200" s="18">
        <f>_xlfn.XLOOKUP(Assumptions!$B$2,Assumptions!$F$4:$H$4,Assumptions!$F$6:$H$6)</f>
        <v>17</v>
      </c>
      <c r="K200" s="12">
        <f>_xlfn.XLOOKUP(Assumptions!$B$2,Assumptions!$F$4:$H$4,Assumptions!$F$8:$H$8)</f>
        <v>0.1</v>
      </c>
      <c r="L200" s="12">
        <f>_xlfn.XLOOKUP(Assumptions!$B$2,Assumptions!$F$4:$H$4,Assumptions!$F$9:$H$9)</f>
        <v>0.18</v>
      </c>
      <c r="M200" s="18">
        <f>_xlfn.XLOOKUP(Assumptions!$B$2,Assumptions!$F$4:$H$4,Assumptions!$F$10:$H$10)</f>
        <v>18000</v>
      </c>
      <c r="N200" s="12">
        <f>_xlfn.XLOOKUP(Assumptions!$B$2,Assumptions!$F$4:$H$4,Assumptions!$F$11:$H$11)</f>
        <v>0.3</v>
      </c>
      <c r="O200" s="14">
        <f>Final_Table[[#This Row],[Units Sold]]*Final_Table[[#This Row],[Sale Price]]</f>
        <v>20400</v>
      </c>
      <c r="P200" s="14">
        <f>Final_Table[[#This Row],[Gross Revenue]]*(1-Final_Table[[#This Row],[Discount %]])</f>
        <v>18360</v>
      </c>
      <c r="Q200">
        <f>Final_Table[[#This Row],[Net Revenue]]*Final_Table[[#This Row],[Variable Cost %]]</f>
        <v>3304.7999999999997</v>
      </c>
      <c r="R200">
        <f>Final_Table[[#This Row],[Variable Cost]]+Final_Table[[#This Row],[Fixed Monthly Cost]]</f>
        <v>21304.799999999999</v>
      </c>
      <c r="S200" s="5">
        <f>Final_Table[[#This Row],[Net Revenue]]-Final_Table[[#This Row],[Total Cost (COGS)]]</f>
        <v>-2944.7999999999993</v>
      </c>
      <c r="T200">
        <f>Final_Table[[#This Row],[Gross Profit]]*Final_Table[[#This Row],[Tax Rate]]</f>
        <v>-883.43999999999971</v>
      </c>
      <c r="U200" s="5">
        <f>Final_Table[[#This Row],[Gross Profit]]-Final_Table[[#This Row],[Tax]]</f>
        <v>-2061.3599999999997</v>
      </c>
      <c r="V200" s="12">
        <f>Final_Table[[#This Row],[Net Profit]]/Final_Table[[#This Row],[Gross Revenue]]</f>
        <v>-0.10104705882352939</v>
      </c>
    </row>
    <row r="201" spans="1:22">
      <c r="A201" s="18" t="s">
        <v>35</v>
      </c>
      <c r="B201">
        <v>2013</v>
      </c>
      <c r="C201" t="s">
        <v>119</v>
      </c>
      <c r="D201">
        <v>1</v>
      </c>
      <c r="E201" s="18" t="s">
        <v>22</v>
      </c>
      <c r="F201" s="18" t="s">
        <v>114</v>
      </c>
      <c r="G201" s="18" t="s">
        <v>17</v>
      </c>
      <c r="H201" s="18" t="str">
        <f>Assumptions!$B$2</f>
        <v>Worst</v>
      </c>
      <c r="I201" s="18">
        <f>_xlfn.XLOOKUP(Assumptions!$B$2,Assumptions!$F$4:$H$4,Assumptions!$F$5:$H$5)</f>
        <v>1200</v>
      </c>
      <c r="J201" s="18">
        <f>_xlfn.XLOOKUP(Assumptions!$B$2,Assumptions!$F$4:$H$4,Assumptions!$F$6:$H$6)</f>
        <v>17</v>
      </c>
      <c r="K201" s="12">
        <f>_xlfn.XLOOKUP(Assumptions!$B$2,Assumptions!$F$4:$H$4,Assumptions!$F$8:$H$8)</f>
        <v>0.1</v>
      </c>
      <c r="L201" s="12">
        <f>_xlfn.XLOOKUP(Assumptions!$B$2,Assumptions!$F$4:$H$4,Assumptions!$F$9:$H$9)</f>
        <v>0.18</v>
      </c>
      <c r="M201" s="18">
        <f>_xlfn.XLOOKUP(Assumptions!$B$2,Assumptions!$F$4:$H$4,Assumptions!$F$10:$H$10)</f>
        <v>18000</v>
      </c>
      <c r="N201" s="12">
        <f>_xlfn.XLOOKUP(Assumptions!$B$2,Assumptions!$F$4:$H$4,Assumptions!$F$11:$H$11)</f>
        <v>0.3</v>
      </c>
      <c r="O201" s="14">
        <f>Final_Table[[#This Row],[Units Sold]]*Final_Table[[#This Row],[Sale Price]]</f>
        <v>20400</v>
      </c>
      <c r="P201" s="14">
        <f>Final_Table[[#This Row],[Gross Revenue]]*(1-Final_Table[[#This Row],[Discount %]])</f>
        <v>18360</v>
      </c>
      <c r="Q201">
        <f>Final_Table[[#This Row],[Net Revenue]]*Final_Table[[#This Row],[Variable Cost %]]</f>
        <v>3304.7999999999997</v>
      </c>
      <c r="R201">
        <f>Final_Table[[#This Row],[Variable Cost]]+Final_Table[[#This Row],[Fixed Monthly Cost]]</f>
        <v>21304.799999999999</v>
      </c>
      <c r="S201" s="5">
        <f>Final_Table[[#This Row],[Net Revenue]]-Final_Table[[#This Row],[Total Cost (COGS)]]</f>
        <v>-2944.7999999999993</v>
      </c>
      <c r="T201">
        <f>Final_Table[[#This Row],[Gross Profit]]*Final_Table[[#This Row],[Tax Rate]]</f>
        <v>-883.43999999999971</v>
      </c>
      <c r="U201" s="5">
        <f>Final_Table[[#This Row],[Gross Profit]]-Final_Table[[#This Row],[Tax]]</f>
        <v>-2061.3599999999997</v>
      </c>
      <c r="V201" s="12">
        <f>Final_Table[[#This Row],[Net Profit]]/Final_Table[[#This Row],[Gross Revenue]]</f>
        <v>-0.10104705882352939</v>
      </c>
    </row>
    <row r="202" spans="1:22">
      <c r="A202" s="18" t="s">
        <v>35</v>
      </c>
      <c r="B202">
        <v>2013</v>
      </c>
      <c r="C202" t="s">
        <v>119</v>
      </c>
      <c r="D202">
        <v>1</v>
      </c>
      <c r="E202" s="18" t="s">
        <v>16</v>
      </c>
      <c r="F202" s="18" t="s">
        <v>80</v>
      </c>
      <c r="G202" s="18" t="s">
        <v>36</v>
      </c>
      <c r="H202" s="18" t="str">
        <f>Assumptions!$B$2</f>
        <v>Worst</v>
      </c>
      <c r="I202" s="18">
        <f>_xlfn.XLOOKUP(Assumptions!$B$2,Assumptions!$F$4:$H$4,Assumptions!$F$5:$H$5)</f>
        <v>1200</v>
      </c>
      <c r="J202" s="18">
        <f>_xlfn.XLOOKUP(Assumptions!$B$2,Assumptions!$F$4:$H$4,Assumptions!$F$6:$H$6)</f>
        <v>17</v>
      </c>
      <c r="K202" s="12">
        <f>_xlfn.XLOOKUP(Assumptions!$B$2,Assumptions!$F$4:$H$4,Assumptions!$F$8:$H$8)</f>
        <v>0.1</v>
      </c>
      <c r="L202" s="12">
        <f>_xlfn.XLOOKUP(Assumptions!$B$2,Assumptions!$F$4:$H$4,Assumptions!$F$9:$H$9)</f>
        <v>0.18</v>
      </c>
      <c r="M202" s="18">
        <f>_xlfn.XLOOKUP(Assumptions!$B$2,Assumptions!$F$4:$H$4,Assumptions!$F$10:$H$10)</f>
        <v>18000</v>
      </c>
      <c r="N202" s="12">
        <f>_xlfn.XLOOKUP(Assumptions!$B$2,Assumptions!$F$4:$H$4,Assumptions!$F$11:$H$11)</f>
        <v>0.3</v>
      </c>
      <c r="O202" s="14">
        <f>Final_Table[[#This Row],[Units Sold]]*Final_Table[[#This Row],[Sale Price]]</f>
        <v>20400</v>
      </c>
      <c r="P202" s="14">
        <f>Final_Table[[#This Row],[Gross Revenue]]*(1-Final_Table[[#This Row],[Discount %]])</f>
        <v>18360</v>
      </c>
      <c r="Q202">
        <f>Final_Table[[#This Row],[Net Revenue]]*Final_Table[[#This Row],[Variable Cost %]]</f>
        <v>3304.7999999999997</v>
      </c>
      <c r="R202">
        <f>Final_Table[[#This Row],[Variable Cost]]+Final_Table[[#This Row],[Fixed Monthly Cost]]</f>
        <v>21304.799999999999</v>
      </c>
      <c r="S202" s="5">
        <f>Final_Table[[#This Row],[Net Revenue]]-Final_Table[[#This Row],[Total Cost (COGS)]]</f>
        <v>-2944.7999999999993</v>
      </c>
      <c r="T202">
        <f>Final_Table[[#This Row],[Gross Profit]]*Final_Table[[#This Row],[Tax Rate]]</f>
        <v>-883.43999999999971</v>
      </c>
      <c r="U202" s="5">
        <f>Final_Table[[#This Row],[Gross Profit]]-Final_Table[[#This Row],[Tax]]</f>
        <v>-2061.3599999999997</v>
      </c>
      <c r="V202" s="12">
        <f>Final_Table[[#This Row],[Net Profit]]/Final_Table[[#This Row],[Gross Revenue]]</f>
        <v>-0.10104705882352939</v>
      </c>
    </row>
    <row r="203" spans="1:22">
      <c r="A203" s="18" t="s">
        <v>35</v>
      </c>
      <c r="B203">
        <v>2013</v>
      </c>
      <c r="C203" t="s">
        <v>119</v>
      </c>
      <c r="D203">
        <v>1</v>
      </c>
      <c r="E203" s="18" t="s">
        <v>16</v>
      </c>
      <c r="F203" s="18" t="s">
        <v>80</v>
      </c>
      <c r="G203" s="18" t="s">
        <v>23</v>
      </c>
      <c r="H203" s="18" t="str">
        <f>Assumptions!$B$2</f>
        <v>Worst</v>
      </c>
      <c r="I203" s="18">
        <f>_xlfn.XLOOKUP(Assumptions!$B$2,Assumptions!$F$4:$H$4,Assumptions!$F$5:$H$5)</f>
        <v>1200</v>
      </c>
      <c r="J203" s="18">
        <f>_xlfn.XLOOKUP(Assumptions!$B$2,Assumptions!$F$4:$H$4,Assumptions!$F$6:$H$6)</f>
        <v>17</v>
      </c>
      <c r="K203" s="12">
        <f>_xlfn.XLOOKUP(Assumptions!$B$2,Assumptions!$F$4:$H$4,Assumptions!$F$8:$H$8)</f>
        <v>0.1</v>
      </c>
      <c r="L203" s="12">
        <f>_xlfn.XLOOKUP(Assumptions!$B$2,Assumptions!$F$4:$H$4,Assumptions!$F$9:$H$9)</f>
        <v>0.18</v>
      </c>
      <c r="M203" s="18">
        <f>_xlfn.XLOOKUP(Assumptions!$B$2,Assumptions!$F$4:$H$4,Assumptions!$F$10:$H$10)</f>
        <v>18000</v>
      </c>
      <c r="N203" s="12">
        <f>_xlfn.XLOOKUP(Assumptions!$B$2,Assumptions!$F$4:$H$4,Assumptions!$F$11:$H$11)</f>
        <v>0.3</v>
      </c>
      <c r="O203" s="14">
        <f>Final_Table[[#This Row],[Units Sold]]*Final_Table[[#This Row],[Sale Price]]</f>
        <v>20400</v>
      </c>
      <c r="P203" s="14">
        <f>Final_Table[[#This Row],[Gross Revenue]]*(1-Final_Table[[#This Row],[Discount %]])</f>
        <v>18360</v>
      </c>
      <c r="Q203">
        <f>Final_Table[[#This Row],[Net Revenue]]*Final_Table[[#This Row],[Variable Cost %]]</f>
        <v>3304.7999999999997</v>
      </c>
      <c r="R203">
        <f>Final_Table[[#This Row],[Variable Cost]]+Final_Table[[#This Row],[Fixed Monthly Cost]]</f>
        <v>21304.799999999999</v>
      </c>
      <c r="S203" s="5">
        <f>Final_Table[[#This Row],[Net Revenue]]-Final_Table[[#This Row],[Total Cost (COGS)]]</f>
        <v>-2944.7999999999993</v>
      </c>
      <c r="T203">
        <f>Final_Table[[#This Row],[Gross Profit]]*Final_Table[[#This Row],[Tax Rate]]</f>
        <v>-883.43999999999971</v>
      </c>
      <c r="U203" s="5">
        <f>Final_Table[[#This Row],[Gross Profit]]-Final_Table[[#This Row],[Tax]]</f>
        <v>-2061.3599999999997</v>
      </c>
      <c r="V203" s="12">
        <f>Final_Table[[#This Row],[Net Profit]]/Final_Table[[#This Row],[Gross Revenue]]</f>
        <v>-0.10104705882352939</v>
      </c>
    </row>
    <row r="204" spans="1:22">
      <c r="A204" s="18" t="s">
        <v>35</v>
      </c>
      <c r="B204">
        <v>2013</v>
      </c>
      <c r="C204" t="s">
        <v>119</v>
      </c>
      <c r="D204">
        <v>1</v>
      </c>
      <c r="E204" s="18" t="s">
        <v>16</v>
      </c>
      <c r="F204" s="18" t="s">
        <v>80</v>
      </c>
      <c r="G204" s="18" t="s">
        <v>21</v>
      </c>
      <c r="H204" s="18" t="str">
        <f>Assumptions!$B$2</f>
        <v>Worst</v>
      </c>
      <c r="I204" s="18">
        <f>_xlfn.XLOOKUP(Assumptions!$B$2,Assumptions!$F$4:$H$4,Assumptions!$F$5:$H$5)</f>
        <v>1200</v>
      </c>
      <c r="J204" s="18">
        <f>_xlfn.XLOOKUP(Assumptions!$B$2,Assumptions!$F$4:$H$4,Assumptions!$F$6:$H$6)</f>
        <v>17</v>
      </c>
      <c r="K204" s="12">
        <f>_xlfn.XLOOKUP(Assumptions!$B$2,Assumptions!$F$4:$H$4,Assumptions!$F$8:$H$8)</f>
        <v>0.1</v>
      </c>
      <c r="L204" s="12">
        <f>_xlfn.XLOOKUP(Assumptions!$B$2,Assumptions!$F$4:$H$4,Assumptions!$F$9:$H$9)</f>
        <v>0.18</v>
      </c>
      <c r="M204" s="18">
        <f>_xlfn.XLOOKUP(Assumptions!$B$2,Assumptions!$F$4:$H$4,Assumptions!$F$10:$H$10)</f>
        <v>18000</v>
      </c>
      <c r="N204" s="12">
        <f>_xlfn.XLOOKUP(Assumptions!$B$2,Assumptions!$F$4:$H$4,Assumptions!$F$11:$H$11)</f>
        <v>0.3</v>
      </c>
      <c r="O204" s="14">
        <f>Final_Table[[#This Row],[Units Sold]]*Final_Table[[#This Row],[Sale Price]]</f>
        <v>20400</v>
      </c>
      <c r="P204" s="14">
        <f>Final_Table[[#This Row],[Gross Revenue]]*(1-Final_Table[[#This Row],[Discount %]])</f>
        <v>18360</v>
      </c>
      <c r="Q204">
        <f>Final_Table[[#This Row],[Net Revenue]]*Final_Table[[#This Row],[Variable Cost %]]</f>
        <v>3304.7999999999997</v>
      </c>
      <c r="R204">
        <f>Final_Table[[#This Row],[Variable Cost]]+Final_Table[[#This Row],[Fixed Monthly Cost]]</f>
        <v>21304.799999999999</v>
      </c>
      <c r="S204" s="5">
        <f>Final_Table[[#This Row],[Net Revenue]]-Final_Table[[#This Row],[Total Cost (COGS)]]</f>
        <v>-2944.7999999999993</v>
      </c>
      <c r="T204">
        <f>Final_Table[[#This Row],[Gross Profit]]*Final_Table[[#This Row],[Tax Rate]]</f>
        <v>-883.43999999999971</v>
      </c>
      <c r="U204" s="5">
        <f>Final_Table[[#This Row],[Gross Profit]]-Final_Table[[#This Row],[Tax]]</f>
        <v>-2061.3599999999997</v>
      </c>
      <c r="V204" s="12">
        <f>Final_Table[[#This Row],[Net Profit]]/Final_Table[[#This Row],[Gross Revenue]]</f>
        <v>-0.10104705882352939</v>
      </c>
    </row>
    <row r="205" spans="1:22">
      <c r="A205" s="18" t="s">
        <v>35</v>
      </c>
      <c r="B205">
        <v>2013</v>
      </c>
      <c r="C205" t="s">
        <v>119</v>
      </c>
      <c r="D205">
        <v>1</v>
      </c>
      <c r="E205" s="18" t="s">
        <v>16</v>
      </c>
      <c r="F205" s="18" t="s">
        <v>80</v>
      </c>
      <c r="G205" s="18" t="s">
        <v>25</v>
      </c>
      <c r="H205" s="18" t="str">
        <f>Assumptions!$B$2</f>
        <v>Worst</v>
      </c>
      <c r="I205" s="18">
        <f>_xlfn.XLOOKUP(Assumptions!$B$2,Assumptions!$F$4:$H$4,Assumptions!$F$5:$H$5)</f>
        <v>1200</v>
      </c>
      <c r="J205" s="18">
        <f>_xlfn.XLOOKUP(Assumptions!$B$2,Assumptions!$F$4:$H$4,Assumptions!$F$6:$H$6)</f>
        <v>17</v>
      </c>
      <c r="K205" s="12">
        <f>_xlfn.XLOOKUP(Assumptions!$B$2,Assumptions!$F$4:$H$4,Assumptions!$F$8:$H$8)</f>
        <v>0.1</v>
      </c>
      <c r="L205" s="12">
        <f>_xlfn.XLOOKUP(Assumptions!$B$2,Assumptions!$F$4:$H$4,Assumptions!$F$9:$H$9)</f>
        <v>0.18</v>
      </c>
      <c r="M205" s="18">
        <f>_xlfn.XLOOKUP(Assumptions!$B$2,Assumptions!$F$4:$H$4,Assumptions!$F$10:$H$10)</f>
        <v>18000</v>
      </c>
      <c r="N205" s="12">
        <f>_xlfn.XLOOKUP(Assumptions!$B$2,Assumptions!$F$4:$H$4,Assumptions!$F$11:$H$11)</f>
        <v>0.3</v>
      </c>
      <c r="O205" s="14">
        <f>Final_Table[[#This Row],[Units Sold]]*Final_Table[[#This Row],[Sale Price]]</f>
        <v>20400</v>
      </c>
      <c r="P205" s="14">
        <f>Final_Table[[#This Row],[Gross Revenue]]*(1-Final_Table[[#This Row],[Discount %]])</f>
        <v>18360</v>
      </c>
      <c r="Q205">
        <f>Final_Table[[#This Row],[Net Revenue]]*Final_Table[[#This Row],[Variable Cost %]]</f>
        <v>3304.7999999999997</v>
      </c>
      <c r="R205">
        <f>Final_Table[[#This Row],[Variable Cost]]+Final_Table[[#This Row],[Fixed Monthly Cost]]</f>
        <v>21304.799999999999</v>
      </c>
      <c r="S205" s="5">
        <f>Final_Table[[#This Row],[Net Revenue]]-Final_Table[[#This Row],[Total Cost (COGS)]]</f>
        <v>-2944.7999999999993</v>
      </c>
      <c r="T205">
        <f>Final_Table[[#This Row],[Gross Profit]]*Final_Table[[#This Row],[Tax Rate]]</f>
        <v>-883.43999999999971</v>
      </c>
      <c r="U205" s="5">
        <f>Final_Table[[#This Row],[Gross Profit]]-Final_Table[[#This Row],[Tax]]</f>
        <v>-2061.3599999999997</v>
      </c>
      <c r="V205" s="12">
        <f>Final_Table[[#This Row],[Net Profit]]/Final_Table[[#This Row],[Gross Revenue]]</f>
        <v>-0.10104705882352939</v>
      </c>
    </row>
    <row r="206" spans="1:22">
      <c r="A206" s="18" t="s">
        <v>35</v>
      </c>
      <c r="B206">
        <v>2013</v>
      </c>
      <c r="C206" t="s">
        <v>119</v>
      </c>
      <c r="D206">
        <v>1</v>
      </c>
      <c r="E206" s="18" t="s">
        <v>16</v>
      </c>
      <c r="F206" s="18" t="s">
        <v>80</v>
      </c>
      <c r="G206" s="18" t="s">
        <v>17</v>
      </c>
      <c r="H206" s="18" t="str">
        <f>Assumptions!$B$2</f>
        <v>Worst</v>
      </c>
      <c r="I206" s="18">
        <f>_xlfn.XLOOKUP(Assumptions!$B$2,Assumptions!$F$4:$H$4,Assumptions!$F$5:$H$5)</f>
        <v>1200</v>
      </c>
      <c r="J206" s="18">
        <f>_xlfn.XLOOKUP(Assumptions!$B$2,Assumptions!$F$4:$H$4,Assumptions!$F$6:$H$6)</f>
        <v>17</v>
      </c>
      <c r="K206" s="12">
        <f>_xlfn.XLOOKUP(Assumptions!$B$2,Assumptions!$F$4:$H$4,Assumptions!$F$8:$H$8)</f>
        <v>0.1</v>
      </c>
      <c r="L206" s="12">
        <f>_xlfn.XLOOKUP(Assumptions!$B$2,Assumptions!$F$4:$H$4,Assumptions!$F$9:$H$9)</f>
        <v>0.18</v>
      </c>
      <c r="M206" s="18">
        <f>_xlfn.XLOOKUP(Assumptions!$B$2,Assumptions!$F$4:$H$4,Assumptions!$F$10:$H$10)</f>
        <v>18000</v>
      </c>
      <c r="N206" s="12">
        <f>_xlfn.XLOOKUP(Assumptions!$B$2,Assumptions!$F$4:$H$4,Assumptions!$F$11:$H$11)</f>
        <v>0.3</v>
      </c>
      <c r="O206" s="14">
        <f>Final_Table[[#This Row],[Units Sold]]*Final_Table[[#This Row],[Sale Price]]</f>
        <v>20400</v>
      </c>
      <c r="P206" s="14">
        <f>Final_Table[[#This Row],[Gross Revenue]]*(1-Final_Table[[#This Row],[Discount %]])</f>
        <v>18360</v>
      </c>
      <c r="Q206">
        <f>Final_Table[[#This Row],[Net Revenue]]*Final_Table[[#This Row],[Variable Cost %]]</f>
        <v>3304.7999999999997</v>
      </c>
      <c r="R206">
        <f>Final_Table[[#This Row],[Variable Cost]]+Final_Table[[#This Row],[Fixed Monthly Cost]]</f>
        <v>21304.799999999999</v>
      </c>
      <c r="S206" s="5">
        <f>Final_Table[[#This Row],[Net Revenue]]-Final_Table[[#This Row],[Total Cost (COGS)]]</f>
        <v>-2944.7999999999993</v>
      </c>
      <c r="T206">
        <f>Final_Table[[#This Row],[Gross Profit]]*Final_Table[[#This Row],[Tax Rate]]</f>
        <v>-883.43999999999971</v>
      </c>
      <c r="U206" s="5">
        <f>Final_Table[[#This Row],[Gross Profit]]-Final_Table[[#This Row],[Tax]]</f>
        <v>-2061.3599999999997</v>
      </c>
      <c r="V206" s="12">
        <f>Final_Table[[#This Row],[Net Profit]]/Final_Table[[#This Row],[Gross Revenue]]</f>
        <v>-0.10104705882352939</v>
      </c>
    </row>
    <row r="207" spans="1:22">
      <c r="A207" s="18" t="s">
        <v>35</v>
      </c>
      <c r="B207">
        <v>2013</v>
      </c>
      <c r="C207" t="s">
        <v>119</v>
      </c>
      <c r="D207">
        <v>1</v>
      </c>
      <c r="E207" s="18" t="s">
        <v>16</v>
      </c>
      <c r="F207" s="18" t="s">
        <v>108</v>
      </c>
      <c r="G207" s="18" t="s">
        <v>36</v>
      </c>
      <c r="H207" s="18" t="str">
        <f>Assumptions!$B$2</f>
        <v>Worst</v>
      </c>
      <c r="I207" s="18">
        <f>_xlfn.XLOOKUP(Assumptions!$B$2,Assumptions!$F$4:$H$4,Assumptions!$F$5:$H$5)</f>
        <v>1200</v>
      </c>
      <c r="J207" s="18">
        <f>_xlfn.XLOOKUP(Assumptions!$B$2,Assumptions!$F$4:$H$4,Assumptions!$F$6:$H$6)</f>
        <v>17</v>
      </c>
      <c r="K207" s="12">
        <f>_xlfn.XLOOKUP(Assumptions!$B$2,Assumptions!$F$4:$H$4,Assumptions!$F$8:$H$8)</f>
        <v>0.1</v>
      </c>
      <c r="L207" s="12">
        <f>_xlfn.XLOOKUP(Assumptions!$B$2,Assumptions!$F$4:$H$4,Assumptions!$F$9:$H$9)</f>
        <v>0.18</v>
      </c>
      <c r="M207" s="18">
        <f>_xlfn.XLOOKUP(Assumptions!$B$2,Assumptions!$F$4:$H$4,Assumptions!$F$10:$H$10)</f>
        <v>18000</v>
      </c>
      <c r="N207" s="12">
        <f>_xlfn.XLOOKUP(Assumptions!$B$2,Assumptions!$F$4:$H$4,Assumptions!$F$11:$H$11)</f>
        <v>0.3</v>
      </c>
      <c r="O207" s="14">
        <f>Final_Table[[#This Row],[Units Sold]]*Final_Table[[#This Row],[Sale Price]]</f>
        <v>20400</v>
      </c>
      <c r="P207" s="14">
        <f>Final_Table[[#This Row],[Gross Revenue]]*(1-Final_Table[[#This Row],[Discount %]])</f>
        <v>18360</v>
      </c>
      <c r="Q207">
        <f>Final_Table[[#This Row],[Net Revenue]]*Final_Table[[#This Row],[Variable Cost %]]</f>
        <v>3304.7999999999997</v>
      </c>
      <c r="R207">
        <f>Final_Table[[#This Row],[Variable Cost]]+Final_Table[[#This Row],[Fixed Monthly Cost]]</f>
        <v>21304.799999999999</v>
      </c>
      <c r="S207" s="5">
        <f>Final_Table[[#This Row],[Net Revenue]]-Final_Table[[#This Row],[Total Cost (COGS)]]</f>
        <v>-2944.7999999999993</v>
      </c>
      <c r="T207">
        <f>Final_Table[[#This Row],[Gross Profit]]*Final_Table[[#This Row],[Tax Rate]]</f>
        <v>-883.43999999999971</v>
      </c>
      <c r="U207" s="5">
        <f>Final_Table[[#This Row],[Gross Profit]]-Final_Table[[#This Row],[Tax]]</f>
        <v>-2061.3599999999997</v>
      </c>
      <c r="V207" s="12">
        <f>Final_Table[[#This Row],[Net Profit]]/Final_Table[[#This Row],[Gross Revenue]]</f>
        <v>-0.10104705882352939</v>
      </c>
    </row>
    <row r="208" spans="1:22">
      <c r="A208" s="18" t="s">
        <v>35</v>
      </c>
      <c r="B208">
        <v>2013</v>
      </c>
      <c r="C208" t="s">
        <v>119</v>
      </c>
      <c r="D208">
        <v>1</v>
      </c>
      <c r="E208" s="18" t="s">
        <v>16</v>
      </c>
      <c r="F208" s="18" t="s">
        <v>108</v>
      </c>
      <c r="G208" s="18" t="s">
        <v>23</v>
      </c>
      <c r="H208" s="18" t="str">
        <f>Assumptions!$B$2</f>
        <v>Worst</v>
      </c>
      <c r="I208" s="18">
        <f>_xlfn.XLOOKUP(Assumptions!$B$2,Assumptions!$F$4:$H$4,Assumptions!$F$5:$H$5)</f>
        <v>1200</v>
      </c>
      <c r="J208" s="18">
        <f>_xlfn.XLOOKUP(Assumptions!$B$2,Assumptions!$F$4:$H$4,Assumptions!$F$6:$H$6)</f>
        <v>17</v>
      </c>
      <c r="K208" s="12">
        <f>_xlfn.XLOOKUP(Assumptions!$B$2,Assumptions!$F$4:$H$4,Assumptions!$F$8:$H$8)</f>
        <v>0.1</v>
      </c>
      <c r="L208" s="12">
        <f>_xlfn.XLOOKUP(Assumptions!$B$2,Assumptions!$F$4:$H$4,Assumptions!$F$9:$H$9)</f>
        <v>0.18</v>
      </c>
      <c r="M208" s="18">
        <f>_xlfn.XLOOKUP(Assumptions!$B$2,Assumptions!$F$4:$H$4,Assumptions!$F$10:$H$10)</f>
        <v>18000</v>
      </c>
      <c r="N208" s="12">
        <f>_xlfn.XLOOKUP(Assumptions!$B$2,Assumptions!$F$4:$H$4,Assumptions!$F$11:$H$11)</f>
        <v>0.3</v>
      </c>
      <c r="O208" s="14">
        <f>Final_Table[[#This Row],[Units Sold]]*Final_Table[[#This Row],[Sale Price]]</f>
        <v>20400</v>
      </c>
      <c r="P208" s="14">
        <f>Final_Table[[#This Row],[Gross Revenue]]*(1-Final_Table[[#This Row],[Discount %]])</f>
        <v>18360</v>
      </c>
      <c r="Q208">
        <f>Final_Table[[#This Row],[Net Revenue]]*Final_Table[[#This Row],[Variable Cost %]]</f>
        <v>3304.7999999999997</v>
      </c>
      <c r="R208">
        <f>Final_Table[[#This Row],[Variable Cost]]+Final_Table[[#This Row],[Fixed Monthly Cost]]</f>
        <v>21304.799999999999</v>
      </c>
      <c r="S208" s="5">
        <f>Final_Table[[#This Row],[Net Revenue]]-Final_Table[[#This Row],[Total Cost (COGS)]]</f>
        <v>-2944.7999999999993</v>
      </c>
      <c r="T208">
        <f>Final_Table[[#This Row],[Gross Profit]]*Final_Table[[#This Row],[Tax Rate]]</f>
        <v>-883.43999999999971</v>
      </c>
      <c r="U208" s="5">
        <f>Final_Table[[#This Row],[Gross Profit]]-Final_Table[[#This Row],[Tax]]</f>
        <v>-2061.3599999999997</v>
      </c>
      <c r="V208" s="12">
        <f>Final_Table[[#This Row],[Net Profit]]/Final_Table[[#This Row],[Gross Revenue]]</f>
        <v>-0.10104705882352939</v>
      </c>
    </row>
    <row r="209" spans="1:22">
      <c r="A209" s="18" t="s">
        <v>35</v>
      </c>
      <c r="B209">
        <v>2013</v>
      </c>
      <c r="C209" t="s">
        <v>119</v>
      </c>
      <c r="D209">
        <v>1</v>
      </c>
      <c r="E209" s="18" t="s">
        <v>16</v>
      </c>
      <c r="F209" s="18" t="s">
        <v>108</v>
      </c>
      <c r="G209" s="18" t="s">
        <v>21</v>
      </c>
      <c r="H209" s="18" t="str">
        <f>Assumptions!$B$2</f>
        <v>Worst</v>
      </c>
      <c r="I209" s="18">
        <f>_xlfn.XLOOKUP(Assumptions!$B$2,Assumptions!$F$4:$H$4,Assumptions!$F$5:$H$5)</f>
        <v>1200</v>
      </c>
      <c r="J209" s="18">
        <f>_xlfn.XLOOKUP(Assumptions!$B$2,Assumptions!$F$4:$H$4,Assumptions!$F$6:$H$6)</f>
        <v>17</v>
      </c>
      <c r="K209" s="12">
        <f>_xlfn.XLOOKUP(Assumptions!$B$2,Assumptions!$F$4:$H$4,Assumptions!$F$8:$H$8)</f>
        <v>0.1</v>
      </c>
      <c r="L209" s="12">
        <f>_xlfn.XLOOKUP(Assumptions!$B$2,Assumptions!$F$4:$H$4,Assumptions!$F$9:$H$9)</f>
        <v>0.18</v>
      </c>
      <c r="M209" s="18">
        <f>_xlfn.XLOOKUP(Assumptions!$B$2,Assumptions!$F$4:$H$4,Assumptions!$F$10:$H$10)</f>
        <v>18000</v>
      </c>
      <c r="N209" s="12">
        <f>_xlfn.XLOOKUP(Assumptions!$B$2,Assumptions!$F$4:$H$4,Assumptions!$F$11:$H$11)</f>
        <v>0.3</v>
      </c>
      <c r="O209" s="14">
        <f>Final_Table[[#This Row],[Units Sold]]*Final_Table[[#This Row],[Sale Price]]</f>
        <v>20400</v>
      </c>
      <c r="P209" s="14">
        <f>Final_Table[[#This Row],[Gross Revenue]]*(1-Final_Table[[#This Row],[Discount %]])</f>
        <v>18360</v>
      </c>
      <c r="Q209">
        <f>Final_Table[[#This Row],[Net Revenue]]*Final_Table[[#This Row],[Variable Cost %]]</f>
        <v>3304.7999999999997</v>
      </c>
      <c r="R209">
        <f>Final_Table[[#This Row],[Variable Cost]]+Final_Table[[#This Row],[Fixed Monthly Cost]]</f>
        <v>21304.799999999999</v>
      </c>
      <c r="S209" s="5">
        <f>Final_Table[[#This Row],[Net Revenue]]-Final_Table[[#This Row],[Total Cost (COGS)]]</f>
        <v>-2944.7999999999993</v>
      </c>
      <c r="T209">
        <f>Final_Table[[#This Row],[Gross Profit]]*Final_Table[[#This Row],[Tax Rate]]</f>
        <v>-883.43999999999971</v>
      </c>
      <c r="U209" s="5">
        <f>Final_Table[[#This Row],[Gross Profit]]-Final_Table[[#This Row],[Tax]]</f>
        <v>-2061.3599999999997</v>
      </c>
      <c r="V209" s="12">
        <f>Final_Table[[#This Row],[Net Profit]]/Final_Table[[#This Row],[Gross Revenue]]</f>
        <v>-0.10104705882352939</v>
      </c>
    </row>
    <row r="210" spans="1:22">
      <c r="A210" s="18" t="s">
        <v>35</v>
      </c>
      <c r="B210">
        <v>2013</v>
      </c>
      <c r="C210" t="s">
        <v>119</v>
      </c>
      <c r="D210">
        <v>1</v>
      </c>
      <c r="E210" s="18" t="s">
        <v>16</v>
      </c>
      <c r="F210" s="18" t="s">
        <v>108</v>
      </c>
      <c r="G210" s="18" t="s">
        <v>25</v>
      </c>
      <c r="H210" s="18" t="str">
        <f>Assumptions!$B$2</f>
        <v>Worst</v>
      </c>
      <c r="I210" s="18">
        <f>_xlfn.XLOOKUP(Assumptions!$B$2,Assumptions!$F$4:$H$4,Assumptions!$F$5:$H$5)</f>
        <v>1200</v>
      </c>
      <c r="J210" s="18">
        <f>_xlfn.XLOOKUP(Assumptions!$B$2,Assumptions!$F$4:$H$4,Assumptions!$F$6:$H$6)</f>
        <v>17</v>
      </c>
      <c r="K210" s="12">
        <f>_xlfn.XLOOKUP(Assumptions!$B$2,Assumptions!$F$4:$H$4,Assumptions!$F$8:$H$8)</f>
        <v>0.1</v>
      </c>
      <c r="L210" s="12">
        <f>_xlfn.XLOOKUP(Assumptions!$B$2,Assumptions!$F$4:$H$4,Assumptions!$F$9:$H$9)</f>
        <v>0.18</v>
      </c>
      <c r="M210" s="18">
        <f>_xlfn.XLOOKUP(Assumptions!$B$2,Assumptions!$F$4:$H$4,Assumptions!$F$10:$H$10)</f>
        <v>18000</v>
      </c>
      <c r="N210" s="12">
        <f>_xlfn.XLOOKUP(Assumptions!$B$2,Assumptions!$F$4:$H$4,Assumptions!$F$11:$H$11)</f>
        <v>0.3</v>
      </c>
      <c r="O210" s="14">
        <f>Final_Table[[#This Row],[Units Sold]]*Final_Table[[#This Row],[Sale Price]]</f>
        <v>20400</v>
      </c>
      <c r="P210" s="14">
        <f>Final_Table[[#This Row],[Gross Revenue]]*(1-Final_Table[[#This Row],[Discount %]])</f>
        <v>18360</v>
      </c>
      <c r="Q210">
        <f>Final_Table[[#This Row],[Net Revenue]]*Final_Table[[#This Row],[Variable Cost %]]</f>
        <v>3304.7999999999997</v>
      </c>
      <c r="R210">
        <f>Final_Table[[#This Row],[Variable Cost]]+Final_Table[[#This Row],[Fixed Monthly Cost]]</f>
        <v>21304.799999999999</v>
      </c>
      <c r="S210" s="5">
        <f>Final_Table[[#This Row],[Net Revenue]]-Final_Table[[#This Row],[Total Cost (COGS)]]</f>
        <v>-2944.7999999999993</v>
      </c>
      <c r="T210">
        <f>Final_Table[[#This Row],[Gross Profit]]*Final_Table[[#This Row],[Tax Rate]]</f>
        <v>-883.43999999999971</v>
      </c>
      <c r="U210" s="5">
        <f>Final_Table[[#This Row],[Gross Profit]]-Final_Table[[#This Row],[Tax]]</f>
        <v>-2061.3599999999997</v>
      </c>
      <c r="V210" s="12">
        <f>Final_Table[[#This Row],[Net Profit]]/Final_Table[[#This Row],[Gross Revenue]]</f>
        <v>-0.10104705882352939</v>
      </c>
    </row>
    <row r="211" spans="1:22">
      <c r="A211" s="18" t="s">
        <v>35</v>
      </c>
      <c r="B211">
        <v>2013</v>
      </c>
      <c r="C211" t="s">
        <v>119</v>
      </c>
      <c r="D211">
        <v>1</v>
      </c>
      <c r="E211" s="18" t="s">
        <v>16</v>
      </c>
      <c r="F211" s="18" t="s">
        <v>108</v>
      </c>
      <c r="G211" s="18" t="s">
        <v>17</v>
      </c>
      <c r="H211" s="18" t="str">
        <f>Assumptions!$B$2</f>
        <v>Worst</v>
      </c>
      <c r="I211" s="18">
        <f>_xlfn.XLOOKUP(Assumptions!$B$2,Assumptions!$F$4:$H$4,Assumptions!$F$5:$H$5)</f>
        <v>1200</v>
      </c>
      <c r="J211" s="18">
        <f>_xlfn.XLOOKUP(Assumptions!$B$2,Assumptions!$F$4:$H$4,Assumptions!$F$6:$H$6)</f>
        <v>17</v>
      </c>
      <c r="K211" s="12">
        <f>_xlfn.XLOOKUP(Assumptions!$B$2,Assumptions!$F$4:$H$4,Assumptions!$F$8:$H$8)</f>
        <v>0.1</v>
      </c>
      <c r="L211" s="12">
        <f>_xlfn.XLOOKUP(Assumptions!$B$2,Assumptions!$F$4:$H$4,Assumptions!$F$9:$H$9)</f>
        <v>0.18</v>
      </c>
      <c r="M211" s="18">
        <f>_xlfn.XLOOKUP(Assumptions!$B$2,Assumptions!$F$4:$H$4,Assumptions!$F$10:$H$10)</f>
        <v>18000</v>
      </c>
      <c r="N211" s="12">
        <f>_xlfn.XLOOKUP(Assumptions!$B$2,Assumptions!$F$4:$H$4,Assumptions!$F$11:$H$11)</f>
        <v>0.3</v>
      </c>
      <c r="O211" s="14">
        <f>Final_Table[[#This Row],[Units Sold]]*Final_Table[[#This Row],[Sale Price]]</f>
        <v>20400</v>
      </c>
      <c r="P211" s="14">
        <f>Final_Table[[#This Row],[Gross Revenue]]*(1-Final_Table[[#This Row],[Discount %]])</f>
        <v>18360</v>
      </c>
      <c r="Q211">
        <f>Final_Table[[#This Row],[Net Revenue]]*Final_Table[[#This Row],[Variable Cost %]]</f>
        <v>3304.7999999999997</v>
      </c>
      <c r="R211">
        <f>Final_Table[[#This Row],[Variable Cost]]+Final_Table[[#This Row],[Fixed Monthly Cost]]</f>
        <v>21304.799999999999</v>
      </c>
      <c r="S211" s="5">
        <f>Final_Table[[#This Row],[Net Revenue]]-Final_Table[[#This Row],[Total Cost (COGS)]]</f>
        <v>-2944.7999999999993</v>
      </c>
      <c r="T211">
        <f>Final_Table[[#This Row],[Gross Profit]]*Final_Table[[#This Row],[Tax Rate]]</f>
        <v>-883.43999999999971</v>
      </c>
      <c r="U211" s="5">
        <f>Final_Table[[#This Row],[Gross Profit]]-Final_Table[[#This Row],[Tax]]</f>
        <v>-2061.3599999999997</v>
      </c>
      <c r="V211" s="12">
        <f>Final_Table[[#This Row],[Net Profit]]/Final_Table[[#This Row],[Gross Revenue]]</f>
        <v>-0.10104705882352939</v>
      </c>
    </row>
    <row r="212" spans="1:22">
      <c r="A212" s="18" t="s">
        <v>35</v>
      </c>
      <c r="B212">
        <v>2013</v>
      </c>
      <c r="C212" t="s">
        <v>119</v>
      </c>
      <c r="D212">
        <v>1</v>
      </c>
      <c r="E212" s="18" t="s">
        <v>16</v>
      </c>
      <c r="F212" s="18" t="s">
        <v>112</v>
      </c>
      <c r="G212" s="18" t="s">
        <v>36</v>
      </c>
      <c r="H212" s="18" t="str">
        <f>Assumptions!$B$2</f>
        <v>Worst</v>
      </c>
      <c r="I212" s="18">
        <f>_xlfn.XLOOKUP(Assumptions!$B$2,Assumptions!$F$4:$H$4,Assumptions!$F$5:$H$5)</f>
        <v>1200</v>
      </c>
      <c r="J212" s="18">
        <f>_xlfn.XLOOKUP(Assumptions!$B$2,Assumptions!$F$4:$H$4,Assumptions!$F$6:$H$6)</f>
        <v>17</v>
      </c>
      <c r="K212" s="12">
        <f>_xlfn.XLOOKUP(Assumptions!$B$2,Assumptions!$F$4:$H$4,Assumptions!$F$8:$H$8)</f>
        <v>0.1</v>
      </c>
      <c r="L212" s="12">
        <f>_xlfn.XLOOKUP(Assumptions!$B$2,Assumptions!$F$4:$H$4,Assumptions!$F$9:$H$9)</f>
        <v>0.18</v>
      </c>
      <c r="M212" s="18">
        <f>_xlfn.XLOOKUP(Assumptions!$B$2,Assumptions!$F$4:$H$4,Assumptions!$F$10:$H$10)</f>
        <v>18000</v>
      </c>
      <c r="N212" s="12">
        <f>_xlfn.XLOOKUP(Assumptions!$B$2,Assumptions!$F$4:$H$4,Assumptions!$F$11:$H$11)</f>
        <v>0.3</v>
      </c>
      <c r="O212" s="14">
        <f>Final_Table[[#This Row],[Units Sold]]*Final_Table[[#This Row],[Sale Price]]</f>
        <v>20400</v>
      </c>
      <c r="P212" s="14">
        <f>Final_Table[[#This Row],[Gross Revenue]]*(1-Final_Table[[#This Row],[Discount %]])</f>
        <v>18360</v>
      </c>
      <c r="Q212">
        <f>Final_Table[[#This Row],[Net Revenue]]*Final_Table[[#This Row],[Variable Cost %]]</f>
        <v>3304.7999999999997</v>
      </c>
      <c r="R212">
        <f>Final_Table[[#This Row],[Variable Cost]]+Final_Table[[#This Row],[Fixed Monthly Cost]]</f>
        <v>21304.799999999999</v>
      </c>
      <c r="S212" s="5">
        <f>Final_Table[[#This Row],[Net Revenue]]-Final_Table[[#This Row],[Total Cost (COGS)]]</f>
        <v>-2944.7999999999993</v>
      </c>
      <c r="T212">
        <f>Final_Table[[#This Row],[Gross Profit]]*Final_Table[[#This Row],[Tax Rate]]</f>
        <v>-883.43999999999971</v>
      </c>
      <c r="U212" s="5">
        <f>Final_Table[[#This Row],[Gross Profit]]-Final_Table[[#This Row],[Tax]]</f>
        <v>-2061.3599999999997</v>
      </c>
      <c r="V212" s="12">
        <f>Final_Table[[#This Row],[Net Profit]]/Final_Table[[#This Row],[Gross Revenue]]</f>
        <v>-0.10104705882352939</v>
      </c>
    </row>
    <row r="213" spans="1:22">
      <c r="A213" s="18" t="s">
        <v>35</v>
      </c>
      <c r="B213">
        <v>2013</v>
      </c>
      <c r="C213" t="s">
        <v>119</v>
      </c>
      <c r="D213">
        <v>1</v>
      </c>
      <c r="E213" s="18" t="s">
        <v>16</v>
      </c>
      <c r="F213" s="18" t="s">
        <v>112</v>
      </c>
      <c r="G213" s="18" t="s">
        <v>23</v>
      </c>
      <c r="H213" s="18" t="str">
        <f>Assumptions!$B$2</f>
        <v>Worst</v>
      </c>
      <c r="I213" s="18">
        <f>_xlfn.XLOOKUP(Assumptions!$B$2,Assumptions!$F$4:$H$4,Assumptions!$F$5:$H$5)</f>
        <v>1200</v>
      </c>
      <c r="J213" s="18">
        <f>_xlfn.XLOOKUP(Assumptions!$B$2,Assumptions!$F$4:$H$4,Assumptions!$F$6:$H$6)</f>
        <v>17</v>
      </c>
      <c r="K213" s="12">
        <f>_xlfn.XLOOKUP(Assumptions!$B$2,Assumptions!$F$4:$H$4,Assumptions!$F$8:$H$8)</f>
        <v>0.1</v>
      </c>
      <c r="L213" s="12">
        <f>_xlfn.XLOOKUP(Assumptions!$B$2,Assumptions!$F$4:$H$4,Assumptions!$F$9:$H$9)</f>
        <v>0.18</v>
      </c>
      <c r="M213" s="18">
        <f>_xlfn.XLOOKUP(Assumptions!$B$2,Assumptions!$F$4:$H$4,Assumptions!$F$10:$H$10)</f>
        <v>18000</v>
      </c>
      <c r="N213" s="12">
        <f>_xlfn.XLOOKUP(Assumptions!$B$2,Assumptions!$F$4:$H$4,Assumptions!$F$11:$H$11)</f>
        <v>0.3</v>
      </c>
      <c r="O213" s="14">
        <f>Final_Table[[#This Row],[Units Sold]]*Final_Table[[#This Row],[Sale Price]]</f>
        <v>20400</v>
      </c>
      <c r="P213" s="14">
        <f>Final_Table[[#This Row],[Gross Revenue]]*(1-Final_Table[[#This Row],[Discount %]])</f>
        <v>18360</v>
      </c>
      <c r="Q213">
        <f>Final_Table[[#This Row],[Net Revenue]]*Final_Table[[#This Row],[Variable Cost %]]</f>
        <v>3304.7999999999997</v>
      </c>
      <c r="R213">
        <f>Final_Table[[#This Row],[Variable Cost]]+Final_Table[[#This Row],[Fixed Monthly Cost]]</f>
        <v>21304.799999999999</v>
      </c>
      <c r="S213" s="5">
        <f>Final_Table[[#This Row],[Net Revenue]]-Final_Table[[#This Row],[Total Cost (COGS)]]</f>
        <v>-2944.7999999999993</v>
      </c>
      <c r="T213">
        <f>Final_Table[[#This Row],[Gross Profit]]*Final_Table[[#This Row],[Tax Rate]]</f>
        <v>-883.43999999999971</v>
      </c>
      <c r="U213" s="5">
        <f>Final_Table[[#This Row],[Gross Profit]]-Final_Table[[#This Row],[Tax]]</f>
        <v>-2061.3599999999997</v>
      </c>
      <c r="V213" s="12">
        <f>Final_Table[[#This Row],[Net Profit]]/Final_Table[[#This Row],[Gross Revenue]]</f>
        <v>-0.10104705882352939</v>
      </c>
    </row>
    <row r="214" spans="1:22">
      <c r="A214" s="18" t="s">
        <v>35</v>
      </c>
      <c r="B214">
        <v>2013</v>
      </c>
      <c r="C214" t="s">
        <v>119</v>
      </c>
      <c r="D214">
        <v>1</v>
      </c>
      <c r="E214" s="18" t="s">
        <v>16</v>
      </c>
      <c r="F214" s="18" t="s">
        <v>112</v>
      </c>
      <c r="G214" s="18" t="s">
        <v>21</v>
      </c>
      <c r="H214" s="18" t="str">
        <f>Assumptions!$B$2</f>
        <v>Worst</v>
      </c>
      <c r="I214" s="18">
        <f>_xlfn.XLOOKUP(Assumptions!$B$2,Assumptions!$F$4:$H$4,Assumptions!$F$5:$H$5)</f>
        <v>1200</v>
      </c>
      <c r="J214" s="18">
        <f>_xlfn.XLOOKUP(Assumptions!$B$2,Assumptions!$F$4:$H$4,Assumptions!$F$6:$H$6)</f>
        <v>17</v>
      </c>
      <c r="K214" s="12">
        <f>_xlfn.XLOOKUP(Assumptions!$B$2,Assumptions!$F$4:$H$4,Assumptions!$F$8:$H$8)</f>
        <v>0.1</v>
      </c>
      <c r="L214" s="12">
        <f>_xlfn.XLOOKUP(Assumptions!$B$2,Assumptions!$F$4:$H$4,Assumptions!$F$9:$H$9)</f>
        <v>0.18</v>
      </c>
      <c r="M214" s="18">
        <f>_xlfn.XLOOKUP(Assumptions!$B$2,Assumptions!$F$4:$H$4,Assumptions!$F$10:$H$10)</f>
        <v>18000</v>
      </c>
      <c r="N214" s="12">
        <f>_xlfn.XLOOKUP(Assumptions!$B$2,Assumptions!$F$4:$H$4,Assumptions!$F$11:$H$11)</f>
        <v>0.3</v>
      </c>
      <c r="O214" s="14">
        <f>Final_Table[[#This Row],[Units Sold]]*Final_Table[[#This Row],[Sale Price]]</f>
        <v>20400</v>
      </c>
      <c r="P214" s="14">
        <f>Final_Table[[#This Row],[Gross Revenue]]*(1-Final_Table[[#This Row],[Discount %]])</f>
        <v>18360</v>
      </c>
      <c r="Q214">
        <f>Final_Table[[#This Row],[Net Revenue]]*Final_Table[[#This Row],[Variable Cost %]]</f>
        <v>3304.7999999999997</v>
      </c>
      <c r="R214">
        <f>Final_Table[[#This Row],[Variable Cost]]+Final_Table[[#This Row],[Fixed Monthly Cost]]</f>
        <v>21304.799999999999</v>
      </c>
      <c r="S214" s="5">
        <f>Final_Table[[#This Row],[Net Revenue]]-Final_Table[[#This Row],[Total Cost (COGS)]]</f>
        <v>-2944.7999999999993</v>
      </c>
      <c r="T214">
        <f>Final_Table[[#This Row],[Gross Profit]]*Final_Table[[#This Row],[Tax Rate]]</f>
        <v>-883.43999999999971</v>
      </c>
      <c r="U214" s="5">
        <f>Final_Table[[#This Row],[Gross Profit]]-Final_Table[[#This Row],[Tax]]</f>
        <v>-2061.3599999999997</v>
      </c>
      <c r="V214" s="12">
        <f>Final_Table[[#This Row],[Net Profit]]/Final_Table[[#This Row],[Gross Revenue]]</f>
        <v>-0.10104705882352939</v>
      </c>
    </row>
    <row r="215" spans="1:22">
      <c r="A215" s="18" t="s">
        <v>35</v>
      </c>
      <c r="B215">
        <v>2013</v>
      </c>
      <c r="C215" t="s">
        <v>119</v>
      </c>
      <c r="D215">
        <v>1</v>
      </c>
      <c r="E215" s="18" t="s">
        <v>16</v>
      </c>
      <c r="F215" s="18" t="s">
        <v>112</v>
      </c>
      <c r="G215" s="18" t="s">
        <v>25</v>
      </c>
      <c r="H215" s="18" t="str">
        <f>Assumptions!$B$2</f>
        <v>Worst</v>
      </c>
      <c r="I215" s="18">
        <f>_xlfn.XLOOKUP(Assumptions!$B$2,Assumptions!$F$4:$H$4,Assumptions!$F$5:$H$5)</f>
        <v>1200</v>
      </c>
      <c r="J215" s="18">
        <f>_xlfn.XLOOKUP(Assumptions!$B$2,Assumptions!$F$4:$H$4,Assumptions!$F$6:$H$6)</f>
        <v>17</v>
      </c>
      <c r="K215" s="12">
        <f>_xlfn.XLOOKUP(Assumptions!$B$2,Assumptions!$F$4:$H$4,Assumptions!$F$8:$H$8)</f>
        <v>0.1</v>
      </c>
      <c r="L215" s="12">
        <f>_xlfn.XLOOKUP(Assumptions!$B$2,Assumptions!$F$4:$H$4,Assumptions!$F$9:$H$9)</f>
        <v>0.18</v>
      </c>
      <c r="M215" s="18">
        <f>_xlfn.XLOOKUP(Assumptions!$B$2,Assumptions!$F$4:$H$4,Assumptions!$F$10:$H$10)</f>
        <v>18000</v>
      </c>
      <c r="N215" s="12">
        <f>_xlfn.XLOOKUP(Assumptions!$B$2,Assumptions!$F$4:$H$4,Assumptions!$F$11:$H$11)</f>
        <v>0.3</v>
      </c>
      <c r="O215" s="14">
        <f>Final_Table[[#This Row],[Units Sold]]*Final_Table[[#This Row],[Sale Price]]</f>
        <v>20400</v>
      </c>
      <c r="P215" s="14">
        <f>Final_Table[[#This Row],[Gross Revenue]]*(1-Final_Table[[#This Row],[Discount %]])</f>
        <v>18360</v>
      </c>
      <c r="Q215">
        <f>Final_Table[[#This Row],[Net Revenue]]*Final_Table[[#This Row],[Variable Cost %]]</f>
        <v>3304.7999999999997</v>
      </c>
      <c r="R215">
        <f>Final_Table[[#This Row],[Variable Cost]]+Final_Table[[#This Row],[Fixed Monthly Cost]]</f>
        <v>21304.799999999999</v>
      </c>
      <c r="S215" s="5">
        <f>Final_Table[[#This Row],[Net Revenue]]-Final_Table[[#This Row],[Total Cost (COGS)]]</f>
        <v>-2944.7999999999993</v>
      </c>
      <c r="T215">
        <f>Final_Table[[#This Row],[Gross Profit]]*Final_Table[[#This Row],[Tax Rate]]</f>
        <v>-883.43999999999971</v>
      </c>
      <c r="U215" s="5">
        <f>Final_Table[[#This Row],[Gross Profit]]-Final_Table[[#This Row],[Tax]]</f>
        <v>-2061.3599999999997</v>
      </c>
      <c r="V215" s="12">
        <f>Final_Table[[#This Row],[Net Profit]]/Final_Table[[#This Row],[Gross Revenue]]</f>
        <v>-0.10104705882352939</v>
      </c>
    </row>
    <row r="216" spans="1:22">
      <c r="A216" s="18" t="s">
        <v>35</v>
      </c>
      <c r="B216">
        <v>2013</v>
      </c>
      <c r="C216" t="s">
        <v>119</v>
      </c>
      <c r="D216">
        <v>1</v>
      </c>
      <c r="E216" s="18" t="s">
        <v>16</v>
      </c>
      <c r="F216" s="18" t="s">
        <v>112</v>
      </c>
      <c r="G216" s="18" t="s">
        <v>17</v>
      </c>
      <c r="H216" s="18" t="str">
        <f>Assumptions!$B$2</f>
        <v>Worst</v>
      </c>
      <c r="I216" s="18">
        <f>_xlfn.XLOOKUP(Assumptions!$B$2,Assumptions!$F$4:$H$4,Assumptions!$F$5:$H$5)</f>
        <v>1200</v>
      </c>
      <c r="J216" s="18">
        <f>_xlfn.XLOOKUP(Assumptions!$B$2,Assumptions!$F$4:$H$4,Assumptions!$F$6:$H$6)</f>
        <v>17</v>
      </c>
      <c r="K216" s="12">
        <f>_xlfn.XLOOKUP(Assumptions!$B$2,Assumptions!$F$4:$H$4,Assumptions!$F$8:$H$8)</f>
        <v>0.1</v>
      </c>
      <c r="L216" s="12">
        <f>_xlfn.XLOOKUP(Assumptions!$B$2,Assumptions!$F$4:$H$4,Assumptions!$F$9:$H$9)</f>
        <v>0.18</v>
      </c>
      <c r="M216" s="18">
        <f>_xlfn.XLOOKUP(Assumptions!$B$2,Assumptions!$F$4:$H$4,Assumptions!$F$10:$H$10)</f>
        <v>18000</v>
      </c>
      <c r="N216" s="12">
        <f>_xlfn.XLOOKUP(Assumptions!$B$2,Assumptions!$F$4:$H$4,Assumptions!$F$11:$H$11)</f>
        <v>0.3</v>
      </c>
      <c r="O216" s="14">
        <f>Final_Table[[#This Row],[Units Sold]]*Final_Table[[#This Row],[Sale Price]]</f>
        <v>20400</v>
      </c>
      <c r="P216" s="14">
        <f>Final_Table[[#This Row],[Gross Revenue]]*(1-Final_Table[[#This Row],[Discount %]])</f>
        <v>18360</v>
      </c>
      <c r="Q216">
        <f>Final_Table[[#This Row],[Net Revenue]]*Final_Table[[#This Row],[Variable Cost %]]</f>
        <v>3304.7999999999997</v>
      </c>
      <c r="R216">
        <f>Final_Table[[#This Row],[Variable Cost]]+Final_Table[[#This Row],[Fixed Monthly Cost]]</f>
        <v>21304.799999999999</v>
      </c>
      <c r="S216" s="5">
        <f>Final_Table[[#This Row],[Net Revenue]]-Final_Table[[#This Row],[Total Cost (COGS)]]</f>
        <v>-2944.7999999999993</v>
      </c>
      <c r="T216">
        <f>Final_Table[[#This Row],[Gross Profit]]*Final_Table[[#This Row],[Tax Rate]]</f>
        <v>-883.43999999999971</v>
      </c>
      <c r="U216" s="5">
        <f>Final_Table[[#This Row],[Gross Profit]]-Final_Table[[#This Row],[Tax]]</f>
        <v>-2061.3599999999997</v>
      </c>
      <c r="V216" s="12">
        <f>Final_Table[[#This Row],[Net Profit]]/Final_Table[[#This Row],[Gross Revenue]]</f>
        <v>-0.10104705882352939</v>
      </c>
    </row>
    <row r="217" spans="1:22">
      <c r="A217" s="18" t="s">
        <v>35</v>
      </c>
      <c r="B217">
        <v>2013</v>
      </c>
      <c r="C217" t="s">
        <v>119</v>
      </c>
      <c r="D217">
        <v>1</v>
      </c>
      <c r="E217" s="18" t="s">
        <v>16</v>
      </c>
      <c r="F217" s="18" t="s">
        <v>113</v>
      </c>
      <c r="G217" s="18" t="s">
        <v>36</v>
      </c>
      <c r="H217" s="18" t="str">
        <f>Assumptions!$B$2</f>
        <v>Worst</v>
      </c>
      <c r="I217" s="18">
        <f>_xlfn.XLOOKUP(Assumptions!$B$2,Assumptions!$F$4:$H$4,Assumptions!$F$5:$H$5)</f>
        <v>1200</v>
      </c>
      <c r="J217" s="18">
        <f>_xlfn.XLOOKUP(Assumptions!$B$2,Assumptions!$F$4:$H$4,Assumptions!$F$6:$H$6)</f>
        <v>17</v>
      </c>
      <c r="K217" s="12">
        <f>_xlfn.XLOOKUP(Assumptions!$B$2,Assumptions!$F$4:$H$4,Assumptions!$F$8:$H$8)</f>
        <v>0.1</v>
      </c>
      <c r="L217" s="12">
        <f>_xlfn.XLOOKUP(Assumptions!$B$2,Assumptions!$F$4:$H$4,Assumptions!$F$9:$H$9)</f>
        <v>0.18</v>
      </c>
      <c r="M217" s="18">
        <f>_xlfn.XLOOKUP(Assumptions!$B$2,Assumptions!$F$4:$H$4,Assumptions!$F$10:$H$10)</f>
        <v>18000</v>
      </c>
      <c r="N217" s="12">
        <f>_xlfn.XLOOKUP(Assumptions!$B$2,Assumptions!$F$4:$H$4,Assumptions!$F$11:$H$11)</f>
        <v>0.3</v>
      </c>
      <c r="O217" s="14">
        <f>Final_Table[[#This Row],[Units Sold]]*Final_Table[[#This Row],[Sale Price]]</f>
        <v>20400</v>
      </c>
      <c r="P217" s="14">
        <f>Final_Table[[#This Row],[Gross Revenue]]*(1-Final_Table[[#This Row],[Discount %]])</f>
        <v>18360</v>
      </c>
      <c r="Q217">
        <f>Final_Table[[#This Row],[Net Revenue]]*Final_Table[[#This Row],[Variable Cost %]]</f>
        <v>3304.7999999999997</v>
      </c>
      <c r="R217">
        <f>Final_Table[[#This Row],[Variable Cost]]+Final_Table[[#This Row],[Fixed Monthly Cost]]</f>
        <v>21304.799999999999</v>
      </c>
      <c r="S217" s="5">
        <f>Final_Table[[#This Row],[Net Revenue]]-Final_Table[[#This Row],[Total Cost (COGS)]]</f>
        <v>-2944.7999999999993</v>
      </c>
      <c r="T217">
        <f>Final_Table[[#This Row],[Gross Profit]]*Final_Table[[#This Row],[Tax Rate]]</f>
        <v>-883.43999999999971</v>
      </c>
      <c r="U217" s="5">
        <f>Final_Table[[#This Row],[Gross Profit]]-Final_Table[[#This Row],[Tax]]</f>
        <v>-2061.3599999999997</v>
      </c>
      <c r="V217" s="12">
        <f>Final_Table[[#This Row],[Net Profit]]/Final_Table[[#This Row],[Gross Revenue]]</f>
        <v>-0.10104705882352939</v>
      </c>
    </row>
    <row r="218" spans="1:22">
      <c r="A218" s="18" t="s">
        <v>35</v>
      </c>
      <c r="B218">
        <v>2013</v>
      </c>
      <c r="C218" t="s">
        <v>119</v>
      </c>
      <c r="D218">
        <v>1</v>
      </c>
      <c r="E218" s="18" t="s">
        <v>16</v>
      </c>
      <c r="F218" s="18" t="s">
        <v>113</v>
      </c>
      <c r="G218" s="18" t="s">
        <v>23</v>
      </c>
      <c r="H218" s="18" t="str">
        <f>Assumptions!$B$2</f>
        <v>Worst</v>
      </c>
      <c r="I218" s="18">
        <f>_xlfn.XLOOKUP(Assumptions!$B$2,Assumptions!$F$4:$H$4,Assumptions!$F$5:$H$5)</f>
        <v>1200</v>
      </c>
      <c r="J218" s="18">
        <f>_xlfn.XLOOKUP(Assumptions!$B$2,Assumptions!$F$4:$H$4,Assumptions!$F$6:$H$6)</f>
        <v>17</v>
      </c>
      <c r="K218" s="12">
        <f>_xlfn.XLOOKUP(Assumptions!$B$2,Assumptions!$F$4:$H$4,Assumptions!$F$8:$H$8)</f>
        <v>0.1</v>
      </c>
      <c r="L218" s="12">
        <f>_xlfn.XLOOKUP(Assumptions!$B$2,Assumptions!$F$4:$H$4,Assumptions!$F$9:$H$9)</f>
        <v>0.18</v>
      </c>
      <c r="M218" s="18">
        <f>_xlfn.XLOOKUP(Assumptions!$B$2,Assumptions!$F$4:$H$4,Assumptions!$F$10:$H$10)</f>
        <v>18000</v>
      </c>
      <c r="N218" s="12">
        <f>_xlfn.XLOOKUP(Assumptions!$B$2,Assumptions!$F$4:$H$4,Assumptions!$F$11:$H$11)</f>
        <v>0.3</v>
      </c>
      <c r="O218" s="14">
        <f>Final_Table[[#This Row],[Units Sold]]*Final_Table[[#This Row],[Sale Price]]</f>
        <v>20400</v>
      </c>
      <c r="P218" s="14">
        <f>Final_Table[[#This Row],[Gross Revenue]]*(1-Final_Table[[#This Row],[Discount %]])</f>
        <v>18360</v>
      </c>
      <c r="Q218">
        <f>Final_Table[[#This Row],[Net Revenue]]*Final_Table[[#This Row],[Variable Cost %]]</f>
        <v>3304.7999999999997</v>
      </c>
      <c r="R218">
        <f>Final_Table[[#This Row],[Variable Cost]]+Final_Table[[#This Row],[Fixed Monthly Cost]]</f>
        <v>21304.799999999999</v>
      </c>
      <c r="S218" s="5">
        <f>Final_Table[[#This Row],[Net Revenue]]-Final_Table[[#This Row],[Total Cost (COGS)]]</f>
        <v>-2944.7999999999993</v>
      </c>
      <c r="T218">
        <f>Final_Table[[#This Row],[Gross Profit]]*Final_Table[[#This Row],[Tax Rate]]</f>
        <v>-883.43999999999971</v>
      </c>
      <c r="U218" s="5">
        <f>Final_Table[[#This Row],[Gross Profit]]-Final_Table[[#This Row],[Tax]]</f>
        <v>-2061.3599999999997</v>
      </c>
      <c r="V218" s="12">
        <f>Final_Table[[#This Row],[Net Profit]]/Final_Table[[#This Row],[Gross Revenue]]</f>
        <v>-0.10104705882352939</v>
      </c>
    </row>
    <row r="219" spans="1:22">
      <c r="A219" s="18" t="s">
        <v>35</v>
      </c>
      <c r="B219">
        <v>2013</v>
      </c>
      <c r="C219" t="s">
        <v>119</v>
      </c>
      <c r="D219">
        <v>1</v>
      </c>
      <c r="E219" s="18" t="s">
        <v>16</v>
      </c>
      <c r="F219" s="18" t="s">
        <v>113</v>
      </c>
      <c r="G219" s="18" t="s">
        <v>21</v>
      </c>
      <c r="H219" s="18" t="str">
        <f>Assumptions!$B$2</f>
        <v>Worst</v>
      </c>
      <c r="I219" s="18">
        <f>_xlfn.XLOOKUP(Assumptions!$B$2,Assumptions!$F$4:$H$4,Assumptions!$F$5:$H$5)</f>
        <v>1200</v>
      </c>
      <c r="J219" s="18">
        <f>_xlfn.XLOOKUP(Assumptions!$B$2,Assumptions!$F$4:$H$4,Assumptions!$F$6:$H$6)</f>
        <v>17</v>
      </c>
      <c r="K219" s="12">
        <f>_xlfn.XLOOKUP(Assumptions!$B$2,Assumptions!$F$4:$H$4,Assumptions!$F$8:$H$8)</f>
        <v>0.1</v>
      </c>
      <c r="L219" s="12">
        <f>_xlfn.XLOOKUP(Assumptions!$B$2,Assumptions!$F$4:$H$4,Assumptions!$F$9:$H$9)</f>
        <v>0.18</v>
      </c>
      <c r="M219" s="18">
        <f>_xlfn.XLOOKUP(Assumptions!$B$2,Assumptions!$F$4:$H$4,Assumptions!$F$10:$H$10)</f>
        <v>18000</v>
      </c>
      <c r="N219" s="12">
        <f>_xlfn.XLOOKUP(Assumptions!$B$2,Assumptions!$F$4:$H$4,Assumptions!$F$11:$H$11)</f>
        <v>0.3</v>
      </c>
      <c r="O219" s="14">
        <f>Final_Table[[#This Row],[Units Sold]]*Final_Table[[#This Row],[Sale Price]]</f>
        <v>20400</v>
      </c>
      <c r="P219" s="14">
        <f>Final_Table[[#This Row],[Gross Revenue]]*(1-Final_Table[[#This Row],[Discount %]])</f>
        <v>18360</v>
      </c>
      <c r="Q219">
        <f>Final_Table[[#This Row],[Net Revenue]]*Final_Table[[#This Row],[Variable Cost %]]</f>
        <v>3304.7999999999997</v>
      </c>
      <c r="R219">
        <f>Final_Table[[#This Row],[Variable Cost]]+Final_Table[[#This Row],[Fixed Monthly Cost]]</f>
        <v>21304.799999999999</v>
      </c>
      <c r="S219" s="5">
        <f>Final_Table[[#This Row],[Net Revenue]]-Final_Table[[#This Row],[Total Cost (COGS)]]</f>
        <v>-2944.7999999999993</v>
      </c>
      <c r="T219">
        <f>Final_Table[[#This Row],[Gross Profit]]*Final_Table[[#This Row],[Tax Rate]]</f>
        <v>-883.43999999999971</v>
      </c>
      <c r="U219" s="5">
        <f>Final_Table[[#This Row],[Gross Profit]]-Final_Table[[#This Row],[Tax]]</f>
        <v>-2061.3599999999997</v>
      </c>
      <c r="V219" s="12">
        <f>Final_Table[[#This Row],[Net Profit]]/Final_Table[[#This Row],[Gross Revenue]]</f>
        <v>-0.10104705882352939</v>
      </c>
    </row>
    <row r="220" spans="1:22">
      <c r="A220" s="18" t="s">
        <v>35</v>
      </c>
      <c r="B220">
        <v>2013</v>
      </c>
      <c r="C220" t="s">
        <v>119</v>
      </c>
      <c r="D220">
        <v>1</v>
      </c>
      <c r="E220" s="18" t="s">
        <v>16</v>
      </c>
      <c r="F220" s="18" t="s">
        <v>113</v>
      </c>
      <c r="G220" s="18" t="s">
        <v>25</v>
      </c>
      <c r="H220" s="18" t="str">
        <f>Assumptions!$B$2</f>
        <v>Worst</v>
      </c>
      <c r="I220" s="18">
        <f>_xlfn.XLOOKUP(Assumptions!$B$2,Assumptions!$F$4:$H$4,Assumptions!$F$5:$H$5)</f>
        <v>1200</v>
      </c>
      <c r="J220" s="18">
        <f>_xlfn.XLOOKUP(Assumptions!$B$2,Assumptions!$F$4:$H$4,Assumptions!$F$6:$H$6)</f>
        <v>17</v>
      </c>
      <c r="K220" s="12">
        <f>_xlfn.XLOOKUP(Assumptions!$B$2,Assumptions!$F$4:$H$4,Assumptions!$F$8:$H$8)</f>
        <v>0.1</v>
      </c>
      <c r="L220" s="12">
        <f>_xlfn.XLOOKUP(Assumptions!$B$2,Assumptions!$F$4:$H$4,Assumptions!$F$9:$H$9)</f>
        <v>0.18</v>
      </c>
      <c r="M220" s="18">
        <f>_xlfn.XLOOKUP(Assumptions!$B$2,Assumptions!$F$4:$H$4,Assumptions!$F$10:$H$10)</f>
        <v>18000</v>
      </c>
      <c r="N220" s="12">
        <f>_xlfn.XLOOKUP(Assumptions!$B$2,Assumptions!$F$4:$H$4,Assumptions!$F$11:$H$11)</f>
        <v>0.3</v>
      </c>
      <c r="O220" s="14">
        <f>Final_Table[[#This Row],[Units Sold]]*Final_Table[[#This Row],[Sale Price]]</f>
        <v>20400</v>
      </c>
      <c r="P220" s="14">
        <f>Final_Table[[#This Row],[Gross Revenue]]*(1-Final_Table[[#This Row],[Discount %]])</f>
        <v>18360</v>
      </c>
      <c r="Q220">
        <f>Final_Table[[#This Row],[Net Revenue]]*Final_Table[[#This Row],[Variable Cost %]]</f>
        <v>3304.7999999999997</v>
      </c>
      <c r="R220">
        <f>Final_Table[[#This Row],[Variable Cost]]+Final_Table[[#This Row],[Fixed Monthly Cost]]</f>
        <v>21304.799999999999</v>
      </c>
      <c r="S220" s="5">
        <f>Final_Table[[#This Row],[Net Revenue]]-Final_Table[[#This Row],[Total Cost (COGS)]]</f>
        <v>-2944.7999999999993</v>
      </c>
      <c r="T220">
        <f>Final_Table[[#This Row],[Gross Profit]]*Final_Table[[#This Row],[Tax Rate]]</f>
        <v>-883.43999999999971</v>
      </c>
      <c r="U220" s="5">
        <f>Final_Table[[#This Row],[Gross Profit]]-Final_Table[[#This Row],[Tax]]</f>
        <v>-2061.3599999999997</v>
      </c>
      <c r="V220" s="12">
        <f>Final_Table[[#This Row],[Net Profit]]/Final_Table[[#This Row],[Gross Revenue]]</f>
        <v>-0.10104705882352939</v>
      </c>
    </row>
    <row r="221" spans="1:22">
      <c r="A221" s="18" t="s">
        <v>35</v>
      </c>
      <c r="B221">
        <v>2013</v>
      </c>
      <c r="C221" t="s">
        <v>119</v>
      </c>
      <c r="D221">
        <v>1</v>
      </c>
      <c r="E221" s="18" t="s">
        <v>16</v>
      </c>
      <c r="F221" s="18" t="s">
        <v>113</v>
      </c>
      <c r="G221" s="18" t="s">
        <v>17</v>
      </c>
      <c r="H221" s="18" t="str">
        <f>Assumptions!$B$2</f>
        <v>Worst</v>
      </c>
      <c r="I221" s="18">
        <f>_xlfn.XLOOKUP(Assumptions!$B$2,Assumptions!$F$4:$H$4,Assumptions!$F$5:$H$5)</f>
        <v>1200</v>
      </c>
      <c r="J221" s="18">
        <f>_xlfn.XLOOKUP(Assumptions!$B$2,Assumptions!$F$4:$H$4,Assumptions!$F$6:$H$6)</f>
        <v>17</v>
      </c>
      <c r="K221" s="12">
        <f>_xlfn.XLOOKUP(Assumptions!$B$2,Assumptions!$F$4:$H$4,Assumptions!$F$8:$H$8)</f>
        <v>0.1</v>
      </c>
      <c r="L221" s="12">
        <f>_xlfn.XLOOKUP(Assumptions!$B$2,Assumptions!$F$4:$H$4,Assumptions!$F$9:$H$9)</f>
        <v>0.18</v>
      </c>
      <c r="M221" s="18">
        <f>_xlfn.XLOOKUP(Assumptions!$B$2,Assumptions!$F$4:$H$4,Assumptions!$F$10:$H$10)</f>
        <v>18000</v>
      </c>
      <c r="N221" s="12">
        <f>_xlfn.XLOOKUP(Assumptions!$B$2,Assumptions!$F$4:$H$4,Assumptions!$F$11:$H$11)</f>
        <v>0.3</v>
      </c>
      <c r="O221" s="14">
        <f>Final_Table[[#This Row],[Units Sold]]*Final_Table[[#This Row],[Sale Price]]</f>
        <v>20400</v>
      </c>
      <c r="P221" s="14">
        <f>Final_Table[[#This Row],[Gross Revenue]]*(1-Final_Table[[#This Row],[Discount %]])</f>
        <v>18360</v>
      </c>
      <c r="Q221">
        <f>Final_Table[[#This Row],[Net Revenue]]*Final_Table[[#This Row],[Variable Cost %]]</f>
        <v>3304.7999999999997</v>
      </c>
      <c r="R221">
        <f>Final_Table[[#This Row],[Variable Cost]]+Final_Table[[#This Row],[Fixed Monthly Cost]]</f>
        <v>21304.799999999999</v>
      </c>
      <c r="S221" s="5">
        <f>Final_Table[[#This Row],[Net Revenue]]-Final_Table[[#This Row],[Total Cost (COGS)]]</f>
        <v>-2944.7999999999993</v>
      </c>
      <c r="T221">
        <f>Final_Table[[#This Row],[Gross Profit]]*Final_Table[[#This Row],[Tax Rate]]</f>
        <v>-883.43999999999971</v>
      </c>
      <c r="U221" s="5">
        <f>Final_Table[[#This Row],[Gross Profit]]-Final_Table[[#This Row],[Tax]]</f>
        <v>-2061.3599999999997</v>
      </c>
      <c r="V221" s="12">
        <f>Final_Table[[#This Row],[Net Profit]]/Final_Table[[#This Row],[Gross Revenue]]</f>
        <v>-0.10104705882352939</v>
      </c>
    </row>
    <row r="222" spans="1:22">
      <c r="A222" s="18" t="s">
        <v>35</v>
      </c>
      <c r="B222">
        <v>2013</v>
      </c>
      <c r="C222" t="s">
        <v>119</v>
      </c>
      <c r="D222">
        <v>1</v>
      </c>
      <c r="E222" s="18" t="s">
        <v>16</v>
      </c>
      <c r="F222" s="18" t="s">
        <v>114</v>
      </c>
      <c r="G222" s="18" t="s">
        <v>36</v>
      </c>
      <c r="H222" s="18" t="str">
        <f>Assumptions!$B$2</f>
        <v>Worst</v>
      </c>
      <c r="I222" s="18">
        <f>_xlfn.XLOOKUP(Assumptions!$B$2,Assumptions!$F$4:$H$4,Assumptions!$F$5:$H$5)</f>
        <v>1200</v>
      </c>
      <c r="J222" s="18">
        <f>_xlfn.XLOOKUP(Assumptions!$B$2,Assumptions!$F$4:$H$4,Assumptions!$F$6:$H$6)</f>
        <v>17</v>
      </c>
      <c r="K222" s="12">
        <f>_xlfn.XLOOKUP(Assumptions!$B$2,Assumptions!$F$4:$H$4,Assumptions!$F$8:$H$8)</f>
        <v>0.1</v>
      </c>
      <c r="L222" s="12">
        <f>_xlfn.XLOOKUP(Assumptions!$B$2,Assumptions!$F$4:$H$4,Assumptions!$F$9:$H$9)</f>
        <v>0.18</v>
      </c>
      <c r="M222" s="18">
        <f>_xlfn.XLOOKUP(Assumptions!$B$2,Assumptions!$F$4:$H$4,Assumptions!$F$10:$H$10)</f>
        <v>18000</v>
      </c>
      <c r="N222" s="12">
        <f>_xlfn.XLOOKUP(Assumptions!$B$2,Assumptions!$F$4:$H$4,Assumptions!$F$11:$H$11)</f>
        <v>0.3</v>
      </c>
      <c r="O222" s="14">
        <f>Final_Table[[#This Row],[Units Sold]]*Final_Table[[#This Row],[Sale Price]]</f>
        <v>20400</v>
      </c>
      <c r="P222" s="14">
        <f>Final_Table[[#This Row],[Gross Revenue]]*(1-Final_Table[[#This Row],[Discount %]])</f>
        <v>18360</v>
      </c>
      <c r="Q222">
        <f>Final_Table[[#This Row],[Net Revenue]]*Final_Table[[#This Row],[Variable Cost %]]</f>
        <v>3304.7999999999997</v>
      </c>
      <c r="R222">
        <f>Final_Table[[#This Row],[Variable Cost]]+Final_Table[[#This Row],[Fixed Monthly Cost]]</f>
        <v>21304.799999999999</v>
      </c>
      <c r="S222" s="5">
        <f>Final_Table[[#This Row],[Net Revenue]]-Final_Table[[#This Row],[Total Cost (COGS)]]</f>
        <v>-2944.7999999999993</v>
      </c>
      <c r="T222">
        <f>Final_Table[[#This Row],[Gross Profit]]*Final_Table[[#This Row],[Tax Rate]]</f>
        <v>-883.43999999999971</v>
      </c>
      <c r="U222" s="5">
        <f>Final_Table[[#This Row],[Gross Profit]]-Final_Table[[#This Row],[Tax]]</f>
        <v>-2061.3599999999997</v>
      </c>
      <c r="V222" s="12">
        <f>Final_Table[[#This Row],[Net Profit]]/Final_Table[[#This Row],[Gross Revenue]]</f>
        <v>-0.10104705882352939</v>
      </c>
    </row>
    <row r="223" spans="1:22">
      <c r="A223" s="18" t="s">
        <v>35</v>
      </c>
      <c r="B223">
        <v>2013</v>
      </c>
      <c r="C223" t="s">
        <v>119</v>
      </c>
      <c r="D223">
        <v>1</v>
      </c>
      <c r="E223" s="18" t="s">
        <v>16</v>
      </c>
      <c r="F223" s="18" t="s">
        <v>114</v>
      </c>
      <c r="G223" s="18" t="s">
        <v>23</v>
      </c>
      <c r="H223" s="18" t="str">
        <f>Assumptions!$B$2</f>
        <v>Worst</v>
      </c>
      <c r="I223" s="18">
        <f>_xlfn.XLOOKUP(Assumptions!$B$2,Assumptions!$F$4:$H$4,Assumptions!$F$5:$H$5)</f>
        <v>1200</v>
      </c>
      <c r="J223" s="18">
        <f>_xlfn.XLOOKUP(Assumptions!$B$2,Assumptions!$F$4:$H$4,Assumptions!$F$6:$H$6)</f>
        <v>17</v>
      </c>
      <c r="K223" s="12">
        <f>_xlfn.XLOOKUP(Assumptions!$B$2,Assumptions!$F$4:$H$4,Assumptions!$F$8:$H$8)</f>
        <v>0.1</v>
      </c>
      <c r="L223" s="12">
        <f>_xlfn.XLOOKUP(Assumptions!$B$2,Assumptions!$F$4:$H$4,Assumptions!$F$9:$H$9)</f>
        <v>0.18</v>
      </c>
      <c r="M223" s="18">
        <f>_xlfn.XLOOKUP(Assumptions!$B$2,Assumptions!$F$4:$H$4,Assumptions!$F$10:$H$10)</f>
        <v>18000</v>
      </c>
      <c r="N223" s="12">
        <f>_xlfn.XLOOKUP(Assumptions!$B$2,Assumptions!$F$4:$H$4,Assumptions!$F$11:$H$11)</f>
        <v>0.3</v>
      </c>
      <c r="O223" s="14">
        <f>Final_Table[[#This Row],[Units Sold]]*Final_Table[[#This Row],[Sale Price]]</f>
        <v>20400</v>
      </c>
      <c r="P223" s="14">
        <f>Final_Table[[#This Row],[Gross Revenue]]*(1-Final_Table[[#This Row],[Discount %]])</f>
        <v>18360</v>
      </c>
      <c r="Q223">
        <f>Final_Table[[#This Row],[Net Revenue]]*Final_Table[[#This Row],[Variable Cost %]]</f>
        <v>3304.7999999999997</v>
      </c>
      <c r="R223">
        <f>Final_Table[[#This Row],[Variable Cost]]+Final_Table[[#This Row],[Fixed Monthly Cost]]</f>
        <v>21304.799999999999</v>
      </c>
      <c r="S223" s="5">
        <f>Final_Table[[#This Row],[Net Revenue]]-Final_Table[[#This Row],[Total Cost (COGS)]]</f>
        <v>-2944.7999999999993</v>
      </c>
      <c r="T223">
        <f>Final_Table[[#This Row],[Gross Profit]]*Final_Table[[#This Row],[Tax Rate]]</f>
        <v>-883.43999999999971</v>
      </c>
      <c r="U223" s="5">
        <f>Final_Table[[#This Row],[Gross Profit]]-Final_Table[[#This Row],[Tax]]</f>
        <v>-2061.3599999999997</v>
      </c>
      <c r="V223" s="12">
        <f>Final_Table[[#This Row],[Net Profit]]/Final_Table[[#This Row],[Gross Revenue]]</f>
        <v>-0.10104705882352939</v>
      </c>
    </row>
    <row r="224" spans="1:22">
      <c r="A224" s="18" t="s">
        <v>35</v>
      </c>
      <c r="B224">
        <v>2013</v>
      </c>
      <c r="C224" t="s">
        <v>119</v>
      </c>
      <c r="D224">
        <v>1</v>
      </c>
      <c r="E224" s="18" t="s">
        <v>16</v>
      </c>
      <c r="F224" s="18" t="s">
        <v>114</v>
      </c>
      <c r="G224" s="18" t="s">
        <v>21</v>
      </c>
      <c r="H224" s="18" t="str">
        <f>Assumptions!$B$2</f>
        <v>Worst</v>
      </c>
      <c r="I224" s="18">
        <f>_xlfn.XLOOKUP(Assumptions!$B$2,Assumptions!$F$4:$H$4,Assumptions!$F$5:$H$5)</f>
        <v>1200</v>
      </c>
      <c r="J224" s="18">
        <f>_xlfn.XLOOKUP(Assumptions!$B$2,Assumptions!$F$4:$H$4,Assumptions!$F$6:$H$6)</f>
        <v>17</v>
      </c>
      <c r="K224" s="12">
        <f>_xlfn.XLOOKUP(Assumptions!$B$2,Assumptions!$F$4:$H$4,Assumptions!$F$8:$H$8)</f>
        <v>0.1</v>
      </c>
      <c r="L224" s="12">
        <f>_xlfn.XLOOKUP(Assumptions!$B$2,Assumptions!$F$4:$H$4,Assumptions!$F$9:$H$9)</f>
        <v>0.18</v>
      </c>
      <c r="M224" s="18">
        <f>_xlfn.XLOOKUP(Assumptions!$B$2,Assumptions!$F$4:$H$4,Assumptions!$F$10:$H$10)</f>
        <v>18000</v>
      </c>
      <c r="N224" s="12">
        <f>_xlfn.XLOOKUP(Assumptions!$B$2,Assumptions!$F$4:$H$4,Assumptions!$F$11:$H$11)</f>
        <v>0.3</v>
      </c>
      <c r="O224" s="14">
        <f>Final_Table[[#This Row],[Units Sold]]*Final_Table[[#This Row],[Sale Price]]</f>
        <v>20400</v>
      </c>
      <c r="P224" s="14">
        <f>Final_Table[[#This Row],[Gross Revenue]]*(1-Final_Table[[#This Row],[Discount %]])</f>
        <v>18360</v>
      </c>
      <c r="Q224">
        <f>Final_Table[[#This Row],[Net Revenue]]*Final_Table[[#This Row],[Variable Cost %]]</f>
        <v>3304.7999999999997</v>
      </c>
      <c r="R224">
        <f>Final_Table[[#This Row],[Variable Cost]]+Final_Table[[#This Row],[Fixed Monthly Cost]]</f>
        <v>21304.799999999999</v>
      </c>
      <c r="S224" s="5">
        <f>Final_Table[[#This Row],[Net Revenue]]-Final_Table[[#This Row],[Total Cost (COGS)]]</f>
        <v>-2944.7999999999993</v>
      </c>
      <c r="T224">
        <f>Final_Table[[#This Row],[Gross Profit]]*Final_Table[[#This Row],[Tax Rate]]</f>
        <v>-883.43999999999971</v>
      </c>
      <c r="U224" s="5">
        <f>Final_Table[[#This Row],[Gross Profit]]-Final_Table[[#This Row],[Tax]]</f>
        <v>-2061.3599999999997</v>
      </c>
      <c r="V224" s="12">
        <f>Final_Table[[#This Row],[Net Profit]]/Final_Table[[#This Row],[Gross Revenue]]</f>
        <v>-0.10104705882352939</v>
      </c>
    </row>
    <row r="225" spans="1:22">
      <c r="A225" s="18" t="s">
        <v>35</v>
      </c>
      <c r="B225">
        <v>2013</v>
      </c>
      <c r="C225" t="s">
        <v>119</v>
      </c>
      <c r="D225">
        <v>1</v>
      </c>
      <c r="E225" s="18" t="s">
        <v>16</v>
      </c>
      <c r="F225" s="18" t="s">
        <v>114</v>
      </c>
      <c r="G225" s="18" t="s">
        <v>25</v>
      </c>
      <c r="H225" s="18" t="str">
        <f>Assumptions!$B$2</f>
        <v>Worst</v>
      </c>
      <c r="I225" s="18">
        <f>_xlfn.XLOOKUP(Assumptions!$B$2,Assumptions!$F$4:$H$4,Assumptions!$F$5:$H$5)</f>
        <v>1200</v>
      </c>
      <c r="J225" s="18">
        <f>_xlfn.XLOOKUP(Assumptions!$B$2,Assumptions!$F$4:$H$4,Assumptions!$F$6:$H$6)</f>
        <v>17</v>
      </c>
      <c r="K225" s="12">
        <f>_xlfn.XLOOKUP(Assumptions!$B$2,Assumptions!$F$4:$H$4,Assumptions!$F$8:$H$8)</f>
        <v>0.1</v>
      </c>
      <c r="L225" s="12">
        <f>_xlfn.XLOOKUP(Assumptions!$B$2,Assumptions!$F$4:$H$4,Assumptions!$F$9:$H$9)</f>
        <v>0.18</v>
      </c>
      <c r="M225" s="18">
        <f>_xlfn.XLOOKUP(Assumptions!$B$2,Assumptions!$F$4:$H$4,Assumptions!$F$10:$H$10)</f>
        <v>18000</v>
      </c>
      <c r="N225" s="12">
        <f>_xlfn.XLOOKUP(Assumptions!$B$2,Assumptions!$F$4:$H$4,Assumptions!$F$11:$H$11)</f>
        <v>0.3</v>
      </c>
      <c r="O225" s="14">
        <f>Final_Table[[#This Row],[Units Sold]]*Final_Table[[#This Row],[Sale Price]]</f>
        <v>20400</v>
      </c>
      <c r="P225" s="14">
        <f>Final_Table[[#This Row],[Gross Revenue]]*(1-Final_Table[[#This Row],[Discount %]])</f>
        <v>18360</v>
      </c>
      <c r="Q225">
        <f>Final_Table[[#This Row],[Net Revenue]]*Final_Table[[#This Row],[Variable Cost %]]</f>
        <v>3304.7999999999997</v>
      </c>
      <c r="R225">
        <f>Final_Table[[#This Row],[Variable Cost]]+Final_Table[[#This Row],[Fixed Monthly Cost]]</f>
        <v>21304.799999999999</v>
      </c>
      <c r="S225" s="5">
        <f>Final_Table[[#This Row],[Net Revenue]]-Final_Table[[#This Row],[Total Cost (COGS)]]</f>
        <v>-2944.7999999999993</v>
      </c>
      <c r="T225">
        <f>Final_Table[[#This Row],[Gross Profit]]*Final_Table[[#This Row],[Tax Rate]]</f>
        <v>-883.43999999999971</v>
      </c>
      <c r="U225" s="5">
        <f>Final_Table[[#This Row],[Gross Profit]]-Final_Table[[#This Row],[Tax]]</f>
        <v>-2061.3599999999997</v>
      </c>
      <c r="V225" s="12">
        <f>Final_Table[[#This Row],[Net Profit]]/Final_Table[[#This Row],[Gross Revenue]]</f>
        <v>-0.10104705882352939</v>
      </c>
    </row>
    <row r="226" spans="1:22">
      <c r="A226" s="18" t="s">
        <v>35</v>
      </c>
      <c r="B226">
        <v>2013</v>
      </c>
      <c r="C226" t="s">
        <v>119</v>
      </c>
      <c r="D226">
        <v>1</v>
      </c>
      <c r="E226" s="18" t="s">
        <v>16</v>
      </c>
      <c r="F226" s="18" t="s">
        <v>114</v>
      </c>
      <c r="G226" s="18" t="s">
        <v>17</v>
      </c>
      <c r="H226" s="18" t="str">
        <f>Assumptions!$B$2</f>
        <v>Worst</v>
      </c>
      <c r="I226" s="18">
        <f>_xlfn.XLOOKUP(Assumptions!$B$2,Assumptions!$F$4:$H$4,Assumptions!$F$5:$H$5)</f>
        <v>1200</v>
      </c>
      <c r="J226" s="18">
        <f>_xlfn.XLOOKUP(Assumptions!$B$2,Assumptions!$F$4:$H$4,Assumptions!$F$6:$H$6)</f>
        <v>17</v>
      </c>
      <c r="K226" s="12">
        <f>_xlfn.XLOOKUP(Assumptions!$B$2,Assumptions!$F$4:$H$4,Assumptions!$F$8:$H$8)</f>
        <v>0.1</v>
      </c>
      <c r="L226" s="12">
        <f>_xlfn.XLOOKUP(Assumptions!$B$2,Assumptions!$F$4:$H$4,Assumptions!$F$9:$H$9)</f>
        <v>0.18</v>
      </c>
      <c r="M226" s="18">
        <f>_xlfn.XLOOKUP(Assumptions!$B$2,Assumptions!$F$4:$H$4,Assumptions!$F$10:$H$10)</f>
        <v>18000</v>
      </c>
      <c r="N226" s="12">
        <f>_xlfn.XLOOKUP(Assumptions!$B$2,Assumptions!$F$4:$H$4,Assumptions!$F$11:$H$11)</f>
        <v>0.3</v>
      </c>
      <c r="O226" s="14">
        <f>Final_Table[[#This Row],[Units Sold]]*Final_Table[[#This Row],[Sale Price]]</f>
        <v>20400</v>
      </c>
      <c r="P226" s="14">
        <f>Final_Table[[#This Row],[Gross Revenue]]*(1-Final_Table[[#This Row],[Discount %]])</f>
        <v>18360</v>
      </c>
      <c r="Q226">
        <f>Final_Table[[#This Row],[Net Revenue]]*Final_Table[[#This Row],[Variable Cost %]]</f>
        <v>3304.7999999999997</v>
      </c>
      <c r="R226">
        <f>Final_Table[[#This Row],[Variable Cost]]+Final_Table[[#This Row],[Fixed Monthly Cost]]</f>
        <v>21304.799999999999</v>
      </c>
      <c r="S226" s="5">
        <f>Final_Table[[#This Row],[Net Revenue]]-Final_Table[[#This Row],[Total Cost (COGS)]]</f>
        <v>-2944.7999999999993</v>
      </c>
      <c r="T226">
        <f>Final_Table[[#This Row],[Gross Profit]]*Final_Table[[#This Row],[Tax Rate]]</f>
        <v>-883.43999999999971</v>
      </c>
      <c r="U226" s="5">
        <f>Final_Table[[#This Row],[Gross Profit]]-Final_Table[[#This Row],[Tax]]</f>
        <v>-2061.3599999999997</v>
      </c>
      <c r="V226" s="12">
        <f>Final_Table[[#This Row],[Net Profit]]/Final_Table[[#This Row],[Gross Revenue]]</f>
        <v>-0.10104705882352939</v>
      </c>
    </row>
    <row r="227" spans="1:22">
      <c r="A227" s="18" t="s">
        <v>35</v>
      </c>
      <c r="B227">
        <v>2013</v>
      </c>
      <c r="C227" t="s">
        <v>119</v>
      </c>
      <c r="D227">
        <v>1</v>
      </c>
      <c r="E227" s="18" t="s">
        <v>32</v>
      </c>
      <c r="F227" s="18" t="s">
        <v>80</v>
      </c>
      <c r="G227" s="18" t="s">
        <v>36</v>
      </c>
      <c r="H227" s="18" t="str">
        <f>Assumptions!$B$2</f>
        <v>Worst</v>
      </c>
      <c r="I227" s="18">
        <f>_xlfn.XLOOKUP(Assumptions!$B$2,Assumptions!$F$4:$H$4,Assumptions!$F$5:$H$5)</f>
        <v>1200</v>
      </c>
      <c r="J227" s="18">
        <f>_xlfn.XLOOKUP(Assumptions!$B$2,Assumptions!$F$4:$H$4,Assumptions!$F$6:$H$6)</f>
        <v>17</v>
      </c>
      <c r="K227" s="12">
        <f>_xlfn.XLOOKUP(Assumptions!$B$2,Assumptions!$F$4:$H$4,Assumptions!$F$8:$H$8)</f>
        <v>0.1</v>
      </c>
      <c r="L227" s="12">
        <f>_xlfn.XLOOKUP(Assumptions!$B$2,Assumptions!$F$4:$H$4,Assumptions!$F$9:$H$9)</f>
        <v>0.18</v>
      </c>
      <c r="M227" s="18">
        <f>_xlfn.XLOOKUP(Assumptions!$B$2,Assumptions!$F$4:$H$4,Assumptions!$F$10:$H$10)</f>
        <v>18000</v>
      </c>
      <c r="N227" s="12">
        <f>_xlfn.XLOOKUP(Assumptions!$B$2,Assumptions!$F$4:$H$4,Assumptions!$F$11:$H$11)</f>
        <v>0.3</v>
      </c>
      <c r="O227" s="14">
        <f>Final_Table[[#This Row],[Units Sold]]*Final_Table[[#This Row],[Sale Price]]</f>
        <v>20400</v>
      </c>
      <c r="P227" s="14">
        <f>Final_Table[[#This Row],[Gross Revenue]]*(1-Final_Table[[#This Row],[Discount %]])</f>
        <v>18360</v>
      </c>
      <c r="Q227">
        <f>Final_Table[[#This Row],[Net Revenue]]*Final_Table[[#This Row],[Variable Cost %]]</f>
        <v>3304.7999999999997</v>
      </c>
      <c r="R227">
        <f>Final_Table[[#This Row],[Variable Cost]]+Final_Table[[#This Row],[Fixed Monthly Cost]]</f>
        <v>21304.799999999999</v>
      </c>
      <c r="S227" s="5">
        <f>Final_Table[[#This Row],[Net Revenue]]-Final_Table[[#This Row],[Total Cost (COGS)]]</f>
        <v>-2944.7999999999993</v>
      </c>
      <c r="T227">
        <f>Final_Table[[#This Row],[Gross Profit]]*Final_Table[[#This Row],[Tax Rate]]</f>
        <v>-883.43999999999971</v>
      </c>
      <c r="U227" s="5">
        <f>Final_Table[[#This Row],[Gross Profit]]-Final_Table[[#This Row],[Tax]]</f>
        <v>-2061.3599999999997</v>
      </c>
      <c r="V227" s="12">
        <f>Final_Table[[#This Row],[Net Profit]]/Final_Table[[#This Row],[Gross Revenue]]</f>
        <v>-0.10104705882352939</v>
      </c>
    </row>
    <row r="228" spans="1:22">
      <c r="A228" s="18" t="s">
        <v>35</v>
      </c>
      <c r="B228">
        <v>2013</v>
      </c>
      <c r="C228" t="s">
        <v>119</v>
      </c>
      <c r="D228">
        <v>1</v>
      </c>
      <c r="E228" s="18" t="s">
        <v>32</v>
      </c>
      <c r="F228" s="18" t="s">
        <v>80</v>
      </c>
      <c r="G228" s="18" t="s">
        <v>23</v>
      </c>
      <c r="H228" s="18" t="str">
        <f>Assumptions!$B$2</f>
        <v>Worst</v>
      </c>
      <c r="I228" s="18">
        <f>_xlfn.XLOOKUP(Assumptions!$B$2,Assumptions!$F$4:$H$4,Assumptions!$F$5:$H$5)</f>
        <v>1200</v>
      </c>
      <c r="J228" s="18">
        <f>_xlfn.XLOOKUP(Assumptions!$B$2,Assumptions!$F$4:$H$4,Assumptions!$F$6:$H$6)</f>
        <v>17</v>
      </c>
      <c r="K228" s="12">
        <f>_xlfn.XLOOKUP(Assumptions!$B$2,Assumptions!$F$4:$H$4,Assumptions!$F$8:$H$8)</f>
        <v>0.1</v>
      </c>
      <c r="L228" s="12">
        <f>_xlfn.XLOOKUP(Assumptions!$B$2,Assumptions!$F$4:$H$4,Assumptions!$F$9:$H$9)</f>
        <v>0.18</v>
      </c>
      <c r="M228" s="18">
        <f>_xlfn.XLOOKUP(Assumptions!$B$2,Assumptions!$F$4:$H$4,Assumptions!$F$10:$H$10)</f>
        <v>18000</v>
      </c>
      <c r="N228" s="12">
        <f>_xlfn.XLOOKUP(Assumptions!$B$2,Assumptions!$F$4:$H$4,Assumptions!$F$11:$H$11)</f>
        <v>0.3</v>
      </c>
      <c r="O228" s="14">
        <f>Final_Table[[#This Row],[Units Sold]]*Final_Table[[#This Row],[Sale Price]]</f>
        <v>20400</v>
      </c>
      <c r="P228" s="14">
        <f>Final_Table[[#This Row],[Gross Revenue]]*(1-Final_Table[[#This Row],[Discount %]])</f>
        <v>18360</v>
      </c>
      <c r="Q228">
        <f>Final_Table[[#This Row],[Net Revenue]]*Final_Table[[#This Row],[Variable Cost %]]</f>
        <v>3304.7999999999997</v>
      </c>
      <c r="R228">
        <f>Final_Table[[#This Row],[Variable Cost]]+Final_Table[[#This Row],[Fixed Monthly Cost]]</f>
        <v>21304.799999999999</v>
      </c>
      <c r="S228" s="5">
        <f>Final_Table[[#This Row],[Net Revenue]]-Final_Table[[#This Row],[Total Cost (COGS)]]</f>
        <v>-2944.7999999999993</v>
      </c>
      <c r="T228">
        <f>Final_Table[[#This Row],[Gross Profit]]*Final_Table[[#This Row],[Tax Rate]]</f>
        <v>-883.43999999999971</v>
      </c>
      <c r="U228" s="5">
        <f>Final_Table[[#This Row],[Gross Profit]]-Final_Table[[#This Row],[Tax]]</f>
        <v>-2061.3599999999997</v>
      </c>
      <c r="V228" s="12">
        <f>Final_Table[[#This Row],[Net Profit]]/Final_Table[[#This Row],[Gross Revenue]]</f>
        <v>-0.10104705882352939</v>
      </c>
    </row>
    <row r="229" spans="1:22">
      <c r="A229" s="18" t="s">
        <v>35</v>
      </c>
      <c r="B229">
        <v>2013</v>
      </c>
      <c r="C229" t="s">
        <v>119</v>
      </c>
      <c r="D229">
        <v>1</v>
      </c>
      <c r="E229" s="18" t="s">
        <v>32</v>
      </c>
      <c r="F229" s="18" t="s">
        <v>80</v>
      </c>
      <c r="G229" s="18" t="s">
        <v>21</v>
      </c>
      <c r="H229" s="18" t="str">
        <f>Assumptions!$B$2</f>
        <v>Worst</v>
      </c>
      <c r="I229" s="18">
        <f>_xlfn.XLOOKUP(Assumptions!$B$2,Assumptions!$F$4:$H$4,Assumptions!$F$5:$H$5)</f>
        <v>1200</v>
      </c>
      <c r="J229" s="18">
        <f>_xlfn.XLOOKUP(Assumptions!$B$2,Assumptions!$F$4:$H$4,Assumptions!$F$6:$H$6)</f>
        <v>17</v>
      </c>
      <c r="K229" s="12">
        <f>_xlfn.XLOOKUP(Assumptions!$B$2,Assumptions!$F$4:$H$4,Assumptions!$F$8:$H$8)</f>
        <v>0.1</v>
      </c>
      <c r="L229" s="12">
        <f>_xlfn.XLOOKUP(Assumptions!$B$2,Assumptions!$F$4:$H$4,Assumptions!$F$9:$H$9)</f>
        <v>0.18</v>
      </c>
      <c r="M229" s="18">
        <f>_xlfn.XLOOKUP(Assumptions!$B$2,Assumptions!$F$4:$H$4,Assumptions!$F$10:$H$10)</f>
        <v>18000</v>
      </c>
      <c r="N229" s="12">
        <f>_xlfn.XLOOKUP(Assumptions!$B$2,Assumptions!$F$4:$H$4,Assumptions!$F$11:$H$11)</f>
        <v>0.3</v>
      </c>
      <c r="O229" s="14">
        <f>Final_Table[[#This Row],[Units Sold]]*Final_Table[[#This Row],[Sale Price]]</f>
        <v>20400</v>
      </c>
      <c r="P229" s="14">
        <f>Final_Table[[#This Row],[Gross Revenue]]*(1-Final_Table[[#This Row],[Discount %]])</f>
        <v>18360</v>
      </c>
      <c r="Q229">
        <f>Final_Table[[#This Row],[Net Revenue]]*Final_Table[[#This Row],[Variable Cost %]]</f>
        <v>3304.7999999999997</v>
      </c>
      <c r="R229">
        <f>Final_Table[[#This Row],[Variable Cost]]+Final_Table[[#This Row],[Fixed Monthly Cost]]</f>
        <v>21304.799999999999</v>
      </c>
      <c r="S229" s="5">
        <f>Final_Table[[#This Row],[Net Revenue]]-Final_Table[[#This Row],[Total Cost (COGS)]]</f>
        <v>-2944.7999999999993</v>
      </c>
      <c r="T229">
        <f>Final_Table[[#This Row],[Gross Profit]]*Final_Table[[#This Row],[Tax Rate]]</f>
        <v>-883.43999999999971</v>
      </c>
      <c r="U229" s="5">
        <f>Final_Table[[#This Row],[Gross Profit]]-Final_Table[[#This Row],[Tax]]</f>
        <v>-2061.3599999999997</v>
      </c>
      <c r="V229" s="12">
        <f>Final_Table[[#This Row],[Net Profit]]/Final_Table[[#This Row],[Gross Revenue]]</f>
        <v>-0.10104705882352939</v>
      </c>
    </row>
    <row r="230" spans="1:22">
      <c r="A230" s="18" t="s">
        <v>35</v>
      </c>
      <c r="B230">
        <v>2013</v>
      </c>
      <c r="C230" t="s">
        <v>119</v>
      </c>
      <c r="D230">
        <v>1</v>
      </c>
      <c r="E230" s="18" t="s">
        <v>32</v>
      </c>
      <c r="F230" s="18" t="s">
        <v>80</v>
      </c>
      <c r="G230" s="18" t="s">
        <v>25</v>
      </c>
      <c r="H230" s="18" t="str">
        <f>Assumptions!$B$2</f>
        <v>Worst</v>
      </c>
      <c r="I230" s="18">
        <f>_xlfn.XLOOKUP(Assumptions!$B$2,Assumptions!$F$4:$H$4,Assumptions!$F$5:$H$5)</f>
        <v>1200</v>
      </c>
      <c r="J230" s="18">
        <f>_xlfn.XLOOKUP(Assumptions!$B$2,Assumptions!$F$4:$H$4,Assumptions!$F$6:$H$6)</f>
        <v>17</v>
      </c>
      <c r="K230" s="12">
        <f>_xlfn.XLOOKUP(Assumptions!$B$2,Assumptions!$F$4:$H$4,Assumptions!$F$8:$H$8)</f>
        <v>0.1</v>
      </c>
      <c r="L230" s="12">
        <f>_xlfn.XLOOKUP(Assumptions!$B$2,Assumptions!$F$4:$H$4,Assumptions!$F$9:$H$9)</f>
        <v>0.18</v>
      </c>
      <c r="M230" s="18">
        <f>_xlfn.XLOOKUP(Assumptions!$B$2,Assumptions!$F$4:$H$4,Assumptions!$F$10:$H$10)</f>
        <v>18000</v>
      </c>
      <c r="N230" s="12">
        <f>_xlfn.XLOOKUP(Assumptions!$B$2,Assumptions!$F$4:$H$4,Assumptions!$F$11:$H$11)</f>
        <v>0.3</v>
      </c>
      <c r="O230" s="14">
        <f>Final_Table[[#This Row],[Units Sold]]*Final_Table[[#This Row],[Sale Price]]</f>
        <v>20400</v>
      </c>
      <c r="P230" s="14">
        <f>Final_Table[[#This Row],[Gross Revenue]]*(1-Final_Table[[#This Row],[Discount %]])</f>
        <v>18360</v>
      </c>
      <c r="Q230">
        <f>Final_Table[[#This Row],[Net Revenue]]*Final_Table[[#This Row],[Variable Cost %]]</f>
        <v>3304.7999999999997</v>
      </c>
      <c r="R230">
        <f>Final_Table[[#This Row],[Variable Cost]]+Final_Table[[#This Row],[Fixed Monthly Cost]]</f>
        <v>21304.799999999999</v>
      </c>
      <c r="S230" s="5">
        <f>Final_Table[[#This Row],[Net Revenue]]-Final_Table[[#This Row],[Total Cost (COGS)]]</f>
        <v>-2944.7999999999993</v>
      </c>
      <c r="T230">
        <f>Final_Table[[#This Row],[Gross Profit]]*Final_Table[[#This Row],[Tax Rate]]</f>
        <v>-883.43999999999971</v>
      </c>
      <c r="U230" s="5">
        <f>Final_Table[[#This Row],[Gross Profit]]-Final_Table[[#This Row],[Tax]]</f>
        <v>-2061.3599999999997</v>
      </c>
      <c r="V230" s="12">
        <f>Final_Table[[#This Row],[Net Profit]]/Final_Table[[#This Row],[Gross Revenue]]</f>
        <v>-0.10104705882352939</v>
      </c>
    </row>
    <row r="231" spans="1:22">
      <c r="A231" s="18" t="s">
        <v>35</v>
      </c>
      <c r="B231">
        <v>2013</v>
      </c>
      <c r="C231" t="s">
        <v>119</v>
      </c>
      <c r="D231">
        <v>1</v>
      </c>
      <c r="E231" s="18" t="s">
        <v>32</v>
      </c>
      <c r="F231" s="18" t="s">
        <v>80</v>
      </c>
      <c r="G231" s="18" t="s">
        <v>17</v>
      </c>
      <c r="H231" s="18" t="str">
        <f>Assumptions!$B$2</f>
        <v>Worst</v>
      </c>
      <c r="I231" s="18">
        <f>_xlfn.XLOOKUP(Assumptions!$B$2,Assumptions!$F$4:$H$4,Assumptions!$F$5:$H$5)</f>
        <v>1200</v>
      </c>
      <c r="J231" s="18">
        <f>_xlfn.XLOOKUP(Assumptions!$B$2,Assumptions!$F$4:$H$4,Assumptions!$F$6:$H$6)</f>
        <v>17</v>
      </c>
      <c r="K231" s="12">
        <f>_xlfn.XLOOKUP(Assumptions!$B$2,Assumptions!$F$4:$H$4,Assumptions!$F$8:$H$8)</f>
        <v>0.1</v>
      </c>
      <c r="L231" s="12">
        <f>_xlfn.XLOOKUP(Assumptions!$B$2,Assumptions!$F$4:$H$4,Assumptions!$F$9:$H$9)</f>
        <v>0.18</v>
      </c>
      <c r="M231" s="18">
        <f>_xlfn.XLOOKUP(Assumptions!$B$2,Assumptions!$F$4:$H$4,Assumptions!$F$10:$H$10)</f>
        <v>18000</v>
      </c>
      <c r="N231" s="12">
        <f>_xlfn.XLOOKUP(Assumptions!$B$2,Assumptions!$F$4:$H$4,Assumptions!$F$11:$H$11)</f>
        <v>0.3</v>
      </c>
      <c r="O231" s="14">
        <f>Final_Table[[#This Row],[Units Sold]]*Final_Table[[#This Row],[Sale Price]]</f>
        <v>20400</v>
      </c>
      <c r="P231" s="14">
        <f>Final_Table[[#This Row],[Gross Revenue]]*(1-Final_Table[[#This Row],[Discount %]])</f>
        <v>18360</v>
      </c>
      <c r="Q231">
        <f>Final_Table[[#This Row],[Net Revenue]]*Final_Table[[#This Row],[Variable Cost %]]</f>
        <v>3304.7999999999997</v>
      </c>
      <c r="R231">
        <f>Final_Table[[#This Row],[Variable Cost]]+Final_Table[[#This Row],[Fixed Monthly Cost]]</f>
        <v>21304.799999999999</v>
      </c>
      <c r="S231" s="5">
        <f>Final_Table[[#This Row],[Net Revenue]]-Final_Table[[#This Row],[Total Cost (COGS)]]</f>
        <v>-2944.7999999999993</v>
      </c>
      <c r="T231">
        <f>Final_Table[[#This Row],[Gross Profit]]*Final_Table[[#This Row],[Tax Rate]]</f>
        <v>-883.43999999999971</v>
      </c>
      <c r="U231" s="5">
        <f>Final_Table[[#This Row],[Gross Profit]]-Final_Table[[#This Row],[Tax]]</f>
        <v>-2061.3599999999997</v>
      </c>
      <c r="V231" s="12">
        <f>Final_Table[[#This Row],[Net Profit]]/Final_Table[[#This Row],[Gross Revenue]]</f>
        <v>-0.10104705882352939</v>
      </c>
    </row>
    <row r="232" spans="1:22">
      <c r="A232" s="18" t="s">
        <v>35</v>
      </c>
      <c r="B232">
        <v>2013</v>
      </c>
      <c r="C232" t="s">
        <v>119</v>
      </c>
      <c r="D232">
        <v>1</v>
      </c>
      <c r="E232" s="18" t="s">
        <v>32</v>
      </c>
      <c r="F232" s="18" t="s">
        <v>108</v>
      </c>
      <c r="G232" s="18" t="s">
        <v>36</v>
      </c>
      <c r="H232" s="18" t="str">
        <f>Assumptions!$B$2</f>
        <v>Worst</v>
      </c>
      <c r="I232" s="18">
        <f>_xlfn.XLOOKUP(Assumptions!$B$2,Assumptions!$F$4:$H$4,Assumptions!$F$5:$H$5)</f>
        <v>1200</v>
      </c>
      <c r="J232" s="18">
        <f>_xlfn.XLOOKUP(Assumptions!$B$2,Assumptions!$F$4:$H$4,Assumptions!$F$6:$H$6)</f>
        <v>17</v>
      </c>
      <c r="K232" s="12">
        <f>_xlfn.XLOOKUP(Assumptions!$B$2,Assumptions!$F$4:$H$4,Assumptions!$F$8:$H$8)</f>
        <v>0.1</v>
      </c>
      <c r="L232" s="12">
        <f>_xlfn.XLOOKUP(Assumptions!$B$2,Assumptions!$F$4:$H$4,Assumptions!$F$9:$H$9)</f>
        <v>0.18</v>
      </c>
      <c r="M232" s="18">
        <f>_xlfn.XLOOKUP(Assumptions!$B$2,Assumptions!$F$4:$H$4,Assumptions!$F$10:$H$10)</f>
        <v>18000</v>
      </c>
      <c r="N232" s="12">
        <f>_xlfn.XLOOKUP(Assumptions!$B$2,Assumptions!$F$4:$H$4,Assumptions!$F$11:$H$11)</f>
        <v>0.3</v>
      </c>
      <c r="O232" s="14">
        <f>Final_Table[[#This Row],[Units Sold]]*Final_Table[[#This Row],[Sale Price]]</f>
        <v>20400</v>
      </c>
      <c r="P232" s="14">
        <f>Final_Table[[#This Row],[Gross Revenue]]*(1-Final_Table[[#This Row],[Discount %]])</f>
        <v>18360</v>
      </c>
      <c r="Q232">
        <f>Final_Table[[#This Row],[Net Revenue]]*Final_Table[[#This Row],[Variable Cost %]]</f>
        <v>3304.7999999999997</v>
      </c>
      <c r="R232">
        <f>Final_Table[[#This Row],[Variable Cost]]+Final_Table[[#This Row],[Fixed Monthly Cost]]</f>
        <v>21304.799999999999</v>
      </c>
      <c r="S232" s="5">
        <f>Final_Table[[#This Row],[Net Revenue]]-Final_Table[[#This Row],[Total Cost (COGS)]]</f>
        <v>-2944.7999999999993</v>
      </c>
      <c r="T232">
        <f>Final_Table[[#This Row],[Gross Profit]]*Final_Table[[#This Row],[Tax Rate]]</f>
        <v>-883.43999999999971</v>
      </c>
      <c r="U232" s="5">
        <f>Final_Table[[#This Row],[Gross Profit]]-Final_Table[[#This Row],[Tax]]</f>
        <v>-2061.3599999999997</v>
      </c>
      <c r="V232" s="12">
        <f>Final_Table[[#This Row],[Net Profit]]/Final_Table[[#This Row],[Gross Revenue]]</f>
        <v>-0.10104705882352939</v>
      </c>
    </row>
    <row r="233" spans="1:22">
      <c r="A233" s="18" t="s">
        <v>35</v>
      </c>
      <c r="B233">
        <v>2013</v>
      </c>
      <c r="C233" t="s">
        <v>119</v>
      </c>
      <c r="D233">
        <v>1</v>
      </c>
      <c r="E233" s="18" t="s">
        <v>32</v>
      </c>
      <c r="F233" s="18" t="s">
        <v>108</v>
      </c>
      <c r="G233" s="18" t="s">
        <v>23</v>
      </c>
      <c r="H233" s="18" t="str">
        <f>Assumptions!$B$2</f>
        <v>Worst</v>
      </c>
      <c r="I233" s="18">
        <f>_xlfn.XLOOKUP(Assumptions!$B$2,Assumptions!$F$4:$H$4,Assumptions!$F$5:$H$5)</f>
        <v>1200</v>
      </c>
      <c r="J233" s="18">
        <f>_xlfn.XLOOKUP(Assumptions!$B$2,Assumptions!$F$4:$H$4,Assumptions!$F$6:$H$6)</f>
        <v>17</v>
      </c>
      <c r="K233" s="12">
        <f>_xlfn.XLOOKUP(Assumptions!$B$2,Assumptions!$F$4:$H$4,Assumptions!$F$8:$H$8)</f>
        <v>0.1</v>
      </c>
      <c r="L233" s="12">
        <f>_xlfn.XLOOKUP(Assumptions!$B$2,Assumptions!$F$4:$H$4,Assumptions!$F$9:$H$9)</f>
        <v>0.18</v>
      </c>
      <c r="M233" s="18">
        <f>_xlfn.XLOOKUP(Assumptions!$B$2,Assumptions!$F$4:$H$4,Assumptions!$F$10:$H$10)</f>
        <v>18000</v>
      </c>
      <c r="N233" s="12">
        <f>_xlfn.XLOOKUP(Assumptions!$B$2,Assumptions!$F$4:$H$4,Assumptions!$F$11:$H$11)</f>
        <v>0.3</v>
      </c>
      <c r="O233" s="14">
        <f>Final_Table[[#This Row],[Units Sold]]*Final_Table[[#This Row],[Sale Price]]</f>
        <v>20400</v>
      </c>
      <c r="P233" s="14">
        <f>Final_Table[[#This Row],[Gross Revenue]]*(1-Final_Table[[#This Row],[Discount %]])</f>
        <v>18360</v>
      </c>
      <c r="Q233">
        <f>Final_Table[[#This Row],[Net Revenue]]*Final_Table[[#This Row],[Variable Cost %]]</f>
        <v>3304.7999999999997</v>
      </c>
      <c r="R233">
        <f>Final_Table[[#This Row],[Variable Cost]]+Final_Table[[#This Row],[Fixed Monthly Cost]]</f>
        <v>21304.799999999999</v>
      </c>
      <c r="S233" s="5">
        <f>Final_Table[[#This Row],[Net Revenue]]-Final_Table[[#This Row],[Total Cost (COGS)]]</f>
        <v>-2944.7999999999993</v>
      </c>
      <c r="T233">
        <f>Final_Table[[#This Row],[Gross Profit]]*Final_Table[[#This Row],[Tax Rate]]</f>
        <v>-883.43999999999971</v>
      </c>
      <c r="U233" s="5">
        <f>Final_Table[[#This Row],[Gross Profit]]-Final_Table[[#This Row],[Tax]]</f>
        <v>-2061.3599999999997</v>
      </c>
      <c r="V233" s="12">
        <f>Final_Table[[#This Row],[Net Profit]]/Final_Table[[#This Row],[Gross Revenue]]</f>
        <v>-0.10104705882352939</v>
      </c>
    </row>
    <row r="234" spans="1:22">
      <c r="A234" s="18" t="s">
        <v>35</v>
      </c>
      <c r="B234">
        <v>2013</v>
      </c>
      <c r="C234" t="s">
        <v>119</v>
      </c>
      <c r="D234">
        <v>1</v>
      </c>
      <c r="E234" s="18" t="s">
        <v>32</v>
      </c>
      <c r="F234" s="18" t="s">
        <v>108</v>
      </c>
      <c r="G234" s="18" t="s">
        <v>21</v>
      </c>
      <c r="H234" s="18" t="str">
        <f>Assumptions!$B$2</f>
        <v>Worst</v>
      </c>
      <c r="I234" s="18">
        <f>_xlfn.XLOOKUP(Assumptions!$B$2,Assumptions!$F$4:$H$4,Assumptions!$F$5:$H$5)</f>
        <v>1200</v>
      </c>
      <c r="J234" s="18">
        <f>_xlfn.XLOOKUP(Assumptions!$B$2,Assumptions!$F$4:$H$4,Assumptions!$F$6:$H$6)</f>
        <v>17</v>
      </c>
      <c r="K234" s="12">
        <f>_xlfn.XLOOKUP(Assumptions!$B$2,Assumptions!$F$4:$H$4,Assumptions!$F$8:$H$8)</f>
        <v>0.1</v>
      </c>
      <c r="L234" s="12">
        <f>_xlfn.XLOOKUP(Assumptions!$B$2,Assumptions!$F$4:$H$4,Assumptions!$F$9:$H$9)</f>
        <v>0.18</v>
      </c>
      <c r="M234" s="18">
        <f>_xlfn.XLOOKUP(Assumptions!$B$2,Assumptions!$F$4:$H$4,Assumptions!$F$10:$H$10)</f>
        <v>18000</v>
      </c>
      <c r="N234" s="12">
        <f>_xlfn.XLOOKUP(Assumptions!$B$2,Assumptions!$F$4:$H$4,Assumptions!$F$11:$H$11)</f>
        <v>0.3</v>
      </c>
      <c r="O234" s="14">
        <f>Final_Table[[#This Row],[Units Sold]]*Final_Table[[#This Row],[Sale Price]]</f>
        <v>20400</v>
      </c>
      <c r="P234" s="14">
        <f>Final_Table[[#This Row],[Gross Revenue]]*(1-Final_Table[[#This Row],[Discount %]])</f>
        <v>18360</v>
      </c>
      <c r="Q234">
        <f>Final_Table[[#This Row],[Net Revenue]]*Final_Table[[#This Row],[Variable Cost %]]</f>
        <v>3304.7999999999997</v>
      </c>
      <c r="R234">
        <f>Final_Table[[#This Row],[Variable Cost]]+Final_Table[[#This Row],[Fixed Monthly Cost]]</f>
        <v>21304.799999999999</v>
      </c>
      <c r="S234" s="5">
        <f>Final_Table[[#This Row],[Net Revenue]]-Final_Table[[#This Row],[Total Cost (COGS)]]</f>
        <v>-2944.7999999999993</v>
      </c>
      <c r="T234">
        <f>Final_Table[[#This Row],[Gross Profit]]*Final_Table[[#This Row],[Tax Rate]]</f>
        <v>-883.43999999999971</v>
      </c>
      <c r="U234" s="5">
        <f>Final_Table[[#This Row],[Gross Profit]]-Final_Table[[#This Row],[Tax]]</f>
        <v>-2061.3599999999997</v>
      </c>
      <c r="V234" s="12">
        <f>Final_Table[[#This Row],[Net Profit]]/Final_Table[[#This Row],[Gross Revenue]]</f>
        <v>-0.10104705882352939</v>
      </c>
    </row>
    <row r="235" spans="1:22">
      <c r="A235" s="18" t="s">
        <v>35</v>
      </c>
      <c r="B235">
        <v>2013</v>
      </c>
      <c r="C235" t="s">
        <v>119</v>
      </c>
      <c r="D235">
        <v>1</v>
      </c>
      <c r="E235" s="18" t="s">
        <v>32</v>
      </c>
      <c r="F235" s="18" t="s">
        <v>108</v>
      </c>
      <c r="G235" s="18" t="s">
        <v>25</v>
      </c>
      <c r="H235" s="18" t="str">
        <f>Assumptions!$B$2</f>
        <v>Worst</v>
      </c>
      <c r="I235" s="18">
        <f>_xlfn.XLOOKUP(Assumptions!$B$2,Assumptions!$F$4:$H$4,Assumptions!$F$5:$H$5)</f>
        <v>1200</v>
      </c>
      <c r="J235" s="18">
        <f>_xlfn.XLOOKUP(Assumptions!$B$2,Assumptions!$F$4:$H$4,Assumptions!$F$6:$H$6)</f>
        <v>17</v>
      </c>
      <c r="K235" s="12">
        <f>_xlfn.XLOOKUP(Assumptions!$B$2,Assumptions!$F$4:$H$4,Assumptions!$F$8:$H$8)</f>
        <v>0.1</v>
      </c>
      <c r="L235" s="12">
        <f>_xlfn.XLOOKUP(Assumptions!$B$2,Assumptions!$F$4:$H$4,Assumptions!$F$9:$H$9)</f>
        <v>0.18</v>
      </c>
      <c r="M235" s="18">
        <f>_xlfn.XLOOKUP(Assumptions!$B$2,Assumptions!$F$4:$H$4,Assumptions!$F$10:$H$10)</f>
        <v>18000</v>
      </c>
      <c r="N235" s="12">
        <f>_xlfn.XLOOKUP(Assumptions!$B$2,Assumptions!$F$4:$H$4,Assumptions!$F$11:$H$11)</f>
        <v>0.3</v>
      </c>
      <c r="O235" s="14">
        <f>Final_Table[[#This Row],[Units Sold]]*Final_Table[[#This Row],[Sale Price]]</f>
        <v>20400</v>
      </c>
      <c r="P235" s="14">
        <f>Final_Table[[#This Row],[Gross Revenue]]*(1-Final_Table[[#This Row],[Discount %]])</f>
        <v>18360</v>
      </c>
      <c r="Q235">
        <f>Final_Table[[#This Row],[Net Revenue]]*Final_Table[[#This Row],[Variable Cost %]]</f>
        <v>3304.7999999999997</v>
      </c>
      <c r="R235">
        <f>Final_Table[[#This Row],[Variable Cost]]+Final_Table[[#This Row],[Fixed Monthly Cost]]</f>
        <v>21304.799999999999</v>
      </c>
      <c r="S235" s="5">
        <f>Final_Table[[#This Row],[Net Revenue]]-Final_Table[[#This Row],[Total Cost (COGS)]]</f>
        <v>-2944.7999999999993</v>
      </c>
      <c r="T235">
        <f>Final_Table[[#This Row],[Gross Profit]]*Final_Table[[#This Row],[Tax Rate]]</f>
        <v>-883.43999999999971</v>
      </c>
      <c r="U235" s="5">
        <f>Final_Table[[#This Row],[Gross Profit]]-Final_Table[[#This Row],[Tax]]</f>
        <v>-2061.3599999999997</v>
      </c>
      <c r="V235" s="12">
        <f>Final_Table[[#This Row],[Net Profit]]/Final_Table[[#This Row],[Gross Revenue]]</f>
        <v>-0.10104705882352939</v>
      </c>
    </row>
    <row r="236" spans="1:22">
      <c r="A236" s="18" t="s">
        <v>35</v>
      </c>
      <c r="B236">
        <v>2013</v>
      </c>
      <c r="C236" t="s">
        <v>119</v>
      </c>
      <c r="D236">
        <v>1</v>
      </c>
      <c r="E236" s="18" t="s">
        <v>32</v>
      </c>
      <c r="F236" s="18" t="s">
        <v>108</v>
      </c>
      <c r="G236" s="18" t="s">
        <v>17</v>
      </c>
      <c r="H236" s="18" t="str">
        <f>Assumptions!$B$2</f>
        <v>Worst</v>
      </c>
      <c r="I236" s="18">
        <f>_xlfn.XLOOKUP(Assumptions!$B$2,Assumptions!$F$4:$H$4,Assumptions!$F$5:$H$5)</f>
        <v>1200</v>
      </c>
      <c r="J236" s="18">
        <f>_xlfn.XLOOKUP(Assumptions!$B$2,Assumptions!$F$4:$H$4,Assumptions!$F$6:$H$6)</f>
        <v>17</v>
      </c>
      <c r="K236" s="12">
        <f>_xlfn.XLOOKUP(Assumptions!$B$2,Assumptions!$F$4:$H$4,Assumptions!$F$8:$H$8)</f>
        <v>0.1</v>
      </c>
      <c r="L236" s="12">
        <f>_xlfn.XLOOKUP(Assumptions!$B$2,Assumptions!$F$4:$H$4,Assumptions!$F$9:$H$9)</f>
        <v>0.18</v>
      </c>
      <c r="M236" s="18">
        <f>_xlfn.XLOOKUP(Assumptions!$B$2,Assumptions!$F$4:$H$4,Assumptions!$F$10:$H$10)</f>
        <v>18000</v>
      </c>
      <c r="N236" s="12">
        <f>_xlfn.XLOOKUP(Assumptions!$B$2,Assumptions!$F$4:$H$4,Assumptions!$F$11:$H$11)</f>
        <v>0.3</v>
      </c>
      <c r="O236" s="14">
        <f>Final_Table[[#This Row],[Units Sold]]*Final_Table[[#This Row],[Sale Price]]</f>
        <v>20400</v>
      </c>
      <c r="P236" s="14">
        <f>Final_Table[[#This Row],[Gross Revenue]]*(1-Final_Table[[#This Row],[Discount %]])</f>
        <v>18360</v>
      </c>
      <c r="Q236">
        <f>Final_Table[[#This Row],[Net Revenue]]*Final_Table[[#This Row],[Variable Cost %]]</f>
        <v>3304.7999999999997</v>
      </c>
      <c r="R236">
        <f>Final_Table[[#This Row],[Variable Cost]]+Final_Table[[#This Row],[Fixed Monthly Cost]]</f>
        <v>21304.799999999999</v>
      </c>
      <c r="S236" s="5">
        <f>Final_Table[[#This Row],[Net Revenue]]-Final_Table[[#This Row],[Total Cost (COGS)]]</f>
        <v>-2944.7999999999993</v>
      </c>
      <c r="T236">
        <f>Final_Table[[#This Row],[Gross Profit]]*Final_Table[[#This Row],[Tax Rate]]</f>
        <v>-883.43999999999971</v>
      </c>
      <c r="U236" s="5">
        <f>Final_Table[[#This Row],[Gross Profit]]-Final_Table[[#This Row],[Tax]]</f>
        <v>-2061.3599999999997</v>
      </c>
      <c r="V236" s="12">
        <f>Final_Table[[#This Row],[Net Profit]]/Final_Table[[#This Row],[Gross Revenue]]</f>
        <v>-0.10104705882352939</v>
      </c>
    </row>
    <row r="237" spans="1:22">
      <c r="A237" s="18" t="s">
        <v>35</v>
      </c>
      <c r="B237">
        <v>2013</v>
      </c>
      <c r="C237" t="s">
        <v>119</v>
      </c>
      <c r="D237">
        <v>1</v>
      </c>
      <c r="E237" s="18" t="s">
        <v>32</v>
      </c>
      <c r="F237" s="18" t="s">
        <v>112</v>
      </c>
      <c r="G237" s="18" t="s">
        <v>36</v>
      </c>
      <c r="H237" s="18" t="str">
        <f>Assumptions!$B$2</f>
        <v>Worst</v>
      </c>
      <c r="I237" s="18">
        <f>_xlfn.XLOOKUP(Assumptions!$B$2,Assumptions!$F$4:$H$4,Assumptions!$F$5:$H$5)</f>
        <v>1200</v>
      </c>
      <c r="J237" s="18">
        <f>_xlfn.XLOOKUP(Assumptions!$B$2,Assumptions!$F$4:$H$4,Assumptions!$F$6:$H$6)</f>
        <v>17</v>
      </c>
      <c r="K237" s="12">
        <f>_xlfn.XLOOKUP(Assumptions!$B$2,Assumptions!$F$4:$H$4,Assumptions!$F$8:$H$8)</f>
        <v>0.1</v>
      </c>
      <c r="L237" s="12">
        <f>_xlfn.XLOOKUP(Assumptions!$B$2,Assumptions!$F$4:$H$4,Assumptions!$F$9:$H$9)</f>
        <v>0.18</v>
      </c>
      <c r="M237" s="18">
        <f>_xlfn.XLOOKUP(Assumptions!$B$2,Assumptions!$F$4:$H$4,Assumptions!$F$10:$H$10)</f>
        <v>18000</v>
      </c>
      <c r="N237" s="12">
        <f>_xlfn.XLOOKUP(Assumptions!$B$2,Assumptions!$F$4:$H$4,Assumptions!$F$11:$H$11)</f>
        <v>0.3</v>
      </c>
      <c r="O237" s="14">
        <f>Final_Table[[#This Row],[Units Sold]]*Final_Table[[#This Row],[Sale Price]]</f>
        <v>20400</v>
      </c>
      <c r="P237" s="14">
        <f>Final_Table[[#This Row],[Gross Revenue]]*(1-Final_Table[[#This Row],[Discount %]])</f>
        <v>18360</v>
      </c>
      <c r="Q237">
        <f>Final_Table[[#This Row],[Net Revenue]]*Final_Table[[#This Row],[Variable Cost %]]</f>
        <v>3304.7999999999997</v>
      </c>
      <c r="R237">
        <f>Final_Table[[#This Row],[Variable Cost]]+Final_Table[[#This Row],[Fixed Monthly Cost]]</f>
        <v>21304.799999999999</v>
      </c>
      <c r="S237" s="5">
        <f>Final_Table[[#This Row],[Net Revenue]]-Final_Table[[#This Row],[Total Cost (COGS)]]</f>
        <v>-2944.7999999999993</v>
      </c>
      <c r="T237">
        <f>Final_Table[[#This Row],[Gross Profit]]*Final_Table[[#This Row],[Tax Rate]]</f>
        <v>-883.43999999999971</v>
      </c>
      <c r="U237" s="5">
        <f>Final_Table[[#This Row],[Gross Profit]]-Final_Table[[#This Row],[Tax]]</f>
        <v>-2061.3599999999997</v>
      </c>
      <c r="V237" s="12">
        <f>Final_Table[[#This Row],[Net Profit]]/Final_Table[[#This Row],[Gross Revenue]]</f>
        <v>-0.10104705882352939</v>
      </c>
    </row>
    <row r="238" spans="1:22">
      <c r="A238" s="18" t="s">
        <v>35</v>
      </c>
      <c r="B238">
        <v>2013</v>
      </c>
      <c r="C238" t="s">
        <v>119</v>
      </c>
      <c r="D238">
        <v>1</v>
      </c>
      <c r="E238" s="18" t="s">
        <v>32</v>
      </c>
      <c r="F238" s="18" t="s">
        <v>112</v>
      </c>
      <c r="G238" s="18" t="s">
        <v>23</v>
      </c>
      <c r="H238" s="18" t="str">
        <f>Assumptions!$B$2</f>
        <v>Worst</v>
      </c>
      <c r="I238" s="18">
        <f>_xlfn.XLOOKUP(Assumptions!$B$2,Assumptions!$F$4:$H$4,Assumptions!$F$5:$H$5)</f>
        <v>1200</v>
      </c>
      <c r="J238" s="18">
        <f>_xlfn.XLOOKUP(Assumptions!$B$2,Assumptions!$F$4:$H$4,Assumptions!$F$6:$H$6)</f>
        <v>17</v>
      </c>
      <c r="K238" s="12">
        <f>_xlfn.XLOOKUP(Assumptions!$B$2,Assumptions!$F$4:$H$4,Assumptions!$F$8:$H$8)</f>
        <v>0.1</v>
      </c>
      <c r="L238" s="12">
        <f>_xlfn.XLOOKUP(Assumptions!$B$2,Assumptions!$F$4:$H$4,Assumptions!$F$9:$H$9)</f>
        <v>0.18</v>
      </c>
      <c r="M238" s="18">
        <f>_xlfn.XLOOKUP(Assumptions!$B$2,Assumptions!$F$4:$H$4,Assumptions!$F$10:$H$10)</f>
        <v>18000</v>
      </c>
      <c r="N238" s="12">
        <f>_xlfn.XLOOKUP(Assumptions!$B$2,Assumptions!$F$4:$H$4,Assumptions!$F$11:$H$11)</f>
        <v>0.3</v>
      </c>
      <c r="O238" s="14">
        <f>Final_Table[[#This Row],[Units Sold]]*Final_Table[[#This Row],[Sale Price]]</f>
        <v>20400</v>
      </c>
      <c r="P238" s="14">
        <f>Final_Table[[#This Row],[Gross Revenue]]*(1-Final_Table[[#This Row],[Discount %]])</f>
        <v>18360</v>
      </c>
      <c r="Q238">
        <f>Final_Table[[#This Row],[Net Revenue]]*Final_Table[[#This Row],[Variable Cost %]]</f>
        <v>3304.7999999999997</v>
      </c>
      <c r="R238">
        <f>Final_Table[[#This Row],[Variable Cost]]+Final_Table[[#This Row],[Fixed Monthly Cost]]</f>
        <v>21304.799999999999</v>
      </c>
      <c r="S238" s="5">
        <f>Final_Table[[#This Row],[Net Revenue]]-Final_Table[[#This Row],[Total Cost (COGS)]]</f>
        <v>-2944.7999999999993</v>
      </c>
      <c r="T238">
        <f>Final_Table[[#This Row],[Gross Profit]]*Final_Table[[#This Row],[Tax Rate]]</f>
        <v>-883.43999999999971</v>
      </c>
      <c r="U238" s="5">
        <f>Final_Table[[#This Row],[Gross Profit]]-Final_Table[[#This Row],[Tax]]</f>
        <v>-2061.3599999999997</v>
      </c>
      <c r="V238" s="12">
        <f>Final_Table[[#This Row],[Net Profit]]/Final_Table[[#This Row],[Gross Revenue]]</f>
        <v>-0.10104705882352939</v>
      </c>
    </row>
    <row r="239" spans="1:22">
      <c r="A239" s="18" t="s">
        <v>35</v>
      </c>
      <c r="B239">
        <v>2013</v>
      </c>
      <c r="C239" t="s">
        <v>119</v>
      </c>
      <c r="D239">
        <v>1</v>
      </c>
      <c r="E239" s="18" t="s">
        <v>32</v>
      </c>
      <c r="F239" s="18" t="s">
        <v>112</v>
      </c>
      <c r="G239" s="18" t="s">
        <v>21</v>
      </c>
      <c r="H239" s="18" t="str">
        <f>Assumptions!$B$2</f>
        <v>Worst</v>
      </c>
      <c r="I239" s="18">
        <f>_xlfn.XLOOKUP(Assumptions!$B$2,Assumptions!$F$4:$H$4,Assumptions!$F$5:$H$5)</f>
        <v>1200</v>
      </c>
      <c r="J239" s="18">
        <f>_xlfn.XLOOKUP(Assumptions!$B$2,Assumptions!$F$4:$H$4,Assumptions!$F$6:$H$6)</f>
        <v>17</v>
      </c>
      <c r="K239" s="12">
        <f>_xlfn.XLOOKUP(Assumptions!$B$2,Assumptions!$F$4:$H$4,Assumptions!$F$8:$H$8)</f>
        <v>0.1</v>
      </c>
      <c r="L239" s="12">
        <f>_xlfn.XLOOKUP(Assumptions!$B$2,Assumptions!$F$4:$H$4,Assumptions!$F$9:$H$9)</f>
        <v>0.18</v>
      </c>
      <c r="M239" s="18">
        <f>_xlfn.XLOOKUP(Assumptions!$B$2,Assumptions!$F$4:$H$4,Assumptions!$F$10:$H$10)</f>
        <v>18000</v>
      </c>
      <c r="N239" s="12">
        <f>_xlfn.XLOOKUP(Assumptions!$B$2,Assumptions!$F$4:$H$4,Assumptions!$F$11:$H$11)</f>
        <v>0.3</v>
      </c>
      <c r="O239" s="14">
        <f>Final_Table[[#This Row],[Units Sold]]*Final_Table[[#This Row],[Sale Price]]</f>
        <v>20400</v>
      </c>
      <c r="P239" s="14">
        <f>Final_Table[[#This Row],[Gross Revenue]]*(1-Final_Table[[#This Row],[Discount %]])</f>
        <v>18360</v>
      </c>
      <c r="Q239">
        <f>Final_Table[[#This Row],[Net Revenue]]*Final_Table[[#This Row],[Variable Cost %]]</f>
        <v>3304.7999999999997</v>
      </c>
      <c r="R239">
        <f>Final_Table[[#This Row],[Variable Cost]]+Final_Table[[#This Row],[Fixed Monthly Cost]]</f>
        <v>21304.799999999999</v>
      </c>
      <c r="S239" s="5">
        <f>Final_Table[[#This Row],[Net Revenue]]-Final_Table[[#This Row],[Total Cost (COGS)]]</f>
        <v>-2944.7999999999993</v>
      </c>
      <c r="T239">
        <f>Final_Table[[#This Row],[Gross Profit]]*Final_Table[[#This Row],[Tax Rate]]</f>
        <v>-883.43999999999971</v>
      </c>
      <c r="U239" s="5">
        <f>Final_Table[[#This Row],[Gross Profit]]-Final_Table[[#This Row],[Tax]]</f>
        <v>-2061.3599999999997</v>
      </c>
      <c r="V239" s="12">
        <f>Final_Table[[#This Row],[Net Profit]]/Final_Table[[#This Row],[Gross Revenue]]</f>
        <v>-0.10104705882352939</v>
      </c>
    </row>
    <row r="240" spans="1:22">
      <c r="A240" s="18" t="s">
        <v>35</v>
      </c>
      <c r="B240">
        <v>2013</v>
      </c>
      <c r="C240" t="s">
        <v>119</v>
      </c>
      <c r="D240">
        <v>1</v>
      </c>
      <c r="E240" s="18" t="s">
        <v>32</v>
      </c>
      <c r="F240" s="18" t="s">
        <v>112</v>
      </c>
      <c r="G240" s="18" t="s">
        <v>25</v>
      </c>
      <c r="H240" s="18" t="str">
        <f>Assumptions!$B$2</f>
        <v>Worst</v>
      </c>
      <c r="I240" s="18">
        <f>_xlfn.XLOOKUP(Assumptions!$B$2,Assumptions!$F$4:$H$4,Assumptions!$F$5:$H$5)</f>
        <v>1200</v>
      </c>
      <c r="J240" s="18">
        <f>_xlfn.XLOOKUP(Assumptions!$B$2,Assumptions!$F$4:$H$4,Assumptions!$F$6:$H$6)</f>
        <v>17</v>
      </c>
      <c r="K240" s="12">
        <f>_xlfn.XLOOKUP(Assumptions!$B$2,Assumptions!$F$4:$H$4,Assumptions!$F$8:$H$8)</f>
        <v>0.1</v>
      </c>
      <c r="L240" s="12">
        <f>_xlfn.XLOOKUP(Assumptions!$B$2,Assumptions!$F$4:$H$4,Assumptions!$F$9:$H$9)</f>
        <v>0.18</v>
      </c>
      <c r="M240" s="18">
        <f>_xlfn.XLOOKUP(Assumptions!$B$2,Assumptions!$F$4:$H$4,Assumptions!$F$10:$H$10)</f>
        <v>18000</v>
      </c>
      <c r="N240" s="12">
        <f>_xlfn.XLOOKUP(Assumptions!$B$2,Assumptions!$F$4:$H$4,Assumptions!$F$11:$H$11)</f>
        <v>0.3</v>
      </c>
      <c r="O240" s="14">
        <f>Final_Table[[#This Row],[Units Sold]]*Final_Table[[#This Row],[Sale Price]]</f>
        <v>20400</v>
      </c>
      <c r="P240" s="14">
        <f>Final_Table[[#This Row],[Gross Revenue]]*(1-Final_Table[[#This Row],[Discount %]])</f>
        <v>18360</v>
      </c>
      <c r="Q240">
        <f>Final_Table[[#This Row],[Net Revenue]]*Final_Table[[#This Row],[Variable Cost %]]</f>
        <v>3304.7999999999997</v>
      </c>
      <c r="R240">
        <f>Final_Table[[#This Row],[Variable Cost]]+Final_Table[[#This Row],[Fixed Monthly Cost]]</f>
        <v>21304.799999999999</v>
      </c>
      <c r="S240" s="5">
        <f>Final_Table[[#This Row],[Net Revenue]]-Final_Table[[#This Row],[Total Cost (COGS)]]</f>
        <v>-2944.7999999999993</v>
      </c>
      <c r="T240">
        <f>Final_Table[[#This Row],[Gross Profit]]*Final_Table[[#This Row],[Tax Rate]]</f>
        <v>-883.43999999999971</v>
      </c>
      <c r="U240" s="5">
        <f>Final_Table[[#This Row],[Gross Profit]]-Final_Table[[#This Row],[Tax]]</f>
        <v>-2061.3599999999997</v>
      </c>
      <c r="V240" s="12">
        <f>Final_Table[[#This Row],[Net Profit]]/Final_Table[[#This Row],[Gross Revenue]]</f>
        <v>-0.10104705882352939</v>
      </c>
    </row>
    <row r="241" spans="1:22">
      <c r="A241" s="18" t="s">
        <v>35</v>
      </c>
      <c r="B241">
        <v>2013</v>
      </c>
      <c r="C241" t="s">
        <v>119</v>
      </c>
      <c r="D241">
        <v>1</v>
      </c>
      <c r="E241" s="18" t="s">
        <v>32</v>
      </c>
      <c r="F241" s="18" t="s">
        <v>112</v>
      </c>
      <c r="G241" s="18" t="s">
        <v>17</v>
      </c>
      <c r="H241" s="18" t="str">
        <f>Assumptions!$B$2</f>
        <v>Worst</v>
      </c>
      <c r="I241" s="18">
        <f>_xlfn.XLOOKUP(Assumptions!$B$2,Assumptions!$F$4:$H$4,Assumptions!$F$5:$H$5)</f>
        <v>1200</v>
      </c>
      <c r="J241" s="18">
        <f>_xlfn.XLOOKUP(Assumptions!$B$2,Assumptions!$F$4:$H$4,Assumptions!$F$6:$H$6)</f>
        <v>17</v>
      </c>
      <c r="K241" s="12">
        <f>_xlfn.XLOOKUP(Assumptions!$B$2,Assumptions!$F$4:$H$4,Assumptions!$F$8:$H$8)</f>
        <v>0.1</v>
      </c>
      <c r="L241" s="12">
        <f>_xlfn.XLOOKUP(Assumptions!$B$2,Assumptions!$F$4:$H$4,Assumptions!$F$9:$H$9)</f>
        <v>0.18</v>
      </c>
      <c r="M241" s="18">
        <f>_xlfn.XLOOKUP(Assumptions!$B$2,Assumptions!$F$4:$H$4,Assumptions!$F$10:$H$10)</f>
        <v>18000</v>
      </c>
      <c r="N241" s="12">
        <f>_xlfn.XLOOKUP(Assumptions!$B$2,Assumptions!$F$4:$H$4,Assumptions!$F$11:$H$11)</f>
        <v>0.3</v>
      </c>
      <c r="O241" s="14">
        <f>Final_Table[[#This Row],[Units Sold]]*Final_Table[[#This Row],[Sale Price]]</f>
        <v>20400</v>
      </c>
      <c r="P241" s="14">
        <f>Final_Table[[#This Row],[Gross Revenue]]*(1-Final_Table[[#This Row],[Discount %]])</f>
        <v>18360</v>
      </c>
      <c r="Q241">
        <f>Final_Table[[#This Row],[Net Revenue]]*Final_Table[[#This Row],[Variable Cost %]]</f>
        <v>3304.7999999999997</v>
      </c>
      <c r="R241">
        <f>Final_Table[[#This Row],[Variable Cost]]+Final_Table[[#This Row],[Fixed Monthly Cost]]</f>
        <v>21304.799999999999</v>
      </c>
      <c r="S241" s="5">
        <f>Final_Table[[#This Row],[Net Revenue]]-Final_Table[[#This Row],[Total Cost (COGS)]]</f>
        <v>-2944.7999999999993</v>
      </c>
      <c r="T241">
        <f>Final_Table[[#This Row],[Gross Profit]]*Final_Table[[#This Row],[Tax Rate]]</f>
        <v>-883.43999999999971</v>
      </c>
      <c r="U241" s="5">
        <f>Final_Table[[#This Row],[Gross Profit]]-Final_Table[[#This Row],[Tax]]</f>
        <v>-2061.3599999999997</v>
      </c>
      <c r="V241" s="12">
        <f>Final_Table[[#This Row],[Net Profit]]/Final_Table[[#This Row],[Gross Revenue]]</f>
        <v>-0.10104705882352939</v>
      </c>
    </row>
    <row r="242" spans="1:22">
      <c r="A242" s="18" t="s">
        <v>35</v>
      </c>
      <c r="B242">
        <v>2013</v>
      </c>
      <c r="C242" t="s">
        <v>119</v>
      </c>
      <c r="D242">
        <v>1</v>
      </c>
      <c r="E242" s="18" t="s">
        <v>32</v>
      </c>
      <c r="F242" s="18" t="s">
        <v>113</v>
      </c>
      <c r="G242" s="18" t="s">
        <v>36</v>
      </c>
      <c r="H242" s="18" t="str">
        <f>Assumptions!$B$2</f>
        <v>Worst</v>
      </c>
      <c r="I242" s="18">
        <f>_xlfn.XLOOKUP(Assumptions!$B$2,Assumptions!$F$4:$H$4,Assumptions!$F$5:$H$5)</f>
        <v>1200</v>
      </c>
      <c r="J242" s="18">
        <f>_xlfn.XLOOKUP(Assumptions!$B$2,Assumptions!$F$4:$H$4,Assumptions!$F$6:$H$6)</f>
        <v>17</v>
      </c>
      <c r="K242" s="12">
        <f>_xlfn.XLOOKUP(Assumptions!$B$2,Assumptions!$F$4:$H$4,Assumptions!$F$8:$H$8)</f>
        <v>0.1</v>
      </c>
      <c r="L242" s="12">
        <f>_xlfn.XLOOKUP(Assumptions!$B$2,Assumptions!$F$4:$H$4,Assumptions!$F$9:$H$9)</f>
        <v>0.18</v>
      </c>
      <c r="M242" s="18">
        <f>_xlfn.XLOOKUP(Assumptions!$B$2,Assumptions!$F$4:$H$4,Assumptions!$F$10:$H$10)</f>
        <v>18000</v>
      </c>
      <c r="N242" s="12">
        <f>_xlfn.XLOOKUP(Assumptions!$B$2,Assumptions!$F$4:$H$4,Assumptions!$F$11:$H$11)</f>
        <v>0.3</v>
      </c>
      <c r="O242" s="14">
        <f>Final_Table[[#This Row],[Units Sold]]*Final_Table[[#This Row],[Sale Price]]</f>
        <v>20400</v>
      </c>
      <c r="P242" s="14">
        <f>Final_Table[[#This Row],[Gross Revenue]]*(1-Final_Table[[#This Row],[Discount %]])</f>
        <v>18360</v>
      </c>
      <c r="Q242">
        <f>Final_Table[[#This Row],[Net Revenue]]*Final_Table[[#This Row],[Variable Cost %]]</f>
        <v>3304.7999999999997</v>
      </c>
      <c r="R242">
        <f>Final_Table[[#This Row],[Variable Cost]]+Final_Table[[#This Row],[Fixed Monthly Cost]]</f>
        <v>21304.799999999999</v>
      </c>
      <c r="S242" s="5">
        <f>Final_Table[[#This Row],[Net Revenue]]-Final_Table[[#This Row],[Total Cost (COGS)]]</f>
        <v>-2944.7999999999993</v>
      </c>
      <c r="T242">
        <f>Final_Table[[#This Row],[Gross Profit]]*Final_Table[[#This Row],[Tax Rate]]</f>
        <v>-883.43999999999971</v>
      </c>
      <c r="U242" s="5">
        <f>Final_Table[[#This Row],[Gross Profit]]-Final_Table[[#This Row],[Tax]]</f>
        <v>-2061.3599999999997</v>
      </c>
      <c r="V242" s="12">
        <f>Final_Table[[#This Row],[Net Profit]]/Final_Table[[#This Row],[Gross Revenue]]</f>
        <v>-0.10104705882352939</v>
      </c>
    </row>
    <row r="243" spans="1:22">
      <c r="A243" s="18" t="s">
        <v>35</v>
      </c>
      <c r="B243">
        <v>2013</v>
      </c>
      <c r="C243" t="s">
        <v>119</v>
      </c>
      <c r="D243">
        <v>1</v>
      </c>
      <c r="E243" s="18" t="s">
        <v>32</v>
      </c>
      <c r="F243" s="18" t="s">
        <v>113</v>
      </c>
      <c r="G243" s="18" t="s">
        <v>23</v>
      </c>
      <c r="H243" s="18" t="str">
        <f>Assumptions!$B$2</f>
        <v>Worst</v>
      </c>
      <c r="I243" s="18">
        <f>_xlfn.XLOOKUP(Assumptions!$B$2,Assumptions!$F$4:$H$4,Assumptions!$F$5:$H$5)</f>
        <v>1200</v>
      </c>
      <c r="J243" s="18">
        <f>_xlfn.XLOOKUP(Assumptions!$B$2,Assumptions!$F$4:$H$4,Assumptions!$F$6:$H$6)</f>
        <v>17</v>
      </c>
      <c r="K243" s="12">
        <f>_xlfn.XLOOKUP(Assumptions!$B$2,Assumptions!$F$4:$H$4,Assumptions!$F$8:$H$8)</f>
        <v>0.1</v>
      </c>
      <c r="L243" s="12">
        <f>_xlfn.XLOOKUP(Assumptions!$B$2,Assumptions!$F$4:$H$4,Assumptions!$F$9:$H$9)</f>
        <v>0.18</v>
      </c>
      <c r="M243" s="18">
        <f>_xlfn.XLOOKUP(Assumptions!$B$2,Assumptions!$F$4:$H$4,Assumptions!$F$10:$H$10)</f>
        <v>18000</v>
      </c>
      <c r="N243" s="12">
        <f>_xlfn.XLOOKUP(Assumptions!$B$2,Assumptions!$F$4:$H$4,Assumptions!$F$11:$H$11)</f>
        <v>0.3</v>
      </c>
      <c r="O243" s="14">
        <f>Final_Table[[#This Row],[Units Sold]]*Final_Table[[#This Row],[Sale Price]]</f>
        <v>20400</v>
      </c>
      <c r="P243" s="14">
        <f>Final_Table[[#This Row],[Gross Revenue]]*(1-Final_Table[[#This Row],[Discount %]])</f>
        <v>18360</v>
      </c>
      <c r="Q243">
        <f>Final_Table[[#This Row],[Net Revenue]]*Final_Table[[#This Row],[Variable Cost %]]</f>
        <v>3304.7999999999997</v>
      </c>
      <c r="R243">
        <f>Final_Table[[#This Row],[Variable Cost]]+Final_Table[[#This Row],[Fixed Monthly Cost]]</f>
        <v>21304.799999999999</v>
      </c>
      <c r="S243" s="5">
        <f>Final_Table[[#This Row],[Net Revenue]]-Final_Table[[#This Row],[Total Cost (COGS)]]</f>
        <v>-2944.7999999999993</v>
      </c>
      <c r="T243">
        <f>Final_Table[[#This Row],[Gross Profit]]*Final_Table[[#This Row],[Tax Rate]]</f>
        <v>-883.43999999999971</v>
      </c>
      <c r="U243" s="5">
        <f>Final_Table[[#This Row],[Gross Profit]]-Final_Table[[#This Row],[Tax]]</f>
        <v>-2061.3599999999997</v>
      </c>
      <c r="V243" s="12">
        <f>Final_Table[[#This Row],[Net Profit]]/Final_Table[[#This Row],[Gross Revenue]]</f>
        <v>-0.10104705882352939</v>
      </c>
    </row>
    <row r="244" spans="1:22">
      <c r="A244" s="18" t="s">
        <v>35</v>
      </c>
      <c r="B244">
        <v>2013</v>
      </c>
      <c r="C244" t="s">
        <v>119</v>
      </c>
      <c r="D244">
        <v>1</v>
      </c>
      <c r="E244" s="18" t="s">
        <v>32</v>
      </c>
      <c r="F244" s="18" t="s">
        <v>113</v>
      </c>
      <c r="G244" s="18" t="s">
        <v>21</v>
      </c>
      <c r="H244" s="18" t="str">
        <f>Assumptions!$B$2</f>
        <v>Worst</v>
      </c>
      <c r="I244" s="18">
        <f>_xlfn.XLOOKUP(Assumptions!$B$2,Assumptions!$F$4:$H$4,Assumptions!$F$5:$H$5)</f>
        <v>1200</v>
      </c>
      <c r="J244" s="18">
        <f>_xlfn.XLOOKUP(Assumptions!$B$2,Assumptions!$F$4:$H$4,Assumptions!$F$6:$H$6)</f>
        <v>17</v>
      </c>
      <c r="K244" s="12">
        <f>_xlfn.XLOOKUP(Assumptions!$B$2,Assumptions!$F$4:$H$4,Assumptions!$F$8:$H$8)</f>
        <v>0.1</v>
      </c>
      <c r="L244" s="12">
        <f>_xlfn.XLOOKUP(Assumptions!$B$2,Assumptions!$F$4:$H$4,Assumptions!$F$9:$H$9)</f>
        <v>0.18</v>
      </c>
      <c r="M244" s="18">
        <f>_xlfn.XLOOKUP(Assumptions!$B$2,Assumptions!$F$4:$H$4,Assumptions!$F$10:$H$10)</f>
        <v>18000</v>
      </c>
      <c r="N244" s="12">
        <f>_xlfn.XLOOKUP(Assumptions!$B$2,Assumptions!$F$4:$H$4,Assumptions!$F$11:$H$11)</f>
        <v>0.3</v>
      </c>
      <c r="O244" s="14">
        <f>Final_Table[[#This Row],[Units Sold]]*Final_Table[[#This Row],[Sale Price]]</f>
        <v>20400</v>
      </c>
      <c r="P244" s="14">
        <f>Final_Table[[#This Row],[Gross Revenue]]*(1-Final_Table[[#This Row],[Discount %]])</f>
        <v>18360</v>
      </c>
      <c r="Q244">
        <f>Final_Table[[#This Row],[Net Revenue]]*Final_Table[[#This Row],[Variable Cost %]]</f>
        <v>3304.7999999999997</v>
      </c>
      <c r="R244">
        <f>Final_Table[[#This Row],[Variable Cost]]+Final_Table[[#This Row],[Fixed Monthly Cost]]</f>
        <v>21304.799999999999</v>
      </c>
      <c r="S244" s="5">
        <f>Final_Table[[#This Row],[Net Revenue]]-Final_Table[[#This Row],[Total Cost (COGS)]]</f>
        <v>-2944.7999999999993</v>
      </c>
      <c r="T244">
        <f>Final_Table[[#This Row],[Gross Profit]]*Final_Table[[#This Row],[Tax Rate]]</f>
        <v>-883.43999999999971</v>
      </c>
      <c r="U244" s="5">
        <f>Final_Table[[#This Row],[Gross Profit]]-Final_Table[[#This Row],[Tax]]</f>
        <v>-2061.3599999999997</v>
      </c>
      <c r="V244" s="12">
        <f>Final_Table[[#This Row],[Net Profit]]/Final_Table[[#This Row],[Gross Revenue]]</f>
        <v>-0.10104705882352939</v>
      </c>
    </row>
    <row r="245" spans="1:22">
      <c r="A245" s="18" t="s">
        <v>35</v>
      </c>
      <c r="B245">
        <v>2013</v>
      </c>
      <c r="C245" t="s">
        <v>119</v>
      </c>
      <c r="D245">
        <v>1</v>
      </c>
      <c r="E245" s="18" t="s">
        <v>32</v>
      </c>
      <c r="F245" s="18" t="s">
        <v>113</v>
      </c>
      <c r="G245" s="18" t="s">
        <v>25</v>
      </c>
      <c r="H245" s="18" t="str">
        <f>Assumptions!$B$2</f>
        <v>Worst</v>
      </c>
      <c r="I245" s="18">
        <f>_xlfn.XLOOKUP(Assumptions!$B$2,Assumptions!$F$4:$H$4,Assumptions!$F$5:$H$5)</f>
        <v>1200</v>
      </c>
      <c r="J245" s="18">
        <f>_xlfn.XLOOKUP(Assumptions!$B$2,Assumptions!$F$4:$H$4,Assumptions!$F$6:$H$6)</f>
        <v>17</v>
      </c>
      <c r="K245" s="12">
        <f>_xlfn.XLOOKUP(Assumptions!$B$2,Assumptions!$F$4:$H$4,Assumptions!$F$8:$H$8)</f>
        <v>0.1</v>
      </c>
      <c r="L245" s="12">
        <f>_xlfn.XLOOKUP(Assumptions!$B$2,Assumptions!$F$4:$H$4,Assumptions!$F$9:$H$9)</f>
        <v>0.18</v>
      </c>
      <c r="M245" s="18">
        <f>_xlfn.XLOOKUP(Assumptions!$B$2,Assumptions!$F$4:$H$4,Assumptions!$F$10:$H$10)</f>
        <v>18000</v>
      </c>
      <c r="N245" s="12">
        <f>_xlfn.XLOOKUP(Assumptions!$B$2,Assumptions!$F$4:$H$4,Assumptions!$F$11:$H$11)</f>
        <v>0.3</v>
      </c>
      <c r="O245" s="14">
        <f>Final_Table[[#This Row],[Units Sold]]*Final_Table[[#This Row],[Sale Price]]</f>
        <v>20400</v>
      </c>
      <c r="P245" s="14">
        <f>Final_Table[[#This Row],[Gross Revenue]]*(1-Final_Table[[#This Row],[Discount %]])</f>
        <v>18360</v>
      </c>
      <c r="Q245">
        <f>Final_Table[[#This Row],[Net Revenue]]*Final_Table[[#This Row],[Variable Cost %]]</f>
        <v>3304.7999999999997</v>
      </c>
      <c r="R245">
        <f>Final_Table[[#This Row],[Variable Cost]]+Final_Table[[#This Row],[Fixed Monthly Cost]]</f>
        <v>21304.799999999999</v>
      </c>
      <c r="S245" s="5">
        <f>Final_Table[[#This Row],[Net Revenue]]-Final_Table[[#This Row],[Total Cost (COGS)]]</f>
        <v>-2944.7999999999993</v>
      </c>
      <c r="T245">
        <f>Final_Table[[#This Row],[Gross Profit]]*Final_Table[[#This Row],[Tax Rate]]</f>
        <v>-883.43999999999971</v>
      </c>
      <c r="U245" s="5">
        <f>Final_Table[[#This Row],[Gross Profit]]-Final_Table[[#This Row],[Tax]]</f>
        <v>-2061.3599999999997</v>
      </c>
      <c r="V245" s="12">
        <f>Final_Table[[#This Row],[Net Profit]]/Final_Table[[#This Row],[Gross Revenue]]</f>
        <v>-0.10104705882352939</v>
      </c>
    </row>
    <row r="246" spans="1:22">
      <c r="A246" s="18" t="s">
        <v>35</v>
      </c>
      <c r="B246">
        <v>2013</v>
      </c>
      <c r="C246" t="s">
        <v>119</v>
      </c>
      <c r="D246">
        <v>1</v>
      </c>
      <c r="E246" s="18" t="s">
        <v>32</v>
      </c>
      <c r="F246" s="18" t="s">
        <v>113</v>
      </c>
      <c r="G246" s="18" t="s">
        <v>17</v>
      </c>
      <c r="H246" s="18" t="str">
        <f>Assumptions!$B$2</f>
        <v>Worst</v>
      </c>
      <c r="I246" s="18">
        <f>_xlfn.XLOOKUP(Assumptions!$B$2,Assumptions!$F$4:$H$4,Assumptions!$F$5:$H$5)</f>
        <v>1200</v>
      </c>
      <c r="J246" s="18">
        <f>_xlfn.XLOOKUP(Assumptions!$B$2,Assumptions!$F$4:$H$4,Assumptions!$F$6:$H$6)</f>
        <v>17</v>
      </c>
      <c r="K246" s="12">
        <f>_xlfn.XLOOKUP(Assumptions!$B$2,Assumptions!$F$4:$H$4,Assumptions!$F$8:$H$8)</f>
        <v>0.1</v>
      </c>
      <c r="L246" s="12">
        <f>_xlfn.XLOOKUP(Assumptions!$B$2,Assumptions!$F$4:$H$4,Assumptions!$F$9:$H$9)</f>
        <v>0.18</v>
      </c>
      <c r="M246" s="18">
        <f>_xlfn.XLOOKUP(Assumptions!$B$2,Assumptions!$F$4:$H$4,Assumptions!$F$10:$H$10)</f>
        <v>18000</v>
      </c>
      <c r="N246" s="12">
        <f>_xlfn.XLOOKUP(Assumptions!$B$2,Assumptions!$F$4:$H$4,Assumptions!$F$11:$H$11)</f>
        <v>0.3</v>
      </c>
      <c r="O246" s="14">
        <f>Final_Table[[#This Row],[Units Sold]]*Final_Table[[#This Row],[Sale Price]]</f>
        <v>20400</v>
      </c>
      <c r="P246" s="14">
        <f>Final_Table[[#This Row],[Gross Revenue]]*(1-Final_Table[[#This Row],[Discount %]])</f>
        <v>18360</v>
      </c>
      <c r="Q246">
        <f>Final_Table[[#This Row],[Net Revenue]]*Final_Table[[#This Row],[Variable Cost %]]</f>
        <v>3304.7999999999997</v>
      </c>
      <c r="R246">
        <f>Final_Table[[#This Row],[Variable Cost]]+Final_Table[[#This Row],[Fixed Monthly Cost]]</f>
        <v>21304.799999999999</v>
      </c>
      <c r="S246" s="5">
        <f>Final_Table[[#This Row],[Net Revenue]]-Final_Table[[#This Row],[Total Cost (COGS)]]</f>
        <v>-2944.7999999999993</v>
      </c>
      <c r="T246">
        <f>Final_Table[[#This Row],[Gross Profit]]*Final_Table[[#This Row],[Tax Rate]]</f>
        <v>-883.43999999999971</v>
      </c>
      <c r="U246" s="5">
        <f>Final_Table[[#This Row],[Gross Profit]]-Final_Table[[#This Row],[Tax]]</f>
        <v>-2061.3599999999997</v>
      </c>
      <c r="V246" s="12">
        <f>Final_Table[[#This Row],[Net Profit]]/Final_Table[[#This Row],[Gross Revenue]]</f>
        <v>-0.10104705882352939</v>
      </c>
    </row>
    <row r="247" spans="1:22">
      <c r="A247" s="18" t="s">
        <v>35</v>
      </c>
      <c r="B247">
        <v>2013</v>
      </c>
      <c r="C247" t="s">
        <v>119</v>
      </c>
      <c r="D247">
        <v>1</v>
      </c>
      <c r="E247" s="18" t="s">
        <v>32</v>
      </c>
      <c r="F247" s="18" t="s">
        <v>114</v>
      </c>
      <c r="G247" s="18" t="s">
        <v>36</v>
      </c>
      <c r="H247" s="18" t="str">
        <f>Assumptions!$B$2</f>
        <v>Worst</v>
      </c>
      <c r="I247" s="18">
        <f>_xlfn.XLOOKUP(Assumptions!$B$2,Assumptions!$F$4:$H$4,Assumptions!$F$5:$H$5)</f>
        <v>1200</v>
      </c>
      <c r="J247" s="18">
        <f>_xlfn.XLOOKUP(Assumptions!$B$2,Assumptions!$F$4:$H$4,Assumptions!$F$6:$H$6)</f>
        <v>17</v>
      </c>
      <c r="K247" s="12">
        <f>_xlfn.XLOOKUP(Assumptions!$B$2,Assumptions!$F$4:$H$4,Assumptions!$F$8:$H$8)</f>
        <v>0.1</v>
      </c>
      <c r="L247" s="12">
        <f>_xlfn.XLOOKUP(Assumptions!$B$2,Assumptions!$F$4:$H$4,Assumptions!$F$9:$H$9)</f>
        <v>0.18</v>
      </c>
      <c r="M247" s="18">
        <f>_xlfn.XLOOKUP(Assumptions!$B$2,Assumptions!$F$4:$H$4,Assumptions!$F$10:$H$10)</f>
        <v>18000</v>
      </c>
      <c r="N247" s="12">
        <f>_xlfn.XLOOKUP(Assumptions!$B$2,Assumptions!$F$4:$H$4,Assumptions!$F$11:$H$11)</f>
        <v>0.3</v>
      </c>
      <c r="O247" s="14">
        <f>Final_Table[[#This Row],[Units Sold]]*Final_Table[[#This Row],[Sale Price]]</f>
        <v>20400</v>
      </c>
      <c r="P247" s="14">
        <f>Final_Table[[#This Row],[Gross Revenue]]*(1-Final_Table[[#This Row],[Discount %]])</f>
        <v>18360</v>
      </c>
      <c r="Q247">
        <f>Final_Table[[#This Row],[Net Revenue]]*Final_Table[[#This Row],[Variable Cost %]]</f>
        <v>3304.7999999999997</v>
      </c>
      <c r="R247">
        <f>Final_Table[[#This Row],[Variable Cost]]+Final_Table[[#This Row],[Fixed Monthly Cost]]</f>
        <v>21304.799999999999</v>
      </c>
      <c r="S247" s="5">
        <f>Final_Table[[#This Row],[Net Revenue]]-Final_Table[[#This Row],[Total Cost (COGS)]]</f>
        <v>-2944.7999999999993</v>
      </c>
      <c r="T247">
        <f>Final_Table[[#This Row],[Gross Profit]]*Final_Table[[#This Row],[Tax Rate]]</f>
        <v>-883.43999999999971</v>
      </c>
      <c r="U247" s="5">
        <f>Final_Table[[#This Row],[Gross Profit]]-Final_Table[[#This Row],[Tax]]</f>
        <v>-2061.3599999999997</v>
      </c>
      <c r="V247" s="12">
        <f>Final_Table[[#This Row],[Net Profit]]/Final_Table[[#This Row],[Gross Revenue]]</f>
        <v>-0.10104705882352939</v>
      </c>
    </row>
    <row r="248" spans="1:22">
      <c r="A248" s="18" t="s">
        <v>35</v>
      </c>
      <c r="B248">
        <v>2013</v>
      </c>
      <c r="C248" t="s">
        <v>119</v>
      </c>
      <c r="D248">
        <v>1</v>
      </c>
      <c r="E248" s="18" t="s">
        <v>32</v>
      </c>
      <c r="F248" s="18" t="s">
        <v>114</v>
      </c>
      <c r="G248" s="18" t="s">
        <v>23</v>
      </c>
      <c r="H248" s="18" t="str">
        <f>Assumptions!$B$2</f>
        <v>Worst</v>
      </c>
      <c r="I248" s="18">
        <f>_xlfn.XLOOKUP(Assumptions!$B$2,Assumptions!$F$4:$H$4,Assumptions!$F$5:$H$5)</f>
        <v>1200</v>
      </c>
      <c r="J248" s="18">
        <f>_xlfn.XLOOKUP(Assumptions!$B$2,Assumptions!$F$4:$H$4,Assumptions!$F$6:$H$6)</f>
        <v>17</v>
      </c>
      <c r="K248" s="12">
        <f>_xlfn.XLOOKUP(Assumptions!$B$2,Assumptions!$F$4:$H$4,Assumptions!$F$8:$H$8)</f>
        <v>0.1</v>
      </c>
      <c r="L248" s="12">
        <f>_xlfn.XLOOKUP(Assumptions!$B$2,Assumptions!$F$4:$H$4,Assumptions!$F$9:$H$9)</f>
        <v>0.18</v>
      </c>
      <c r="M248" s="18">
        <f>_xlfn.XLOOKUP(Assumptions!$B$2,Assumptions!$F$4:$H$4,Assumptions!$F$10:$H$10)</f>
        <v>18000</v>
      </c>
      <c r="N248" s="12">
        <f>_xlfn.XLOOKUP(Assumptions!$B$2,Assumptions!$F$4:$H$4,Assumptions!$F$11:$H$11)</f>
        <v>0.3</v>
      </c>
      <c r="O248" s="14">
        <f>Final_Table[[#This Row],[Units Sold]]*Final_Table[[#This Row],[Sale Price]]</f>
        <v>20400</v>
      </c>
      <c r="P248" s="14">
        <f>Final_Table[[#This Row],[Gross Revenue]]*(1-Final_Table[[#This Row],[Discount %]])</f>
        <v>18360</v>
      </c>
      <c r="Q248">
        <f>Final_Table[[#This Row],[Net Revenue]]*Final_Table[[#This Row],[Variable Cost %]]</f>
        <v>3304.7999999999997</v>
      </c>
      <c r="R248">
        <f>Final_Table[[#This Row],[Variable Cost]]+Final_Table[[#This Row],[Fixed Monthly Cost]]</f>
        <v>21304.799999999999</v>
      </c>
      <c r="S248" s="5">
        <f>Final_Table[[#This Row],[Net Revenue]]-Final_Table[[#This Row],[Total Cost (COGS)]]</f>
        <v>-2944.7999999999993</v>
      </c>
      <c r="T248">
        <f>Final_Table[[#This Row],[Gross Profit]]*Final_Table[[#This Row],[Tax Rate]]</f>
        <v>-883.43999999999971</v>
      </c>
      <c r="U248" s="5">
        <f>Final_Table[[#This Row],[Gross Profit]]-Final_Table[[#This Row],[Tax]]</f>
        <v>-2061.3599999999997</v>
      </c>
      <c r="V248" s="12">
        <f>Final_Table[[#This Row],[Net Profit]]/Final_Table[[#This Row],[Gross Revenue]]</f>
        <v>-0.10104705882352939</v>
      </c>
    </row>
    <row r="249" spans="1:22">
      <c r="A249" s="18" t="s">
        <v>35</v>
      </c>
      <c r="B249">
        <v>2013</v>
      </c>
      <c r="C249" t="s">
        <v>119</v>
      </c>
      <c r="D249">
        <v>1</v>
      </c>
      <c r="E249" s="18" t="s">
        <v>32</v>
      </c>
      <c r="F249" s="18" t="s">
        <v>114</v>
      </c>
      <c r="G249" s="18" t="s">
        <v>21</v>
      </c>
      <c r="H249" s="18" t="str">
        <f>Assumptions!$B$2</f>
        <v>Worst</v>
      </c>
      <c r="I249" s="18">
        <f>_xlfn.XLOOKUP(Assumptions!$B$2,Assumptions!$F$4:$H$4,Assumptions!$F$5:$H$5)</f>
        <v>1200</v>
      </c>
      <c r="J249" s="18">
        <f>_xlfn.XLOOKUP(Assumptions!$B$2,Assumptions!$F$4:$H$4,Assumptions!$F$6:$H$6)</f>
        <v>17</v>
      </c>
      <c r="K249" s="12">
        <f>_xlfn.XLOOKUP(Assumptions!$B$2,Assumptions!$F$4:$H$4,Assumptions!$F$8:$H$8)</f>
        <v>0.1</v>
      </c>
      <c r="L249" s="12">
        <f>_xlfn.XLOOKUP(Assumptions!$B$2,Assumptions!$F$4:$H$4,Assumptions!$F$9:$H$9)</f>
        <v>0.18</v>
      </c>
      <c r="M249" s="18">
        <f>_xlfn.XLOOKUP(Assumptions!$B$2,Assumptions!$F$4:$H$4,Assumptions!$F$10:$H$10)</f>
        <v>18000</v>
      </c>
      <c r="N249" s="12">
        <f>_xlfn.XLOOKUP(Assumptions!$B$2,Assumptions!$F$4:$H$4,Assumptions!$F$11:$H$11)</f>
        <v>0.3</v>
      </c>
      <c r="O249" s="14">
        <f>Final_Table[[#This Row],[Units Sold]]*Final_Table[[#This Row],[Sale Price]]</f>
        <v>20400</v>
      </c>
      <c r="P249" s="14">
        <f>Final_Table[[#This Row],[Gross Revenue]]*(1-Final_Table[[#This Row],[Discount %]])</f>
        <v>18360</v>
      </c>
      <c r="Q249">
        <f>Final_Table[[#This Row],[Net Revenue]]*Final_Table[[#This Row],[Variable Cost %]]</f>
        <v>3304.7999999999997</v>
      </c>
      <c r="R249">
        <f>Final_Table[[#This Row],[Variable Cost]]+Final_Table[[#This Row],[Fixed Monthly Cost]]</f>
        <v>21304.799999999999</v>
      </c>
      <c r="S249" s="5">
        <f>Final_Table[[#This Row],[Net Revenue]]-Final_Table[[#This Row],[Total Cost (COGS)]]</f>
        <v>-2944.7999999999993</v>
      </c>
      <c r="T249">
        <f>Final_Table[[#This Row],[Gross Profit]]*Final_Table[[#This Row],[Tax Rate]]</f>
        <v>-883.43999999999971</v>
      </c>
      <c r="U249" s="5">
        <f>Final_Table[[#This Row],[Gross Profit]]-Final_Table[[#This Row],[Tax]]</f>
        <v>-2061.3599999999997</v>
      </c>
      <c r="V249" s="12">
        <f>Final_Table[[#This Row],[Net Profit]]/Final_Table[[#This Row],[Gross Revenue]]</f>
        <v>-0.10104705882352939</v>
      </c>
    </row>
    <row r="250" spans="1:22">
      <c r="A250" s="18" t="s">
        <v>35</v>
      </c>
      <c r="B250">
        <v>2013</v>
      </c>
      <c r="C250" t="s">
        <v>119</v>
      </c>
      <c r="D250">
        <v>1</v>
      </c>
      <c r="E250" s="18" t="s">
        <v>32</v>
      </c>
      <c r="F250" s="18" t="s">
        <v>114</v>
      </c>
      <c r="G250" s="18" t="s">
        <v>25</v>
      </c>
      <c r="H250" s="18" t="str">
        <f>Assumptions!$B$2</f>
        <v>Worst</v>
      </c>
      <c r="I250" s="18">
        <f>_xlfn.XLOOKUP(Assumptions!$B$2,Assumptions!$F$4:$H$4,Assumptions!$F$5:$H$5)</f>
        <v>1200</v>
      </c>
      <c r="J250" s="18">
        <f>_xlfn.XLOOKUP(Assumptions!$B$2,Assumptions!$F$4:$H$4,Assumptions!$F$6:$H$6)</f>
        <v>17</v>
      </c>
      <c r="K250" s="12">
        <f>_xlfn.XLOOKUP(Assumptions!$B$2,Assumptions!$F$4:$H$4,Assumptions!$F$8:$H$8)</f>
        <v>0.1</v>
      </c>
      <c r="L250" s="12">
        <f>_xlfn.XLOOKUP(Assumptions!$B$2,Assumptions!$F$4:$H$4,Assumptions!$F$9:$H$9)</f>
        <v>0.18</v>
      </c>
      <c r="M250" s="18">
        <f>_xlfn.XLOOKUP(Assumptions!$B$2,Assumptions!$F$4:$H$4,Assumptions!$F$10:$H$10)</f>
        <v>18000</v>
      </c>
      <c r="N250" s="12">
        <f>_xlfn.XLOOKUP(Assumptions!$B$2,Assumptions!$F$4:$H$4,Assumptions!$F$11:$H$11)</f>
        <v>0.3</v>
      </c>
      <c r="O250" s="14">
        <f>Final_Table[[#This Row],[Units Sold]]*Final_Table[[#This Row],[Sale Price]]</f>
        <v>20400</v>
      </c>
      <c r="P250" s="14">
        <f>Final_Table[[#This Row],[Gross Revenue]]*(1-Final_Table[[#This Row],[Discount %]])</f>
        <v>18360</v>
      </c>
      <c r="Q250">
        <f>Final_Table[[#This Row],[Net Revenue]]*Final_Table[[#This Row],[Variable Cost %]]</f>
        <v>3304.7999999999997</v>
      </c>
      <c r="R250">
        <f>Final_Table[[#This Row],[Variable Cost]]+Final_Table[[#This Row],[Fixed Monthly Cost]]</f>
        <v>21304.799999999999</v>
      </c>
      <c r="S250" s="5">
        <f>Final_Table[[#This Row],[Net Revenue]]-Final_Table[[#This Row],[Total Cost (COGS)]]</f>
        <v>-2944.7999999999993</v>
      </c>
      <c r="T250">
        <f>Final_Table[[#This Row],[Gross Profit]]*Final_Table[[#This Row],[Tax Rate]]</f>
        <v>-883.43999999999971</v>
      </c>
      <c r="U250" s="5">
        <f>Final_Table[[#This Row],[Gross Profit]]-Final_Table[[#This Row],[Tax]]</f>
        <v>-2061.3599999999997</v>
      </c>
      <c r="V250" s="12">
        <f>Final_Table[[#This Row],[Net Profit]]/Final_Table[[#This Row],[Gross Revenue]]</f>
        <v>-0.10104705882352939</v>
      </c>
    </row>
    <row r="251" spans="1:22">
      <c r="A251" s="18" t="s">
        <v>35</v>
      </c>
      <c r="B251">
        <v>2013</v>
      </c>
      <c r="C251" t="s">
        <v>119</v>
      </c>
      <c r="D251">
        <v>1</v>
      </c>
      <c r="E251" s="18" t="s">
        <v>32</v>
      </c>
      <c r="F251" s="18" t="s">
        <v>114</v>
      </c>
      <c r="G251" s="18" t="s">
        <v>17</v>
      </c>
      <c r="H251" s="18" t="str">
        <f>Assumptions!$B$2</f>
        <v>Worst</v>
      </c>
      <c r="I251" s="18">
        <f>_xlfn.XLOOKUP(Assumptions!$B$2,Assumptions!$F$4:$H$4,Assumptions!$F$5:$H$5)</f>
        <v>1200</v>
      </c>
      <c r="J251" s="18">
        <f>_xlfn.XLOOKUP(Assumptions!$B$2,Assumptions!$F$4:$H$4,Assumptions!$F$6:$H$6)</f>
        <v>17</v>
      </c>
      <c r="K251" s="12">
        <f>_xlfn.XLOOKUP(Assumptions!$B$2,Assumptions!$F$4:$H$4,Assumptions!$F$8:$H$8)</f>
        <v>0.1</v>
      </c>
      <c r="L251" s="12">
        <f>_xlfn.XLOOKUP(Assumptions!$B$2,Assumptions!$F$4:$H$4,Assumptions!$F$9:$H$9)</f>
        <v>0.18</v>
      </c>
      <c r="M251" s="18">
        <f>_xlfn.XLOOKUP(Assumptions!$B$2,Assumptions!$F$4:$H$4,Assumptions!$F$10:$H$10)</f>
        <v>18000</v>
      </c>
      <c r="N251" s="12">
        <f>_xlfn.XLOOKUP(Assumptions!$B$2,Assumptions!$F$4:$H$4,Assumptions!$F$11:$H$11)</f>
        <v>0.3</v>
      </c>
      <c r="O251" s="14">
        <f>Final_Table[[#This Row],[Units Sold]]*Final_Table[[#This Row],[Sale Price]]</f>
        <v>20400</v>
      </c>
      <c r="P251" s="14">
        <f>Final_Table[[#This Row],[Gross Revenue]]*(1-Final_Table[[#This Row],[Discount %]])</f>
        <v>18360</v>
      </c>
      <c r="Q251">
        <f>Final_Table[[#This Row],[Net Revenue]]*Final_Table[[#This Row],[Variable Cost %]]</f>
        <v>3304.7999999999997</v>
      </c>
      <c r="R251">
        <f>Final_Table[[#This Row],[Variable Cost]]+Final_Table[[#This Row],[Fixed Monthly Cost]]</f>
        <v>21304.799999999999</v>
      </c>
      <c r="S251" s="5">
        <f>Final_Table[[#This Row],[Net Revenue]]-Final_Table[[#This Row],[Total Cost (COGS)]]</f>
        <v>-2944.7999999999993</v>
      </c>
      <c r="T251">
        <f>Final_Table[[#This Row],[Gross Profit]]*Final_Table[[#This Row],[Tax Rate]]</f>
        <v>-883.43999999999971</v>
      </c>
      <c r="U251" s="5">
        <f>Final_Table[[#This Row],[Gross Profit]]-Final_Table[[#This Row],[Tax]]</f>
        <v>-2061.3599999999997</v>
      </c>
      <c r="V251" s="12">
        <f>Final_Table[[#This Row],[Net Profit]]/Final_Table[[#This Row],[Gross Revenue]]</f>
        <v>-0.10104705882352939</v>
      </c>
    </row>
    <row r="252" spans="1:22">
      <c r="A252" s="18" t="s">
        <v>68</v>
      </c>
      <c r="B252">
        <v>2013</v>
      </c>
      <c r="C252" t="s">
        <v>120</v>
      </c>
      <c r="D252">
        <v>1</v>
      </c>
      <c r="E252" s="18" t="s">
        <v>30</v>
      </c>
      <c r="F252" s="18" t="s">
        <v>80</v>
      </c>
      <c r="G252" s="18" t="s">
        <v>36</v>
      </c>
      <c r="H252" s="18" t="str">
        <f>Assumptions!$B$2</f>
        <v>Worst</v>
      </c>
      <c r="I252" s="18">
        <f>_xlfn.XLOOKUP(Assumptions!$B$2,Assumptions!$F$4:$H$4,Assumptions!$F$5:$H$5)</f>
        <v>1200</v>
      </c>
      <c r="J252" s="18">
        <f>_xlfn.XLOOKUP(Assumptions!$B$2,Assumptions!$F$4:$H$4,Assumptions!$F$6:$H$6)</f>
        <v>17</v>
      </c>
      <c r="K252" s="12">
        <f>_xlfn.XLOOKUP(Assumptions!$B$2,Assumptions!$F$4:$H$4,Assumptions!$F$8:$H$8)</f>
        <v>0.1</v>
      </c>
      <c r="L252" s="12">
        <f>_xlfn.XLOOKUP(Assumptions!$B$2,Assumptions!$F$4:$H$4,Assumptions!$F$9:$H$9)</f>
        <v>0.18</v>
      </c>
      <c r="M252" s="18">
        <f>_xlfn.XLOOKUP(Assumptions!$B$2,Assumptions!$F$4:$H$4,Assumptions!$F$10:$H$10)</f>
        <v>18000</v>
      </c>
      <c r="N252" s="12">
        <f>_xlfn.XLOOKUP(Assumptions!$B$2,Assumptions!$F$4:$H$4,Assumptions!$F$11:$H$11)</f>
        <v>0.3</v>
      </c>
      <c r="O252" s="14">
        <f>Final_Table[[#This Row],[Units Sold]]*Final_Table[[#This Row],[Sale Price]]</f>
        <v>20400</v>
      </c>
      <c r="P252" s="14">
        <f>Final_Table[[#This Row],[Gross Revenue]]*(1-Final_Table[[#This Row],[Discount %]])</f>
        <v>18360</v>
      </c>
      <c r="Q252">
        <f>Final_Table[[#This Row],[Net Revenue]]*Final_Table[[#This Row],[Variable Cost %]]</f>
        <v>3304.7999999999997</v>
      </c>
      <c r="R252">
        <f>Final_Table[[#This Row],[Variable Cost]]+Final_Table[[#This Row],[Fixed Monthly Cost]]</f>
        <v>21304.799999999999</v>
      </c>
      <c r="S252" s="5">
        <f>Final_Table[[#This Row],[Net Revenue]]-Final_Table[[#This Row],[Total Cost (COGS)]]</f>
        <v>-2944.7999999999993</v>
      </c>
      <c r="T252">
        <f>Final_Table[[#This Row],[Gross Profit]]*Final_Table[[#This Row],[Tax Rate]]</f>
        <v>-883.43999999999971</v>
      </c>
      <c r="U252" s="5">
        <f>Final_Table[[#This Row],[Gross Profit]]-Final_Table[[#This Row],[Tax]]</f>
        <v>-2061.3599999999997</v>
      </c>
      <c r="V252" s="12">
        <f>Final_Table[[#This Row],[Net Profit]]/Final_Table[[#This Row],[Gross Revenue]]</f>
        <v>-0.10104705882352939</v>
      </c>
    </row>
    <row r="253" spans="1:22">
      <c r="A253" s="18" t="s">
        <v>68</v>
      </c>
      <c r="B253">
        <v>2013</v>
      </c>
      <c r="C253" t="s">
        <v>120</v>
      </c>
      <c r="D253">
        <v>1</v>
      </c>
      <c r="E253" s="18" t="s">
        <v>30</v>
      </c>
      <c r="F253" s="18" t="s">
        <v>80</v>
      </c>
      <c r="G253" s="18" t="s">
        <v>23</v>
      </c>
      <c r="H253" s="18" t="str">
        <f>Assumptions!$B$2</f>
        <v>Worst</v>
      </c>
      <c r="I253" s="18">
        <f>_xlfn.XLOOKUP(Assumptions!$B$2,Assumptions!$F$4:$H$4,Assumptions!$F$5:$H$5)</f>
        <v>1200</v>
      </c>
      <c r="J253" s="18">
        <f>_xlfn.XLOOKUP(Assumptions!$B$2,Assumptions!$F$4:$H$4,Assumptions!$F$6:$H$6)</f>
        <v>17</v>
      </c>
      <c r="K253" s="12">
        <f>_xlfn.XLOOKUP(Assumptions!$B$2,Assumptions!$F$4:$H$4,Assumptions!$F$8:$H$8)</f>
        <v>0.1</v>
      </c>
      <c r="L253" s="12">
        <f>_xlfn.XLOOKUP(Assumptions!$B$2,Assumptions!$F$4:$H$4,Assumptions!$F$9:$H$9)</f>
        <v>0.18</v>
      </c>
      <c r="M253" s="18">
        <f>_xlfn.XLOOKUP(Assumptions!$B$2,Assumptions!$F$4:$H$4,Assumptions!$F$10:$H$10)</f>
        <v>18000</v>
      </c>
      <c r="N253" s="12">
        <f>_xlfn.XLOOKUP(Assumptions!$B$2,Assumptions!$F$4:$H$4,Assumptions!$F$11:$H$11)</f>
        <v>0.3</v>
      </c>
      <c r="O253" s="14">
        <f>Final_Table[[#This Row],[Units Sold]]*Final_Table[[#This Row],[Sale Price]]</f>
        <v>20400</v>
      </c>
      <c r="P253" s="14">
        <f>Final_Table[[#This Row],[Gross Revenue]]*(1-Final_Table[[#This Row],[Discount %]])</f>
        <v>18360</v>
      </c>
      <c r="Q253">
        <f>Final_Table[[#This Row],[Net Revenue]]*Final_Table[[#This Row],[Variable Cost %]]</f>
        <v>3304.7999999999997</v>
      </c>
      <c r="R253">
        <f>Final_Table[[#This Row],[Variable Cost]]+Final_Table[[#This Row],[Fixed Monthly Cost]]</f>
        <v>21304.799999999999</v>
      </c>
      <c r="S253" s="5">
        <f>Final_Table[[#This Row],[Net Revenue]]-Final_Table[[#This Row],[Total Cost (COGS)]]</f>
        <v>-2944.7999999999993</v>
      </c>
      <c r="T253">
        <f>Final_Table[[#This Row],[Gross Profit]]*Final_Table[[#This Row],[Tax Rate]]</f>
        <v>-883.43999999999971</v>
      </c>
      <c r="U253" s="5">
        <f>Final_Table[[#This Row],[Gross Profit]]-Final_Table[[#This Row],[Tax]]</f>
        <v>-2061.3599999999997</v>
      </c>
      <c r="V253" s="12">
        <f>Final_Table[[#This Row],[Net Profit]]/Final_Table[[#This Row],[Gross Revenue]]</f>
        <v>-0.10104705882352939</v>
      </c>
    </row>
    <row r="254" spans="1:22">
      <c r="A254" s="18" t="s">
        <v>68</v>
      </c>
      <c r="B254">
        <v>2013</v>
      </c>
      <c r="C254" t="s">
        <v>120</v>
      </c>
      <c r="D254">
        <v>1</v>
      </c>
      <c r="E254" s="18" t="s">
        <v>30</v>
      </c>
      <c r="F254" s="18" t="s">
        <v>80</v>
      </c>
      <c r="G254" s="18" t="s">
        <v>21</v>
      </c>
      <c r="H254" s="18" t="str">
        <f>Assumptions!$B$2</f>
        <v>Worst</v>
      </c>
      <c r="I254" s="18">
        <f>_xlfn.XLOOKUP(Assumptions!$B$2,Assumptions!$F$4:$H$4,Assumptions!$F$5:$H$5)</f>
        <v>1200</v>
      </c>
      <c r="J254" s="18">
        <f>_xlfn.XLOOKUP(Assumptions!$B$2,Assumptions!$F$4:$H$4,Assumptions!$F$6:$H$6)</f>
        <v>17</v>
      </c>
      <c r="K254" s="12">
        <f>_xlfn.XLOOKUP(Assumptions!$B$2,Assumptions!$F$4:$H$4,Assumptions!$F$8:$H$8)</f>
        <v>0.1</v>
      </c>
      <c r="L254" s="12">
        <f>_xlfn.XLOOKUP(Assumptions!$B$2,Assumptions!$F$4:$H$4,Assumptions!$F$9:$H$9)</f>
        <v>0.18</v>
      </c>
      <c r="M254" s="18">
        <f>_xlfn.XLOOKUP(Assumptions!$B$2,Assumptions!$F$4:$H$4,Assumptions!$F$10:$H$10)</f>
        <v>18000</v>
      </c>
      <c r="N254" s="12">
        <f>_xlfn.XLOOKUP(Assumptions!$B$2,Assumptions!$F$4:$H$4,Assumptions!$F$11:$H$11)</f>
        <v>0.3</v>
      </c>
      <c r="O254" s="14">
        <f>Final_Table[[#This Row],[Units Sold]]*Final_Table[[#This Row],[Sale Price]]</f>
        <v>20400</v>
      </c>
      <c r="P254" s="14">
        <f>Final_Table[[#This Row],[Gross Revenue]]*(1-Final_Table[[#This Row],[Discount %]])</f>
        <v>18360</v>
      </c>
      <c r="Q254">
        <f>Final_Table[[#This Row],[Net Revenue]]*Final_Table[[#This Row],[Variable Cost %]]</f>
        <v>3304.7999999999997</v>
      </c>
      <c r="R254">
        <f>Final_Table[[#This Row],[Variable Cost]]+Final_Table[[#This Row],[Fixed Monthly Cost]]</f>
        <v>21304.799999999999</v>
      </c>
      <c r="S254" s="5">
        <f>Final_Table[[#This Row],[Net Revenue]]-Final_Table[[#This Row],[Total Cost (COGS)]]</f>
        <v>-2944.7999999999993</v>
      </c>
      <c r="T254">
        <f>Final_Table[[#This Row],[Gross Profit]]*Final_Table[[#This Row],[Tax Rate]]</f>
        <v>-883.43999999999971</v>
      </c>
      <c r="U254" s="5">
        <f>Final_Table[[#This Row],[Gross Profit]]-Final_Table[[#This Row],[Tax]]</f>
        <v>-2061.3599999999997</v>
      </c>
      <c r="V254" s="12">
        <f>Final_Table[[#This Row],[Net Profit]]/Final_Table[[#This Row],[Gross Revenue]]</f>
        <v>-0.10104705882352939</v>
      </c>
    </row>
    <row r="255" spans="1:22">
      <c r="A255" s="18" t="s">
        <v>68</v>
      </c>
      <c r="B255">
        <v>2013</v>
      </c>
      <c r="C255" t="s">
        <v>120</v>
      </c>
      <c r="D255">
        <v>1</v>
      </c>
      <c r="E255" s="18" t="s">
        <v>30</v>
      </c>
      <c r="F255" s="18" t="s">
        <v>80</v>
      </c>
      <c r="G255" s="18" t="s">
        <v>25</v>
      </c>
      <c r="H255" s="18" t="str">
        <f>Assumptions!$B$2</f>
        <v>Worst</v>
      </c>
      <c r="I255" s="18">
        <f>_xlfn.XLOOKUP(Assumptions!$B$2,Assumptions!$F$4:$H$4,Assumptions!$F$5:$H$5)</f>
        <v>1200</v>
      </c>
      <c r="J255" s="18">
        <f>_xlfn.XLOOKUP(Assumptions!$B$2,Assumptions!$F$4:$H$4,Assumptions!$F$6:$H$6)</f>
        <v>17</v>
      </c>
      <c r="K255" s="12">
        <f>_xlfn.XLOOKUP(Assumptions!$B$2,Assumptions!$F$4:$H$4,Assumptions!$F$8:$H$8)</f>
        <v>0.1</v>
      </c>
      <c r="L255" s="12">
        <f>_xlfn.XLOOKUP(Assumptions!$B$2,Assumptions!$F$4:$H$4,Assumptions!$F$9:$H$9)</f>
        <v>0.18</v>
      </c>
      <c r="M255" s="18">
        <f>_xlfn.XLOOKUP(Assumptions!$B$2,Assumptions!$F$4:$H$4,Assumptions!$F$10:$H$10)</f>
        <v>18000</v>
      </c>
      <c r="N255" s="12">
        <f>_xlfn.XLOOKUP(Assumptions!$B$2,Assumptions!$F$4:$H$4,Assumptions!$F$11:$H$11)</f>
        <v>0.3</v>
      </c>
      <c r="O255" s="14">
        <f>Final_Table[[#This Row],[Units Sold]]*Final_Table[[#This Row],[Sale Price]]</f>
        <v>20400</v>
      </c>
      <c r="P255" s="14">
        <f>Final_Table[[#This Row],[Gross Revenue]]*(1-Final_Table[[#This Row],[Discount %]])</f>
        <v>18360</v>
      </c>
      <c r="Q255">
        <f>Final_Table[[#This Row],[Net Revenue]]*Final_Table[[#This Row],[Variable Cost %]]</f>
        <v>3304.7999999999997</v>
      </c>
      <c r="R255">
        <f>Final_Table[[#This Row],[Variable Cost]]+Final_Table[[#This Row],[Fixed Monthly Cost]]</f>
        <v>21304.799999999999</v>
      </c>
      <c r="S255" s="5">
        <f>Final_Table[[#This Row],[Net Revenue]]-Final_Table[[#This Row],[Total Cost (COGS)]]</f>
        <v>-2944.7999999999993</v>
      </c>
      <c r="T255">
        <f>Final_Table[[#This Row],[Gross Profit]]*Final_Table[[#This Row],[Tax Rate]]</f>
        <v>-883.43999999999971</v>
      </c>
      <c r="U255" s="5">
        <f>Final_Table[[#This Row],[Gross Profit]]-Final_Table[[#This Row],[Tax]]</f>
        <v>-2061.3599999999997</v>
      </c>
      <c r="V255" s="12">
        <f>Final_Table[[#This Row],[Net Profit]]/Final_Table[[#This Row],[Gross Revenue]]</f>
        <v>-0.10104705882352939</v>
      </c>
    </row>
    <row r="256" spans="1:22">
      <c r="A256" s="18" t="s">
        <v>68</v>
      </c>
      <c r="B256">
        <v>2013</v>
      </c>
      <c r="C256" t="s">
        <v>120</v>
      </c>
      <c r="D256">
        <v>1</v>
      </c>
      <c r="E256" s="18" t="s">
        <v>30</v>
      </c>
      <c r="F256" s="18" t="s">
        <v>80</v>
      </c>
      <c r="G256" s="18" t="s">
        <v>17</v>
      </c>
      <c r="H256" s="18" t="str">
        <f>Assumptions!$B$2</f>
        <v>Worst</v>
      </c>
      <c r="I256" s="18">
        <f>_xlfn.XLOOKUP(Assumptions!$B$2,Assumptions!$F$4:$H$4,Assumptions!$F$5:$H$5)</f>
        <v>1200</v>
      </c>
      <c r="J256" s="18">
        <f>_xlfn.XLOOKUP(Assumptions!$B$2,Assumptions!$F$4:$H$4,Assumptions!$F$6:$H$6)</f>
        <v>17</v>
      </c>
      <c r="K256" s="12">
        <f>_xlfn.XLOOKUP(Assumptions!$B$2,Assumptions!$F$4:$H$4,Assumptions!$F$8:$H$8)</f>
        <v>0.1</v>
      </c>
      <c r="L256" s="12">
        <f>_xlfn.XLOOKUP(Assumptions!$B$2,Assumptions!$F$4:$H$4,Assumptions!$F$9:$H$9)</f>
        <v>0.18</v>
      </c>
      <c r="M256" s="18">
        <f>_xlfn.XLOOKUP(Assumptions!$B$2,Assumptions!$F$4:$H$4,Assumptions!$F$10:$H$10)</f>
        <v>18000</v>
      </c>
      <c r="N256" s="12">
        <f>_xlfn.XLOOKUP(Assumptions!$B$2,Assumptions!$F$4:$H$4,Assumptions!$F$11:$H$11)</f>
        <v>0.3</v>
      </c>
      <c r="O256" s="14">
        <f>Final_Table[[#This Row],[Units Sold]]*Final_Table[[#This Row],[Sale Price]]</f>
        <v>20400</v>
      </c>
      <c r="P256" s="14">
        <f>Final_Table[[#This Row],[Gross Revenue]]*(1-Final_Table[[#This Row],[Discount %]])</f>
        <v>18360</v>
      </c>
      <c r="Q256">
        <f>Final_Table[[#This Row],[Net Revenue]]*Final_Table[[#This Row],[Variable Cost %]]</f>
        <v>3304.7999999999997</v>
      </c>
      <c r="R256">
        <f>Final_Table[[#This Row],[Variable Cost]]+Final_Table[[#This Row],[Fixed Monthly Cost]]</f>
        <v>21304.799999999999</v>
      </c>
      <c r="S256" s="5">
        <f>Final_Table[[#This Row],[Net Revenue]]-Final_Table[[#This Row],[Total Cost (COGS)]]</f>
        <v>-2944.7999999999993</v>
      </c>
      <c r="T256">
        <f>Final_Table[[#This Row],[Gross Profit]]*Final_Table[[#This Row],[Tax Rate]]</f>
        <v>-883.43999999999971</v>
      </c>
      <c r="U256" s="5">
        <f>Final_Table[[#This Row],[Gross Profit]]-Final_Table[[#This Row],[Tax]]</f>
        <v>-2061.3599999999997</v>
      </c>
      <c r="V256" s="12">
        <f>Final_Table[[#This Row],[Net Profit]]/Final_Table[[#This Row],[Gross Revenue]]</f>
        <v>-0.10104705882352939</v>
      </c>
    </row>
    <row r="257" spans="1:22">
      <c r="A257" s="18" t="s">
        <v>68</v>
      </c>
      <c r="B257">
        <v>2013</v>
      </c>
      <c r="C257" t="s">
        <v>120</v>
      </c>
      <c r="D257">
        <v>1</v>
      </c>
      <c r="E257" s="18" t="s">
        <v>30</v>
      </c>
      <c r="F257" s="18" t="s">
        <v>108</v>
      </c>
      <c r="G257" s="18" t="s">
        <v>36</v>
      </c>
      <c r="H257" s="18" t="str">
        <f>Assumptions!$B$2</f>
        <v>Worst</v>
      </c>
      <c r="I257" s="18">
        <f>_xlfn.XLOOKUP(Assumptions!$B$2,Assumptions!$F$4:$H$4,Assumptions!$F$5:$H$5)</f>
        <v>1200</v>
      </c>
      <c r="J257" s="18">
        <f>_xlfn.XLOOKUP(Assumptions!$B$2,Assumptions!$F$4:$H$4,Assumptions!$F$6:$H$6)</f>
        <v>17</v>
      </c>
      <c r="K257" s="12">
        <f>_xlfn.XLOOKUP(Assumptions!$B$2,Assumptions!$F$4:$H$4,Assumptions!$F$8:$H$8)</f>
        <v>0.1</v>
      </c>
      <c r="L257" s="12">
        <f>_xlfn.XLOOKUP(Assumptions!$B$2,Assumptions!$F$4:$H$4,Assumptions!$F$9:$H$9)</f>
        <v>0.18</v>
      </c>
      <c r="M257" s="18">
        <f>_xlfn.XLOOKUP(Assumptions!$B$2,Assumptions!$F$4:$H$4,Assumptions!$F$10:$H$10)</f>
        <v>18000</v>
      </c>
      <c r="N257" s="12">
        <f>_xlfn.XLOOKUP(Assumptions!$B$2,Assumptions!$F$4:$H$4,Assumptions!$F$11:$H$11)</f>
        <v>0.3</v>
      </c>
      <c r="O257" s="14">
        <f>Final_Table[[#This Row],[Units Sold]]*Final_Table[[#This Row],[Sale Price]]</f>
        <v>20400</v>
      </c>
      <c r="P257" s="14">
        <f>Final_Table[[#This Row],[Gross Revenue]]*(1-Final_Table[[#This Row],[Discount %]])</f>
        <v>18360</v>
      </c>
      <c r="Q257">
        <f>Final_Table[[#This Row],[Net Revenue]]*Final_Table[[#This Row],[Variable Cost %]]</f>
        <v>3304.7999999999997</v>
      </c>
      <c r="R257">
        <f>Final_Table[[#This Row],[Variable Cost]]+Final_Table[[#This Row],[Fixed Monthly Cost]]</f>
        <v>21304.799999999999</v>
      </c>
      <c r="S257" s="5">
        <f>Final_Table[[#This Row],[Net Revenue]]-Final_Table[[#This Row],[Total Cost (COGS)]]</f>
        <v>-2944.7999999999993</v>
      </c>
      <c r="T257">
        <f>Final_Table[[#This Row],[Gross Profit]]*Final_Table[[#This Row],[Tax Rate]]</f>
        <v>-883.43999999999971</v>
      </c>
      <c r="U257" s="5">
        <f>Final_Table[[#This Row],[Gross Profit]]-Final_Table[[#This Row],[Tax]]</f>
        <v>-2061.3599999999997</v>
      </c>
      <c r="V257" s="12">
        <f>Final_Table[[#This Row],[Net Profit]]/Final_Table[[#This Row],[Gross Revenue]]</f>
        <v>-0.10104705882352939</v>
      </c>
    </row>
    <row r="258" spans="1:22">
      <c r="A258" s="18" t="s">
        <v>68</v>
      </c>
      <c r="B258">
        <v>2013</v>
      </c>
      <c r="C258" t="s">
        <v>120</v>
      </c>
      <c r="D258">
        <v>1</v>
      </c>
      <c r="E258" s="18" t="s">
        <v>30</v>
      </c>
      <c r="F258" s="18" t="s">
        <v>108</v>
      </c>
      <c r="G258" s="18" t="s">
        <v>23</v>
      </c>
      <c r="H258" s="18" t="str">
        <f>Assumptions!$B$2</f>
        <v>Worst</v>
      </c>
      <c r="I258" s="18">
        <f>_xlfn.XLOOKUP(Assumptions!$B$2,Assumptions!$F$4:$H$4,Assumptions!$F$5:$H$5)</f>
        <v>1200</v>
      </c>
      <c r="J258" s="18">
        <f>_xlfn.XLOOKUP(Assumptions!$B$2,Assumptions!$F$4:$H$4,Assumptions!$F$6:$H$6)</f>
        <v>17</v>
      </c>
      <c r="K258" s="12">
        <f>_xlfn.XLOOKUP(Assumptions!$B$2,Assumptions!$F$4:$H$4,Assumptions!$F$8:$H$8)</f>
        <v>0.1</v>
      </c>
      <c r="L258" s="12">
        <f>_xlfn.XLOOKUP(Assumptions!$B$2,Assumptions!$F$4:$H$4,Assumptions!$F$9:$H$9)</f>
        <v>0.18</v>
      </c>
      <c r="M258" s="18">
        <f>_xlfn.XLOOKUP(Assumptions!$B$2,Assumptions!$F$4:$H$4,Assumptions!$F$10:$H$10)</f>
        <v>18000</v>
      </c>
      <c r="N258" s="12">
        <f>_xlfn.XLOOKUP(Assumptions!$B$2,Assumptions!$F$4:$H$4,Assumptions!$F$11:$H$11)</f>
        <v>0.3</v>
      </c>
      <c r="O258" s="14">
        <f>Final_Table[[#This Row],[Units Sold]]*Final_Table[[#This Row],[Sale Price]]</f>
        <v>20400</v>
      </c>
      <c r="P258" s="14">
        <f>Final_Table[[#This Row],[Gross Revenue]]*(1-Final_Table[[#This Row],[Discount %]])</f>
        <v>18360</v>
      </c>
      <c r="Q258">
        <f>Final_Table[[#This Row],[Net Revenue]]*Final_Table[[#This Row],[Variable Cost %]]</f>
        <v>3304.7999999999997</v>
      </c>
      <c r="R258">
        <f>Final_Table[[#This Row],[Variable Cost]]+Final_Table[[#This Row],[Fixed Monthly Cost]]</f>
        <v>21304.799999999999</v>
      </c>
      <c r="S258" s="5">
        <f>Final_Table[[#This Row],[Net Revenue]]-Final_Table[[#This Row],[Total Cost (COGS)]]</f>
        <v>-2944.7999999999993</v>
      </c>
      <c r="T258">
        <f>Final_Table[[#This Row],[Gross Profit]]*Final_Table[[#This Row],[Tax Rate]]</f>
        <v>-883.43999999999971</v>
      </c>
      <c r="U258" s="5">
        <f>Final_Table[[#This Row],[Gross Profit]]-Final_Table[[#This Row],[Tax]]</f>
        <v>-2061.3599999999997</v>
      </c>
      <c r="V258" s="12">
        <f>Final_Table[[#This Row],[Net Profit]]/Final_Table[[#This Row],[Gross Revenue]]</f>
        <v>-0.10104705882352939</v>
      </c>
    </row>
    <row r="259" spans="1:22">
      <c r="A259" s="18" t="s">
        <v>68</v>
      </c>
      <c r="B259">
        <v>2013</v>
      </c>
      <c r="C259" t="s">
        <v>120</v>
      </c>
      <c r="D259">
        <v>1</v>
      </c>
      <c r="E259" s="18" t="s">
        <v>30</v>
      </c>
      <c r="F259" s="18" t="s">
        <v>108</v>
      </c>
      <c r="G259" s="18" t="s">
        <v>21</v>
      </c>
      <c r="H259" s="18" t="str">
        <f>Assumptions!$B$2</f>
        <v>Worst</v>
      </c>
      <c r="I259" s="18">
        <f>_xlfn.XLOOKUP(Assumptions!$B$2,Assumptions!$F$4:$H$4,Assumptions!$F$5:$H$5)</f>
        <v>1200</v>
      </c>
      <c r="J259" s="18">
        <f>_xlfn.XLOOKUP(Assumptions!$B$2,Assumptions!$F$4:$H$4,Assumptions!$F$6:$H$6)</f>
        <v>17</v>
      </c>
      <c r="K259" s="12">
        <f>_xlfn.XLOOKUP(Assumptions!$B$2,Assumptions!$F$4:$H$4,Assumptions!$F$8:$H$8)</f>
        <v>0.1</v>
      </c>
      <c r="L259" s="12">
        <f>_xlfn.XLOOKUP(Assumptions!$B$2,Assumptions!$F$4:$H$4,Assumptions!$F$9:$H$9)</f>
        <v>0.18</v>
      </c>
      <c r="M259" s="18">
        <f>_xlfn.XLOOKUP(Assumptions!$B$2,Assumptions!$F$4:$H$4,Assumptions!$F$10:$H$10)</f>
        <v>18000</v>
      </c>
      <c r="N259" s="12">
        <f>_xlfn.XLOOKUP(Assumptions!$B$2,Assumptions!$F$4:$H$4,Assumptions!$F$11:$H$11)</f>
        <v>0.3</v>
      </c>
      <c r="O259" s="14">
        <f>Final_Table[[#This Row],[Units Sold]]*Final_Table[[#This Row],[Sale Price]]</f>
        <v>20400</v>
      </c>
      <c r="P259" s="14">
        <f>Final_Table[[#This Row],[Gross Revenue]]*(1-Final_Table[[#This Row],[Discount %]])</f>
        <v>18360</v>
      </c>
      <c r="Q259">
        <f>Final_Table[[#This Row],[Net Revenue]]*Final_Table[[#This Row],[Variable Cost %]]</f>
        <v>3304.7999999999997</v>
      </c>
      <c r="R259">
        <f>Final_Table[[#This Row],[Variable Cost]]+Final_Table[[#This Row],[Fixed Monthly Cost]]</f>
        <v>21304.799999999999</v>
      </c>
      <c r="S259" s="5">
        <f>Final_Table[[#This Row],[Net Revenue]]-Final_Table[[#This Row],[Total Cost (COGS)]]</f>
        <v>-2944.7999999999993</v>
      </c>
      <c r="T259">
        <f>Final_Table[[#This Row],[Gross Profit]]*Final_Table[[#This Row],[Tax Rate]]</f>
        <v>-883.43999999999971</v>
      </c>
      <c r="U259" s="5">
        <f>Final_Table[[#This Row],[Gross Profit]]-Final_Table[[#This Row],[Tax]]</f>
        <v>-2061.3599999999997</v>
      </c>
      <c r="V259" s="12">
        <f>Final_Table[[#This Row],[Net Profit]]/Final_Table[[#This Row],[Gross Revenue]]</f>
        <v>-0.10104705882352939</v>
      </c>
    </row>
    <row r="260" spans="1:22">
      <c r="A260" s="18" t="s">
        <v>68</v>
      </c>
      <c r="B260">
        <v>2013</v>
      </c>
      <c r="C260" t="s">
        <v>120</v>
      </c>
      <c r="D260">
        <v>1</v>
      </c>
      <c r="E260" s="18" t="s">
        <v>30</v>
      </c>
      <c r="F260" s="18" t="s">
        <v>108</v>
      </c>
      <c r="G260" s="18" t="s">
        <v>25</v>
      </c>
      <c r="H260" s="18" t="str">
        <f>Assumptions!$B$2</f>
        <v>Worst</v>
      </c>
      <c r="I260" s="18">
        <f>_xlfn.XLOOKUP(Assumptions!$B$2,Assumptions!$F$4:$H$4,Assumptions!$F$5:$H$5)</f>
        <v>1200</v>
      </c>
      <c r="J260" s="18">
        <f>_xlfn.XLOOKUP(Assumptions!$B$2,Assumptions!$F$4:$H$4,Assumptions!$F$6:$H$6)</f>
        <v>17</v>
      </c>
      <c r="K260" s="12">
        <f>_xlfn.XLOOKUP(Assumptions!$B$2,Assumptions!$F$4:$H$4,Assumptions!$F$8:$H$8)</f>
        <v>0.1</v>
      </c>
      <c r="L260" s="12">
        <f>_xlfn.XLOOKUP(Assumptions!$B$2,Assumptions!$F$4:$H$4,Assumptions!$F$9:$H$9)</f>
        <v>0.18</v>
      </c>
      <c r="M260" s="18">
        <f>_xlfn.XLOOKUP(Assumptions!$B$2,Assumptions!$F$4:$H$4,Assumptions!$F$10:$H$10)</f>
        <v>18000</v>
      </c>
      <c r="N260" s="12">
        <f>_xlfn.XLOOKUP(Assumptions!$B$2,Assumptions!$F$4:$H$4,Assumptions!$F$11:$H$11)</f>
        <v>0.3</v>
      </c>
      <c r="O260" s="14">
        <f>Final_Table[[#This Row],[Units Sold]]*Final_Table[[#This Row],[Sale Price]]</f>
        <v>20400</v>
      </c>
      <c r="P260" s="14">
        <f>Final_Table[[#This Row],[Gross Revenue]]*(1-Final_Table[[#This Row],[Discount %]])</f>
        <v>18360</v>
      </c>
      <c r="Q260">
        <f>Final_Table[[#This Row],[Net Revenue]]*Final_Table[[#This Row],[Variable Cost %]]</f>
        <v>3304.7999999999997</v>
      </c>
      <c r="R260">
        <f>Final_Table[[#This Row],[Variable Cost]]+Final_Table[[#This Row],[Fixed Monthly Cost]]</f>
        <v>21304.799999999999</v>
      </c>
      <c r="S260" s="5">
        <f>Final_Table[[#This Row],[Net Revenue]]-Final_Table[[#This Row],[Total Cost (COGS)]]</f>
        <v>-2944.7999999999993</v>
      </c>
      <c r="T260">
        <f>Final_Table[[#This Row],[Gross Profit]]*Final_Table[[#This Row],[Tax Rate]]</f>
        <v>-883.43999999999971</v>
      </c>
      <c r="U260" s="5">
        <f>Final_Table[[#This Row],[Gross Profit]]-Final_Table[[#This Row],[Tax]]</f>
        <v>-2061.3599999999997</v>
      </c>
      <c r="V260" s="12">
        <f>Final_Table[[#This Row],[Net Profit]]/Final_Table[[#This Row],[Gross Revenue]]</f>
        <v>-0.10104705882352939</v>
      </c>
    </row>
    <row r="261" spans="1:22">
      <c r="A261" s="18" t="s">
        <v>68</v>
      </c>
      <c r="B261">
        <v>2013</v>
      </c>
      <c r="C261" t="s">
        <v>120</v>
      </c>
      <c r="D261">
        <v>1</v>
      </c>
      <c r="E261" s="18" t="s">
        <v>30</v>
      </c>
      <c r="F261" s="18" t="s">
        <v>108</v>
      </c>
      <c r="G261" s="18" t="s">
        <v>17</v>
      </c>
      <c r="H261" s="18" t="str">
        <f>Assumptions!$B$2</f>
        <v>Worst</v>
      </c>
      <c r="I261" s="18">
        <f>_xlfn.XLOOKUP(Assumptions!$B$2,Assumptions!$F$4:$H$4,Assumptions!$F$5:$H$5)</f>
        <v>1200</v>
      </c>
      <c r="J261" s="18">
        <f>_xlfn.XLOOKUP(Assumptions!$B$2,Assumptions!$F$4:$H$4,Assumptions!$F$6:$H$6)</f>
        <v>17</v>
      </c>
      <c r="K261" s="12">
        <f>_xlfn.XLOOKUP(Assumptions!$B$2,Assumptions!$F$4:$H$4,Assumptions!$F$8:$H$8)</f>
        <v>0.1</v>
      </c>
      <c r="L261" s="12">
        <f>_xlfn.XLOOKUP(Assumptions!$B$2,Assumptions!$F$4:$H$4,Assumptions!$F$9:$H$9)</f>
        <v>0.18</v>
      </c>
      <c r="M261" s="18">
        <f>_xlfn.XLOOKUP(Assumptions!$B$2,Assumptions!$F$4:$H$4,Assumptions!$F$10:$H$10)</f>
        <v>18000</v>
      </c>
      <c r="N261" s="12">
        <f>_xlfn.XLOOKUP(Assumptions!$B$2,Assumptions!$F$4:$H$4,Assumptions!$F$11:$H$11)</f>
        <v>0.3</v>
      </c>
      <c r="O261" s="14">
        <f>Final_Table[[#This Row],[Units Sold]]*Final_Table[[#This Row],[Sale Price]]</f>
        <v>20400</v>
      </c>
      <c r="P261" s="14">
        <f>Final_Table[[#This Row],[Gross Revenue]]*(1-Final_Table[[#This Row],[Discount %]])</f>
        <v>18360</v>
      </c>
      <c r="Q261">
        <f>Final_Table[[#This Row],[Net Revenue]]*Final_Table[[#This Row],[Variable Cost %]]</f>
        <v>3304.7999999999997</v>
      </c>
      <c r="R261">
        <f>Final_Table[[#This Row],[Variable Cost]]+Final_Table[[#This Row],[Fixed Monthly Cost]]</f>
        <v>21304.799999999999</v>
      </c>
      <c r="S261" s="5">
        <f>Final_Table[[#This Row],[Net Revenue]]-Final_Table[[#This Row],[Total Cost (COGS)]]</f>
        <v>-2944.7999999999993</v>
      </c>
      <c r="T261">
        <f>Final_Table[[#This Row],[Gross Profit]]*Final_Table[[#This Row],[Tax Rate]]</f>
        <v>-883.43999999999971</v>
      </c>
      <c r="U261" s="5">
        <f>Final_Table[[#This Row],[Gross Profit]]-Final_Table[[#This Row],[Tax]]</f>
        <v>-2061.3599999999997</v>
      </c>
      <c r="V261" s="12">
        <f>Final_Table[[#This Row],[Net Profit]]/Final_Table[[#This Row],[Gross Revenue]]</f>
        <v>-0.10104705882352939</v>
      </c>
    </row>
    <row r="262" spans="1:22">
      <c r="A262" s="18" t="s">
        <v>68</v>
      </c>
      <c r="B262">
        <v>2013</v>
      </c>
      <c r="C262" t="s">
        <v>120</v>
      </c>
      <c r="D262">
        <v>1</v>
      </c>
      <c r="E262" s="18" t="s">
        <v>30</v>
      </c>
      <c r="F262" s="18" t="s">
        <v>112</v>
      </c>
      <c r="G262" s="18" t="s">
        <v>36</v>
      </c>
      <c r="H262" s="18" t="str">
        <f>Assumptions!$B$2</f>
        <v>Worst</v>
      </c>
      <c r="I262" s="18">
        <f>_xlfn.XLOOKUP(Assumptions!$B$2,Assumptions!$F$4:$H$4,Assumptions!$F$5:$H$5)</f>
        <v>1200</v>
      </c>
      <c r="J262" s="18">
        <f>_xlfn.XLOOKUP(Assumptions!$B$2,Assumptions!$F$4:$H$4,Assumptions!$F$6:$H$6)</f>
        <v>17</v>
      </c>
      <c r="K262" s="12">
        <f>_xlfn.XLOOKUP(Assumptions!$B$2,Assumptions!$F$4:$H$4,Assumptions!$F$8:$H$8)</f>
        <v>0.1</v>
      </c>
      <c r="L262" s="12">
        <f>_xlfn.XLOOKUP(Assumptions!$B$2,Assumptions!$F$4:$H$4,Assumptions!$F$9:$H$9)</f>
        <v>0.18</v>
      </c>
      <c r="M262" s="18">
        <f>_xlfn.XLOOKUP(Assumptions!$B$2,Assumptions!$F$4:$H$4,Assumptions!$F$10:$H$10)</f>
        <v>18000</v>
      </c>
      <c r="N262" s="12">
        <f>_xlfn.XLOOKUP(Assumptions!$B$2,Assumptions!$F$4:$H$4,Assumptions!$F$11:$H$11)</f>
        <v>0.3</v>
      </c>
      <c r="O262" s="14">
        <f>Final_Table[[#This Row],[Units Sold]]*Final_Table[[#This Row],[Sale Price]]</f>
        <v>20400</v>
      </c>
      <c r="P262" s="14">
        <f>Final_Table[[#This Row],[Gross Revenue]]*(1-Final_Table[[#This Row],[Discount %]])</f>
        <v>18360</v>
      </c>
      <c r="Q262">
        <f>Final_Table[[#This Row],[Net Revenue]]*Final_Table[[#This Row],[Variable Cost %]]</f>
        <v>3304.7999999999997</v>
      </c>
      <c r="R262">
        <f>Final_Table[[#This Row],[Variable Cost]]+Final_Table[[#This Row],[Fixed Monthly Cost]]</f>
        <v>21304.799999999999</v>
      </c>
      <c r="S262" s="5">
        <f>Final_Table[[#This Row],[Net Revenue]]-Final_Table[[#This Row],[Total Cost (COGS)]]</f>
        <v>-2944.7999999999993</v>
      </c>
      <c r="T262">
        <f>Final_Table[[#This Row],[Gross Profit]]*Final_Table[[#This Row],[Tax Rate]]</f>
        <v>-883.43999999999971</v>
      </c>
      <c r="U262" s="5">
        <f>Final_Table[[#This Row],[Gross Profit]]-Final_Table[[#This Row],[Tax]]</f>
        <v>-2061.3599999999997</v>
      </c>
      <c r="V262" s="12">
        <f>Final_Table[[#This Row],[Net Profit]]/Final_Table[[#This Row],[Gross Revenue]]</f>
        <v>-0.10104705882352939</v>
      </c>
    </row>
    <row r="263" spans="1:22">
      <c r="A263" s="18" t="s">
        <v>68</v>
      </c>
      <c r="B263">
        <v>2013</v>
      </c>
      <c r="C263" t="s">
        <v>120</v>
      </c>
      <c r="D263">
        <v>1</v>
      </c>
      <c r="E263" s="18" t="s">
        <v>30</v>
      </c>
      <c r="F263" s="18" t="s">
        <v>112</v>
      </c>
      <c r="G263" s="18" t="s">
        <v>23</v>
      </c>
      <c r="H263" s="18" t="str">
        <f>Assumptions!$B$2</f>
        <v>Worst</v>
      </c>
      <c r="I263" s="18">
        <f>_xlfn.XLOOKUP(Assumptions!$B$2,Assumptions!$F$4:$H$4,Assumptions!$F$5:$H$5)</f>
        <v>1200</v>
      </c>
      <c r="J263" s="18">
        <f>_xlfn.XLOOKUP(Assumptions!$B$2,Assumptions!$F$4:$H$4,Assumptions!$F$6:$H$6)</f>
        <v>17</v>
      </c>
      <c r="K263" s="12">
        <f>_xlfn.XLOOKUP(Assumptions!$B$2,Assumptions!$F$4:$H$4,Assumptions!$F$8:$H$8)</f>
        <v>0.1</v>
      </c>
      <c r="L263" s="12">
        <f>_xlfn.XLOOKUP(Assumptions!$B$2,Assumptions!$F$4:$H$4,Assumptions!$F$9:$H$9)</f>
        <v>0.18</v>
      </c>
      <c r="M263" s="18">
        <f>_xlfn.XLOOKUP(Assumptions!$B$2,Assumptions!$F$4:$H$4,Assumptions!$F$10:$H$10)</f>
        <v>18000</v>
      </c>
      <c r="N263" s="12">
        <f>_xlfn.XLOOKUP(Assumptions!$B$2,Assumptions!$F$4:$H$4,Assumptions!$F$11:$H$11)</f>
        <v>0.3</v>
      </c>
      <c r="O263" s="14">
        <f>Final_Table[[#This Row],[Units Sold]]*Final_Table[[#This Row],[Sale Price]]</f>
        <v>20400</v>
      </c>
      <c r="P263" s="14">
        <f>Final_Table[[#This Row],[Gross Revenue]]*(1-Final_Table[[#This Row],[Discount %]])</f>
        <v>18360</v>
      </c>
      <c r="Q263">
        <f>Final_Table[[#This Row],[Net Revenue]]*Final_Table[[#This Row],[Variable Cost %]]</f>
        <v>3304.7999999999997</v>
      </c>
      <c r="R263">
        <f>Final_Table[[#This Row],[Variable Cost]]+Final_Table[[#This Row],[Fixed Monthly Cost]]</f>
        <v>21304.799999999999</v>
      </c>
      <c r="S263" s="5">
        <f>Final_Table[[#This Row],[Net Revenue]]-Final_Table[[#This Row],[Total Cost (COGS)]]</f>
        <v>-2944.7999999999993</v>
      </c>
      <c r="T263">
        <f>Final_Table[[#This Row],[Gross Profit]]*Final_Table[[#This Row],[Tax Rate]]</f>
        <v>-883.43999999999971</v>
      </c>
      <c r="U263" s="5">
        <f>Final_Table[[#This Row],[Gross Profit]]-Final_Table[[#This Row],[Tax]]</f>
        <v>-2061.3599999999997</v>
      </c>
      <c r="V263" s="12">
        <f>Final_Table[[#This Row],[Net Profit]]/Final_Table[[#This Row],[Gross Revenue]]</f>
        <v>-0.10104705882352939</v>
      </c>
    </row>
    <row r="264" spans="1:22">
      <c r="A264" s="18" t="s">
        <v>68</v>
      </c>
      <c r="B264">
        <v>2013</v>
      </c>
      <c r="C264" t="s">
        <v>120</v>
      </c>
      <c r="D264">
        <v>1</v>
      </c>
      <c r="E264" s="18" t="s">
        <v>30</v>
      </c>
      <c r="F264" s="18" t="s">
        <v>112</v>
      </c>
      <c r="G264" s="18" t="s">
        <v>21</v>
      </c>
      <c r="H264" s="18" t="str">
        <f>Assumptions!$B$2</f>
        <v>Worst</v>
      </c>
      <c r="I264" s="18">
        <f>_xlfn.XLOOKUP(Assumptions!$B$2,Assumptions!$F$4:$H$4,Assumptions!$F$5:$H$5)</f>
        <v>1200</v>
      </c>
      <c r="J264" s="18">
        <f>_xlfn.XLOOKUP(Assumptions!$B$2,Assumptions!$F$4:$H$4,Assumptions!$F$6:$H$6)</f>
        <v>17</v>
      </c>
      <c r="K264" s="12">
        <f>_xlfn.XLOOKUP(Assumptions!$B$2,Assumptions!$F$4:$H$4,Assumptions!$F$8:$H$8)</f>
        <v>0.1</v>
      </c>
      <c r="L264" s="12">
        <f>_xlfn.XLOOKUP(Assumptions!$B$2,Assumptions!$F$4:$H$4,Assumptions!$F$9:$H$9)</f>
        <v>0.18</v>
      </c>
      <c r="M264" s="18">
        <f>_xlfn.XLOOKUP(Assumptions!$B$2,Assumptions!$F$4:$H$4,Assumptions!$F$10:$H$10)</f>
        <v>18000</v>
      </c>
      <c r="N264" s="12">
        <f>_xlfn.XLOOKUP(Assumptions!$B$2,Assumptions!$F$4:$H$4,Assumptions!$F$11:$H$11)</f>
        <v>0.3</v>
      </c>
      <c r="O264" s="14">
        <f>Final_Table[[#This Row],[Units Sold]]*Final_Table[[#This Row],[Sale Price]]</f>
        <v>20400</v>
      </c>
      <c r="P264" s="14">
        <f>Final_Table[[#This Row],[Gross Revenue]]*(1-Final_Table[[#This Row],[Discount %]])</f>
        <v>18360</v>
      </c>
      <c r="Q264">
        <f>Final_Table[[#This Row],[Net Revenue]]*Final_Table[[#This Row],[Variable Cost %]]</f>
        <v>3304.7999999999997</v>
      </c>
      <c r="R264">
        <f>Final_Table[[#This Row],[Variable Cost]]+Final_Table[[#This Row],[Fixed Monthly Cost]]</f>
        <v>21304.799999999999</v>
      </c>
      <c r="S264" s="5">
        <f>Final_Table[[#This Row],[Net Revenue]]-Final_Table[[#This Row],[Total Cost (COGS)]]</f>
        <v>-2944.7999999999993</v>
      </c>
      <c r="T264">
        <f>Final_Table[[#This Row],[Gross Profit]]*Final_Table[[#This Row],[Tax Rate]]</f>
        <v>-883.43999999999971</v>
      </c>
      <c r="U264" s="5">
        <f>Final_Table[[#This Row],[Gross Profit]]-Final_Table[[#This Row],[Tax]]</f>
        <v>-2061.3599999999997</v>
      </c>
      <c r="V264" s="12">
        <f>Final_Table[[#This Row],[Net Profit]]/Final_Table[[#This Row],[Gross Revenue]]</f>
        <v>-0.10104705882352939</v>
      </c>
    </row>
    <row r="265" spans="1:22">
      <c r="A265" s="18" t="s">
        <v>68</v>
      </c>
      <c r="B265">
        <v>2013</v>
      </c>
      <c r="C265" t="s">
        <v>120</v>
      </c>
      <c r="D265">
        <v>1</v>
      </c>
      <c r="E265" s="18" t="s">
        <v>30</v>
      </c>
      <c r="F265" s="18" t="s">
        <v>112</v>
      </c>
      <c r="G265" s="18" t="s">
        <v>25</v>
      </c>
      <c r="H265" s="18" t="str">
        <f>Assumptions!$B$2</f>
        <v>Worst</v>
      </c>
      <c r="I265" s="18">
        <f>_xlfn.XLOOKUP(Assumptions!$B$2,Assumptions!$F$4:$H$4,Assumptions!$F$5:$H$5)</f>
        <v>1200</v>
      </c>
      <c r="J265" s="18">
        <f>_xlfn.XLOOKUP(Assumptions!$B$2,Assumptions!$F$4:$H$4,Assumptions!$F$6:$H$6)</f>
        <v>17</v>
      </c>
      <c r="K265" s="12">
        <f>_xlfn.XLOOKUP(Assumptions!$B$2,Assumptions!$F$4:$H$4,Assumptions!$F$8:$H$8)</f>
        <v>0.1</v>
      </c>
      <c r="L265" s="12">
        <f>_xlfn.XLOOKUP(Assumptions!$B$2,Assumptions!$F$4:$H$4,Assumptions!$F$9:$H$9)</f>
        <v>0.18</v>
      </c>
      <c r="M265" s="18">
        <f>_xlfn.XLOOKUP(Assumptions!$B$2,Assumptions!$F$4:$H$4,Assumptions!$F$10:$H$10)</f>
        <v>18000</v>
      </c>
      <c r="N265" s="12">
        <f>_xlfn.XLOOKUP(Assumptions!$B$2,Assumptions!$F$4:$H$4,Assumptions!$F$11:$H$11)</f>
        <v>0.3</v>
      </c>
      <c r="O265" s="14">
        <f>Final_Table[[#This Row],[Units Sold]]*Final_Table[[#This Row],[Sale Price]]</f>
        <v>20400</v>
      </c>
      <c r="P265" s="14">
        <f>Final_Table[[#This Row],[Gross Revenue]]*(1-Final_Table[[#This Row],[Discount %]])</f>
        <v>18360</v>
      </c>
      <c r="Q265">
        <f>Final_Table[[#This Row],[Net Revenue]]*Final_Table[[#This Row],[Variable Cost %]]</f>
        <v>3304.7999999999997</v>
      </c>
      <c r="R265">
        <f>Final_Table[[#This Row],[Variable Cost]]+Final_Table[[#This Row],[Fixed Monthly Cost]]</f>
        <v>21304.799999999999</v>
      </c>
      <c r="S265" s="5">
        <f>Final_Table[[#This Row],[Net Revenue]]-Final_Table[[#This Row],[Total Cost (COGS)]]</f>
        <v>-2944.7999999999993</v>
      </c>
      <c r="T265">
        <f>Final_Table[[#This Row],[Gross Profit]]*Final_Table[[#This Row],[Tax Rate]]</f>
        <v>-883.43999999999971</v>
      </c>
      <c r="U265" s="5">
        <f>Final_Table[[#This Row],[Gross Profit]]-Final_Table[[#This Row],[Tax]]</f>
        <v>-2061.3599999999997</v>
      </c>
      <c r="V265" s="12">
        <f>Final_Table[[#This Row],[Net Profit]]/Final_Table[[#This Row],[Gross Revenue]]</f>
        <v>-0.10104705882352939</v>
      </c>
    </row>
    <row r="266" spans="1:22">
      <c r="A266" s="18" t="s">
        <v>68</v>
      </c>
      <c r="B266">
        <v>2013</v>
      </c>
      <c r="C266" t="s">
        <v>120</v>
      </c>
      <c r="D266">
        <v>1</v>
      </c>
      <c r="E266" s="18" t="s">
        <v>30</v>
      </c>
      <c r="F266" s="18" t="s">
        <v>112</v>
      </c>
      <c r="G266" s="18" t="s">
        <v>17</v>
      </c>
      <c r="H266" s="18" t="str">
        <f>Assumptions!$B$2</f>
        <v>Worst</v>
      </c>
      <c r="I266" s="18">
        <f>_xlfn.XLOOKUP(Assumptions!$B$2,Assumptions!$F$4:$H$4,Assumptions!$F$5:$H$5)</f>
        <v>1200</v>
      </c>
      <c r="J266" s="18">
        <f>_xlfn.XLOOKUP(Assumptions!$B$2,Assumptions!$F$4:$H$4,Assumptions!$F$6:$H$6)</f>
        <v>17</v>
      </c>
      <c r="K266" s="12">
        <f>_xlfn.XLOOKUP(Assumptions!$B$2,Assumptions!$F$4:$H$4,Assumptions!$F$8:$H$8)</f>
        <v>0.1</v>
      </c>
      <c r="L266" s="12">
        <f>_xlfn.XLOOKUP(Assumptions!$B$2,Assumptions!$F$4:$H$4,Assumptions!$F$9:$H$9)</f>
        <v>0.18</v>
      </c>
      <c r="M266" s="18">
        <f>_xlfn.XLOOKUP(Assumptions!$B$2,Assumptions!$F$4:$H$4,Assumptions!$F$10:$H$10)</f>
        <v>18000</v>
      </c>
      <c r="N266" s="12">
        <f>_xlfn.XLOOKUP(Assumptions!$B$2,Assumptions!$F$4:$H$4,Assumptions!$F$11:$H$11)</f>
        <v>0.3</v>
      </c>
      <c r="O266" s="14">
        <f>Final_Table[[#This Row],[Units Sold]]*Final_Table[[#This Row],[Sale Price]]</f>
        <v>20400</v>
      </c>
      <c r="P266" s="14">
        <f>Final_Table[[#This Row],[Gross Revenue]]*(1-Final_Table[[#This Row],[Discount %]])</f>
        <v>18360</v>
      </c>
      <c r="Q266">
        <f>Final_Table[[#This Row],[Net Revenue]]*Final_Table[[#This Row],[Variable Cost %]]</f>
        <v>3304.7999999999997</v>
      </c>
      <c r="R266">
        <f>Final_Table[[#This Row],[Variable Cost]]+Final_Table[[#This Row],[Fixed Monthly Cost]]</f>
        <v>21304.799999999999</v>
      </c>
      <c r="S266" s="5">
        <f>Final_Table[[#This Row],[Net Revenue]]-Final_Table[[#This Row],[Total Cost (COGS)]]</f>
        <v>-2944.7999999999993</v>
      </c>
      <c r="T266">
        <f>Final_Table[[#This Row],[Gross Profit]]*Final_Table[[#This Row],[Tax Rate]]</f>
        <v>-883.43999999999971</v>
      </c>
      <c r="U266" s="5">
        <f>Final_Table[[#This Row],[Gross Profit]]-Final_Table[[#This Row],[Tax]]</f>
        <v>-2061.3599999999997</v>
      </c>
      <c r="V266" s="12">
        <f>Final_Table[[#This Row],[Net Profit]]/Final_Table[[#This Row],[Gross Revenue]]</f>
        <v>-0.10104705882352939</v>
      </c>
    </row>
    <row r="267" spans="1:22">
      <c r="A267" s="18" t="s">
        <v>68</v>
      </c>
      <c r="B267">
        <v>2013</v>
      </c>
      <c r="C267" t="s">
        <v>120</v>
      </c>
      <c r="D267">
        <v>1</v>
      </c>
      <c r="E267" s="18" t="s">
        <v>30</v>
      </c>
      <c r="F267" s="18" t="s">
        <v>113</v>
      </c>
      <c r="G267" s="18" t="s">
        <v>36</v>
      </c>
      <c r="H267" s="18" t="str">
        <f>Assumptions!$B$2</f>
        <v>Worst</v>
      </c>
      <c r="I267" s="18">
        <f>_xlfn.XLOOKUP(Assumptions!$B$2,Assumptions!$F$4:$H$4,Assumptions!$F$5:$H$5)</f>
        <v>1200</v>
      </c>
      <c r="J267" s="18">
        <f>_xlfn.XLOOKUP(Assumptions!$B$2,Assumptions!$F$4:$H$4,Assumptions!$F$6:$H$6)</f>
        <v>17</v>
      </c>
      <c r="K267" s="12">
        <f>_xlfn.XLOOKUP(Assumptions!$B$2,Assumptions!$F$4:$H$4,Assumptions!$F$8:$H$8)</f>
        <v>0.1</v>
      </c>
      <c r="L267" s="12">
        <f>_xlfn.XLOOKUP(Assumptions!$B$2,Assumptions!$F$4:$H$4,Assumptions!$F$9:$H$9)</f>
        <v>0.18</v>
      </c>
      <c r="M267" s="18">
        <f>_xlfn.XLOOKUP(Assumptions!$B$2,Assumptions!$F$4:$H$4,Assumptions!$F$10:$H$10)</f>
        <v>18000</v>
      </c>
      <c r="N267" s="12">
        <f>_xlfn.XLOOKUP(Assumptions!$B$2,Assumptions!$F$4:$H$4,Assumptions!$F$11:$H$11)</f>
        <v>0.3</v>
      </c>
      <c r="O267" s="14">
        <f>Final_Table[[#This Row],[Units Sold]]*Final_Table[[#This Row],[Sale Price]]</f>
        <v>20400</v>
      </c>
      <c r="P267" s="14">
        <f>Final_Table[[#This Row],[Gross Revenue]]*(1-Final_Table[[#This Row],[Discount %]])</f>
        <v>18360</v>
      </c>
      <c r="Q267">
        <f>Final_Table[[#This Row],[Net Revenue]]*Final_Table[[#This Row],[Variable Cost %]]</f>
        <v>3304.7999999999997</v>
      </c>
      <c r="R267">
        <f>Final_Table[[#This Row],[Variable Cost]]+Final_Table[[#This Row],[Fixed Monthly Cost]]</f>
        <v>21304.799999999999</v>
      </c>
      <c r="S267" s="5">
        <f>Final_Table[[#This Row],[Net Revenue]]-Final_Table[[#This Row],[Total Cost (COGS)]]</f>
        <v>-2944.7999999999993</v>
      </c>
      <c r="T267">
        <f>Final_Table[[#This Row],[Gross Profit]]*Final_Table[[#This Row],[Tax Rate]]</f>
        <v>-883.43999999999971</v>
      </c>
      <c r="U267" s="5">
        <f>Final_Table[[#This Row],[Gross Profit]]-Final_Table[[#This Row],[Tax]]</f>
        <v>-2061.3599999999997</v>
      </c>
      <c r="V267" s="12">
        <f>Final_Table[[#This Row],[Net Profit]]/Final_Table[[#This Row],[Gross Revenue]]</f>
        <v>-0.10104705882352939</v>
      </c>
    </row>
    <row r="268" spans="1:22">
      <c r="A268" s="18" t="s">
        <v>68</v>
      </c>
      <c r="B268">
        <v>2013</v>
      </c>
      <c r="C268" t="s">
        <v>120</v>
      </c>
      <c r="D268">
        <v>1</v>
      </c>
      <c r="E268" s="18" t="s">
        <v>30</v>
      </c>
      <c r="F268" s="18" t="s">
        <v>113</v>
      </c>
      <c r="G268" s="18" t="s">
        <v>23</v>
      </c>
      <c r="H268" s="18" t="str">
        <f>Assumptions!$B$2</f>
        <v>Worst</v>
      </c>
      <c r="I268" s="18">
        <f>_xlfn.XLOOKUP(Assumptions!$B$2,Assumptions!$F$4:$H$4,Assumptions!$F$5:$H$5)</f>
        <v>1200</v>
      </c>
      <c r="J268" s="18">
        <f>_xlfn.XLOOKUP(Assumptions!$B$2,Assumptions!$F$4:$H$4,Assumptions!$F$6:$H$6)</f>
        <v>17</v>
      </c>
      <c r="K268" s="12">
        <f>_xlfn.XLOOKUP(Assumptions!$B$2,Assumptions!$F$4:$H$4,Assumptions!$F$8:$H$8)</f>
        <v>0.1</v>
      </c>
      <c r="L268" s="12">
        <f>_xlfn.XLOOKUP(Assumptions!$B$2,Assumptions!$F$4:$H$4,Assumptions!$F$9:$H$9)</f>
        <v>0.18</v>
      </c>
      <c r="M268" s="18">
        <f>_xlfn.XLOOKUP(Assumptions!$B$2,Assumptions!$F$4:$H$4,Assumptions!$F$10:$H$10)</f>
        <v>18000</v>
      </c>
      <c r="N268" s="12">
        <f>_xlfn.XLOOKUP(Assumptions!$B$2,Assumptions!$F$4:$H$4,Assumptions!$F$11:$H$11)</f>
        <v>0.3</v>
      </c>
      <c r="O268" s="14">
        <f>Final_Table[[#This Row],[Units Sold]]*Final_Table[[#This Row],[Sale Price]]</f>
        <v>20400</v>
      </c>
      <c r="P268" s="14">
        <f>Final_Table[[#This Row],[Gross Revenue]]*(1-Final_Table[[#This Row],[Discount %]])</f>
        <v>18360</v>
      </c>
      <c r="Q268">
        <f>Final_Table[[#This Row],[Net Revenue]]*Final_Table[[#This Row],[Variable Cost %]]</f>
        <v>3304.7999999999997</v>
      </c>
      <c r="R268">
        <f>Final_Table[[#This Row],[Variable Cost]]+Final_Table[[#This Row],[Fixed Monthly Cost]]</f>
        <v>21304.799999999999</v>
      </c>
      <c r="S268" s="5">
        <f>Final_Table[[#This Row],[Net Revenue]]-Final_Table[[#This Row],[Total Cost (COGS)]]</f>
        <v>-2944.7999999999993</v>
      </c>
      <c r="T268">
        <f>Final_Table[[#This Row],[Gross Profit]]*Final_Table[[#This Row],[Tax Rate]]</f>
        <v>-883.43999999999971</v>
      </c>
      <c r="U268" s="5">
        <f>Final_Table[[#This Row],[Gross Profit]]-Final_Table[[#This Row],[Tax]]</f>
        <v>-2061.3599999999997</v>
      </c>
      <c r="V268" s="12">
        <f>Final_Table[[#This Row],[Net Profit]]/Final_Table[[#This Row],[Gross Revenue]]</f>
        <v>-0.10104705882352939</v>
      </c>
    </row>
    <row r="269" spans="1:22">
      <c r="A269" s="18" t="s">
        <v>68</v>
      </c>
      <c r="B269">
        <v>2013</v>
      </c>
      <c r="C269" t="s">
        <v>120</v>
      </c>
      <c r="D269">
        <v>1</v>
      </c>
      <c r="E269" s="18" t="s">
        <v>30</v>
      </c>
      <c r="F269" s="18" t="s">
        <v>113</v>
      </c>
      <c r="G269" s="18" t="s">
        <v>21</v>
      </c>
      <c r="H269" s="18" t="str">
        <f>Assumptions!$B$2</f>
        <v>Worst</v>
      </c>
      <c r="I269" s="18">
        <f>_xlfn.XLOOKUP(Assumptions!$B$2,Assumptions!$F$4:$H$4,Assumptions!$F$5:$H$5)</f>
        <v>1200</v>
      </c>
      <c r="J269" s="18">
        <f>_xlfn.XLOOKUP(Assumptions!$B$2,Assumptions!$F$4:$H$4,Assumptions!$F$6:$H$6)</f>
        <v>17</v>
      </c>
      <c r="K269" s="12">
        <f>_xlfn.XLOOKUP(Assumptions!$B$2,Assumptions!$F$4:$H$4,Assumptions!$F$8:$H$8)</f>
        <v>0.1</v>
      </c>
      <c r="L269" s="12">
        <f>_xlfn.XLOOKUP(Assumptions!$B$2,Assumptions!$F$4:$H$4,Assumptions!$F$9:$H$9)</f>
        <v>0.18</v>
      </c>
      <c r="M269" s="18">
        <f>_xlfn.XLOOKUP(Assumptions!$B$2,Assumptions!$F$4:$H$4,Assumptions!$F$10:$H$10)</f>
        <v>18000</v>
      </c>
      <c r="N269" s="12">
        <f>_xlfn.XLOOKUP(Assumptions!$B$2,Assumptions!$F$4:$H$4,Assumptions!$F$11:$H$11)</f>
        <v>0.3</v>
      </c>
      <c r="O269" s="14">
        <f>Final_Table[[#This Row],[Units Sold]]*Final_Table[[#This Row],[Sale Price]]</f>
        <v>20400</v>
      </c>
      <c r="P269" s="14">
        <f>Final_Table[[#This Row],[Gross Revenue]]*(1-Final_Table[[#This Row],[Discount %]])</f>
        <v>18360</v>
      </c>
      <c r="Q269">
        <f>Final_Table[[#This Row],[Net Revenue]]*Final_Table[[#This Row],[Variable Cost %]]</f>
        <v>3304.7999999999997</v>
      </c>
      <c r="R269">
        <f>Final_Table[[#This Row],[Variable Cost]]+Final_Table[[#This Row],[Fixed Monthly Cost]]</f>
        <v>21304.799999999999</v>
      </c>
      <c r="S269" s="5">
        <f>Final_Table[[#This Row],[Net Revenue]]-Final_Table[[#This Row],[Total Cost (COGS)]]</f>
        <v>-2944.7999999999993</v>
      </c>
      <c r="T269">
        <f>Final_Table[[#This Row],[Gross Profit]]*Final_Table[[#This Row],[Tax Rate]]</f>
        <v>-883.43999999999971</v>
      </c>
      <c r="U269" s="5">
        <f>Final_Table[[#This Row],[Gross Profit]]-Final_Table[[#This Row],[Tax]]</f>
        <v>-2061.3599999999997</v>
      </c>
      <c r="V269" s="12">
        <f>Final_Table[[#This Row],[Net Profit]]/Final_Table[[#This Row],[Gross Revenue]]</f>
        <v>-0.10104705882352939</v>
      </c>
    </row>
    <row r="270" spans="1:22">
      <c r="A270" s="18" t="s">
        <v>68</v>
      </c>
      <c r="B270">
        <v>2013</v>
      </c>
      <c r="C270" t="s">
        <v>120</v>
      </c>
      <c r="D270">
        <v>1</v>
      </c>
      <c r="E270" s="18" t="s">
        <v>30</v>
      </c>
      <c r="F270" s="18" t="s">
        <v>113</v>
      </c>
      <c r="G270" s="18" t="s">
        <v>25</v>
      </c>
      <c r="H270" s="18" t="str">
        <f>Assumptions!$B$2</f>
        <v>Worst</v>
      </c>
      <c r="I270" s="18">
        <f>_xlfn.XLOOKUP(Assumptions!$B$2,Assumptions!$F$4:$H$4,Assumptions!$F$5:$H$5)</f>
        <v>1200</v>
      </c>
      <c r="J270" s="18">
        <f>_xlfn.XLOOKUP(Assumptions!$B$2,Assumptions!$F$4:$H$4,Assumptions!$F$6:$H$6)</f>
        <v>17</v>
      </c>
      <c r="K270" s="12">
        <f>_xlfn.XLOOKUP(Assumptions!$B$2,Assumptions!$F$4:$H$4,Assumptions!$F$8:$H$8)</f>
        <v>0.1</v>
      </c>
      <c r="L270" s="12">
        <f>_xlfn.XLOOKUP(Assumptions!$B$2,Assumptions!$F$4:$H$4,Assumptions!$F$9:$H$9)</f>
        <v>0.18</v>
      </c>
      <c r="M270" s="18">
        <f>_xlfn.XLOOKUP(Assumptions!$B$2,Assumptions!$F$4:$H$4,Assumptions!$F$10:$H$10)</f>
        <v>18000</v>
      </c>
      <c r="N270" s="12">
        <f>_xlfn.XLOOKUP(Assumptions!$B$2,Assumptions!$F$4:$H$4,Assumptions!$F$11:$H$11)</f>
        <v>0.3</v>
      </c>
      <c r="O270" s="14">
        <f>Final_Table[[#This Row],[Units Sold]]*Final_Table[[#This Row],[Sale Price]]</f>
        <v>20400</v>
      </c>
      <c r="P270" s="14">
        <f>Final_Table[[#This Row],[Gross Revenue]]*(1-Final_Table[[#This Row],[Discount %]])</f>
        <v>18360</v>
      </c>
      <c r="Q270">
        <f>Final_Table[[#This Row],[Net Revenue]]*Final_Table[[#This Row],[Variable Cost %]]</f>
        <v>3304.7999999999997</v>
      </c>
      <c r="R270">
        <f>Final_Table[[#This Row],[Variable Cost]]+Final_Table[[#This Row],[Fixed Monthly Cost]]</f>
        <v>21304.799999999999</v>
      </c>
      <c r="S270" s="5">
        <f>Final_Table[[#This Row],[Net Revenue]]-Final_Table[[#This Row],[Total Cost (COGS)]]</f>
        <v>-2944.7999999999993</v>
      </c>
      <c r="T270">
        <f>Final_Table[[#This Row],[Gross Profit]]*Final_Table[[#This Row],[Tax Rate]]</f>
        <v>-883.43999999999971</v>
      </c>
      <c r="U270" s="5">
        <f>Final_Table[[#This Row],[Gross Profit]]-Final_Table[[#This Row],[Tax]]</f>
        <v>-2061.3599999999997</v>
      </c>
      <c r="V270" s="12">
        <f>Final_Table[[#This Row],[Net Profit]]/Final_Table[[#This Row],[Gross Revenue]]</f>
        <v>-0.10104705882352939</v>
      </c>
    </row>
    <row r="271" spans="1:22">
      <c r="A271" s="18" t="s">
        <v>68</v>
      </c>
      <c r="B271">
        <v>2013</v>
      </c>
      <c r="C271" t="s">
        <v>120</v>
      </c>
      <c r="D271">
        <v>1</v>
      </c>
      <c r="E271" s="18" t="s">
        <v>30</v>
      </c>
      <c r="F271" s="18" t="s">
        <v>113</v>
      </c>
      <c r="G271" s="18" t="s">
        <v>17</v>
      </c>
      <c r="H271" s="18" t="str">
        <f>Assumptions!$B$2</f>
        <v>Worst</v>
      </c>
      <c r="I271" s="18">
        <f>_xlfn.XLOOKUP(Assumptions!$B$2,Assumptions!$F$4:$H$4,Assumptions!$F$5:$H$5)</f>
        <v>1200</v>
      </c>
      <c r="J271" s="18">
        <f>_xlfn.XLOOKUP(Assumptions!$B$2,Assumptions!$F$4:$H$4,Assumptions!$F$6:$H$6)</f>
        <v>17</v>
      </c>
      <c r="K271" s="12">
        <f>_xlfn.XLOOKUP(Assumptions!$B$2,Assumptions!$F$4:$H$4,Assumptions!$F$8:$H$8)</f>
        <v>0.1</v>
      </c>
      <c r="L271" s="12">
        <f>_xlfn.XLOOKUP(Assumptions!$B$2,Assumptions!$F$4:$H$4,Assumptions!$F$9:$H$9)</f>
        <v>0.18</v>
      </c>
      <c r="M271" s="18">
        <f>_xlfn.XLOOKUP(Assumptions!$B$2,Assumptions!$F$4:$H$4,Assumptions!$F$10:$H$10)</f>
        <v>18000</v>
      </c>
      <c r="N271" s="12">
        <f>_xlfn.XLOOKUP(Assumptions!$B$2,Assumptions!$F$4:$H$4,Assumptions!$F$11:$H$11)</f>
        <v>0.3</v>
      </c>
      <c r="O271" s="14">
        <f>Final_Table[[#This Row],[Units Sold]]*Final_Table[[#This Row],[Sale Price]]</f>
        <v>20400</v>
      </c>
      <c r="P271" s="14">
        <f>Final_Table[[#This Row],[Gross Revenue]]*(1-Final_Table[[#This Row],[Discount %]])</f>
        <v>18360</v>
      </c>
      <c r="Q271">
        <f>Final_Table[[#This Row],[Net Revenue]]*Final_Table[[#This Row],[Variable Cost %]]</f>
        <v>3304.7999999999997</v>
      </c>
      <c r="R271">
        <f>Final_Table[[#This Row],[Variable Cost]]+Final_Table[[#This Row],[Fixed Monthly Cost]]</f>
        <v>21304.799999999999</v>
      </c>
      <c r="S271" s="5">
        <f>Final_Table[[#This Row],[Net Revenue]]-Final_Table[[#This Row],[Total Cost (COGS)]]</f>
        <v>-2944.7999999999993</v>
      </c>
      <c r="T271">
        <f>Final_Table[[#This Row],[Gross Profit]]*Final_Table[[#This Row],[Tax Rate]]</f>
        <v>-883.43999999999971</v>
      </c>
      <c r="U271" s="5">
        <f>Final_Table[[#This Row],[Gross Profit]]-Final_Table[[#This Row],[Tax]]</f>
        <v>-2061.3599999999997</v>
      </c>
      <c r="V271" s="12">
        <f>Final_Table[[#This Row],[Net Profit]]/Final_Table[[#This Row],[Gross Revenue]]</f>
        <v>-0.10104705882352939</v>
      </c>
    </row>
    <row r="272" spans="1:22">
      <c r="A272" s="18" t="s">
        <v>68</v>
      </c>
      <c r="B272">
        <v>2013</v>
      </c>
      <c r="C272" t="s">
        <v>120</v>
      </c>
      <c r="D272">
        <v>1</v>
      </c>
      <c r="E272" s="18" t="s">
        <v>30</v>
      </c>
      <c r="F272" s="18" t="s">
        <v>114</v>
      </c>
      <c r="G272" s="18" t="s">
        <v>36</v>
      </c>
      <c r="H272" s="18" t="str">
        <f>Assumptions!$B$2</f>
        <v>Worst</v>
      </c>
      <c r="I272" s="18">
        <f>_xlfn.XLOOKUP(Assumptions!$B$2,Assumptions!$F$4:$H$4,Assumptions!$F$5:$H$5)</f>
        <v>1200</v>
      </c>
      <c r="J272" s="18">
        <f>_xlfn.XLOOKUP(Assumptions!$B$2,Assumptions!$F$4:$H$4,Assumptions!$F$6:$H$6)</f>
        <v>17</v>
      </c>
      <c r="K272" s="12">
        <f>_xlfn.XLOOKUP(Assumptions!$B$2,Assumptions!$F$4:$H$4,Assumptions!$F$8:$H$8)</f>
        <v>0.1</v>
      </c>
      <c r="L272" s="12">
        <f>_xlfn.XLOOKUP(Assumptions!$B$2,Assumptions!$F$4:$H$4,Assumptions!$F$9:$H$9)</f>
        <v>0.18</v>
      </c>
      <c r="M272" s="18">
        <f>_xlfn.XLOOKUP(Assumptions!$B$2,Assumptions!$F$4:$H$4,Assumptions!$F$10:$H$10)</f>
        <v>18000</v>
      </c>
      <c r="N272" s="12">
        <f>_xlfn.XLOOKUP(Assumptions!$B$2,Assumptions!$F$4:$H$4,Assumptions!$F$11:$H$11)</f>
        <v>0.3</v>
      </c>
      <c r="O272" s="14">
        <f>Final_Table[[#This Row],[Units Sold]]*Final_Table[[#This Row],[Sale Price]]</f>
        <v>20400</v>
      </c>
      <c r="P272" s="14">
        <f>Final_Table[[#This Row],[Gross Revenue]]*(1-Final_Table[[#This Row],[Discount %]])</f>
        <v>18360</v>
      </c>
      <c r="Q272">
        <f>Final_Table[[#This Row],[Net Revenue]]*Final_Table[[#This Row],[Variable Cost %]]</f>
        <v>3304.7999999999997</v>
      </c>
      <c r="R272">
        <f>Final_Table[[#This Row],[Variable Cost]]+Final_Table[[#This Row],[Fixed Monthly Cost]]</f>
        <v>21304.799999999999</v>
      </c>
      <c r="S272" s="5">
        <f>Final_Table[[#This Row],[Net Revenue]]-Final_Table[[#This Row],[Total Cost (COGS)]]</f>
        <v>-2944.7999999999993</v>
      </c>
      <c r="T272">
        <f>Final_Table[[#This Row],[Gross Profit]]*Final_Table[[#This Row],[Tax Rate]]</f>
        <v>-883.43999999999971</v>
      </c>
      <c r="U272" s="5">
        <f>Final_Table[[#This Row],[Gross Profit]]-Final_Table[[#This Row],[Tax]]</f>
        <v>-2061.3599999999997</v>
      </c>
      <c r="V272" s="12">
        <f>Final_Table[[#This Row],[Net Profit]]/Final_Table[[#This Row],[Gross Revenue]]</f>
        <v>-0.10104705882352939</v>
      </c>
    </row>
    <row r="273" spans="1:22">
      <c r="A273" s="18" t="s">
        <v>68</v>
      </c>
      <c r="B273">
        <v>2013</v>
      </c>
      <c r="C273" t="s">
        <v>120</v>
      </c>
      <c r="D273">
        <v>1</v>
      </c>
      <c r="E273" s="18" t="s">
        <v>30</v>
      </c>
      <c r="F273" s="18" t="s">
        <v>114</v>
      </c>
      <c r="G273" s="18" t="s">
        <v>23</v>
      </c>
      <c r="H273" s="18" t="str">
        <f>Assumptions!$B$2</f>
        <v>Worst</v>
      </c>
      <c r="I273" s="18">
        <f>_xlfn.XLOOKUP(Assumptions!$B$2,Assumptions!$F$4:$H$4,Assumptions!$F$5:$H$5)</f>
        <v>1200</v>
      </c>
      <c r="J273" s="18">
        <f>_xlfn.XLOOKUP(Assumptions!$B$2,Assumptions!$F$4:$H$4,Assumptions!$F$6:$H$6)</f>
        <v>17</v>
      </c>
      <c r="K273" s="12">
        <f>_xlfn.XLOOKUP(Assumptions!$B$2,Assumptions!$F$4:$H$4,Assumptions!$F$8:$H$8)</f>
        <v>0.1</v>
      </c>
      <c r="L273" s="12">
        <f>_xlfn.XLOOKUP(Assumptions!$B$2,Assumptions!$F$4:$H$4,Assumptions!$F$9:$H$9)</f>
        <v>0.18</v>
      </c>
      <c r="M273" s="18">
        <f>_xlfn.XLOOKUP(Assumptions!$B$2,Assumptions!$F$4:$H$4,Assumptions!$F$10:$H$10)</f>
        <v>18000</v>
      </c>
      <c r="N273" s="12">
        <f>_xlfn.XLOOKUP(Assumptions!$B$2,Assumptions!$F$4:$H$4,Assumptions!$F$11:$H$11)</f>
        <v>0.3</v>
      </c>
      <c r="O273" s="14">
        <f>Final_Table[[#This Row],[Units Sold]]*Final_Table[[#This Row],[Sale Price]]</f>
        <v>20400</v>
      </c>
      <c r="P273" s="14">
        <f>Final_Table[[#This Row],[Gross Revenue]]*(1-Final_Table[[#This Row],[Discount %]])</f>
        <v>18360</v>
      </c>
      <c r="Q273">
        <f>Final_Table[[#This Row],[Net Revenue]]*Final_Table[[#This Row],[Variable Cost %]]</f>
        <v>3304.7999999999997</v>
      </c>
      <c r="R273">
        <f>Final_Table[[#This Row],[Variable Cost]]+Final_Table[[#This Row],[Fixed Monthly Cost]]</f>
        <v>21304.799999999999</v>
      </c>
      <c r="S273" s="5">
        <f>Final_Table[[#This Row],[Net Revenue]]-Final_Table[[#This Row],[Total Cost (COGS)]]</f>
        <v>-2944.7999999999993</v>
      </c>
      <c r="T273">
        <f>Final_Table[[#This Row],[Gross Profit]]*Final_Table[[#This Row],[Tax Rate]]</f>
        <v>-883.43999999999971</v>
      </c>
      <c r="U273" s="5">
        <f>Final_Table[[#This Row],[Gross Profit]]-Final_Table[[#This Row],[Tax]]</f>
        <v>-2061.3599999999997</v>
      </c>
      <c r="V273" s="12">
        <f>Final_Table[[#This Row],[Net Profit]]/Final_Table[[#This Row],[Gross Revenue]]</f>
        <v>-0.10104705882352939</v>
      </c>
    </row>
    <row r="274" spans="1:22">
      <c r="A274" s="18" t="s">
        <v>68</v>
      </c>
      <c r="B274">
        <v>2013</v>
      </c>
      <c r="C274" t="s">
        <v>120</v>
      </c>
      <c r="D274">
        <v>1</v>
      </c>
      <c r="E274" s="18" t="s">
        <v>30</v>
      </c>
      <c r="F274" s="18" t="s">
        <v>114</v>
      </c>
      <c r="G274" s="18" t="s">
        <v>21</v>
      </c>
      <c r="H274" s="18" t="str">
        <f>Assumptions!$B$2</f>
        <v>Worst</v>
      </c>
      <c r="I274" s="18">
        <f>_xlfn.XLOOKUP(Assumptions!$B$2,Assumptions!$F$4:$H$4,Assumptions!$F$5:$H$5)</f>
        <v>1200</v>
      </c>
      <c r="J274" s="18">
        <f>_xlfn.XLOOKUP(Assumptions!$B$2,Assumptions!$F$4:$H$4,Assumptions!$F$6:$H$6)</f>
        <v>17</v>
      </c>
      <c r="K274" s="12">
        <f>_xlfn.XLOOKUP(Assumptions!$B$2,Assumptions!$F$4:$H$4,Assumptions!$F$8:$H$8)</f>
        <v>0.1</v>
      </c>
      <c r="L274" s="12">
        <f>_xlfn.XLOOKUP(Assumptions!$B$2,Assumptions!$F$4:$H$4,Assumptions!$F$9:$H$9)</f>
        <v>0.18</v>
      </c>
      <c r="M274" s="18">
        <f>_xlfn.XLOOKUP(Assumptions!$B$2,Assumptions!$F$4:$H$4,Assumptions!$F$10:$H$10)</f>
        <v>18000</v>
      </c>
      <c r="N274" s="12">
        <f>_xlfn.XLOOKUP(Assumptions!$B$2,Assumptions!$F$4:$H$4,Assumptions!$F$11:$H$11)</f>
        <v>0.3</v>
      </c>
      <c r="O274" s="14">
        <f>Final_Table[[#This Row],[Units Sold]]*Final_Table[[#This Row],[Sale Price]]</f>
        <v>20400</v>
      </c>
      <c r="P274" s="14">
        <f>Final_Table[[#This Row],[Gross Revenue]]*(1-Final_Table[[#This Row],[Discount %]])</f>
        <v>18360</v>
      </c>
      <c r="Q274">
        <f>Final_Table[[#This Row],[Net Revenue]]*Final_Table[[#This Row],[Variable Cost %]]</f>
        <v>3304.7999999999997</v>
      </c>
      <c r="R274">
        <f>Final_Table[[#This Row],[Variable Cost]]+Final_Table[[#This Row],[Fixed Monthly Cost]]</f>
        <v>21304.799999999999</v>
      </c>
      <c r="S274" s="5">
        <f>Final_Table[[#This Row],[Net Revenue]]-Final_Table[[#This Row],[Total Cost (COGS)]]</f>
        <v>-2944.7999999999993</v>
      </c>
      <c r="T274">
        <f>Final_Table[[#This Row],[Gross Profit]]*Final_Table[[#This Row],[Tax Rate]]</f>
        <v>-883.43999999999971</v>
      </c>
      <c r="U274" s="5">
        <f>Final_Table[[#This Row],[Gross Profit]]-Final_Table[[#This Row],[Tax]]</f>
        <v>-2061.3599999999997</v>
      </c>
      <c r="V274" s="12">
        <f>Final_Table[[#This Row],[Net Profit]]/Final_Table[[#This Row],[Gross Revenue]]</f>
        <v>-0.10104705882352939</v>
      </c>
    </row>
    <row r="275" spans="1:22">
      <c r="A275" s="18" t="s">
        <v>68</v>
      </c>
      <c r="B275">
        <v>2013</v>
      </c>
      <c r="C275" t="s">
        <v>120</v>
      </c>
      <c r="D275">
        <v>1</v>
      </c>
      <c r="E275" s="18" t="s">
        <v>30</v>
      </c>
      <c r="F275" s="18" t="s">
        <v>114</v>
      </c>
      <c r="G275" s="18" t="s">
        <v>25</v>
      </c>
      <c r="H275" s="18" t="str">
        <f>Assumptions!$B$2</f>
        <v>Worst</v>
      </c>
      <c r="I275" s="18">
        <f>_xlfn.XLOOKUP(Assumptions!$B$2,Assumptions!$F$4:$H$4,Assumptions!$F$5:$H$5)</f>
        <v>1200</v>
      </c>
      <c r="J275" s="18">
        <f>_xlfn.XLOOKUP(Assumptions!$B$2,Assumptions!$F$4:$H$4,Assumptions!$F$6:$H$6)</f>
        <v>17</v>
      </c>
      <c r="K275" s="12">
        <f>_xlfn.XLOOKUP(Assumptions!$B$2,Assumptions!$F$4:$H$4,Assumptions!$F$8:$H$8)</f>
        <v>0.1</v>
      </c>
      <c r="L275" s="12">
        <f>_xlfn.XLOOKUP(Assumptions!$B$2,Assumptions!$F$4:$H$4,Assumptions!$F$9:$H$9)</f>
        <v>0.18</v>
      </c>
      <c r="M275" s="18">
        <f>_xlfn.XLOOKUP(Assumptions!$B$2,Assumptions!$F$4:$H$4,Assumptions!$F$10:$H$10)</f>
        <v>18000</v>
      </c>
      <c r="N275" s="12">
        <f>_xlfn.XLOOKUP(Assumptions!$B$2,Assumptions!$F$4:$H$4,Assumptions!$F$11:$H$11)</f>
        <v>0.3</v>
      </c>
      <c r="O275" s="14">
        <f>Final_Table[[#This Row],[Units Sold]]*Final_Table[[#This Row],[Sale Price]]</f>
        <v>20400</v>
      </c>
      <c r="P275" s="14">
        <f>Final_Table[[#This Row],[Gross Revenue]]*(1-Final_Table[[#This Row],[Discount %]])</f>
        <v>18360</v>
      </c>
      <c r="Q275">
        <f>Final_Table[[#This Row],[Net Revenue]]*Final_Table[[#This Row],[Variable Cost %]]</f>
        <v>3304.7999999999997</v>
      </c>
      <c r="R275">
        <f>Final_Table[[#This Row],[Variable Cost]]+Final_Table[[#This Row],[Fixed Monthly Cost]]</f>
        <v>21304.799999999999</v>
      </c>
      <c r="S275" s="5">
        <f>Final_Table[[#This Row],[Net Revenue]]-Final_Table[[#This Row],[Total Cost (COGS)]]</f>
        <v>-2944.7999999999993</v>
      </c>
      <c r="T275">
        <f>Final_Table[[#This Row],[Gross Profit]]*Final_Table[[#This Row],[Tax Rate]]</f>
        <v>-883.43999999999971</v>
      </c>
      <c r="U275" s="5">
        <f>Final_Table[[#This Row],[Gross Profit]]-Final_Table[[#This Row],[Tax]]</f>
        <v>-2061.3599999999997</v>
      </c>
      <c r="V275" s="12">
        <f>Final_Table[[#This Row],[Net Profit]]/Final_Table[[#This Row],[Gross Revenue]]</f>
        <v>-0.10104705882352939</v>
      </c>
    </row>
    <row r="276" spans="1:22">
      <c r="A276" s="18" t="s">
        <v>68</v>
      </c>
      <c r="B276">
        <v>2013</v>
      </c>
      <c r="C276" t="s">
        <v>120</v>
      </c>
      <c r="D276">
        <v>1</v>
      </c>
      <c r="E276" s="18" t="s">
        <v>30</v>
      </c>
      <c r="F276" s="18" t="s">
        <v>114</v>
      </c>
      <c r="G276" s="18" t="s">
        <v>17</v>
      </c>
      <c r="H276" s="18" t="str">
        <f>Assumptions!$B$2</f>
        <v>Worst</v>
      </c>
      <c r="I276" s="18">
        <f>_xlfn.XLOOKUP(Assumptions!$B$2,Assumptions!$F$4:$H$4,Assumptions!$F$5:$H$5)</f>
        <v>1200</v>
      </c>
      <c r="J276" s="18">
        <f>_xlfn.XLOOKUP(Assumptions!$B$2,Assumptions!$F$4:$H$4,Assumptions!$F$6:$H$6)</f>
        <v>17</v>
      </c>
      <c r="K276" s="12">
        <f>_xlfn.XLOOKUP(Assumptions!$B$2,Assumptions!$F$4:$H$4,Assumptions!$F$8:$H$8)</f>
        <v>0.1</v>
      </c>
      <c r="L276" s="12">
        <f>_xlfn.XLOOKUP(Assumptions!$B$2,Assumptions!$F$4:$H$4,Assumptions!$F$9:$H$9)</f>
        <v>0.18</v>
      </c>
      <c r="M276" s="18">
        <f>_xlfn.XLOOKUP(Assumptions!$B$2,Assumptions!$F$4:$H$4,Assumptions!$F$10:$H$10)</f>
        <v>18000</v>
      </c>
      <c r="N276" s="12">
        <f>_xlfn.XLOOKUP(Assumptions!$B$2,Assumptions!$F$4:$H$4,Assumptions!$F$11:$H$11)</f>
        <v>0.3</v>
      </c>
      <c r="O276" s="14">
        <f>Final_Table[[#This Row],[Units Sold]]*Final_Table[[#This Row],[Sale Price]]</f>
        <v>20400</v>
      </c>
      <c r="P276" s="14">
        <f>Final_Table[[#This Row],[Gross Revenue]]*(1-Final_Table[[#This Row],[Discount %]])</f>
        <v>18360</v>
      </c>
      <c r="Q276">
        <f>Final_Table[[#This Row],[Net Revenue]]*Final_Table[[#This Row],[Variable Cost %]]</f>
        <v>3304.7999999999997</v>
      </c>
      <c r="R276">
        <f>Final_Table[[#This Row],[Variable Cost]]+Final_Table[[#This Row],[Fixed Monthly Cost]]</f>
        <v>21304.799999999999</v>
      </c>
      <c r="S276" s="5">
        <f>Final_Table[[#This Row],[Net Revenue]]-Final_Table[[#This Row],[Total Cost (COGS)]]</f>
        <v>-2944.7999999999993</v>
      </c>
      <c r="T276">
        <f>Final_Table[[#This Row],[Gross Profit]]*Final_Table[[#This Row],[Tax Rate]]</f>
        <v>-883.43999999999971</v>
      </c>
      <c r="U276" s="5">
        <f>Final_Table[[#This Row],[Gross Profit]]-Final_Table[[#This Row],[Tax]]</f>
        <v>-2061.3599999999997</v>
      </c>
      <c r="V276" s="12">
        <f>Final_Table[[#This Row],[Net Profit]]/Final_Table[[#This Row],[Gross Revenue]]</f>
        <v>-0.10104705882352939</v>
      </c>
    </row>
    <row r="277" spans="1:22">
      <c r="A277" s="18" t="s">
        <v>68</v>
      </c>
      <c r="B277">
        <v>2013</v>
      </c>
      <c r="C277" t="s">
        <v>120</v>
      </c>
      <c r="D277">
        <v>1</v>
      </c>
      <c r="E277" s="18" t="s">
        <v>29</v>
      </c>
      <c r="F277" s="18" t="s">
        <v>80</v>
      </c>
      <c r="G277" s="18" t="s">
        <v>36</v>
      </c>
      <c r="H277" s="18" t="str">
        <f>Assumptions!$B$2</f>
        <v>Worst</v>
      </c>
      <c r="I277" s="18">
        <f>_xlfn.XLOOKUP(Assumptions!$B$2,Assumptions!$F$4:$H$4,Assumptions!$F$5:$H$5)</f>
        <v>1200</v>
      </c>
      <c r="J277" s="18">
        <f>_xlfn.XLOOKUP(Assumptions!$B$2,Assumptions!$F$4:$H$4,Assumptions!$F$6:$H$6)</f>
        <v>17</v>
      </c>
      <c r="K277" s="12">
        <f>_xlfn.XLOOKUP(Assumptions!$B$2,Assumptions!$F$4:$H$4,Assumptions!$F$8:$H$8)</f>
        <v>0.1</v>
      </c>
      <c r="L277" s="12">
        <f>_xlfn.XLOOKUP(Assumptions!$B$2,Assumptions!$F$4:$H$4,Assumptions!$F$9:$H$9)</f>
        <v>0.18</v>
      </c>
      <c r="M277" s="18">
        <f>_xlfn.XLOOKUP(Assumptions!$B$2,Assumptions!$F$4:$H$4,Assumptions!$F$10:$H$10)</f>
        <v>18000</v>
      </c>
      <c r="N277" s="12">
        <f>_xlfn.XLOOKUP(Assumptions!$B$2,Assumptions!$F$4:$H$4,Assumptions!$F$11:$H$11)</f>
        <v>0.3</v>
      </c>
      <c r="O277" s="14">
        <f>Final_Table[[#This Row],[Units Sold]]*Final_Table[[#This Row],[Sale Price]]</f>
        <v>20400</v>
      </c>
      <c r="P277" s="14">
        <f>Final_Table[[#This Row],[Gross Revenue]]*(1-Final_Table[[#This Row],[Discount %]])</f>
        <v>18360</v>
      </c>
      <c r="Q277">
        <f>Final_Table[[#This Row],[Net Revenue]]*Final_Table[[#This Row],[Variable Cost %]]</f>
        <v>3304.7999999999997</v>
      </c>
      <c r="R277">
        <f>Final_Table[[#This Row],[Variable Cost]]+Final_Table[[#This Row],[Fixed Monthly Cost]]</f>
        <v>21304.799999999999</v>
      </c>
      <c r="S277" s="5">
        <f>Final_Table[[#This Row],[Net Revenue]]-Final_Table[[#This Row],[Total Cost (COGS)]]</f>
        <v>-2944.7999999999993</v>
      </c>
      <c r="T277">
        <f>Final_Table[[#This Row],[Gross Profit]]*Final_Table[[#This Row],[Tax Rate]]</f>
        <v>-883.43999999999971</v>
      </c>
      <c r="U277" s="5">
        <f>Final_Table[[#This Row],[Gross Profit]]-Final_Table[[#This Row],[Tax]]</f>
        <v>-2061.3599999999997</v>
      </c>
      <c r="V277" s="12">
        <f>Final_Table[[#This Row],[Net Profit]]/Final_Table[[#This Row],[Gross Revenue]]</f>
        <v>-0.10104705882352939</v>
      </c>
    </row>
    <row r="278" spans="1:22">
      <c r="A278" s="18" t="s">
        <v>68</v>
      </c>
      <c r="B278">
        <v>2013</v>
      </c>
      <c r="C278" t="s">
        <v>120</v>
      </c>
      <c r="D278">
        <v>1</v>
      </c>
      <c r="E278" s="18" t="s">
        <v>29</v>
      </c>
      <c r="F278" s="18" t="s">
        <v>80</v>
      </c>
      <c r="G278" s="18" t="s">
        <v>23</v>
      </c>
      <c r="H278" s="18" t="str">
        <f>Assumptions!$B$2</f>
        <v>Worst</v>
      </c>
      <c r="I278" s="18">
        <f>_xlfn.XLOOKUP(Assumptions!$B$2,Assumptions!$F$4:$H$4,Assumptions!$F$5:$H$5)</f>
        <v>1200</v>
      </c>
      <c r="J278" s="18">
        <f>_xlfn.XLOOKUP(Assumptions!$B$2,Assumptions!$F$4:$H$4,Assumptions!$F$6:$H$6)</f>
        <v>17</v>
      </c>
      <c r="K278" s="12">
        <f>_xlfn.XLOOKUP(Assumptions!$B$2,Assumptions!$F$4:$H$4,Assumptions!$F$8:$H$8)</f>
        <v>0.1</v>
      </c>
      <c r="L278" s="12">
        <f>_xlfn.XLOOKUP(Assumptions!$B$2,Assumptions!$F$4:$H$4,Assumptions!$F$9:$H$9)</f>
        <v>0.18</v>
      </c>
      <c r="M278" s="18">
        <f>_xlfn.XLOOKUP(Assumptions!$B$2,Assumptions!$F$4:$H$4,Assumptions!$F$10:$H$10)</f>
        <v>18000</v>
      </c>
      <c r="N278" s="12">
        <f>_xlfn.XLOOKUP(Assumptions!$B$2,Assumptions!$F$4:$H$4,Assumptions!$F$11:$H$11)</f>
        <v>0.3</v>
      </c>
      <c r="O278" s="14">
        <f>Final_Table[[#This Row],[Units Sold]]*Final_Table[[#This Row],[Sale Price]]</f>
        <v>20400</v>
      </c>
      <c r="P278" s="14">
        <f>Final_Table[[#This Row],[Gross Revenue]]*(1-Final_Table[[#This Row],[Discount %]])</f>
        <v>18360</v>
      </c>
      <c r="Q278">
        <f>Final_Table[[#This Row],[Net Revenue]]*Final_Table[[#This Row],[Variable Cost %]]</f>
        <v>3304.7999999999997</v>
      </c>
      <c r="R278">
        <f>Final_Table[[#This Row],[Variable Cost]]+Final_Table[[#This Row],[Fixed Monthly Cost]]</f>
        <v>21304.799999999999</v>
      </c>
      <c r="S278" s="5">
        <f>Final_Table[[#This Row],[Net Revenue]]-Final_Table[[#This Row],[Total Cost (COGS)]]</f>
        <v>-2944.7999999999993</v>
      </c>
      <c r="T278">
        <f>Final_Table[[#This Row],[Gross Profit]]*Final_Table[[#This Row],[Tax Rate]]</f>
        <v>-883.43999999999971</v>
      </c>
      <c r="U278" s="5">
        <f>Final_Table[[#This Row],[Gross Profit]]-Final_Table[[#This Row],[Tax]]</f>
        <v>-2061.3599999999997</v>
      </c>
      <c r="V278" s="12">
        <f>Final_Table[[#This Row],[Net Profit]]/Final_Table[[#This Row],[Gross Revenue]]</f>
        <v>-0.10104705882352939</v>
      </c>
    </row>
    <row r="279" spans="1:22">
      <c r="A279" s="18" t="s">
        <v>68</v>
      </c>
      <c r="B279">
        <v>2013</v>
      </c>
      <c r="C279" t="s">
        <v>120</v>
      </c>
      <c r="D279">
        <v>1</v>
      </c>
      <c r="E279" s="18" t="s">
        <v>29</v>
      </c>
      <c r="F279" s="18" t="s">
        <v>80</v>
      </c>
      <c r="G279" s="18" t="s">
        <v>21</v>
      </c>
      <c r="H279" s="18" t="str">
        <f>Assumptions!$B$2</f>
        <v>Worst</v>
      </c>
      <c r="I279" s="18">
        <f>_xlfn.XLOOKUP(Assumptions!$B$2,Assumptions!$F$4:$H$4,Assumptions!$F$5:$H$5)</f>
        <v>1200</v>
      </c>
      <c r="J279" s="18">
        <f>_xlfn.XLOOKUP(Assumptions!$B$2,Assumptions!$F$4:$H$4,Assumptions!$F$6:$H$6)</f>
        <v>17</v>
      </c>
      <c r="K279" s="12">
        <f>_xlfn.XLOOKUP(Assumptions!$B$2,Assumptions!$F$4:$H$4,Assumptions!$F$8:$H$8)</f>
        <v>0.1</v>
      </c>
      <c r="L279" s="12">
        <f>_xlfn.XLOOKUP(Assumptions!$B$2,Assumptions!$F$4:$H$4,Assumptions!$F$9:$H$9)</f>
        <v>0.18</v>
      </c>
      <c r="M279" s="18">
        <f>_xlfn.XLOOKUP(Assumptions!$B$2,Assumptions!$F$4:$H$4,Assumptions!$F$10:$H$10)</f>
        <v>18000</v>
      </c>
      <c r="N279" s="12">
        <f>_xlfn.XLOOKUP(Assumptions!$B$2,Assumptions!$F$4:$H$4,Assumptions!$F$11:$H$11)</f>
        <v>0.3</v>
      </c>
      <c r="O279" s="14">
        <f>Final_Table[[#This Row],[Units Sold]]*Final_Table[[#This Row],[Sale Price]]</f>
        <v>20400</v>
      </c>
      <c r="P279" s="14">
        <f>Final_Table[[#This Row],[Gross Revenue]]*(1-Final_Table[[#This Row],[Discount %]])</f>
        <v>18360</v>
      </c>
      <c r="Q279">
        <f>Final_Table[[#This Row],[Net Revenue]]*Final_Table[[#This Row],[Variable Cost %]]</f>
        <v>3304.7999999999997</v>
      </c>
      <c r="R279">
        <f>Final_Table[[#This Row],[Variable Cost]]+Final_Table[[#This Row],[Fixed Monthly Cost]]</f>
        <v>21304.799999999999</v>
      </c>
      <c r="S279" s="5">
        <f>Final_Table[[#This Row],[Net Revenue]]-Final_Table[[#This Row],[Total Cost (COGS)]]</f>
        <v>-2944.7999999999993</v>
      </c>
      <c r="T279">
        <f>Final_Table[[#This Row],[Gross Profit]]*Final_Table[[#This Row],[Tax Rate]]</f>
        <v>-883.43999999999971</v>
      </c>
      <c r="U279" s="5">
        <f>Final_Table[[#This Row],[Gross Profit]]-Final_Table[[#This Row],[Tax]]</f>
        <v>-2061.3599999999997</v>
      </c>
      <c r="V279" s="12">
        <f>Final_Table[[#This Row],[Net Profit]]/Final_Table[[#This Row],[Gross Revenue]]</f>
        <v>-0.10104705882352939</v>
      </c>
    </row>
    <row r="280" spans="1:22">
      <c r="A280" s="18" t="s">
        <v>68</v>
      </c>
      <c r="B280">
        <v>2013</v>
      </c>
      <c r="C280" t="s">
        <v>120</v>
      </c>
      <c r="D280">
        <v>1</v>
      </c>
      <c r="E280" s="18" t="s">
        <v>29</v>
      </c>
      <c r="F280" s="18" t="s">
        <v>80</v>
      </c>
      <c r="G280" s="18" t="s">
        <v>25</v>
      </c>
      <c r="H280" s="18" t="str">
        <f>Assumptions!$B$2</f>
        <v>Worst</v>
      </c>
      <c r="I280" s="18">
        <f>_xlfn.XLOOKUP(Assumptions!$B$2,Assumptions!$F$4:$H$4,Assumptions!$F$5:$H$5)</f>
        <v>1200</v>
      </c>
      <c r="J280" s="18">
        <f>_xlfn.XLOOKUP(Assumptions!$B$2,Assumptions!$F$4:$H$4,Assumptions!$F$6:$H$6)</f>
        <v>17</v>
      </c>
      <c r="K280" s="12">
        <f>_xlfn.XLOOKUP(Assumptions!$B$2,Assumptions!$F$4:$H$4,Assumptions!$F$8:$H$8)</f>
        <v>0.1</v>
      </c>
      <c r="L280" s="12">
        <f>_xlfn.XLOOKUP(Assumptions!$B$2,Assumptions!$F$4:$H$4,Assumptions!$F$9:$H$9)</f>
        <v>0.18</v>
      </c>
      <c r="M280" s="18">
        <f>_xlfn.XLOOKUP(Assumptions!$B$2,Assumptions!$F$4:$H$4,Assumptions!$F$10:$H$10)</f>
        <v>18000</v>
      </c>
      <c r="N280" s="12">
        <f>_xlfn.XLOOKUP(Assumptions!$B$2,Assumptions!$F$4:$H$4,Assumptions!$F$11:$H$11)</f>
        <v>0.3</v>
      </c>
      <c r="O280" s="14">
        <f>Final_Table[[#This Row],[Units Sold]]*Final_Table[[#This Row],[Sale Price]]</f>
        <v>20400</v>
      </c>
      <c r="P280" s="14">
        <f>Final_Table[[#This Row],[Gross Revenue]]*(1-Final_Table[[#This Row],[Discount %]])</f>
        <v>18360</v>
      </c>
      <c r="Q280">
        <f>Final_Table[[#This Row],[Net Revenue]]*Final_Table[[#This Row],[Variable Cost %]]</f>
        <v>3304.7999999999997</v>
      </c>
      <c r="R280">
        <f>Final_Table[[#This Row],[Variable Cost]]+Final_Table[[#This Row],[Fixed Monthly Cost]]</f>
        <v>21304.799999999999</v>
      </c>
      <c r="S280" s="5">
        <f>Final_Table[[#This Row],[Net Revenue]]-Final_Table[[#This Row],[Total Cost (COGS)]]</f>
        <v>-2944.7999999999993</v>
      </c>
      <c r="T280">
        <f>Final_Table[[#This Row],[Gross Profit]]*Final_Table[[#This Row],[Tax Rate]]</f>
        <v>-883.43999999999971</v>
      </c>
      <c r="U280" s="5">
        <f>Final_Table[[#This Row],[Gross Profit]]-Final_Table[[#This Row],[Tax]]</f>
        <v>-2061.3599999999997</v>
      </c>
      <c r="V280" s="12">
        <f>Final_Table[[#This Row],[Net Profit]]/Final_Table[[#This Row],[Gross Revenue]]</f>
        <v>-0.10104705882352939</v>
      </c>
    </row>
    <row r="281" spans="1:22">
      <c r="A281" s="18" t="s">
        <v>68</v>
      </c>
      <c r="B281">
        <v>2013</v>
      </c>
      <c r="C281" t="s">
        <v>120</v>
      </c>
      <c r="D281">
        <v>1</v>
      </c>
      <c r="E281" s="18" t="s">
        <v>29</v>
      </c>
      <c r="F281" s="18" t="s">
        <v>80</v>
      </c>
      <c r="G281" s="18" t="s">
        <v>17</v>
      </c>
      <c r="H281" s="18" t="str">
        <f>Assumptions!$B$2</f>
        <v>Worst</v>
      </c>
      <c r="I281" s="18">
        <f>_xlfn.XLOOKUP(Assumptions!$B$2,Assumptions!$F$4:$H$4,Assumptions!$F$5:$H$5)</f>
        <v>1200</v>
      </c>
      <c r="J281" s="18">
        <f>_xlfn.XLOOKUP(Assumptions!$B$2,Assumptions!$F$4:$H$4,Assumptions!$F$6:$H$6)</f>
        <v>17</v>
      </c>
      <c r="K281" s="12">
        <f>_xlfn.XLOOKUP(Assumptions!$B$2,Assumptions!$F$4:$H$4,Assumptions!$F$8:$H$8)</f>
        <v>0.1</v>
      </c>
      <c r="L281" s="12">
        <f>_xlfn.XLOOKUP(Assumptions!$B$2,Assumptions!$F$4:$H$4,Assumptions!$F$9:$H$9)</f>
        <v>0.18</v>
      </c>
      <c r="M281" s="18">
        <f>_xlfn.XLOOKUP(Assumptions!$B$2,Assumptions!$F$4:$H$4,Assumptions!$F$10:$H$10)</f>
        <v>18000</v>
      </c>
      <c r="N281" s="12">
        <f>_xlfn.XLOOKUP(Assumptions!$B$2,Assumptions!$F$4:$H$4,Assumptions!$F$11:$H$11)</f>
        <v>0.3</v>
      </c>
      <c r="O281" s="14">
        <f>Final_Table[[#This Row],[Units Sold]]*Final_Table[[#This Row],[Sale Price]]</f>
        <v>20400</v>
      </c>
      <c r="P281" s="14">
        <f>Final_Table[[#This Row],[Gross Revenue]]*(1-Final_Table[[#This Row],[Discount %]])</f>
        <v>18360</v>
      </c>
      <c r="Q281">
        <f>Final_Table[[#This Row],[Net Revenue]]*Final_Table[[#This Row],[Variable Cost %]]</f>
        <v>3304.7999999999997</v>
      </c>
      <c r="R281">
        <f>Final_Table[[#This Row],[Variable Cost]]+Final_Table[[#This Row],[Fixed Monthly Cost]]</f>
        <v>21304.799999999999</v>
      </c>
      <c r="S281" s="5">
        <f>Final_Table[[#This Row],[Net Revenue]]-Final_Table[[#This Row],[Total Cost (COGS)]]</f>
        <v>-2944.7999999999993</v>
      </c>
      <c r="T281">
        <f>Final_Table[[#This Row],[Gross Profit]]*Final_Table[[#This Row],[Tax Rate]]</f>
        <v>-883.43999999999971</v>
      </c>
      <c r="U281" s="5">
        <f>Final_Table[[#This Row],[Gross Profit]]-Final_Table[[#This Row],[Tax]]</f>
        <v>-2061.3599999999997</v>
      </c>
      <c r="V281" s="12">
        <f>Final_Table[[#This Row],[Net Profit]]/Final_Table[[#This Row],[Gross Revenue]]</f>
        <v>-0.10104705882352939</v>
      </c>
    </row>
    <row r="282" spans="1:22">
      <c r="A282" s="18" t="s">
        <v>68</v>
      </c>
      <c r="B282">
        <v>2013</v>
      </c>
      <c r="C282" t="s">
        <v>120</v>
      </c>
      <c r="D282">
        <v>1</v>
      </c>
      <c r="E282" s="18" t="s">
        <v>29</v>
      </c>
      <c r="F282" s="18" t="s">
        <v>108</v>
      </c>
      <c r="G282" s="18" t="s">
        <v>36</v>
      </c>
      <c r="H282" s="18" t="str">
        <f>Assumptions!$B$2</f>
        <v>Worst</v>
      </c>
      <c r="I282" s="18">
        <f>_xlfn.XLOOKUP(Assumptions!$B$2,Assumptions!$F$4:$H$4,Assumptions!$F$5:$H$5)</f>
        <v>1200</v>
      </c>
      <c r="J282" s="18">
        <f>_xlfn.XLOOKUP(Assumptions!$B$2,Assumptions!$F$4:$H$4,Assumptions!$F$6:$H$6)</f>
        <v>17</v>
      </c>
      <c r="K282" s="12">
        <f>_xlfn.XLOOKUP(Assumptions!$B$2,Assumptions!$F$4:$H$4,Assumptions!$F$8:$H$8)</f>
        <v>0.1</v>
      </c>
      <c r="L282" s="12">
        <f>_xlfn.XLOOKUP(Assumptions!$B$2,Assumptions!$F$4:$H$4,Assumptions!$F$9:$H$9)</f>
        <v>0.18</v>
      </c>
      <c r="M282" s="18">
        <f>_xlfn.XLOOKUP(Assumptions!$B$2,Assumptions!$F$4:$H$4,Assumptions!$F$10:$H$10)</f>
        <v>18000</v>
      </c>
      <c r="N282" s="12">
        <f>_xlfn.XLOOKUP(Assumptions!$B$2,Assumptions!$F$4:$H$4,Assumptions!$F$11:$H$11)</f>
        <v>0.3</v>
      </c>
      <c r="O282" s="14">
        <f>Final_Table[[#This Row],[Units Sold]]*Final_Table[[#This Row],[Sale Price]]</f>
        <v>20400</v>
      </c>
      <c r="P282" s="14">
        <f>Final_Table[[#This Row],[Gross Revenue]]*(1-Final_Table[[#This Row],[Discount %]])</f>
        <v>18360</v>
      </c>
      <c r="Q282">
        <f>Final_Table[[#This Row],[Net Revenue]]*Final_Table[[#This Row],[Variable Cost %]]</f>
        <v>3304.7999999999997</v>
      </c>
      <c r="R282">
        <f>Final_Table[[#This Row],[Variable Cost]]+Final_Table[[#This Row],[Fixed Monthly Cost]]</f>
        <v>21304.799999999999</v>
      </c>
      <c r="S282" s="5">
        <f>Final_Table[[#This Row],[Net Revenue]]-Final_Table[[#This Row],[Total Cost (COGS)]]</f>
        <v>-2944.7999999999993</v>
      </c>
      <c r="T282">
        <f>Final_Table[[#This Row],[Gross Profit]]*Final_Table[[#This Row],[Tax Rate]]</f>
        <v>-883.43999999999971</v>
      </c>
      <c r="U282" s="5">
        <f>Final_Table[[#This Row],[Gross Profit]]-Final_Table[[#This Row],[Tax]]</f>
        <v>-2061.3599999999997</v>
      </c>
      <c r="V282" s="12">
        <f>Final_Table[[#This Row],[Net Profit]]/Final_Table[[#This Row],[Gross Revenue]]</f>
        <v>-0.10104705882352939</v>
      </c>
    </row>
    <row r="283" spans="1:22">
      <c r="A283" s="18" t="s">
        <v>68</v>
      </c>
      <c r="B283">
        <v>2013</v>
      </c>
      <c r="C283" t="s">
        <v>120</v>
      </c>
      <c r="D283">
        <v>1</v>
      </c>
      <c r="E283" s="18" t="s">
        <v>29</v>
      </c>
      <c r="F283" s="18" t="s">
        <v>108</v>
      </c>
      <c r="G283" s="18" t="s">
        <v>23</v>
      </c>
      <c r="H283" s="18" t="str">
        <f>Assumptions!$B$2</f>
        <v>Worst</v>
      </c>
      <c r="I283" s="18">
        <f>_xlfn.XLOOKUP(Assumptions!$B$2,Assumptions!$F$4:$H$4,Assumptions!$F$5:$H$5)</f>
        <v>1200</v>
      </c>
      <c r="J283" s="18">
        <f>_xlfn.XLOOKUP(Assumptions!$B$2,Assumptions!$F$4:$H$4,Assumptions!$F$6:$H$6)</f>
        <v>17</v>
      </c>
      <c r="K283" s="12">
        <f>_xlfn.XLOOKUP(Assumptions!$B$2,Assumptions!$F$4:$H$4,Assumptions!$F$8:$H$8)</f>
        <v>0.1</v>
      </c>
      <c r="L283" s="12">
        <f>_xlfn.XLOOKUP(Assumptions!$B$2,Assumptions!$F$4:$H$4,Assumptions!$F$9:$H$9)</f>
        <v>0.18</v>
      </c>
      <c r="M283" s="18">
        <f>_xlfn.XLOOKUP(Assumptions!$B$2,Assumptions!$F$4:$H$4,Assumptions!$F$10:$H$10)</f>
        <v>18000</v>
      </c>
      <c r="N283" s="12">
        <f>_xlfn.XLOOKUP(Assumptions!$B$2,Assumptions!$F$4:$H$4,Assumptions!$F$11:$H$11)</f>
        <v>0.3</v>
      </c>
      <c r="O283" s="14">
        <f>Final_Table[[#This Row],[Units Sold]]*Final_Table[[#This Row],[Sale Price]]</f>
        <v>20400</v>
      </c>
      <c r="P283" s="14">
        <f>Final_Table[[#This Row],[Gross Revenue]]*(1-Final_Table[[#This Row],[Discount %]])</f>
        <v>18360</v>
      </c>
      <c r="Q283">
        <f>Final_Table[[#This Row],[Net Revenue]]*Final_Table[[#This Row],[Variable Cost %]]</f>
        <v>3304.7999999999997</v>
      </c>
      <c r="R283">
        <f>Final_Table[[#This Row],[Variable Cost]]+Final_Table[[#This Row],[Fixed Monthly Cost]]</f>
        <v>21304.799999999999</v>
      </c>
      <c r="S283" s="5">
        <f>Final_Table[[#This Row],[Net Revenue]]-Final_Table[[#This Row],[Total Cost (COGS)]]</f>
        <v>-2944.7999999999993</v>
      </c>
      <c r="T283">
        <f>Final_Table[[#This Row],[Gross Profit]]*Final_Table[[#This Row],[Tax Rate]]</f>
        <v>-883.43999999999971</v>
      </c>
      <c r="U283" s="5">
        <f>Final_Table[[#This Row],[Gross Profit]]-Final_Table[[#This Row],[Tax]]</f>
        <v>-2061.3599999999997</v>
      </c>
      <c r="V283" s="12">
        <f>Final_Table[[#This Row],[Net Profit]]/Final_Table[[#This Row],[Gross Revenue]]</f>
        <v>-0.10104705882352939</v>
      </c>
    </row>
    <row r="284" spans="1:22">
      <c r="A284" s="18" t="s">
        <v>68</v>
      </c>
      <c r="B284">
        <v>2013</v>
      </c>
      <c r="C284" t="s">
        <v>120</v>
      </c>
      <c r="D284">
        <v>1</v>
      </c>
      <c r="E284" s="18" t="s">
        <v>29</v>
      </c>
      <c r="F284" s="18" t="s">
        <v>108</v>
      </c>
      <c r="G284" s="18" t="s">
        <v>21</v>
      </c>
      <c r="H284" s="18" t="str">
        <f>Assumptions!$B$2</f>
        <v>Worst</v>
      </c>
      <c r="I284" s="18">
        <f>_xlfn.XLOOKUP(Assumptions!$B$2,Assumptions!$F$4:$H$4,Assumptions!$F$5:$H$5)</f>
        <v>1200</v>
      </c>
      <c r="J284" s="18">
        <f>_xlfn.XLOOKUP(Assumptions!$B$2,Assumptions!$F$4:$H$4,Assumptions!$F$6:$H$6)</f>
        <v>17</v>
      </c>
      <c r="K284" s="12">
        <f>_xlfn.XLOOKUP(Assumptions!$B$2,Assumptions!$F$4:$H$4,Assumptions!$F$8:$H$8)</f>
        <v>0.1</v>
      </c>
      <c r="L284" s="12">
        <f>_xlfn.XLOOKUP(Assumptions!$B$2,Assumptions!$F$4:$H$4,Assumptions!$F$9:$H$9)</f>
        <v>0.18</v>
      </c>
      <c r="M284" s="18">
        <f>_xlfn.XLOOKUP(Assumptions!$B$2,Assumptions!$F$4:$H$4,Assumptions!$F$10:$H$10)</f>
        <v>18000</v>
      </c>
      <c r="N284" s="12">
        <f>_xlfn.XLOOKUP(Assumptions!$B$2,Assumptions!$F$4:$H$4,Assumptions!$F$11:$H$11)</f>
        <v>0.3</v>
      </c>
      <c r="O284" s="14">
        <f>Final_Table[[#This Row],[Units Sold]]*Final_Table[[#This Row],[Sale Price]]</f>
        <v>20400</v>
      </c>
      <c r="P284" s="14">
        <f>Final_Table[[#This Row],[Gross Revenue]]*(1-Final_Table[[#This Row],[Discount %]])</f>
        <v>18360</v>
      </c>
      <c r="Q284">
        <f>Final_Table[[#This Row],[Net Revenue]]*Final_Table[[#This Row],[Variable Cost %]]</f>
        <v>3304.7999999999997</v>
      </c>
      <c r="R284">
        <f>Final_Table[[#This Row],[Variable Cost]]+Final_Table[[#This Row],[Fixed Monthly Cost]]</f>
        <v>21304.799999999999</v>
      </c>
      <c r="S284" s="5">
        <f>Final_Table[[#This Row],[Net Revenue]]-Final_Table[[#This Row],[Total Cost (COGS)]]</f>
        <v>-2944.7999999999993</v>
      </c>
      <c r="T284">
        <f>Final_Table[[#This Row],[Gross Profit]]*Final_Table[[#This Row],[Tax Rate]]</f>
        <v>-883.43999999999971</v>
      </c>
      <c r="U284" s="5">
        <f>Final_Table[[#This Row],[Gross Profit]]-Final_Table[[#This Row],[Tax]]</f>
        <v>-2061.3599999999997</v>
      </c>
      <c r="V284" s="12">
        <f>Final_Table[[#This Row],[Net Profit]]/Final_Table[[#This Row],[Gross Revenue]]</f>
        <v>-0.10104705882352939</v>
      </c>
    </row>
    <row r="285" spans="1:22">
      <c r="A285" s="18" t="s">
        <v>68</v>
      </c>
      <c r="B285">
        <v>2013</v>
      </c>
      <c r="C285" t="s">
        <v>120</v>
      </c>
      <c r="D285">
        <v>1</v>
      </c>
      <c r="E285" s="18" t="s">
        <v>29</v>
      </c>
      <c r="F285" s="18" t="s">
        <v>108</v>
      </c>
      <c r="G285" s="18" t="s">
        <v>25</v>
      </c>
      <c r="H285" s="18" t="str">
        <f>Assumptions!$B$2</f>
        <v>Worst</v>
      </c>
      <c r="I285" s="18">
        <f>_xlfn.XLOOKUP(Assumptions!$B$2,Assumptions!$F$4:$H$4,Assumptions!$F$5:$H$5)</f>
        <v>1200</v>
      </c>
      <c r="J285" s="18">
        <f>_xlfn.XLOOKUP(Assumptions!$B$2,Assumptions!$F$4:$H$4,Assumptions!$F$6:$H$6)</f>
        <v>17</v>
      </c>
      <c r="K285" s="12">
        <f>_xlfn.XLOOKUP(Assumptions!$B$2,Assumptions!$F$4:$H$4,Assumptions!$F$8:$H$8)</f>
        <v>0.1</v>
      </c>
      <c r="L285" s="12">
        <f>_xlfn.XLOOKUP(Assumptions!$B$2,Assumptions!$F$4:$H$4,Assumptions!$F$9:$H$9)</f>
        <v>0.18</v>
      </c>
      <c r="M285" s="18">
        <f>_xlfn.XLOOKUP(Assumptions!$B$2,Assumptions!$F$4:$H$4,Assumptions!$F$10:$H$10)</f>
        <v>18000</v>
      </c>
      <c r="N285" s="12">
        <f>_xlfn.XLOOKUP(Assumptions!$B$2,Assumptions!$F$4:$H$4,Assumptions!$F$11:$H$11)</f>
        <v>0.3</v>
      </c>
      <c r="O285" s="14">
        <f>Final_Table[[#This Row],[Units Sold]]*Final_Table[[#This Row],[Sale Price]]</f>
        <v>20400</v>
      </c>
      <c r="P285" s="14">
        <f>Final_Table[[#This Row],[Gross Revenue]]*(1-Final_Table[[#This Row],[Discount %]])</f>
        <v>18360</v>
      </c>
      <c r="Q285">
        <f>Final_Table[[#This Row],[Net Revenue]]*Final_Table[[#This Row],[Variable Cost %]]</f>
        <v>3304.7999999999997</v>
      </c>
      <c r="R285">
        <f>Final_Table[[#This Row],[Variable Cost]]+Final_Table[[#This Row],[Fixed Monthly Cost]]</f>
        <v>21304.799999999999</v>
      </c>
      <c r="S285" s="5">
        <f>Final_Table[[#This Row],[Net Revenue]]-Final_Table[[#This Row],[Total Cost (COGS)]]</f>
        <v>-2944.7999999999993</v>
      </c>
      <c r="T285">
        <f>Final_Table[[#This Row],[Gross Profit]]*Final_Table[[#This Row],[Tax Rate]]</f>
        <v>-883.43999999999971</v>
      </c>
      <c r="U285" s="5">
        <f>Final_Table[[#This Row],[Gross Profit]]-Final_Table[[#This Row],[Tax]]</f>
        <v>-2061.3599999999997</v>
      </c>
      <c r="V285" s="12">
        <f>Final_Table[[#This Row],[Net Profit]]/Final_Table[[#This Row],[Gross Revenue]]</f>
        <v>-0.10104705882352939</v>
      </c>
    </row>
    <row r="286" spans="1:22">
      <c r="A286" s="18" t="s">
        <v>68</v>
      </c>
      <c r="B286">
        <v>2013</v>
      </c>
      <c r="C286" t="s">
        <v>120</v>
      </c>
      <c r="D286">
        <v>1</v>
      </c>
      <c r="E286" s="18" t="s">
        <v>29</v>
      </c>
      <c r="F286" s="18" t="s">
        <v>108</v>
      </c>
      <c r="G286" s="18" t="s">
        <v>17</v>
      </c>
      <c r="H286" s="18" t="str">
        <f>Assumptions!$B$2</f>
        <v>Worst</v>
      </c>
      <c r="I286" s="18">
        <f>_xlfn.XLOOKUP(Assumptions!$B$2,Assumptions!$F$4:$H$4,Assumptions!$F$5:$H$5)</f>
        <v>1200</v>
      </c>
      <c r="J286" s="18">
        <f>_xlfn.XLOOKUP(Assumptions!$B$2,Assumptions!$F$4:$H$4,Assumptions!$F$6:$H$6)</f>
        <v>17</v>
      </c>
      <c r="K286" s="12">
        <f>_xlfn.XLOOKUP(Assumptions!$B$2,Assumptions!$F$4:$H$4,Assumptions!$F$8:$H$8)</f>
        <v>0.1</v>
      </c>
      <c r="L286" s="12">
        <f>_xlfn.XLOOKUP(Assumptions!$B$2,Assumptions!$F$4:$H$4,Assumptions!$F$9:$H$9)</f>
        <v>0.18</v>
      </c>
      <c r="M286" s="18">
        <f>_xlfn.XLOOKUP(Assumptions!$B$2,Assumptions!$F$4:$H$4,Assumptions!$F$10:$H$10)</f>
        <v>18000</v>
      </c>
      <c r="N286" s="12">
        <f>_xlfn.XLOOKUP(Assumptions!$B$2,Assumptions!$F$4:$H$4,Assumptions!$F$11:$H$11)</f>
        <v>0.3</v>
      </c>
      <c r="O286" s="14">
        <f>Final_Table[[#This Row],[Units Sold]]*Final_Table[[#This Row],[Sale Price]]</f>
        <v>20400</v>
      </c>
      <c r="P286" s="14">
        <f>Final_Table[[#This Row],[Gross Revenue]]*(1-Final_Table[[#This Row],[Discount %]])</f>
        <v>18360</v>
      </c>
      <c r="Q286">
        <f>Final_Table[[#This Row],[Net Revenue]]*Final_Table[[#This Row],[Variable Cost %]]</f>
        <v>3304.7999999999997</v>
      </c>
      <c r="R286">
        <f>Final_Table[[#This Row],[Variable Cost]]+Final_Table[[#This Row],[Fixed Monthly Cost]]</f>
        <v>21304.799999999999</v>
      </c>
      <c r="S286" s="5">
        <f>Final_Table[[#This Row],[Net Revenue]]-Final_Table[[#This Row],[Total Cost (COGS)]]</f>
        <v>-2944.7999999999993</v>
      </c>
      <c r="T286">
        <f>Final_Table[[#This Row],[Gross Profit]]*Final_Table[[#This Row],[Tax Rate]]</f>
        <v>-883.43999999999971</v>
      </c>
      <c r="U286" s="5">
        <f>Final_Table[[#This Row],[Gross Profit]]-Final_Table[[#This Row],[Tax]]</f>
        <v>-2061.3599999999997</v>
      </c>
      <c r="V286" s="12">
        <f>Final_Table[[#This Row],[Net Profit]]/Final_Table[[#This Row],[Gross Revenue]]</f>
        <v>-0.10104705882352939</v>
      </c>
    </row>
    <row r="287" spans="1:22">
      <c r="A287" s="18" t="s">
        <v>68</v>
      </c>
      <c r="B287">
        <v>2013</v>
      </c>
      <c r="C287" t="s">
        <v>120</v>
      </c>
      <c r="D287">
        <v>1</v>
      </c>
      <c r="E287" s="18" t="s">
        <v>29</v>
      </c>
      <c r="F287" s="18" t="s">
        <v>112</v>
      </c>
      <c r="G287" s="18" t="s">
        <v>36</v>
      </c>
      <c r="H287" s="18" t="str">
        <f>Assumptions!$B$2</f>
        <v>Worst</v>
      </c>
      <c r="I287" s="18">
        <f>_xlfn.XLOOKUP(Assumptions!$B$2,Assumptions!$F$4:$H$4,Assumptions!$F$5:$H$5)</f>
        <v>1200</v>
      </c>
      <c r="J287" s="18">
        <f>_xlfn.XLOOKUP(Assumptions!$B$2,Assumptions!$F$4:$H$4,Assumptions!$F$6:$H$6)</f>
        <v>17</v>
      </c>
      <c r="K287" s="12">
        <f>_xlfn.XLOOKUP(Assumptions!$B$2,Assumptions!$F$4:$H$4,Assumptions!$F$8:$H$8)</f>
        <v>0.1</v>
      </c>
      <c r="L287" s="12">
        <f>_xlfn.XLOOKUP(Assumptions!$B$2,Assumptions!$F$4:$H$4,Assumptions!$F$9:$H$9)</f>
        <v>0.18</v>
      </c>
      <c r="M287" s="18">
        <f>_xlfn.XLOOKUP(Assumptions!$B$2,Assumptions!$F$4:$H$4,Assumptions!$F$10:$H$10)</f>
        <v>18000</v>
      </c>
      <c r="N287" s="12">
        <f>_xlfn.XLOOKUP(Assumptions!$B$2,Assumptions!$F$4:$H$4,Assumptions!$F$11:$H$11)</f>
        <v>0.3</v>
      </c>
      <c r="O287" s="14">
        <f>Final_Table[[#This Row],[Units Sold]]*Final_Table[[#This Row],[Sale Price]]</f>
        <v>20400</v>
      </c>
      <c r="P287" s="14">
        <f>Final_Table[[#This Row],[Gross Revenue]]*(1-Final_Table[[#This Row],[Discount %]])</f>
        <v>18360</v>
      </c>
      <c r="Q287">
        <f>Final_Table[[#This Row],[Net Revenue]]*Final_Table[[#This Row],[Variable Cost %]]</f>
        <v>3304.7999999999997</v>
      </c>
      <c r="R287">
        <f>Final_Table[[#This Row],[Variable Cost]]+Final_Table[[#This Row],[Fixed Monthly Cost]]</f>
        <v>21304.799999999999</v>
      </c>
      <c r="S287" s="5">
        <f>Final_Table[[#This Row],[Net Revenue]]-Final_Table[[#This Row],[Total Cost (COGS)]]</f>
        <v>-2944.7999999999993</v>
      </c>
      <c r="T287">
        <f>Final_Table[[#This Row],[Gross Profit]]*Final_Table[[#This Row],[Tax Rate]]</f>
        <v>-883.43999999999971</v>
      </c>
      <c r="U287" s="5">
        <f>Final_Table[[#This Row],[Gross Profit]]-Final_Table[[#This Row],[Tax]]</f>
        <v>-2061.3599999999997</v>
      </c>
      <c r="V287" s="12">
        <f>Final_Table[[#This Row],[Net Profit]]/Final_Table[[#This Row],[Gross Revenue]]</f>
        <v>-0.10104705882352939</v>
      </c>
    </row>
    <row r="288" spans="1:22">
      <c r="A288" s="18" t="s">
        <v>68</v>
      </c>
      <c r="B288">
        <v>2013</v>
      </c>
      <c r="C288" t="s">
        <v>120</v>
      </c>
      <c r="D288">
        <v>1</v>
      </c>
      <c r="E288" s="18" t="s">
        <v>29</v>
      </c>
      <c r="F288" s="18" t="s">
        <v>112</v>
      </c>
      <c r="G288" s="18" t="s">
        <v>23</v>
      </c>
      <c r="H288" s="18" t="str">
        <f>Assumptions!$B$2</f>
        <v>Worst</v>
      </c>
      <c r="I288" s="18">
        <f>_xlfn.XLOOKUP(Assumptions!$B$2,Assumptions!$F$4:$H$4,Assumptions!$F$5:$H$5)</f>
        <v>1200</v>
      </c>
      <c r="J288" s="18">
        <f>_xlfn.XLOOKUP(Assumptions!$B$2,Assumptions!$F$4:$H$4,Assumptions!$F$6:$H$6)</f>
        <v>17</v>
      </c>
      <c r="K288" s="12">
        <f>_xlfn.XLOOKUP(Assumptions!$B$2,Assumptions!$F$4:$H$4,Assumptions!$F$8:$H$8)</f>
        <v>0.1</v>
      </c>
      <c r="L288" s="12">
        <f>_xlfn.XLOOKUP(Assumptions!$B$2,Assumptions!$F$4:$H$4,Assumptions!$F$9:$H$9)</f>
        <v>0.18</v>
      </c>
      <c r="M288" s="18">
        <f>_xlfn.XLOOKUP(Assumptions!$B$2,Assumptions!$F$4:$H$4,Assumptions!$F$10:$H$10)</f>
        <v>18000</v>
      </c>
      <c r="N288" s="12">
        <f>_xlfn.XLOOKUP(Assumptions!$B$2,Assumptions!$F$4:$H$4,Assumptions!$F$11:$H$11)</f>
        <v>0.3</v>
      </c>
      <c r="O288" s="14">
        <f>Final_Table[[#This Row],[Units Sold]]*Final_Table[[#This Row],[Sale Price]]</f>
        <v>20400</v>
      </c>
      <c r="P288" s="14">
        <f>Final_Table[[#This Row],[Gross Revenue]]*(1-Final_Table[[#This Row],[Discount %]])</f>
        <v>18360</v>
      </c>
      <c r="Q288">
        <f>Final_Table[[#This Row],[Net Revenue]]*Final_Table[[#This Row],[Variable Cost %]]</f>
        <v>3304.7999999999997</v>
      </c>
      <c r="R288">
        <f>Final_Table[[#This Row],[Variable Cost]]+Final_Table[[#This Row],[Fixed Monthly Cost]]</f>
        <v>21304.799999999999</v>
      </c>
      <c r="S288" s="5">
        <f>Final_Table[[#This Row],[Net Revenue]]-Final_Table[[#This Row],[Total Cost (COGS)]]</f>
        <v>-2944.7999999999993</v>
      </c>
      <c r="T288">
        <f>Final_Table[[#This Row],[Gross Profit]]*Final_Table[[#This Row],[Tax Rate]]</f>
        <v>-883.43999999999971</v>
      </c>
      <c r="U288" s="5">
        <f>Final_Table[[#This Row],[Gross Profit]]-Final_Table[[#This Row],[Tax]]</f>
        <v>-2061.3599999999997</v>
      </c>
      <c r="V288" s="12">
        <f>Final_Table[[#This Row],[Net Profit]]/Final_Table[[#This Row],[Gross Revenue]]</f>
        <v>-0.10104705882352939</v>
      </c>
    </row>
    <row r="289" spans="1:22">
      <c r="A289" s="18" t="s">
        <v>68</v>
      </c>
      <c r="B289">
        <v>2013</v>
      </c>
      <c r="C289" t="s">
        <v>120</v>
      </c>
      <c r="D289">
        <v>1</v>
      </c>
      <c r="E289" s="18" t="s">
        <v>29</v>
      </c>
      <c r="F289" s="18" t="s">
        <v>112</v>
      </c>
      <c r="G289" s="18" t="s">
        <v>21</v>
      </c>
      <c r="H289" s="18" t="str">
        <f>Assumptions!$B$2</f>
        <v>Worst</v>
      </c>
      <c r="I289" s="18">
        <f>_xlfn.XLOOKUP(Assumptions!$B$2,Assumptions!$F$4:$H$4,Assumptions!$F$5:$H$5)</f>
        <v>1200</v>
      </c>
      <c r="J289" s="18">
        <f>_xlfn.XLOOKUP(Assumptions!$B$2,Assumptions!$F$4:$H$4,Assumptions!$F$6:$H$6)</f>
        <v>17</v>
      </c>
      <c r="K289" s="12">
        <f>_xlfn.XLOOKUP(Assumptions!$B$2,Assumptions!$F$4:$H$4,Assumptions!$F$8:$H$8)</f>
        <v>0.1</v>
      </c>
      <c r="L289" s="12">
        <f>_xlfn.XLOOKUP(Assumptions!$B$2,Assumptions!$F$4:$H$4,Assumptions!$F$9:$H$9)</f>
        <v>0.18</v>
      </c>
      <c r="M289" s="18">
        <f>_xlfn.XLOOKUP(Assumptions!$B$2,Assumptions!$F$4:$H$4,Assumptions!$F$10:$H$10)</f>
        <v>18000</v>
      </c>
      <c r="N289" s="12">
        <f>_xlfn.XLOOKUP(Assumptions!$B$2,Assumptions!$F$4:$H$4,Assumptions!$F$11:$H$11)</f>
        <v>0.3</v>
      </c>
      <c r="O289" s="14">
        <f>Final_Table[[#This Row],[Units Sold]]*Final_Table[[#This Row],[Sale Price]]</f>
        <v>20400</v>
      </c>
      <c r="P289" s="14">
        <f>Final_Table[[#This Row],[Gross Revenue]]*(1-Final_Table[[#This Row],[Discount %]])</f>
        <v>18360</v>
      </c>
      <c r="Q289">
        <f>Final_Table[[#This Row],[Net Revenue]]*Final_Table[[#This Row],[Variable Cost %]]</f>
        <v>3304.7999999999997</v>
      </c>
      <c r="R289">
        <f>Final_Table[[#This Row],[Variable Cost]]+Final_Table[[#This Row],[Fixed Monthly Cost]]</f>
        <v>21304.799999999999</v>
      </c>
      <c r="S289" s="5">
        <f>Final_Table[[#This Row],[Net Revenue]]-Final_Table[[#This Row],[Total Cost (COGS)]]</f>
        <v>-2944.7999999999993</v>
      </c>
      <c r="T289">
        <f>Final_Table[[#This Row],[Gross Profit]]*Final_Table[[#This Row],[Tax Rate]]</f>
        <v>-883.43999999999971</v>
      </c>
      <c r="U289" s="5">
        <f>Final_Table[[#This Row],[Gross Profit]]-Final_Table[[#This Row],[Tax]]</f>
        <v>-2061.3599999999997</v>
      </c>
      <c r="V289" s="12">
        <f>Final_Table[[#This Row],[Net Profit]]/Final_Table[[#This Row],[Gross Revenue]]</f>
        <v>-0.10104705882352939</v>
      </c>
    </row>
    <row r="290" spans="1:22">
      <c r="A290" s="18" t="s">
        <v>68</v>
      </c>
      <c r="B290">
        <v>2013</v>
      </c>
      <c r="C290" t="s">
        <v>120</v>
      </c>
      <c r="D290">
        <v>1</v>
      </c>
      <c r="E290" s="18" t="s">
        <v>29</v>
      </c>
      <c r="F290" s="18" t="s">
        <v>112</v>
      </c>
      <c r="G290" s="18" t="s">
        <v>25</v>
      </c>
      <c r="H290" s="18" t="str">
        <f>Assumptions!$B$2</f>
        <v>Worst</v>
      </c>
      <c r="I290" s="18">
        <f>_xlfn.XLOOKUP(Assumptions!$B$2,Assumptions!$F$4:$H$4,Assumptions!$F$5:$H$5)</f>
        <v>1200</v>
      </c>
      <c r="J290" s="18">
        <f>_xlfn.XLOOKUP(Assumptions!$B$2,Assumptions!$F$4:$H$4,Assumptions!$F$6:$H$6)</f>
        <v>17</v>
      </c>
      <c r="K290" s="12">
        <f>_xlfn.XLOOKUP(Assumptions!$B$2,Assumptions!$F$4:$H$4,Assumptions!$F$8:$H$8)</f>
        <v>0.1</v>
      </c>
      <c r="L290" s="12">
        <f>_xlfn.XLOOKUP(Assumptions!$B$2,Assumptions!$F$4:$H$4,Assumptions!$F$9:$H$9)</f>
        <v>0.18</v>
      </c>
      <c r="M290" s="18">
        <f>_xlfn.XLOOKUP(Assumptions!$B$2,Assumptions!$F$4:$H$4,Assumptions!$F$10:$H$10)</f>
        <v>18000</v>
      </c>
      <c r="N290" s="12">
        <f>_xlfn.XLOOKUP(Assumptions!$B$2,Assumptions!$F$4:$H$4,Assumptions!$F$11:$H$11)</f>
        <v>0.3</v>
      </c>
      <c r="O290" s="14">
        <f>Final_Table[[#This Row],[Units Sold]]*Final_Table[[#This Row],[Sale Price]]</f>
        <v>20400</v>
      </c>
      <c r="P290" s="14">
        <f>Final_Table[[#This Row],[Gross Revenue]]*(1-Final_Table[[#This Row],[Discount %]])</f>
        <v>18360</v>
      </c>
      <c r="Q290">
        <f>Final_Table[[#This Row],[Net Revenue]]*Final_Table[[#This Row],[Variable Cost %]]</f>
        <v>3304.7999999999997</v>
      </c>
      <c r="R290">
        <f>Final_Table[[#This Row],[Variable Cost]]+Final_Table[[#This Row],[Fixed Monthly Cost]]</f>
        <v>21304.799999999999</v>
      </c>
      <c r="S290" s="5">
        <f>Final_Table[[#This Row],[Net Revenue]]-Final_Table[[#This Row],[Total Cost (COGS)]]</f>
        <v>-2944.7999999999993</v>
      </c>
      <c r="T290">
        <f>Final_Table[[#This Row],[Gross Profit]]*Final_Table[[#This Row],[Tax Rate]]</f>
        <v>-883.43999999999971</v>
      </c>
      <c r="U290" s="5">
        <f>Final_Table[[#This Row],[Gross Profit]]-Final_Table[[#This Row],[Tax]]</f>
        <v>-2061.3599999999997</v>
      </c>
      <c r="V290" s="12">
        <f>Final_Table[[#This Row],[Net Profit]]/Final_Table[[#This Row],[Gross Revenue]]</f>
        <v>-0.10104705882352939</v>
      </c>
    </row>
    <row r="291" spans="1:22">
      <c r="A291" s="18" t="s">
        <v>68</v>
      </c>
      <c r="B291">
        <v>2013</v>
      </c>
      <c r="C291" t="s">
        <v>120</v>
      </c>
      <c r="D291">
        <v>1</v>
      </c>
      <c r="E291" s="18" t="s">
        <v>29</v>
      </c>
      <c r="F291" s="18" t="s">
        <v>112</v>
      </c>
      <c r="G291" s="18" t="s">
        <v>17</v>
      </c>
      <c r="H291" s="18" t="str">
        <f>Assumptions!$B$2</f>
        <v>Worst</v>
      </c>
      <c r="I291" s="18">
        <f>_xlfn.XLOOKUP(Assumptions!$B$2,Assumptions!$F$4:$H$4,Assumptions!$F$5:$H$5)</f>
        <v>1200</v>
      </c>
      <c r="J291" s="18">
        <f>_xlfn.XLOOKUP(Assumptions!$B$2,Assumptions!$F$4:$H$4,Assumptions!$F$6:$H$6)</f>
        <v>17</v>
      </c>
      <c r="K291" s="12">
        <f>_xlfn.XLOOKUP(Assumptions!$B$2,Assumptions!$F$4:$H$4,Assumptions!$F$8:$H$8)</f>
        <v>0.1</v>
      </c>
      <c r="L291" s="12">
        <f>_xlfn.XLOOKUP(Assumptions!$B$2,Assumptions!$F$4:$H$4,Assumptions!$F$9:$H$9)</f>
        <v>0.18</v>
      </c>
      <c r="M291" s="18">
        <f>_xlfn.XLOOKUP(Assumptions!$B$2,Assumptions!$F$4:$H$4,Assumptions!$F$10:$H$10)</f>
        <v>18000</v>
      </c>
      <c r="N291" s="12">
        <f>_xlfn.XLOOKUP(Assumptions!$B$2,Assumptions!$F$4:$H$4,Assumptions!$F$11:$H$11)</f>
        <v>0.3</v>
      </c>
      <c r="O291" s="14">
        <f>Final_Table[[#This Row],[Units Sold]]*Final_Table[[#This Row],[Sale Price]]</f>
        <v>20400</v>
      </c>
      <c r="P291" s="14">
        <f>Final_Table[[#This Row],[Gross Revenue]]*(1-Final_Table[[#This Row],[Discount %]])</f>
        <v>18360</v>
      </c>
      <c r="Q291">
        <f>Final_Table[[#This Row],[Net Revenue]]*Final_Table[[#This Row],[Variable Cost %]]</f>
        <v>3304.7999999999997</v>
      </c>
      <c r="R291">
        <f>Final_Table[[#This Row],[Variable Cost]]+Final_Table[[#This Row],[Fixed Monthly Cost]]</f>
        <v>21304.799999999999</v>
      </c>
      <c r="S291" s="5">
        <f>Final_Table[[#This Row],[Net Revenue]]-Final_Table[[#This Row],[Total Cost (COGS)]]</f>
        <v>-2944.7999999999993</v>
      </c>
      <c r="T291">
        <f>Final_Table[[#This Row],[Gross Profit]]*Final_Table[[#This Row],[Tax Rate]]</f>
        <v>-883.43999999999971</v>
      </c>
      <c r="U291" s="5">
        <f>Final_Table[[#This Row],[Gross Profit]]-Final_Table[[#This Row],[Tax]]</f>
        <v>-2061.3599999999997</v>
      </c>
      <c r="V291" s="12">
        <f>Final_Table[[#This Row],[Net Profit]]/Final_Table[[#This Row],[Gross Revenue]]</f>
        <v>-0.10104705882352939</v>
      </c>
    </row>
    <row r="292" spans="1:22">
      <c r="A292" s="18" t="s">
        <v>68</v>
      </c>
      <c r="B292">
        <v>2013</v>
      </c>
      <c r="C292" t="s">
        <v>120</v>
      </c>
      <c r="D292">
        <v>1</v>
      </c>
      <c r="E292" s="18" t="s">
        <v>29</v>
      </c>
      <c r="F292" s="18" t="s">
        <v>113</v>
      </c>
      <c r="G292" s="18" t="s">
        <v>36</v>
      </c>
      <c r="H292" s="18" t="str">
        <f>Assumptions!$B$2</f>
        <v>Worst</v>
      </c>
      <c r="I292" s="18">
        <f>_xlfn.XLOOKUP(Assumptions!$B$2,Assumptions!$F$4:$H$4,Assumptions!$F$5:$H$5)</f>
        <v>1200</v>
      </c>
      <c r="J292" s="18">
        <f>_xlfn.XLOOKUP(Assumptions!$B$2,Assumptions!$F$4:$H$4,Assumptions!$F$6:$H$6)</f>
        <v>17</v>
      </c>
      <c r="K292" s="12">
        <f>_xlfn.XLOOKUP(Assumptions!$B$2,Assumptions!$F$4:$H$4,Assumptions!$F$8:$H$8)</f>
        <v>0.1</v>
      </c>
      <c r="L292" s="12">
        <f>_xlfn.XLOOKUP(Assumptions!$B$2,Assumptions!$F$4:$H$4,Assumptions!$F$9:$H$9)</f>
        <v>0.18</v>
      </c>
      <c r="M292" s="18">
        <f>_xlfn.XLOOKUP(Assumptions!$B$2,Assumptions!$F$4:$H$4,Assumptions!$F$10:$H$10)</f>
        <v>18000</v>
      </c>
      <c r="N292" s="12">
        <f>_xlfn.XLOOKUP(Assumptions!$B$2,Assumptions!$F$4:$H$4,Assumptions!$F$11:$H$11)</f>
        <v>0.3</v>
      </c>
      <c r="O292" s="14">
        <f>Final_Table[[#This Row],[Units Sold]]*Final_Table[[#This Row],[Sale Price]]</f>
        <v>20400</v>
      </c>
      <c r="P292" s="14">
        <f>Final_Table[[#This Row],[Gross Revenue]]*(1-Final_Table[[#This Row],[Discount %]])</f>
        <v>18360</v>
      </c>
      <c r="Q292">
        <f>Final_Table[[#This Row],[Net Revenue]]*Final_Table[[#This Row],[Variable Cost %]]</f>
        <v>3304.7999999999997</v>
      </c>
      <c r="R292">
        <f>Final_Table[[#This Row],[Variable Cost]]+Final_Table[[#This Row],[Fixed Monthly Cost]]</f>
        <v>21304.799999999999</v>
      </c>
      <c r="S292" s="5">
        <f>Final_Table[[#This Row],[Net Revenue]]-Final_Table[[#This Row],[Total Cost (COGS)]]</f>
        <v>-2944.7999999999993</v>
      </c>
      <c r="T292">
        <f>Final_Table[[#This Row],[Gross Profit]]*Final_Table[[#This Row],[Tax Rate]]</f>
        <v>-883.43999999999971</v>
      </c>
      <c r="U292" s="5">
        <f>Final_Table[[#This Row],[Gross Profit]]-Final_Table[[#This Row],[Tax]]</f>
        <v>-2061.3599999999997</v>
      </c>
      <c r="V292" s="12">
        <f>Final_Table[[#This Row],[Net Profit]]/Final_Table[[#This Row],[Gross Revenue]]</f>
        <v>-0.10104705882352939</v>
      </c>
    </row>
    <row r="293" spans="1:22">
      <c r="A293" s="18" t="s">
        <v>68</v>
      </c>
      <c r="B293">
        <v>2013</v>
      </c>
      <c r="C293" t="s">
        <v>120</v>
      </c>
      <c r="D293">
        <v>1</v>
      </c>
      <c r="E293" s="18" t="s">
        <v>29</v>
      </c>
      <c r="F293" s="18" t="s">
        <v>113</v>
      </c>
      <c r="G293" s="18" t="s">
        <v>23</v>
      </c>
      <c r="H293" s="18" t="str">
        <f>Assumptions!$B$2</f>
        <v>Worst</v>
      </c>
      <c r="I293" s="18">
        <f>_xlfn.XLOOKUP(Assumptions!$B$2,Assumptions!$F$4:$H$4,Assumptions!$F$5:$H$5)</f>
        <v>1200</v>
      </c>
      <c r="J293" s="18">
        <f>_xlfn.XLOOKUP(Assumptions!$B$2,Assumptions!$F$4:$H$4,Assumptions!$F$6:$H$6)</f>
        <v>17</v>
      </c>
      <c r="K293" s="12">
        <f>_xlfn.XLOOKUP(Assumptions!$B$2,Assumptions!$F$4:$H$4,Assumptions!$F$8:$H$8)</f>
        <v>0.1</v>
      </c>
      <c r="L293" s="12">
        <f>_xlfn.XLOOKUP(Assumptions!$B$2,Assumptions!$F$4:$H$4,Assumptions!$F$9:$H$9)</f>
        <v>0.18</v>
      </c>
      <c r="M293" s="18">
        <f>_xlfn.XLOOKUP(Assumptions!$B$2,Assumptions!$F$4:$H$4,Assumptions!$F$10:$H$10)</f>
        <v>18000</v>
      </c>
      <c r="N293" s="12">
        <f>_xlfn.XLOOKUP(Assumptions!$B$2,Assumptions!$F$4:$H$4,Assumptions!$F$11:$H$11)</f>
        <v>0.3</v>
      </c>
      <c r="O293" s="14">
        <f>Final_Table[[#This Row],[Units Sold]]*Final_Table[[#This Row],[Sale Price]]</f>
        <v>20400</v>
      </c>
      <c r="P293" s="14">
        <f>Final_Table[[#This Row],[Gross Revenue]]*(1-Final_Table[[#This Row],[Discount %]])</f>
        <v>18360</v>
      </c>
      <c r="Q293">
        <f>Final_Table[[#This Row],[Net Revenue]]*Final_Table[[#This Row],[Variable Cost %]]</f>
        <v>3304.7999999999997</v>
      </c>
      <c r="R293">
        <f>Final_Table[[#This Row],[Variable Cost]]+Final_Table[[#This Row],[Fixed Monthly Cost]]</f>
        <v>21304.799999999999</v>
      </c>
      <c r="S293" s="5">
        <f>Final_Table[[#This Row],[Net Revenue]]-Final_Table[[#This Row],[Total Cost (COGS)]]</f>
        <v>-2944.7999999999993</v>
      </c>
      <c r="T293">
        <f>Final_Table[[#This Row],[Gross Profit]]*Final_Table[[#This Row],[Tax Rate]]</f>
        <v>-883.43999999999971</v>
      </c>
      <c r="U293" s="5">
        <f>Final_Table[[#This Row],[Gross Profit]]-Final_Table[[#This Row],[Tax]]</f>
        <v>-2061.3599999999997</v>
      </c>
      <c r="V293" s="12">
        <f>Final_Table[[#This Row],[Net Profit]]/Final_Table[[#This Row],[Gross Revenue]]</f>
        <v>-0.10104705882352939</v>
      </c>
    </row>
    <row r="294" spans="1:22">
      <c r="A294" s="18" t="s">
        <v>68</v>
      </c>
      <c r="B294">
        <v>2013</v>
      </c>
      <c r="C294" t="s">
        <v>120</v>
      </c>
      <c r="D294">
        <v>1</v>
      </c>
      <c r="E294" s="18" t="s">
        <v>29</v>
      </c>
      <c r="F294" s="18" t="s">
        <v>113</v>
      </c>
      <c r="G294" s="18" t="s">
        <v>21</v>
      </c>
      <c r="H294" s="18" t="str">
        <f>Assumptions!$B$2</f>
        <v>Worst</v>
      </c>
      <c r="I294" s="18">
        <f>_xlfn.XLOOKUP(Assumptions!$B$2,Assumptions!$F$4:$H$4,Assumptions!$F$5:$H$5)</f>
        <v>1200</v>
      </c>
      <c r="J294" s="18">
        <f>_xlfn.XLOOKUP(Assumptions!$B$2,Assumptions!$F$4:$H$4,Assumptions!$F$6:$H$6)</f>
        <v>17</v>
      </c>
      <c r="K294" s="12">
        <f>_xlfn.XLOOKUP(Assumptions!$B$2,Assumptions!$F$4:$H$4,Assumptions!$F$8:$H$8)</f>
        <v>0.1</v>
      </c>
      <c r="L294" s="12">
        <f>_xlfn.XLOOKUP(Assumptions!$B$2,Assumptions!$F$4:$H$4,Assumptions!$F$9:$H$9)</f>
        <v>0.18</v>
      </c>
      <c r="M294" s="18">
        <f>_xlfn.XLOOKUP(Assumptions!$B$2,Assumptions!$F$4:$H$4,Assumptions!$F$10:$H$10)</f>
        <v>18000</v>
      </c>
      <c r="N294" s="12">
        <f>_xlfn.XLOOKUP(Assumptions!$B$2,Assumptions!$F$4:$H$4,Assumptions!$F$11:$H$11)</f>
        <v>0.3</v>
      </c>
      <c r="O294" s="14">
        <f>Final_Table[[#This Row],[Units Sold]]*Final_Table[[#This Row],[Sale Price]]</f>
        <v>20400</v>
      </c>
      <c r="P294" s="14">
        <f>Final_Table[[#This Row],[Gross Revenue]]*(1-Final_Table[[#This Row],[Discount %]])</f>
        <v>18360</v>
      </c>
      <c r="Q294">
        <f>Final_Table[[#This Row],[Net Revenue]]*Final_Table[[#This Row],[Variable Cost %]]</f>
        <v>3304.7999999999997</v>
      </c>
      <c r="R294">
        <f>Final_Table[[#This Row],[Variable Cost]]+Final_Table[[#This Row],[Fixed Monthly Cost]]</f>
        <v>21304.799999999999</v>
      </c>
      <c r="S294" s="5">
        <f>Final_Table[[#This Row],[Net Revenue]]-Final_Table[[#This Row],[Total Cost (COGS)]]</f>
        <v>-2944.7999999999993</v>
      </c>
      <c r="T294">
        <f>Final_Table[[#This Row],[Gross Profit]]*Final_Table[[#This Row],[Tax Rate]]</f>
        <v>-883.43999999999971</v>
      </c>
      <c r="U294" s="5">
        <f>Final_Table[[#This Row],[Gross Profit]]-Final_Table[[#This Row],[Tax]]</f>
        <v>-2061.3599999999997</v>
      </c>
      <c r="V294" s="12">
        <f>Final_Table[[#This Row],[Net Profit]]/Final_Table[[#This Row],[Gross Revenue]]</f>
        <v>-0.10104705882352939</v>
      </c>
    </row>
    <row r="295" spans="1:22">
      <c r="A295" s="18" t="s">
        <v>68</v>
      </c>
      <c r="B295">
        <v>2013</v>
      </c>
      <c r="C295" t="s">
        <v>120</v>
      </c>
      <c r="D295">
        <v>1</v>
      </c>
      <c r="E295" s="18" t="s">
        <v>29</v>
      </c>
      <c r="F295" s="18" t="s">
        <v>113</v>
      </c>
      <c r="G295" s="18" t="s">
        <v>25</v>
      </c>
      <c r="H295" s="18" t="str">
        <f>Assumptions!$B$2</f>
        <v>Worst</v>
      </c>
      <c r="I295" s="18">
        <f>_xlfn.XLOOKUP(Assumptions!$B$2,Assumptions!$F$4:$H$4,Assumptions!$F$5:$H$5)</f>
        <v>1200</v>
      </c>
      <c r="J295" s="18">
        <f>_xlfn.XLOOKUP(Assumptions!$B$2,Assumptions!$F$4:$H$4,Assumptions!$F$6:$H$6)</f>
        <v>17</v>
      </c>
      <c r="K295" s="12">
        <f>_xlfn.XLOOKUP(Assumptions!$B$2,Assumptions!$F$4:$H$4,Assumptions!$F$8:$H$8)</f>
        <v>0.1</v>
      </c>
      <c r="L295" s="12">
        <f>_xlfn.XLOOKUP(Assumptions!$B$2,Assumptions!$F$4:$H$4,Assumptions!$F$9:$H$9)</f>
        <v>0.18</v>
      </c>
      <c r="M295" s="18">
        <f>_xlfn.XLOOKUP(Assumptions!$B$2,Assumptions!$F$4:$H$4,Assumptions!$F$10:$H$10)</f>
        <v>18000</v>
      </c>
      <c r="N295" s="12">
        <f>_xlfn.XLOOKUP(Assumptions!$B$2,Assumptions!$F$4:$H$4,Assumptions!$F$11:$H$11)</f>
        <v>0.3</v>
      </c>
      <c r="O295" s="14">
        <f>Final_Table[[#This Row],[Units Sold]]*Final_Table[[#This Row],[Sale Price]]</f>
        <v>20400</v>
      </c>
      <c r="P295" s="14">
        <f>Final_Table[[#This Row],[Gross Revenue]]*(1-Final_Table[[#This Row],[Discount %]])</f>
        <v>18360</v>
      </c>
      <c r="Q295">
        <f>Final_Table[[#This Row],[Net Revenue]]*Final_Table[[#This Row],[Variable Cost %]]</f>
        <v>3304.7999999999997</v>
      </c>
      <c r="R295">
        <f>Final_Table[[#This Row],[Variable Cost]]+Final_Table[[#This Row],[Fixed Monthly Cost]]</f>
        <v>21304.799999999999</v>
      </c>
      <c r="S295" s="5">
        <f>Final_Table[[#This Row],[Net Revenue]]-Final_Table[[#This Row],[Total Cost (COGS)]]</f>
        <v>-2944.7999999999993</v>
      </c>
      <c r="T295">
        <f>Final_Table[[#This Row],[Gross Profit]]*Final_Table[[#This Row],[Tax Rate]]</f>
        <v>-883.43999999999971</v>
      </c>
      <c r="U295" s="5">
        <f>Final_Table[[#This Row],[Gross Profit]]-Final_Table[[#This Row],[Tax]]</f>
        <v>-2061.3599999999997</v>
      </c>
      <c r="V295" s="12">
        <f>Final_Table[[#This Row],[Net Profit]]/Final_Table[[#This Row],[Gross Revenue]]</f>
        <v>-0.10104705882352939</v>
      </c>
    </row>
    <row r="296" spans="1:22">
      <c r="A296" s="18" t="s">
        <v>68</v>
      </c>
      <c r="B296">
        <v>2013</v>
      </c>
      <c r="C296" t="s">
        <v>120</v>
      </c>
      <c r="D296">
        <v>1</v>
      </c>
      <c r="E296" s="18" t="s">
        <v>29</v>
      </c>
      <c r="F296" s="18" t="s">
        <v>113</v>
      </c>
      <c r="G296" s="18" t="s">
        <v>17</v>
      </c>
      <c r="H296" s="18" t="str">
        <f>Assumptions!$B$2</f>
        <v>Worst</v>
      </c>
      <c r="I296" s="18">
        <f>_xlfn.XLOOKUP(Assumptions!$B$2,Assumptions!$F$4:$H$4,Assumptions!$F$5:$H$5)</f>
        <v>1200</v>
      </c>
      <c r="J296" s="18">
        <f>_xlfn.XLOOKUP(Assumptions!$B$2,Assumptions!$F$4:$H$4,Assumptions!$F$6:$H$6)</f>
        <v>17</v>
      </c>
      <c r="K296" s="12">
        <f>_xlfn.XLOOKUP(Assumptions!$B$2,Assumptions!$F$4:$H$4,Assumptions!$F$8:$H$8)</f>
        <v>0.1</v>
      </c>
      <c r="L296" s="12">
        <f>_xlfn.XLOOKUP(Assumptions!$B$2,Assumptions!$F$4:$H$4,Assumptions!$F$9:$H$9)</f>
        <v>0.18</v>
      </c>
      <c r="M296" s="18">
        <f>_xlfn.XLOOKUP(Assumptions!$B$2,Assumptions!$F$4:$H$4,Assumptions!$F$10:$H$10)</f>
        <v>18000</v>
      </c>
      <c r="N296" s="12">
        <f>_xlfn.XLOOKUP(Assumptions!$B$2,Assumptions!$F$4:$H$4,Assumptions!$F$11:$H$11)</f>
        <v>0.3</v>
      </c>
      <c r="O296" s="14">
        <f>Final_Table[[#This Row],[Units Sold]]*Final_Table[[#This Row],[Sale Price]]</f>
        <v>20400</v>
      </c>
      <c r="P296" s="14">
        <f>Final_Table[[#This Row],[Gross Revenue]]*(1-Final_Table[[#This Row],[Discount %]])</f>
        <v>18360</v>
      </c>
      <c r="Q296">
        <f>Final_Table[[#This Row],[Net Revenue]]*Final_Table[[#This Row],[Variable Cost %]]</f>
        <v>3304.7999999999997</v>
      </c>
      <c r="R296">
        <f>Final_Table[[#This Row],[Variable Cost]]+Final_Table[[#This Row],[Fixed Monthly Cost]]</f>
        <v>21304.799999999999</v>
      </c>
      <c r="S296" s="5">
        <f>Final_Table[[#This Row],[Net Revenue]]-Final_Table[[#This Row],[Total Cost (COGS)]]</f>
        <v>-2944.7999999999993</v>
      </c>
      <c r="T296">
        <f>Final_Table[[#This Row],[Gross Profit]]*Final_Table[[#This Row],[Tax Rate]]</f>
        <v>-883.43999999999971</v>
      </c>
      <c r="U296" s="5">
        <f>Final_Table[[#This Row],[Gross Profit]]-Final_Table[[#This Row],[Tax]]</f>
        <v>-2061.3599999999997</v>
      </c>
      <c r="V296" s="12">
        <f>Final_Table[[#This Row],[Net Profit]]/Final_Table[[#This Row],[Gross Revenue]]</f>
        <v>-0.10104705882352939</v>
      </c>
    </row>
    <row r="297" spans="1:22">
      <c r="A297" s="18" t="s">
        <v>68</v>
      </c>
      <c r="B297">
        <v>2013</v>
      </c>
      <c r="C297" t="s">
        <v>120</v>
      </c>
      <c r="D297">
        <v>1</v>
      </c>
      <c r="E297" s="18" t="s">
        <v>29</v>
      </c>
      <c r="F297" s="18" t="s">
        <v>114</v>
      </c>
      <c r="G297" s="18" t="s">
        <v>36</v>
      </c>
      <c r="H297" s="18" t="str">
        <f>Assumptions!$B$2</f>
        <v>Worst</v>
      </c>
      <c r="I297" s="18">
        <f>_xlfn.XLOOKUP(Assumptions!$B$2,Assumptions!$F$4:$H$4,Assumptions!$F$5:$H$5)</f>
        <v>1200</v>
      </c>
      <c r="J297" s="18">
        <f>_xlfn.XLOOKUP(Assumptions!$B$2,Assumptions!$F$4:$H$4,Assumptions!$F$6:$H$6)</f>
        <v>17</v>
      </c>
      <c r="K297" s="12">
        <f>_xlfn.XLOOKUP(Assumptions!$B$2,Assumptions!$F$4:$H$4,Assumptions!$F$8:$H$8)</f>
        <v>0.1</v>
      </c>
      <c r="L297" s="12">
        <f>_xlfn.XLOOKUP(Assumptions!$B$2,Assumptions!$F$4:$H$4,Assumptions!$F$9:$H$9)</f>
        <v>0.18</v>
      </c>
      <c r="M297" s="18">
        <f>_xlfn.XLOOKUP(Assumptions!$B$2,Assumptions!$F$4:$H$4,Assumptions!$F$10:$H$10)</f>
        <v>18000</v>
      </c>
      <c r="N297" s="12">
        <f>_xlfn.XLOOKUP(Assumptions!$B$2,Assumptions!$F$4:$H$4,Assumptions!$F$11:$H$11)</f>
        <v>0.3</v>
      </c>
      <c r="O297" s="14">
        <f>Final_Table[[#This Row],[Units Sold]]*Final_Table[[#This Row],[Sale Price]]</f>
        <v>20400</v>
      </c>
      <c r="P297" s="14">
        <f>Final_Table[[#This Row],[Gross Revenue]]*(1-Final_Table[[#This Row],[Discount %]])</f>
        <v>18360</v>
      </c>
      <c r="Q297">
        <f>Final_Table[[#This Row],[Net Revenue]]*Final_Table[[#This Row],[Variable Cost %]]</f>
        <v>3304.7999999999997</v>
      </c>
      <c r="R297">
        <f>Final_Table[[#This Row],[Variable Cost]]+Final_Table[[#This Row],[Fixed Monthly Cost]]</f>
        <v>21304.799999999999</v>
      </c>
      <c r="S297" s="5">
        <f>Final_Table[[#This Row],[Net Revenue]]-Final_Table[[#This Row],[Total Cost (COGS)]]</f>
        <v>-2944.7999999999993</v>
      </c>
      <c r="T297">
        <f>Final_Table[[#This Row],[Gross Profit]]*Final_Table[[#This Row],[Tax Rate]]</f>
        <v>-883.43999999999971</v>
      </c>
      <c r="U297" s="5">
        <f>Final_Table[[#This Row],[Gross Profit]]-Final_Table[[#This Row],[Tax]]</f>
        <v>-2061.3599999999997</v>
      </c>
      <c r="V297" s="12">
        <f>Final_Table[[#This Row],[Net Profit]]/Final_Table[[#This Row],[Gross Revenue]]</f>
        <v>-0.10104705882352939</v>
      </c>
    </row>
    <row r="298" spans="1:22">
      <c r="A298" s="18" t="s">
        <v>68</v>
      </c>
      <c r="B298">
        <v>2013</v>
      </c>
      <c r="C298" t="s">
        <v>120</v>
      </c>
      <c r="D298">
        <v>1</v>
      </c>
      <c r="E298" s="18" t="s">
        <v>29</v>
      </c>
      <c r="F298" s="18" t="s">
        <v>114</v>
      </c>
      <c r="G298" s="18" t="s">
        <v>23</v>
      </c>
      <c r="H298" s="18" t="str">
        <f>Assumptions!$B$2</f>
        <v>Worst</v>
      </c>
      <c r="I298" s="18">
        <f>_xlfn.XLOOKUP(Assumptions!$B$2,Assumptions!$F$4:$H$4,Assumptions!$F$5:$H$5)</f>
        <v>1200</v>
      </c>
      <c r="J298" s="18">
        <f>_xlfn.XLOOKUP(Assumptions!$B$2,Assumptions!$F$4:$H$4,Assumptions!$F$6:$H$6)</f>
        <v>17</v>
      </c>
      <c r="K298" s="12">
        <f>_xlfn.XLOOKUP(Assumptions!$B$2,Assumptions!$F$4:$H$4,Assumptions!$F$8:$H$8)</f>
        <v>0.1</v>
      </c>
      <c r="L298" s="12">
        <f>_xlfn.XLOOKUP(Assumptions!$B$2,Assumptions!$F$4:$H$4,Assumptions!$F$9:$H$9)</f>
        <v>0.18</v>
      </c>
      <c r="M298" s="18">
        <f>_xlfn.XLOOKUP(Assumptions!$B$2,Assumptions!$F$4:$H$4,Assumptions!$F$10:$H$10)</f>
        <v>18000</v>
      </c>
      <c r="N298" s="12">
        <f>_xlfn.XLOOKUP(Assumptions!$B$2,Assumptions!$F$4:$H$4,Assumptions!$F$11:$H$11)</f>
        <v>0.3</v>
      </c>
      <c r="O298" s="14">
        <f>Final_Table[[#This Row],[Units Sold]]*Final_Table[[#This Row],[Sale Price]]</f>
        <v>20400</v>
      </c>
      <c r="P298" s="14">
        <f>Final_Table[[#This Row],[Gross Revenue]]*(1-Final_Table[[#This Row],[Discount %]])</f>
        <v>18360</v>
      </c>
      <c r="Q298">
        <f>Final_Table[[#This Row],[Net Revenue]]*Final_Table[[#This Row],[Variable Cost %]]</f>
        <v>3304.7999999999997</v>
      </c>
      <c r="R298">
        <f>Final_Table[[#This Row],[Variable Cost]]+Final_Table[[#This Row],[Fixed Monthly Cost]]</f>
        <v>21304.799999999999</v>
      </c>
      <c r="S298" s="5">
        <f>Final_Table[[#This Row],[Net Revenue]]-Final_Table[[#This Row],[Total Cost (COGS)]]</f>
        <v>-2944.7999999999993</v>
      </c>
      <c r="T298">
        <f>Final_Table[[#This Row],[Gross Profit]]*Final_Table[[#This Row],[Tax Rate]]</f>
        <v>-883.43999999999971</v>
      </c>
      <c r="U298" s="5">
        <f>Final_Table[[#This Row],[Gross Profit]]-Final_Table[[#This Row],[Tax]]</f>
        <v>-2061.3599999999997</v>
      </c>
      <c r="V298" s="12">
        <f>Final_Table[[#This Row],[Net Profit]]/Final_Table[[#This Row],[Gross Revenue]]</f>
        <v>-0.10104705882352939</v>
      </c>
    </row>
    <row r="299" spans="1:22">
      <c r="A299" s="18" t="s">
        <v>68</v>
      </c>
      <c r="B299">
        <v>2013</v>
      </c>
      <c r="C299" t="s">
        <v>120</v>
      </c>
      <c r="D299">
        <v>1</v>
      </c>
      <c r="E299" s="18" t="s">
        <v>29</v>
      </c>
      <c r="F299" s="18" t="s">
        <v>114</v>
      </c>
      <c r="G299" s="18" t="s">
        <v>21</v>
      </c>
      <c r="H299" s="18" t="str">
        <f>Assumptions!$B$2</f>
        <v>Worst</v>
      </c>
      <c r="I299" s="18">
        <f>_xlfn.XLOOKUP(Assumptions!$B$2,Assumptions!$F$4:$H$4,Assumptions!$F$5:$H$5)</f>
        <v>1200</v>
      </c>
      <c r="J299" s="18">
        <f>_xlfn.XLOOKUP(Assumptions!$B$2,Assumptions!$F$4:$H$4,Assumptions!$F$6:$H$6)</f>
        <v>17</v>
      </c>
      <c r="K299" s="12">
        <f>_xlfn.XLOOKUP(Assumptions!$B$2,Assumptions!$F$4:$H$4,Assumptions!$F$8:$H$8)</f>
        <v>0.1</v>
      </c>
      <c r="L299" s="12">
        <f>_xlfn.XLOOKUP(Assumptions!$B$2,Assumptions!$F$4:$H$4,Assumptions!$F$9:$H$9)</f>
        <v>0.18</v>
      </c>
      <c r="M299" s="18">
        <f>_xlfn.XLOOKUP(Assumptions!$B$2,Assumptions!$F$4:$H$4,Assumptions!$F$10:$H$10)</f>
        <v>18000</v>
      </c>
      <c r="N299" s="12">
        <f>_xlfn.XLOOKUP(Assumptions!$B$2,Assumptions!$F$4:$H$4,Assumptions!$F$11:$H$11)</f>
        <v>0.3</v>
      </c>
      <c r="O299" s="14">
        <f>Final_Table[[#This Row],[Units Sold]]*Final_Table[[#This Row],[Sale Price]]</f>
        <v>20400</v>
      </c>
      <c r="P299" s="14">
        <f>Final_Table[[#This Row],[Gross Revenue]]*(1-Final_Table[[#This Row],[Discount %]])</f>
        <v>18360</v>
      </c>
      <c r="Q299">
        <f>Final_Table[[#This Row],[Net Revenue]]*Final_Table[[#This Row],[Variable Cost %]]</f>
        <v>3304.7999999999997</v>
      </c>
      <c r="R299">
        <f>Final_Table[[#This Row],[Variable Cost]]+Final_Table[[#This Row],[Fixed Monthly Cost]]</f>
        <v>21304.799999999999</v>
      </c>
      <c r="S299" s="5">
        <f>Final_Table[[#This Row],[Net Revenue]]-Final_Table[[#This Row],[Total Cost (COGS)]]</f>
        <v>-2944.7999999999993</v>
      </c>
      <c r="T299">
        <f>Final_Table[[#This Row],[Gross Profit]]*Final_Table[[#This Row],[Tax Rate]]</f>
        <v>-883.43999999999971</v>
      </c>
      <c r="U299" s="5">
        <f>Final_Table[[#This Row],[Gross Profit]]-Final_Table[[#This Row],[Tax]]</f>
        <v>-2061.3599999999997</v>
      </c>
      <c r="V299" s="12">
        <f>Final_Table[[#This Row],[Net Profit]]/Final_Table[[#This Row],[Gross Revenue]]</f>
        <v>-0.10104705882352939</v>
      </c>
    </row>
    <row r="300" spans="1:22">
      <c r="A300" s="18" t="s">
        <v>68</v>
      </c>
      <c r="B300">
        <v>2013</v>
      </c>
      <c r="C300" t="s">
        <v>120</v>
      </c>
      <c r="D300">
        <v>1</v>
      </c>
      <c r="E300" s="18" t="s">
        <v>29</v>
      </c>
      <c r="F300" s="18" t="s">
        <v>114</v>
      </c>
      <c r="G300" s="18" t="s">
        <v>25</v>
      </c>
      <c r="H300" s="18" t="str">
        <f>Assumptions!$B$2</f>
        <v>Worst</v>
      </c>
      <c r="I300" s="18">
        <f>_xlfn.XLOOKUP(Assumptions!$B$2,Assumptions!$F$4:$H$4,Assumptions!$F$5:$H$5)</f>
        <v>1200</v>
      </c>
      <c r="J300" s="18">
        <f>_xlfn.XLOOKUP(Assumptions!$B$2,Assumptions!$F$4:$H$4,Assumptions!$F$6:$H$6)</f>
        <v>17</v>
      </c>
      <c r="K300" s="12">
        <f>_xlfn.XLOOKUP(Assumptions!$B$2,Assumptions!$F$4:$H$4,Assumptions!$F$8:$H$8)</f>
        <v>0.1</v>
      </c>
      <c r="L300" s="12">
        <f>_xlfn.XLOOKUP(Assumptions!$B$2,Assumptions!$F$4:$H$4,Assumptions!$F$9:$H$9)</f>
        <v>0.18</v>
      </c>
      <c r="M300" s="18">
        <f>_xlfn.XLOOKUP(Assumptions!$B$2,Assumptions!$F$4:$H$4,Assumptions!$F$10:$H$10)</f>
        <v>18000</v>
      </c>
      <c r="N300" s="12">
        <f>_xlfn.XLOOKUP(Assumptions!$B$2,Assumptions!$F$4:$H$4,Assumptions!$F$11:$H$11)</f>
        <v>0.3</v>
      </c>
      <c r="O300" s="14">
        <f>Final_Table[[#This Row],[Units Sold]]*Final_Table[[#This Row],[Sale Price]]</f>
        <v>20400</v>
      </c>
      <c r="P300" s="14">
        <f>Final_Table[[#This Row],[Gross Revenue]]*(1-Final_Table[[#This Row],[Discount %]])</f>
        <v>18360</v>
      </c>
      <c r="Q300">
        <f>Final_Table[[#This Row],[Net Revenue]]*Final_Table[[#This Row],[Variable Cost %]]</f>
        <v>3304.7999999999997</v>
      </c>
      <c r="R300">
        <f>Final_Table[[#This Row],[Variable Cost]]+Final_Table[[#This Row],[Fixed Monthly Cost]]</f>
        <v>21304.799999999999</v>
      </c>
      <c r="S300" s="5">
        <f>Final_Table[[#This Row],[Net Revenue]]-Final_Table[[#This Row],[Total Cost (COGS)]]</f>
        <v>-2944.7999999999993</v>
      </c>
      <c r="T300">
        <f>Final_Table[[#This Row],[Gross Profit]]*Final_Table[[#This Row],[Tax Rate]]</f>
        <v>-883.43999999999971</v>
      </c>
      <c r="U300" s="5">
        <f>Final_Table[[#This Row],[Gross Profit]]-Final_Table[[#This Row],[Tax]]</f>
        <v>-2061.3599999999997</v>
      </c>
      <c r="V300" s="12">
        <f>Final_Table[[#This Row],[Net Profit]]/Final_Table[[#This Row],[Gross Revenue]]</f>
        <v>-0.10104705882352939</v>
      </c>
    </row>
    <row r="301" spans="1:22">
      <c r="A301" s="18" t="s">
        <v>68</v>
      </c>
      <c r="B301">
        <v>2013</v>
      </c>
      <c r="C301" t="s">
        <v>120</v>
      </c>
      <c r="D301">
        <v>1</v>
      </c>
      <c r="E301" s="18" t="s">
        <v>29</v>
      </c>
      <c r="F301" s="18" t="s">
        <v>114</v>
      </c>
      <c r="G301" s="18" t="s">
        <v>17</v>
      </c>
      <c r="H301" s="18" t="str">
        <f>Assumptions!$B$2</f>
        <v>Worst</v>
      </c>
      <c r="I301" s="18">
        <f>_xlfn.XLOOKUP(Assumptions!$B$2,Assumptions!$F$4:$H$4,Assumptions!$F$5:$H$5)</f>
        <v>1200</v>
      </c>
      <c r="J301" s="18">
        <f>_xlfn.XLOOKUP(Assumptions!$B$2,Assumptions!$F$4:$H$4,Assumptions!$F$6:$H$6)</f>
        <v>17</v>
      </c>
      <c r="K301" s="12">
        <f>_xlfn.XLOOKUP(Assumptions!$B$2,Assumptions!$F$4:$H$4,Assumptions!$F$8:$H$8)</f>
        <v>0.1</v>
      </c>
      <c r="L301" s="12">
        <f>_xlfn.XLOOKUP(Assumptions!$B$2,Assumptions!$F$4:$H$4,Assumptions!$F$9:$H$9)</f>
        <v>0.18</v>
      </c>
      <c r="M301" s="18">
        <f>_xlfn.XLOOKUP(Assumptions!$B$2,Assumptions!$F$4:$H$4,Assumptions!$F$10:$H$10)</f>
        <v>18000</v>
      </c>
      <c r="N301" s="12">
        <f>_xlfn.XLOOKUP(Assumptions!$B$2,Assumptions!$F$4:$H$4,Assumptions!$F$11:$H$11)</f>
        <v>0.3</v>
      </c>
      <c r="O301" s="14">
        <f>Final_Table[[#This Row],[Units Sold]]*Final_Table[[#This Row],[Sale Price]]</f>
        <v>20400</v>
      </c>
      <c r="P301" s="14">
        <f>Final_Table[[#This Row],[Gross Revenue]]*(1-Final_Table[[#This Row],[Discount %]])</f>
        <v>18360</v>
      </c>
      <c r="Q301">
        <f>Final_Table[[#This Row],[Net Revenue]]*Final_Table[[#This Row],[Variable Cost %]]</f>
        <v>3304.7999999999997</v>
      </c>
      <c r="R301">
        <f>Final_Table[[#This Row],[Variable Cost]]+Final_Table[[#This Row],[Fixed Monthly Cost]]</f>
        <v>21304.799999999999</v>
      </c>
      <c r="S301" s="5">
        <f>Final_Table[[#This Row],[Net Revenue]]-Final_Table[[#This Row],[Total Cost (COGS)]]</f>
        <v>-2944.7999999999993</v>
      </c>
      <c r="T301">
        <f>Final_Table[[#This Row],[Gross Profit]]*Final_Table[[#This Row],[Tax Rate]]</f>
        <v>-883.43999999999971</v>
      </c>
      <c r="U301" s="5">
        <f>Final_Table[[#This Row],[Gross Profit]]-Final_Table[[#This Row],[Tax]]</f>
        <v>-2061.3599999999997</v>
      </c>
      <c r="V301" s="12">
        <f>Final_Table[[#This Row],[Net Profit]]/Final_Table[[#This Row],[Gross Revenue]]</f>
        <v>-0.10104705882352939</v>
      </c>
    </row>
    <row r="302" spans="1:22">
      <c r="A302" s="18" t="s">
        <v>68</v>
      </c>
      <c r="B302">
        <v>2013</v>
      </c>
      <c r="C302" t="s">
        <v>120</v>
      </c>
      <c r="D302">
        <v>1</v>
      </c>
      <c r="E302" s="18" t="s">
        <v>22</v>
      </c>
      <c r="F302" s="18" t="s">
        <v>80</v>
      </c>
      <c r="G302" s="18" t="s">
        <v>36</v>
      </c>
      <c r="H302" s="18" t="str">
        <f>Assumptions!$B$2</f>
        <v>Worst</v>
      </c>
      <c r="I302" s="18">
        <f>_xlfn.XLOOKUP(Assumptions!$B$2,Assumptions!$F$4:$H$4,Assumptions!$F$5:$H$5)</f>
        <v>1200</v>
      </c>
      <c r="J302" s="18">
        <f>_xlfn.XLOOKUP(Assumptions!$B$2,Assumptions!$F$4:$H$4,Assumptions!$F$6:$H$6)</f>
        <v>17</v>
      </c>
      <c r="K302" s="12">
        <f>_xlfn.XLOOKUP(Assumptions!$B$2,Assumptions!$F$4:$H$4,Assumptions!$F$8:$H$8)</f>
        <v>0.1</v>
      </c>
      <c r="L302" s="12">
        <f>_xlfn.XLOOKUP(Assumptions!$B$2,Assumptions!$F$4:$H$4,Assumptions!$F$9:$H$9)</f>
        <v>0.18</v>
      </c>
      <c r="M302" s="18">
        <f>_xlfn.XLOOKUP(Assumptions!$B$2,Assumptions!$F$4:$H$4,Assumptions!$F$10:$H$10)</f>
        <v>18000</v>
      </c>
      <c r="N302" s="12">
        <f>_xlfn.XLOOKUP(Assumptions!$B$2,Assumptions!$F$4:$H$4,Assumptions!$F$11:$H$11)</f>
        <v>0.3</v>
      </c>
      <c r="O302" s="14">
        <f>Final_Table[[#This Row],[Units Sold]]*Final_Table[[#This Row],[Sale Price]]</f>
        <v>20400</v>
      </c>
      <c r="P302" s="14">
        <f>Final_Table[[#This Row],[Gross Revenue]]*(1-Final_Table[[#This Row],[Discount %]])</f>
        <v>18360</v>
      </c>
      <c r="Q302">
        <f>Final_Table[[#This Row],[Net Revenue]]*Final_Table[[#This Row],[Variable Cost %]]</f>
        <v>3304.7999999999997</v>
      </c>
      <c r="R302">
        <f>Final_Table[[#This Row],[Variable Cost]]+Final_Table[[#This Row],[Fixed Monthly Cost]]</f>
        <v>21304.799999999999</v>
      </c>
      <c r="S302" s="5">
        <f>Final_Table[[#This Row],[Net Revenue]]-Final_Table[[#This Row],[Total Cost (COGS)]]</f>
        <v>-2944.7999999999993</v>
      </c>
      <c r="T302">
        <f>Final_Table[[#This Row],[Gross Profit]]*Final_Table[[#This Row],[Tax Rate]]</f>
        <v>-883.43999999999971</v>
      </c>
      <c r="U302" s="5">
        <f>Final_Table[[#This Row],[Gross Profit]]-Final_Table[[#This Row],[Tax]]</f>
        <v>-2061.3599999999997</v>
      </c>
      <c r="V302" s="12">
        <f>Final_Table[[#This Row],[Net Profit]]/Final_Table[[#This Row],[Gross Revenue]]</f>
        <v>-0.10104705882352939</v>
      </c>
    </row>
    <row r="303" spans="1:22">
      <c r="A303" s="18" t="s">
        <v>68</v>
      </c>
      <c r="B303">
        <v>2013</v>
      </c>
      <c r="C303" t="s">
        <v>120</v>
      </c>
      <c r="D303">
        <v>1</v>
      </c>
      <c r="E303" s="18" t="s">
        <v>22</v>
      </c>
      <c r="F303" s="18" t="s">
        <v>80</v>
      </c>
      <c r="G303" s="18" t="s">
        <v>23</v>
      </c>
      <c r="H303" s="18" t="str">
        <f>Assumptions!$B$2</f>
        <v>Worst</v>
      </c>
      <c r="I303" s="18">
        <f>_xlfn.XLOOKUP(Assumptions!$B$2,Assumptions!$F$4:$H$4,Assumptions!$F$5:$H$5)</f>
        <v>1200</v>
      </c>
      <c r="J303" s="18">
        <f>_xlfn.XLOOKUP(Assumptions!$B$2,Assumptions!$F$4:$H$4,Assumptions!$F$6:$H$6)</f>
        <v>17</v>
      </c>
      <c r="K303" s="12">
        <f>_xlfn.XLOOKUP(Assumptions!$B$2,Assumptions!$F$4:$H$4,Assumptions!$F$8:$H$8)</f>
        <v>0.1</v>
      </c>
      <c r="L303" s="12">
        <f>_xlfn.XLOOKUP(Assumptions!$B$2,Assumptions!$F$4:$H$4,Assumptions!$F$9:$H$9)</f>
        <v>0.18</v>
      </c>
      <c r="M303" s="18">
        <f>_xlfn.XLOOKUP(Assumptions!$B$2,Assumptions!$F$4:$H$4,Assumptions!$F$10:$H$10)</f>
        <v>18000</v>
      </c>
      <c r="N303" s="12">
        <f>_xlfn.XLOOKUP(Assumptions!$B$2,Assumptions!$F$4:$H$4,Assumptions!$F$11:$H$11)</f>
        <v>0.3</v>
      </c>
      <c r="O303" s="14">
        <f>Final_Table[[#This Row],[Units Sold]]*Final_Table[[#This Row],[Sale Price]]</f>
        <v>20400</v>
      </c>
      <c r="P303" s="14">
        <f>Final_Table[[#This Row],[Gross Revenue]]*(1-Final_Table[[#This Row],[Discount %]])</f>
        <v>18360</v>
      </c>
      <c r="Q303">
        <f>Final_Table[[#This Row],[Net Revenue]]*Final_Table[[#This Row],[Variable Cost %]]</f>
        <v>3304.7999999999997</v>
      </c>
      <c r="R303">
        <f>Final_Table[[#This Row],[Variable Cost]]+Final_Table[[#This Row],[Fixed Monthly Cost]]</f>
        <v>21304.799999999999</v>
      </c>
      <c r="S303" s="5">
        <f>Final_Table[[#This Row],[Net Revenue]]-Final_Table[[#This Row],[Total Cost (COGS)]]</f>
        <v>-2944.7999999999993</v>
      </c>
      <c r="T303">
        <f>Final_Table[[#This Row],[Gross Profit]]*Final_Table[[#This Row],[Tax Rate]]</f>
        <v>-883.43999999999971</v>
      </c>
      <c r="U303" s="5">
        <f>Final_Table[[#This Row],[Gross Profit]]-Final_Table[[#This Row],[Tax]]</f>
        <v>-2061.3599999999997</v>
      </c>
      <c r="V303" s="12">
        <f>Final_Table[[#This Row],[Net Profit]]/Final_Table[[#This Row],[Gross Revenue]]</f>
        <v>-0.10104705882352939</v>
      </c>
    </row>
    <row r="304" spans="1:22">
      <c r="A304" s="18" t="s">
        <v>68</v>
      </c>
      <c r="B304">
        <v>2013</v>
      </c>
      <c r="C304" t="s">
        <v>120</v>
      </c>
      <c r="D304">
        <v>1</v>
      </c>
      <c r="E304" s="18" t="s">
        <v>22</v>
      </c>
      <c r="F304" s="18" t="s">
        <v>80</v>
      </c>
      <c r="G304" s="18" t="s">
        <v>21</v>
      </c>
      <c r="H304" s="18" t="str">
        <f>Assumptions!$B$2</f>
        <v>Worst</v>
      </c>
      <c r="I304" s="18">
        <f>_xlfn.XLOOKUP(Assumptions!$B$2,Assumptions!$F$4:$H$4,Assumptions!$F$5:$H$5)</f>
        <v>1200</v>
      </c>
      <c r="J304" s="18">
        <f>_xlfn.XLOOKUP(Assumptions!$B$2,Assumptions!$F$4:$H$4,Assumptions!$F$6:$H$6)</f>
        <v>17</v>
      </c>
      <c r="K304" s="12">
        <f>_xlfn.XLOOKUP(Assumptions!$B$2,Assumptions!$F$4:$H$4,Assumptions!$F$8:$H$8)</f>
        <v>0.1</v>
      </c>
      <c r="L304" s="12">
        <f>_xlfn.XLOOKUP(Assumptions!$B$2,Assumptions!$F$4:$H$4,Assumptions!$F$9:$H$9)</f>
        <v>0.18</v>
      </c>
      <c r="M304" s="18">
        <f>_xlfn.XLOOKUP(Assumptions!$B$2,Assumptions!$F$4:$H$4,Assumptions!$F$10:$H$10)</f>
        <v>18000</v>
      </c>
      <c r="N304" s="12">
        <f>_xlfn.XLOOKUP(Assumptions!$B$2,Assumptions!$F$4:$H$4,Assumptions!$F$11:$H$11)</f>
        <v>0.3</v>
      </c>
      <c r="O304" s="14">
        <f>Final_Table[[#This Row],[Units Sold]]*Final_Table[[#This Row],[Sale Price]]</f>
        <v>20400</v>
      </c>
      <c r="P304" s="14">
        <f>Final_Table[[#This Row],[Gross Revenue]]*(1-Final_Table[[#This Row],[Discount %]])</f>
        <v>18360</v>
      </c>
      <c r="Q304">
        <f>Final_Table[[#This Row],[Net Revenue]]*Final_Table[[#This Row],[Variable Cost %]]</f>
        <v>3304.7999999999997</v>
      </c>
      <c r="R304">
        <f>Final_Table[[#This Row],[Variable Cost]]+Final_Table[[#This Row],[Fixed Monthly Cost]]</f>
        <v>21304.799999999999</v>
      </c>
      <c r="S304" s="5">
        <f>Final_Table[[#This Row],[Net Revenue]]-Final_Table[[#This Row],[Total Cost (COGS)]]</f>
        <v>-2944.7999999999993</v>
      </c>
      <c r="T304">
        <f>Final_Table[[#This Row],[Gross Profit]]*Final_Table[[#This Row],[Tax Rate]]</f>
        <v>-883.43999999999971</v>
      </c>
      <c r="U304" s="5">
        <f>Final_Table[[#This Row],[Gross Profit]]-Final_Table[[#This Row],[Tax]]</f>
        <v>-2061.3599999999997</v>
      </c>
      <c r="V304" s="12">
        <f>Final_Table[[#This Row],[Net Profit]]/Final_Table[[#This Row],[Gross Revenue]]</f>
        <v>-0.10104705882352939</v>
      </c>
    </row>
    <row r="305" spans="1:22">
      <c r="A305" s="18" t="s">
        <v>68</v>
      </c>
      <c r="B305">
        <v>2013</v>
      </c>
      <c r="C305" t="s">
        <v>120</v>
      </c>
      <c r="D305">
        <v>1</v>
      </c>
      <c r="E305" s="18" t="s">
        <v>22</v>
      </c>
      <c r="F305" s="18" t="s">
        <v>80</v>
      </c>
      <c r="G305" s="18" t="s">
        <v>25</v>
      </c>
      <c r="H305" s="18" t="str">
        <f>Assumptions!$B$2</f>
        <v>Worst</v>
      </c>
      <c r="I305" s="18">
        <f>_xlfn.XLOOKUP(Assumptions!$B$2,Assumptions!$F$4:$H$4,Assumptions!$F$5:$H$5)</f>
        <v>1200</v>
      </c>
      <c r="J305" s="18">
        <f>_xlfn.XLOOKUP(Assumptions!$B$2,Assumptions!$F$4:$H$4,Assumptions!$F$6:$H$6)</f>
        <v>17</v>
      </c>
      <c r="K305" s="12">
        <f>_xlfn.XLOOKUP(Assumptions!$B$2,Assumptions!$F$4:$H$4,Assumptions!$F$8:$H$8)</f>
        <v>0.1</v>
      </c>
      <c r="L305" s="12">
        <f>_xlfn.XLOOKUP(Assumptions!$B$2,Assumptions!$F$4:$H$4,Assumptions!$F$9:$H$9)</f>
        <v>0.18</v>
      </c>
      <c r="M305" s="18">
        <f>_xlfn.XLOOKUP(Assumptions!$B$2,Assumptions!$F$4:$H$4,Assumptions!$F$10:$H$10)</f>
        <v>18000</v>
      </c>
      <c r="N305" s="12">
        <f>_xlfn.XLOOKUP(Assumptions!$B$2,Assumptions!$F$4:$H$4,Assumptions!$F$11:$H$11)</f>
        <v>0.3</v>
      </c>
      <c r="O305" s="14">
        <f>Final_Table[[#This Row],[Units Sold]]*Final_Table[[#This Row],[Sale Price]]</f>
        <v>20400</v>
      </c>
      <c r="P305" s="14">
        <f>Final_Table[[#This Row],[Gross Revenue]]*(1-Final_Table[[#This Row],[Discount %]])</f>
        <v>18360</v>
      </c>
      <c r="Q305">
        <f>Final_Table[[#This Row],[Net Revenue]]*Final_Table[[#This Row],[Variable Cost %]]</f>
        <v>3304.7999999999997</v>
      </c>
      <c r="R305">
        <f>Final_Table[[#This Row],[Variable Cost]]+Final_Table[[#This Row],[Fixed Monthly Cost]]</f>
        <v>21304.799999999999</v>
      </c>
      <c r="S305" s="5">
        <f>Final_Table[[#This Row],[Net Revenue]]-Final_Table[[#This Row],[Total Cost (COGS)]]</f>
        <v>-2944.7999999999993</v>
      </c>
      <c r="T305">
        <f>Final_Table[[#This Row],[Gross Profit]]*Final_Table[[#This Row],[Tax Rate]]</f>
        <v>-883.43999999999971</v>
      </c>
      <c r="U305" s="5">
        <f>Final_Table[[#This Row],[Gross Profit]]-Final_Table[[#This Row],[Tax]]</f>
        <v>-2061.3599999999997</v>
      </c>
      <c r="V305" s="12">
        <f>Final_Table[[#This Row],[Net Profit]]/Final_Table[[#This Row],[Gross Revenue]]</f>
        <v>-0.10104705882352939</v>
      </c>
    </row>
    <row r="306" spans="1:22">
      <c r="A306" s="18" t="s">
        <v>68</v>
      </c>
      <c r="B306">
        <v>2013</v>
      </c>
      <c r="C306" t="s">
        <v>120</v>
      </c>
      <c r="D306">
        <v>1</v>
      </c>
      <c r="E306" s="18" t="s">
        <v>22</v>
      </c>
      <c r="F306" s="18" t="s">
        <v>80</v>
      </c>
      <c r="G306" s="18" t="s">
        <v>17</v>
      </c>
      <c r="H306" s="18" t="str">
        <f>Assumptions!$B$2</f>
        <v>Worst</v>
      </c>
      <c r="I306" s="18">
        <f>_xlfn.XLOOKUP(Assumptions!$B$2,Assumptions!$F$4:$H$4,Assumptions!$F$5:$H$5)</f>
        <v>1200</v>
      </c>
      <c r="J306" s="18">
        <f>_xlfn.XLOOKUP(Assumptions!$B$2,Assumptions!$F$4:$H$4,Assumptions!$F$6:$H$6)</f>
        <v>17</v>
      </c>
      <c r="K306" s="12">
        <f>_xlfn.XLOOKUP(Assumptions!$B$2,Assumptions!$F$4:$H$4,Assumptions!$F$8:$H$8)</f>
        <v>0.1</v>
      </c>
      <c r="L306" s="12">
        <f>_xlfn.XLOOKUP(Assumptions!$B$2,Assumptions!$F$4:$H$4,Assumptions!$F$9:$H$9)</f>
        <v>0.18</v>
      </c>
      <c r="M306" s="18">
        <f>_xlfn.XLOOKUP(Assumptions!$B$2,Assumptions!$F$4:$H$4,Assumptions!$F$10:$H$10)</f>
        <v>18000</v>
      </c>
      <c r="N306" s="12">
        <f>_xlfn.XLOOKUP(Assumptions!$B$2,Assumptions!$F$4:$H$4,Assumptions!$F$11:$H$11)</f>
        <v>0.3</v>
      </c>
      <c r="O306" s="14">
        <f>Final_Table[[#This Row],[Units Sold]]*Final_Table[[#This Row],[Sale Price]]</f>
        <v>20400</v>
      </c>
      <c r="P306" s="14">
        <f>Final_Table[[#This Row],[Gross Revenue]]*(1-Final_Table[[#This Row],[Discount %]])</f>
        <v>18360</v>
      </c>
      <c r="Q306">
        <f>Final_Table[[#This Row],[Net Revenue]]*Final_Table[[#This Row],[Variable Cost %]]</f>
        <v>3304.7999999999997</v>
      </c>
      <c r="R306">
        <f>Final_Table[[#This Row],[Variable Cost]]+Final_Table[[#This Row],[Fixed Monthly Cost]]</f>
        <v>21304.799999999999</v>
      </c>
      <c r="S306" s="5">
        <f>Final_Table[[#This Row],[Net Revenue]]-Final_Table[[#This Row],[Total Cost (COGS)]]</f>
        <v>-2944.7999999999993</v>
      </c>
      <c r="T306">
        <f>Final_Table[[#This Row],[Gross Profit]]*Final_Table[[#This Row],[Tax Rate]]</f>
        <v>-883.43999999999971</v>
      </c>
      <c r="U306" s="5">
        <f>Final_Table[[#This Row],[Gross Profit]]-Final_Table[[#This Row],[Tax]]</f>
        <v>-2061.3599999999997</v>
      </c>
      <c r="V306" s="12">
        <f>Final_Table[[#This Row],[Net Profit]]/Final_Table[[#This Row],[Gross Revenue]]</f>
        <v>-0.10104705882352939</v>
      </c>
    </row>
    <row r="307" spans="1:22">
      <c r="A307" s="18" t="s">
        <v>68</v>
      </c>
      <c r="B307">
        <v>2013</v>
      </c>
      <c r="C307" t="s">
        <v>120</v>
      </c>
      <c r="D307">
        <v>1</v>
      </c>
      <c r="E307" s="18" t="s">
        <v>22</v>
      </c>
      <c r="F307" s="18" t="s">
        <v>108</v>
      </c>
      <c r="G307" s="18" t="s">
        <v>36</v>
      </c>
      <c r="H307" s="18" t="str">
        <f>Assumptions!$B$2</f>
        <v>Worst</v>
      </c>
      <c r="I307" s="18">
        <f>_xlfn.XLOOKUP(Assumptions!$B$2,Assumptions!$F$4:$H$4,Assumptions!$F$5:$H$5)</f>
        <v>1200</v>
      </c>
      <c r="J307" s="18">
        <f>_xlfn.XLOOKUP(Assumptions!$B$2,Assumptions!$F$4:$H$4,Assumptions!$F$6:$H$6)</f>
        <v>17</v>
      </c>
      <c r="K307" s="12">
        <f>_xlfn.XLOOKUP(Assumptions!$B$2,Assumptions!$F$4:$H$4,Assumptions!$F$8:$H$8)</f>
        <v>0.1</v>
      </c>
      <c r="L307" s="12">
        <f>_xlfn.XLOOKUP(Assumptions!$B$2,Assumptions!$F$4:$H$4,Assumptions!$F$9:$H$9)</f>
        <v>0.18</v>
      </c>
      <c r="M307" s="18">
        <f>_xlfn.XLOOKUP(Assumptions!$B$2,Assumptions!$F$4:$H$4,Assumptions!$F$10:$H$10)</f>
        <v>18000</v>
      </c>
      <c r="N307" s="12">
        <f>_xlfn.XLOOKUP(Assumptions!$B$2,Assumptions!$F$4:$H$4,Assumptions!$F$11:$H$11)</f>
        <v>0.3</v>
      </c>
      <c r="O307" s="14">
        <f>Final_Table[[#This Row],[Units Sold]]*Final_Table[[#This Row],[Sale Price]]</f>
        <v>20400</v>
      </c>
      <c r="P307" s="14">
        <f>Final_Table[[#This Row],[Gross Revenue]]*(1-Final_Table[[#This Row],[Discount %]])</f>
        <v>18360</v>
      </c>
      <c r="Q307">
        <f>Final_Table[[#This Row],[Net Revenue]]*Final_Table[[#This Row],[Variable Cost %]]</f>
        <v>3304.7999999999997</v>
      </c>
      <c r="R307">
        <f>Final_Table[[#This Row],[Variable Cost]]+Final_Table[[#This Row],[Fixed Monthly Cost]]</f>
        <v>21304.799999999999</v>
      </c>
      <c r="S307" s="5">
        <f>Final_Table[[#This Row],[Net Revenue]]-Final_Table[[#This Row],[Total Cost (COGS)]]</f>
        <v>-2944.7999999999993</v>
      </c>
      <c r="T307">
        <f>Final_Table[[#This Row],[Gross Profit]]*Final_Table[[#This Row],[Tax Rate]]</f>
        <v>-883.43999999999971</v>
      </c>
      <c r="U307" s="5">
        <f>Final_Table[[#This Row],[Gross Profit]]-Final_Table[[#This Row],[Tax]]</f>
        <v>-2061.3599999999997</v>
      </c>
      <c r="V307" s="12">
        <f>Final_Table[[#This Row],[Net Profit]]/Final_Table[[#This Row],[Gross Revenue]]</f>
        <v>-0.10104705882352939</v>
      </c>
    </row>
    <row r="308" spans="1:22">
      <c r="A308" s="18" t="s">
        <v>68</v>
      </c>
      <c r="B308">
        <v>2013</v>
      </c>
      <c r="C308" t="s">
        <v>120</v>
      </c>
      <c r="D308">
        <v>1</v>
      </c>
      <c r="E308" s="18" t="s">
        <v>22</v>
      </c>
      <c r="F308" s="18" t="s">
        <v>108</v>
      </c>
      <c r="G308" s="18" t="s">
        <v>23</v>
      </c>
      <c r="H308" s="18" t="str">
        <f>Assumptions!$B$2</f>
        <v>Worst</v>
      </c>
      <c r="I308" s="18">
        <f>_xlfn.XLOOKUP(Assumptions!$B$2,Assumptions!$F$4:$H$4,Assumptions!$F$5:$H$5)</f>
        <v>1200</v>
      </c>
      <c r="J308" s="18">
        <f>_xlfn.XLOOKUP(Assumptions!$B$2,Assumptions!$F$4:$H$4,Assumptions!$F$6:$H$6)</f>
        <v>17</v>
      </c>
      <c r="K308" s="12">
        <f>_xlfn.XLOOKUP(Assumptions!$B$2,Assumptions!$F$4:$H$4,Assumptions!$F$8:$H$8)</f>
        <v>0.1</v>
      </c>
      <c r="L308" s="12">
        <f>_xlfn.XLOOKUP(Assumptions!$B$2,Assumptions!$F$4:$H$4,Assumptions!$F$9:$H$9)</f>
        <v>0.18</v>
      </c>
      <c r="M308" s="18">
        <f>_xlfn.XLOOKUP(Assumptions!$B$2,Assumptions!$F$4:$H$4,Assumptions!$F$10:$H$10)</f>
        <v>18000</v>
      </c>
      <c r="N308" s="12">
        <f>_xlfn.XLOOKUP(Assumptions!$B$2,Assumptions!$F$4:$H$4,Assumptions!$F$11:$H$11)</f>
        <v>0.3</v>
      </c>
      <c r="O308" s="14">
        <f>Final_Table[[#This Row],[Units Sold]]*Final_Table[[#This Row],[Sale Price]]</f>
        <v>20400</v>
      </c>
      <c r="P308" s="14">
        <f>Final_Table[[#This Row],[Gross Revenue]]*(1-Final_Table[[#This Row],[Discount %]])</f>
        <v>18360</v>
      </c>
      <c r="Q308">
        <f>Final_Table[[#This Row],[Net Revenue]]*Final_Table[[#This Row],[Variable Cost %]]</f>
        <v>3304.7999999999997</v>
      </c>
      <c r="R308">
        <f>Final_Table[[#This Row],[Variable Cost]]+Final_Table[[#This Row],[Fixed Monthly Cost]]</f>
        <v>21304.799999999999</v>
      </c>
      <c r="S308" s="5">
        <f>Final_Table[[#This Row],[Net Revenue]]-Final_Table[[#This Row],[Total Cost (COGS)]]</f>
        <v>-2944.7999999999993</v>
      </c>
      <c r="T308">
        <f>Final_Table[[#This Row],[Gross Profit]]*Final_Table[[#This Row],[Tax Rate]]</f>
        <v>-883.43999999999971</v>
      </c>
      <c r="U308" s="5">
        <f>Final_Table[[#This Row],[Gross Profit]]-Final_Table[[#This Row],[Tax]]</f>
        <v>-2061.3599999999997</v>
      </c>
      <c r="V308" s="12">
        <f>Final_Table[[#This Row],[Net Profit]]/Final_Table[[#This Row],[Gross Revenue]]</f>
        <v>-0.10104705882352939</v>
      </c>
    </row>
    <row r="309" spans="1:22">
      <c r="A309" s="18" t="s">
        <v>68</v>
      </c>
      <c r="B309">
        <v>2013</v>
      </c>
      <c r="C309" t="s">
        <v>120</v>
      </c>
      <c r="D309">
        <v>1</v>
      </c>
      <c r="E309" s="18" t="s">
        <v>22</v>
      </c>
      <c r="F309" s="18" t="s">
        <v>108</v>
      </c>
      <c r="G309" s="18" t="s">
        <v>21</v>
      </c>
      <c r="H309" s="18" t="str">
        <f>Assumptions!$B$2</f>
        <v>Worst</v>
      </c>
      <c r="I309" s="18">
        <f>_xlfn.XLOOKUP(Assumptions!$B$2,Assumptions!$F$4:$H$4,Assumptions!$F$5:$H$5)</f>
        <v>1200</v>
      </c>
      <c r="J309" s="18">
        <f>_xlfn.XLOOKUP(Assumptions!$B$2,Assumptions!$F$4:$H$4,Assumptions!$F$6:$H$6)</f>
        <v>17</v>
      </c>
      <c r="K309" s="12">
        <f>_xlfn.XLOOKUP(Assumptions!$B$2,Assumptions!$F$4:$H$4,Assumptions!$F$8:$H$8)</f>
        <v>0.1</v>
      </c>
      <c r="L309" s="12">
        <f>_xlfn.XLOOKUP(Assumptions!$B$2,Assumptions!$F$4:$H$4,Assumptions!$F$9:$H$9)</f>
        <v>0.18</v>
      </c>
      <c r="M309" s="18">
        <f>_xlfn.XLOOKUP(Assumptions!$B$2,Assumptions!$F$4:$H$4,Assumptions!$F$10:$H$10)</f>
        <v>18000</v>
      </c>
      <c r="N309" s="12">
        <f>_xlfn.XLOOKUP(Assumptions!$B$2,Assumptions!$F$4:$H$4,Assumptions!$F$11:$H$11)</f>
        <v>0.3</v>
      </c>
      <c r="O309" s="14">
        <f>Final_Table[[#This Row],[Units Sold]]*Final_Table[[#This Row],[Sale Price]]</f>
        <v>20400</v>
      </c>
      <c r="P309" s="14">
        <f>Final_Table[[#This Row],[Gross Revenue]]*(1-Final_Table[[#This Row],[Discount %]])</f>
        <v>18360</v>
      </c>
      <c r="Q309">
        <f>Final_Table[[#This Row],[Net Revenue]]*Final_Table[[#This Row],[Variable Cost %]]</f>
        <v>3304.7999999999997</v>
      </c>
      <c r="R309">
        <f>Final_Table[[#This Row],[Variable Cost]]+Final_Table[[#This Row],[Fixed Monthly Cost]]</f>
        <v>21304.799999999999</v>
      </c>
      <c r="S309" s="5">
        <f>Final_Table[[#This Row],[Net Revenue]]-Final_Table[[#This Row],[Total Cost (COGS)]]</f>
        <v>-2944.7999999999993</v>
      </c>
      <c r="T309">
        <f>Final_Table[[#This Row],[Gross Profit]]*Final_Table[[#This Row],[Tax Rate]]</f>
        <v>-883.43999999999971</v>
      </c>
      <c r="U309" s="5">
        <f>Final_Table[[#This Row],[Gross Profit]]-Final_Table[[#This Row],[Tax]]</f>
        <v>-2061.3599999999997</v>
      </c>
      <c r="V309" s="12">
        <f>Final_Table[[#This Row],[Net Profit]]/Final_Table[[#This Row],[Gross Revenue]]</f>
        <v>-0.10104705882352939</v>
      </c>
    </row>
    <row r="310" spans="1:22">
      <c r="A310" s="18" t="s">
        <v>68</v>
      </c>
      <c r="B310">
        <v>2013</v>
      </c>
      <c r="C310" t="s">
        <v>120</v>
      </c>
      <c r="D310">
        <v>1</v>
      </c>
      <c r="E310" s="18" t="s">
        <v>22</v>
      </c>
      <c r="F310" s="18" t="s">
        <v>108</v>
      </c>
      <c r="G310" s="18" t="s">
        <v>25</v>
      </c>
      <c r="H310" s="18" t="str">
        <f>Assumptions!$B$2</f>
        <v>Worst</v>
      </c>
      <c r="I310" s="18">
        <f>_xlfn.XLOOKUP(Assumptions!$B$2,Assumptions!$F$4:$H$4,Assumptions!$F$5:$H$5)</f>
        <v>1200</v>
      </c>
      <c r="J310" s="18">
        <f>_xlfn.XLOOKUP(Assumptions!$B$2,Assumptions!$F$4:$H$4,Assumptions!$F$6:$H$6)</f>
        <v>17</v>
      </c>
      <c r="K310" s="12">
        <f>_xlfn.XLOOKUP(Assumptions!$B$2,Assumptions!$F$4:$H$4,Assumptions!$F$8:$H$8)</f>
        <v>0.1</v>
      </c>
      <c r="L310" s="12">
        <f>_xlfn.XLOOKUP(Assumptions!$B$2,Assumptions!$F$4:$H$4,Assumptions!$F$9:$H$9)</f>
        <v>0.18</v>
      </c>
      <c r="M310" s="18">
        <f>_xlfn.XLOOKUP(Assumptions!$B$2,Assumptions!$F$4:$H$4,Assumptions!$F$10:$H$10)</f>
        <v>18000</v>
      </c>
      <c r="N310" s="12">
        <f>_xlfn.XLOOKUP(Assumptions!$B$2,Assumptions!$F$4:$H$4,Assumptions!$F$11:$H$11)</f>
        <v>0.3</v>
      </c>
      <c r="O310" s="14">
        <f>Final_Table[[#This Row],[Units Sold]]*Final_Table[[#This Row],[Sale Price]]</f>
        <v>20400</v>
      </c>
      <c r="P310" s="14">
        <f>Final_Table[[#This Row],[Gross Revenue]]*(1-Final_Table[[#This Row],[Discount %]])</f>
        <v>18360</v>
      </c>
      <c r="Q310">
        <f>Final_Table[[#This Row],[Net Revenue]]*Final_Table[[#This Row],[Variable Cost %]]</f>
        <v>3304.7999999999997</v>
      </c>
      <c r="R310">
        <f>Final_Table[[#This Row],[Variable Cost]]+Final_Table[[#This Row],[Fixed Monthly Cost]]</f>
        <v>21304.799999999999</v>
      </c>
      <c r="S310" s="5">
        <f>Final_Table[[#This Row],[Net Revenue]]-Final_Table[[#This Row],[Total Cost (COGS)]]</f>
        <v>-2944.7999999999993</v>
      </c>
      <c r="T310">
        <f>Final_Table[[#This Row],[Gross Profit]]*Final_Table[[#This Row],[Tax Rate]]</f>
        <v>-883.43999999999971</v>
      </c>
      <c r="U310" s="5">
        <f>Final_Table[[#This Row],[Gross Profit]]-Final_Table[[#This Row],[Tax]]</f>
        <v>-2061.3599999999997</v>
      </c>
      <c r="V310" s="12">
        <f>Final_Table[[#This Row],[Net Profit]]/Final_Table[[#This Row],[Gross Revenue]]</f>
        <v>-0.10104705882352939</v>
      </c>
    </row>
    <row r="311" spans="1:22">
      <c r="A311" s="18" t="s">
        <v>68</v>
      </c>
      <c r="B311">
        <v>2013</v>
      </c>
      <c r="C311" t="s">
        <v>120</v>
      </c>
      <c r="D311">
        <v>1</v>
      </c>
      <c r="E311" s="18" t="s">
        <v>22</v>
      </c>
      <c r="F311" s="18" t="s">
        <v>108</v>
      </c>
      <c r="G311" s="18" t="s">
        <v>17</v>
      </c>
      <c r="H311" s="18" t="str">
        <f>Assumptions!$B$2</f>
        <v>Worst</v>
      </c>
      <c r="I311" s="18">
        <f>_xlfn.XLOOKUP(Assumptions!$B$2,Assumptions!$F$4:$H$4,Assumptions!$F$5:$H$5)</f>
        <v>1200</v>
      </c>
      <c r="J311" s="18">
        <f>_xlfn.XLOOKUP(Assumptions!$B$2,Assumptions!$F$4:$H$4,Assumptions!$F$6:$H$6)</f>
        <v>17</v>
      </c>
      <c r="K311" s="12">
        <f>_xlfn.XLOOKUP(Assumptions!$B$2,Assumptions!$F$4:$H$4,Assumptions!$F$8:$H$8)</f>
        <v>0.1</v>
      </c>
      <c r="L311" s="12">
        <f>_xlfn.XLOOKUP(Assumptions!$B$2,Assumptions!$F$4:$H$4,Assumptions!$F$9:$H$9)</f>
        <v>0.18</v>
      </c>
      <c r="M311" s="18">
        <f>_xlfn.XLOOKUP(Assumptions!$B$2,Assumptions!$F$4:$H$4,Assumptions!$F$10:$H$10)</f>
        <v>18000</v>
      </c>
      <c r="N311" s="12">
        <f>_xlfn.XLOOKUP(Assumptions!$B$2,Assumptions!$F$4:$H$4,Assumptions!$F$11:$H$11)</f>
        <v>0.3</v>
      </c>
      <c r="O311" s="14">
        <f>Final_Table[[#This Row],[Units Sold]]*Final_Table[[#This Row],[Sale Price]]</f>
        <v>20400</v>
      </c>
      <c r="P311" s="14">
        <f>Final_Table[[#This Row],[Gross Revenue]]*(1-Final_Table[[#This Row],[Discount %]])</f>
        <v>18360</v>
      </c>
      <c r="Q311">
        <f>Final_Table[[#This Row],[Net Revenue]]*Final_Table[[#This Row],[Variable Cost %]]</f>
        <v>3304.7999999999997</v>
      </c>
      <c r="R311">
        <f>Final_Table[[#This Row],[Variable Cost]]+Final_Table[[#This Row],[Fixed Monthly Cost]]</f>
        <v>21304.799999999999</v>
      </c>
      <c r="S311" s="5">
        <f>Final_Table[[#This Row],[Net Revenue]]-Final_Table[[#This Row],[Total Cost (COGS)]]</f>
        <v>-2944.7999999999993</v>
      </c>
      <c r="T311">
        <f>Final_Table[[#This Row],[Gross Profit]]*Final_Table[[#This Row],[Tax Rate]]</f>
        <v>-883.43999999999971</v>
      </c>
      <c r="U311" s="5">
        <f>Final_Table[[#This Row],[Gross Profit]]-Final_Table[[#This Row],[Tax]]</f>
        <v>-2061.3599999999997</v>
      </c>
      <c r="V311" s="12">
        <f>Final_Table[[#This Row],[Net Profit]]/Final_Table[[#This Row],[Gross Revenue]]</f>
        <v>-0.10104705882352939</v>
      </c>
    </row>
    <row r="312" spans="1:22">
      <c r="A312" s="18" t="s">
        <v>68</v>
      </c>
      <c r="B312">
        <v>2013</v>
      </c>
      <c r="C312" t="s">
        <v>120</v>
      </c>
      <c r="D312">
        <v>1</v>
      </c>
      <c r="E312" s="18" t="s">
        <v>22</v>
      </c>
      <c r="F312" s="18" t="s">
        <v>112</v>
      </c>
      <c r="G312" s="18" t="s">
        <v>36</v>
      </c>
      <c r="H312" s="18" t="str">
        <f>Assumptions!$B$2</f>
        <v>Worst</v>
      </c>
      <c r="I312" s="18">
        <f>_xlfn.XLOOKUP(Assumptions!$B$2,Assumptions!$F$4:$H$4,Assumptions!$F$5:$H$5)</f>
        <v>1200</v>
      </c>
      <c r="J312" s="18">
        <f>_xlfn.XLOOKUP(Assumptions!$B$2,Assumptions!$F$4:$H$4,Assumptions!$F$6:$H$6)</f>
        <v>17</v>
      </c>
      <c r="K312" s="12">
        <f>_xlfn.XLOOKUP(Assumptions!$B$2,Assumptions!$F$4:$H$4,Assumptions!$F$8:$H$8)</f>
        <v>0.1</v>
      </c>
      <c r="L312" s="12">
        <f>_xlfn.XLOOKUP(Assumptions!$B$2,Assumptions!$F$4:$H$4,Assumptions!$F$9:$H$9)</f>
        <v>0.18</v>
      </c>
      <c r="M312" s="18">
        <f>_xlfn.XLOOKUP(Assumptions!$B$2,Assumptions!$F$4:$H$4,Assumptions!$F$10:$H$10)</f>
        <v>18000</v>
      </c>
      <c r="N312" s="12">
        <f>_xlfn.XLOOKUP(Assumptions!$B$2,Assumptions!$F$4:$H$4,Assumptions!$F$11:$H$11)</f>
        <v>0.3</v>
      </c>
      <c r="O312" s="14">
        <f>Final_Table[[#This Row],[Units Sold]]*Final_Table[[#This Row],[Sale Price]]</f>
        <v>20400</v>
      </c>
      <c r="P312" s="14">
        <f>Final_Table[[#This Row],[Gross Revenue]]*(1-Final_Table[[#This Row],[Discount %]])</f>
        <v>18360</v>
      </c>
      <c r="Q312">
        <f>Final_Table[[#This Row],[Net Revenue]]*Final_Table[[#This Row],[Variable Cost %]]</f>
        <v>3304.7999999999997</v>
      </c>
      <c r="R312">
        <f>Final_Table[[#This Row],[Variable Cost]]+Final_Table[[#This Row],[Fixed Monthly Cost]]</f>
        <v>21304.799999999999</v>
      </c>
      <c r="S312" s="5">
        <f>Final_Table[[#This Row],[Net Revenue]]-Final_Table[[#This Row],[Total Cost (COGS)]]</f>
        <v>-2944.7999999999993</v>
      </c>
      <c r="T312">
        <f>Final_Table[[#This Row],[Gross Profit]]*Final_Table[[#This Row],[Tax Rate]]</f>
        <v>-883.43999999999971</v>
      </c>
      <c r="U312" s="5">
        <f>Final_Table[[#This Row],[Gross Profit]]-Final_Table[[#This Row],[Tax]]</f>
        <v>-2061.3599999999997</v>
      </c>
      <c r="V312" s="12">
        <f>Final_Table[[#This Row],[Net Profit]]/Final_Table[[#This Row],[Gross Revenue]]</f>
        <v>-0.10104705882352939</v>
      </c>
    </row>
    <row r="313" spans="1:22">
      <c r="A313" s="18" t="s">
        <v>68</v>
      </c>
      <c r="B313">
        <v>2013</v>
      </c>
      <c r="C313" t="s">
        <v>120</v>
      </c>
      <c r="D313">
        <v>1</v>
      </c>
      <c r="E313" s="18" t="s">
        <v>22</v>
      </c>
      <c r="F313" s="18" t="s">
        <v>112</v>
      </c>
      <c r="G313" s="18" t="s">
        <v>23</v>
      </c>
      <c r="H313" s="18" t="str">
        <f>Assumptions!$B$2</f>
        <v>Worst</v>
      </c>
      <c r="I313" s="18">
        <f>_xlfn.XLOOKUP(Assumptions!$B$2,Assumptions!$F$4:$H$4,Assumptions!$F$5:$H$5)</f>
        <v>1200</v>
      </c>
      <c r="J313" s="18">
        <f>_xlfn.XLOOKUP(Assumptions!$B$2,Assumptions!$F$4:$H$4,Assumptions!$F$6:$H$6)</f>
        <v>17</v>
      </c>
      <c r="K313" s="12">
        <f>_xlfn.XLOOKUP(Assumptions!$B$2,Assumptions!$F$4:$H$4,Assumptions!$F$8:$H$8)</f>
        <v>0.1</v>
      </c>
      <c r="L313" s="12">
        <f>_xlfn.XLOOKUP(Assumptions!$B$2,Assumptions!$F$4:$H$4,Assumptions!$F$9:$H$9)</f>
        <v>0.18</v>
      </c>
      <c r="M313" s="18">
        <f>_xlfn.XLOOKUP(Assumptions!$B$2,Assumptions!$F$4:$H$4,Assumptions!$F$10:$H$10)</f>
        <v>18000</v>
      </c>
      <c r="N313" s="12">
        <f>_xlfn.XLOOKUP(Assumptions!$B$2,Assumptions!$F$4:$H$4,Assumptions!$F$11:$H$11)</f>
        <v>0.3</v>
      </c>
      <c r="O313" s="14">
        <f>Final_Table[[#This Row],[Units Sold]]*Final_Table[[#This Row],[Sale Price]]</f>
        <v>20400</v>
      </c>
      <c r="P313" s="14">
        <f>Final_Table[[#This Row],[Gross Revenue]]*(1-Final_Table[[#This Row],[Discount %]])</f>
        <v>18360</v>
      </c>
      <c r="Q313">
        <f>Final_Table[[#This Row],[Net Revenue]]*Final_Table[[#This Row],[Variable Cost %]]</f>
        <v>3304.7999999999997</v>
      </c>
      <c r="R313">
        <f>Final_Table[[#This Row],[Variable Cost]]+Final_Table[[#This Row],[Fixed Monthly Cost]]</f>
        <v>21304.799999999999</v>
      </c>
      <c r="S313" s="5">
        <f>Final_Table[[#This Row],[Net Revenue]]-Final_Table[[#This Row],[Total Cost (COGS)]]</f>
        <v>-2944.7999999999993</v>
      </c>
      <c r="T313">
        <f>Final_Table[[#This Row],[Gross Profit]]*Final_Table[[#This Row],[Tax Rate]]</f>
        <v>-883.43999999999971</v>
      </c>
      <c r="U313" s="5">
        <f>Final_Table[[#This Row],[Gross Profit]]-Final_Table[[#This Row],[Tax]]</f>
        <v>-2061.3599999999997</v>
      </c>
      <c r="V313" s="12">
        <f>Final_Table[[#This Row],[Net Profit]]/Final_Table[[#This Row],[Gross Revenue]]</f>
        <v>-0.10104705882352939</v>
      </c>
    </row>
    <row r="314" spans="1:22">
      <c r="A314" s="18" t="s">
        <v>68</v>
      </c>
      <c r="B314">
        <v>2013</v>
      </c>
      <c r="C314" t="s">
        <v>120</v>
      </c>
      <c r="D314">
        <v>1</v>
      </c>
      <c r="E314" s="18" t="s">
        <v>22</v>
      </c>
      <c r="F314" s="18" t="s">
        <v>112</v>
      </c>
      <c r="G314" s="18" t="s">
        <v>21</v>
      </c>
      <c r="H314" s="18" t="str">
        <f>Assumptions!$B$2</f>
        <v>Worst</v>
      </c>
      <c r="I314" s="18">
        <f>_xlfn.XLOOKUP(Assumptions!$B$2,Assumptions!$F$4:$H$4,Assumptions!$F$5:$H$5)</f>
        <v>1200</v>
      </c>
      <c r="J314" s="18">
        <f>_xlfn.XLOOKUP(Assumptions!$B$2,Assumptions!$F$4:$H$4,Assumptions!$F$6:$H$6)</f>
        <v>17</v>
      </c>
      <c r="K314" s="12">
        <f>_xlfn.XLOOKUP(Assumptions!$B$2,Assumptions!$F$4:$H$4,Assumptions!$F$8:$H$8)</f>
        <v>0.1</v>
      </c>
      <c r="L314" s="12">
        <f>_xlfn.XLOOKUP(Assumptions!$B$2,Assumptions!$F$4:$H$4,Assumptions!$F$9:$H$9)</f>
        <v>0.18</v>
      </c>
      <c r="M314" s="18">
        <f>_xlfn.XLOOKUP(Assumptions!$B$2,Assumptions!$F$4:$H$4,Assumptions!$F$10:$H$10)</f>
        <v>18000</v>
      </c>
      <c r="N314" s="12">
        <f>_xlfn.XLOOKUP(Assumptions!$B$2,Assumptions!$F$4:$H$4,Assumptions!$F$11:$H$11)</f>
        <v>0.3</v>
      </c>
      <c r="O314" s="14">
        <f>Final_Table[[#This Row],[Units Sold]]*Final_Table[[#This Row],[Sale Price]]</f>
        <v>20400</v>
      </c>
      <c r="P314" s="14">
        <f>Final_Table[[#This Row],[Gross Revenue]]*(1-Final_Table[[#This Row],[Discount %]])</f>
        <v>18360</v>
      </c>
      <c r="Q314">
        <f>Final_Table[[#This Row],[Net Revenue]]*Final_Table[[#This Row],[Variable Cost %]]</f>
        <v>3304.7999999999997</v>
      </c>
      <c r="R314">
        <f>Final_Table[[#This Row],[Variable Cost]]+Final_Table[[#This Row],[Fixed Monthly Cost]]</f>
        <v>21304.799999999999</v>
      </c>
      <c r="S314" s="5">
        <f>Final_Table[[#This Row],[Net Revenue]]-Final_Table[[#This Row],[Total Cost (COGS)]]</f>
        <v>-2944.7999999999993</v>
      </c>
      <c r="T314">
        <f>Final_Table[[#This Row],[Gross Profit]]*Final_Table[[#This Row],[Tax Rate]]</f>
        <v>-883.43999999999971</v>
      </c>
      <c r="U314" s="5">
        <f>Final_Table[[#This Row],[Gross Profit]]-Final_Table[[#This Row],[Tax]]</f>
        <v>-2061.3599999999997</v>
      </c>
      <c r="V314" s="12">
        <f>Final_Table[[#This Row],[Net Profit]]/Final_Table[[#This Row],[Gross Revenue]]</f>
        <v>-0.10104705882352939</v>
      </c>
    </row>
    <row r="315" spans="1:22">
      <c r="A315" s="18" t="s">
        <v>68</v>
      </c>
      <c r="B315">
        <v>2013</v>
      </c>
      <c r="C315" t="s">
        <v>120</v>
      </c>
      <c r="D315">
        <v>1</v>
      </c>
      <c r="E315" s="18" t="s">
        <v>22</v>
      </c>
      <c r="F315" s="18" t="s">
        <v>112</v>
      </c>
      <c r="G315" s="18" t="s">
        <v>25</v>
      </c>
      <c r="H315" s="18" t="str">
        <f>Assumptions!$B$2</f>
        <v>Worst</v>
      </c>
      <c r="I315" s="18">
        <f>_xlfn.XLOOKUP(Assumptions!$B$2,Assumptions!$F$4:$H$4,Assumptions!$F$5:$H$5)</f>
        <v>1200</v>
      </c>
      <c r="J315" s="18">
        <f>_xlfn.XLOOKUP(Assumptions!$B$2,Assumptions!$F$4:$H$4,Assumptions!$F$6:$H$6)</f>
        <v>17</v>
      </c>
      <c r="K315" s="12">
        <f>_xlfn.XLOOKUP(Assumptions!$B$2,Assumptions!$F$4:$H$4,Assumptions!$F$8:$H$8)</f>
        <v>0.1</v>
      </c>
      <c r="L315" s="12">
        <f>_xlfn.XLOOKUP(Assumptions!$B$2,Assumptions!$F$4:$H$4,Assumptions!$F$9:$H$9)</f>
        <v>0.18</v>
      </c>
      <c r="M315" s="18">
        <f>_xlfn.XLOOKUP(Assumptions!$B$2,Assumptions!$F$4:$H$4,Assumptions!$F$10:$H$10)</f>
        <v>18000</v>
      </c>
      <c r="N315" s="12">
        <f>_xlfn.XLOOKUP(Assumptions!$B$2,Assumptions!$F$4:$H$4,Assumptions!$F$11:$H$11)</f>
        <v>0.3</v>
      </c>
      <c r="O315" s="14">
        <f>Final_Table[[#This Row],[Units Sold]]*Final_Table[[#This Row],[Sale Price]]</f>
        <v>20400</v>
      </c>
      <c r="P315" s="14">
        <f>Final_Table[[#This Row],[Gross Revenue]]*(1-Final_Table[[#This Row],[Discount %]])</f>
        <v>18360</v>
      </c>
      <c r="Q315">
        <f>Final_Table[[#This Row],[Net Revenue]]*Final_Table[[#This Row],[Variable Cost %]]</f>
        <v>3304.7999999999997</v>
      </c>
      <c r="R315">
        <f>Final_Table[[#This Row],[Variable Cost]]+Final_Table[[#This Row],[Fixed Monthly Cost]]</f>
        <v>21304.799999999999</v>
      </c>
      <c r="S315" s="5">
        <f>Final_Table[[#This Row],[Net Revenue]]-Final_Table[[#This Row],[Total Cost (COGS)]]</f>
        <v>-2944.7999999999993</v>
      </c>
      <c r="T315">
        <f>Final_Table[[#This Row],[Gross Profit]]*Final_Table[[#This Row],[Tax Rate]]</f>
        <v>-883.43999999999971</v>
      </c>
      <c r="U315" s="5">
        <f>Final_Table[[#This Row],[Gross Profit]]-Final_Table[[#This Row],[Tax]]</f>
        <v>-2061.3599999999997</v>
      </c>
      <c r="V315" s="12">
        <f>Final_Table[[#This Row],[Net Profit]]/Final_Table[[#This Row],[Gross Revenue]]</f>
        <v>-0.10104705882352939</v>
      </c>
    </row>
    <row r="316" spans="1:22">
      <c r="A316" s="18" t="s">
        <v>68</v>
      </c>
      <c r="B316">
        <v>2013</v>
      </c>
      <c r="C316" t="s">
        <v>120</v>
      </c>
      <c r="D316">
        <v>1</v>
      </c>
      <c r="E316" s="18" t="s">
        <v>22</v>
      </c>
      <c r="F316" s="18" t="s">
        <v>112</v>
      </c>
      <c r="G316" s="18" t="s">
        <v>17</v>
      </c>
      <c r="H316" s="18" t="str">
        <f>Assumptions!$B$2</f>
        <v>Worst</v>
      </c>
      <c r="I316" s="18">
        <f>_xlfn.XLOOKUP(Assumptions!$B$2,Assumptions!$F$4:$H$4,Assumptions!$F$5:$H$5)</f>
        <v>1200</v>
      </c>
      <c r="J316" s="18">
        <f>_xlfn.XLOOKUP(Assumptions!$B$2,Assumptions!$F$4:$H$4,Assumptions!$F$6:$H$6)</f>
        <v>17</v>
      </c>
      <c r="K316" s="12">
        <f>_xlfn.XLOOKUP(Assumptions!$B$2,Assumptions!$F$4:$H$4,Assumptions!$F$8:$H$8)</f>
        <v>0.1</v>
      </c>
      <c r="L316" s="12">
        <f>_xlfn.XLOOKUP(Assumptions!$B$2,Assumptions!$F$4:$H$4,Assumptions!$F$9:$H$9)</f>
        <v>0.18</v>
      </c>
      <c r="M316" s="18">
        <f>_xlfn.XLOOKUP(Assumptions!$B$2,Assumptions!$F$4:$H$4,Assumptions!$F$10:$H$10)</f>
        <v>18000</v>
      </c>
      <c r="N316" s="12">
        <f>_xlfn.XLOOKUP(Assumptions!$B$2,Assumptions!$F$4:$H$4,Assumptions!$F$11:$H$11)</f>
        <v>0.3</v>
      </c>
      <c r="O316" s="14">
        <f>Final_Table[[#This Row],[Units Sold]]*Final_Table[[#This Row],[Sale Price]]</f>
        <v>20400</v>
      </c>
      <c r="P316" s="14">
        <f>Final_Table[[#This Row],[Gross Revenue]]*(1-Final_Table[[#This Row],[Discount %]])</f>
        <v>18360</v>
      </c>
      <c r="Q316">
        <f>Final_Table[[#This Row],[Net Revenue]]*Final_Table[[#This Row],[Variable Cost %]]</f>
        <v>3304.7999999999997</v>
      </c>
      <c r="R316">
        <f>Final_Table[[#This Row],[Variable Cost]]+Final_Table[[#This Row],[Fixed Monthly Cost]]</f>
        <v>21304.799999999999</v>
      </c>
      <c r="S316" s="5">
        <f>Final_Table[[#This Row],[Net Revenue]]-Final_Table[[#This Row],[Total Cost (COGS)]]</f>
        <v>-2944.7999999999993</v>
      </c>
      <c r="T316">
        <f>Final_Table[[#This Row],[Gross Profit]]*Final_Table[[#This Row],[Tax Rate]]</f>
        <v>-883.43999999999971</v>
      </c>
      <c r="U316" s="5">
        <f>Final_Table[[#This Row],[Gross Profit]]-Final_Table[[#This Row],[Tax]]</f>
        <v>-2061.3599999999997</v>
      </c>
      <c r="V316" s="12">
        <f>Final_Table[[#This Row],[Net Profit]]/Final_Table[[#This Row],[Gross Revenue]]</f>
        <v>-0.10104705882352939</v>
      </c>
    </row>
    <row r="317" spans="1:22">
      <c r="A317" s="18" t="s">
        <v>68</v>
      </c>
      <c r="B317">
        <v>2013</v>
      </c>
      <c r="C317" t="s">
        <v>120</v>
      </c>
      <c r="D317">
        <v>1</v>
      </c>
      <c r="E317" s="18" t="s">
        <v>22</v>
      </c>
      <c r="F317" s="18" t="s">
        <v>113</v>
      </c>
      <c r="G317" s="18" t="s">
        <v>36</v>
      </c>
      <c r="H317" s="18" t="str">
        <f>Assumptions!$B$2</f>
        <v>Worst</v>
      </c>
      <c r="I317" s="18">
        <f>_xlfn.XLOOKUP(Assumptions!$B$2,Assumptions!$F$4:$H$4,Assumptions!$F$5:$H$5)</f>
        <v>1200</v>
      </c>
      <c r="J317" s="18">
        <f>_xlfn.XLOOKUP(Assumptions!$B$2,Assumptions!$F$4:$H$4,Assumptions!$F$6:$H$6)</f>
        <v>17</v>
      </c>
      <c r="K317" s="12">
        <f>_xlfn.XLOOKUP(Assumptions!$B$2,Assumptions!$F$4:$H$4,Assumptions!$F$8:$H$8)</f>
        <v>0.1</v>
      </c>
      <c r="L317" s="12">
        <f>_xlfn.XLOOKUP(Assumptions!$B$2,Assumptions!$F$4:$H$4,Assumptions!$F$9:$H$9)</f>
        <v>0.18</v>
      </c>
      <c r="M317" s="18">
        <f>_xlfn.XLOOKUP(Assumptions!$B$2,Assumptions!$F$4:$H$4,Assumptions!$F$10:$H$10)</f>
        <v>18000</v>
      </c>
      <c r="N317" s="12">
        <f>_xlfn.XLOOKUP(Assumptions!$B$2,Assumptions!$F$4:$H$4,Assumptions!$F$11:$H$11)</f>
        <v>0.3</v>
      </c>
      <c r="O317" s="14">
        <f>Final_Table[[#This Row],[Units Sold]]*Final_Table[[#This Row],[Sale Price]]</f>
        <v>20400</v>
      </c>
      <c r="P317" s="14">
        <f>Final_Table[[#This Row],[Gross Revenue]]*(1-Final_Table[[#This Row],[Discount %]])</f>
        <v>18360</v>
      </c>
      <c r="Q317">
        <f>Final_Table[[#This Row],[Net Revenue]]*Final_Table[[#This Row],[Variable Cost %]]</f>
        <v>3304.7999999999997</v>
      </c>
      <c r="R317">
        <f>Final_Table[[#This Row],[Variable Cost]]+Final_Table[[#This Row],[Fixed Monthly Cost]]</f>
        <v>21304.799999999999</v>
      </c>
      <c r="S317" s="5">
        <f>Final_Table[[#This Row],[Net Revenue]]-Final_Table[[#This Row],[Total Cost (COGS)]]</f>
        <v>-2944.7999999999993</v>
      </c>
      <c r="T317">
        <f>Final_Table[[#This Row],[Gross Profit]]*Final_Table[[#This Row],[Tax Rate]]</f>
        <v>-883.43999999999971</v>
      </c>
      <c r="U317" s="5">
        <f>Final_Table[[#This Row],[Gross Profit]]-Final_Table[[#This Row],[Tax]]</f>
        <v>-2061.3599999999997</v>
      </c>
      <c r="V317" s="12">
        <f>Final_Table[[#This Row],[Net Profit]]/Final_Table[[#This Row],[Gross Revenue]]</f>
        <v>-0.10104705882352939</v>
      </c>
    </row>
    <row r="318" spans="1:22">
      <c r="A318" s="18" t="s">
        <v>68</v>
      </c>
      <c r="B318">
        <v>2013</v>
      </c>
      <c r="C318" t="s">
        <v>120</v>
      </c>
      <c r="D318">
        <v>1</v>
      </c>
      <c r="E318" s="18" t="s">
        <v>22</v>
      </c>
      <c r="F318" s="18" t="s">
        <v>113</v>
      </c>
      <c r="G318" s="18" t="s">
        <v>23</v>
      </c>
      <c r="H318" s="18" t="str">
        <f>Assumptions!$B$2</f>
        <v>Worst</v>
      </c>
      <c r="I318" s="18">
        <f>_xlfn.XLOOKUP(Assumptions!$B$2,Assumptions!$F$4:$H$4,Assumptions!$F$5:$H$5)</f>
        <v>1200</v>
      </c>
      <c r="J318" s="18">
        <f>_xlfn.XLOOKUP(Assumptions!$B$2,Assumptions!$F$4:$H$4,Assumptions!$F$6:$H$6)</f>
        <v>17</v>
      </c>
      <c r="K318" s="12">
        <f>_xlfn.XLOOKUP(Assumptions!$B$2,Assumptions!$F$4:$H$4,Assumptions!$F$8:$H$8)</f>
        <v>0.1</v>
      </c>
      <c r="L318" s="12">
        <f>_xlfn.XLOOKUP(Assumptions!$B$2,Assumptions!$F$4:$H$4,Assumptions!$F$9:$H$9)</f>
        <v>0.18</v>
      </c>
      <c r="M318" s="18">
        <f>_xlfn.XLOOKUP(Assumptions!$B$2,Assumptions!$F$4:$H$4,Assumptions!$F$10:$H$10)</f>
        <v>18000</v>
      </c>
      <c r="N318" s="12">
        <f>_xlfn.XLOOKUP(Assumptions!$B$2,Assumptions!$F$4:$H$4,Assumptions!$F$11:$H$11)</f>
        <v>0.3</v>
      </c>
      <c r="O318" s="14">
        <f>Final_Table[[#This Row],[Units Sold]]*Final_Table[[#This Row],[Sale Price]]</f>
        <v>20400</v>
      </c>
      <c r="P318" s="14">
        <f>Final_Table[[#This Row],[Gross Revenue]]*(1-Final_Table[[#This Row],[Discount %]])</f>
        <v>18360</v>
      </c>
      <c r="Q318">
        <f>Final_Table[[#This Row],[Net Revenue]]*Final_Table[[#This Row],[Variable Cost %]]</f>
        <v>3304.7999999999997</v>
      </c>
      <c r="R318">
        <f>Final_Table[[#This Row],[Variable Cost]]+Final_Table[[#This Row],[Fixed Monthly Cost]]</f>
        <v>21304.799999999999</v>
      </c>
      <c r="S318" s="5">
        <f>Final_Table[[#This Row],[Net Revenue]]-Final_Table[[#This Row],[Total Cost (COGS)]]</f>
        <v>-2944.7999999999993</v>
      </c>
      <c r="T318">
        <f>Final_Table[[#This Row],[Gross Profit]]*Final_Table[[#This Row],[Tax Rate]]</f>
        <v>-883.43999999999971</v>
      </c>
      <c r="U318" s="5">
        <f>Final_Table[[#This Row],[Gross Profit]]-Final_Table[[#This Row],[Tax]]</f>
        <v>-2061.3599999999997</v>
      </c>
      <c r="V318" s="12">
        <f>Final_Table[[#This Row],[Net Profit]]/Final_Table[[#This Row],[Gross Revenue]]</f>
        <v>-0.10104705882352939</v>
      </c>
    </row>
    <row r="319" spans="1:22">
      <c r="A319" s="18" t="s">
        <v>68</v>
      </c>
      <c r="B319">
        <v>2013</v>
      </c>
      <c r="C319" t="s">
        <v>120</v>
      </c>
      <c r="D319">
        <v>1</v>
      </c>
      <c r="E319" s="18" t="s">
        <v>22</v>
      </c>
      <c r="F319" s="18" t="s">
        <v>113</v>
      </c>
      <c r="G319" s="18" t="s">
        <v>21</v>
      </c>
      <c r="H319" s="18" t="str">
        <f>Assumptions!$B$2</f>
        <v>Worst</v>
      </c>
      <c r="I319" s="18">
        <f>_xlfn.XLOOKUP(Assumptions!$B$2,Assumptions!$F$4:$H$4,Assumptions!$F$5:$H$5)</f>
        <v>1200</v>
      </c>
      <c r="J319" s="18">
        <f>_xlfn.XLOOKUP(Assumptions!$B$2,Assumptions!$F$4:$H$4,Assumptions!$F$6:$H$6)</f>
        <v>17</v>
      </c>
      <c r="K319" s="12">
        <f>_xlfn.XLOOKUP(Assumptions!$B$2,Assumptions!$F$4:$H$4,Assumptions!$F$8:$H$8)</f>
        <v>0.1</v>
      </c>
      <c r="L319" s="12">
        <f>_xlfn.XLOOKUP(Assumptions!$B$2,Assumptions!$F$4:$H$4,Assumptions!$F$9:$H$9)</f>
        <v>0.18</v>
      </c>
      <c r="M319" s="18">
        <f>_xlfn.XLOOKUP(Assumptions!$B$2,Assumptions!$F$4:$H$4,Assumptions!$F$10:$H$10)</f>
        <v>18000</v>
      </c>
      <c r="N319" s="12">
        <f>_xlfn.XLOOKUP(Assumptions!$B$2,Assumptions!$F$4:$H$4,Assumptions!$F$11:$H$11)</f>
        <v>0.3</v>
      </c>
      <c r="O319" s="14">
        <f>Final_Table[[#This Row],[Units Sold]]*Final_Table[[#This Row],[Sale Price]]</f>
        <v>20400</v>
      </c>
      <c r="P319" s="14">
        <f>Final_Table[[#This Row],[Gross Revenue]]*(1-Final_Table[[#This Row],[Discount %]])</f>
        <v>18360</v>
      </c>
      <c r="Q319">
        <f>Final_Table[[#This Row],[Net Revenue]]*Final_Table[[#This Row],[Variable Cost %]]</f>
        <v>3304.7999999999997</v>
      </c>
      <c r="R319">
        <f>Final_Table[[#This Row],[Variable Cost]]+Final_Table[[#This Row],[Fixed Monthly Cost]]</f>
        <v>21304.799999999999</v>
      </c>
      <c r="S319" s="5">
        <f>Final_Table[[#This Row],[Net Revenue]]-Final_Table[[#This Row],[Total Cost (COGS)]]</f>
        <v>-2944.7999999999993</v>
      </c>
      <c r="T319">
        <f>Final_Table[[#This Row],[Gross Profit]]*Final_Table[[#This Row],[Tax Rate]]</f>
        <v>-883.43999999999971</v>
      </c>
      <c r="U319" s="5">
        <f>Final_Table[[#This Row],[Gross Profit]]-Final_Table[[#This Row],[Tax]]</f>
        <v>-2061.3599999999997</v>
      </c>
      <c r="V319" s="12">
        <f>Final_Table[[#This Row],[Net Profit]]/Final_Table[[#This Row],[Gross Revenue]]</f>
        <v>-0.10104705882352939</v>
      </c>
    </row>
    <row r="320" spans="1:22">
      <c r="A320" s="18" t="s">
        <v>68</v>
      </c>
      <c r="B320">
        <v>2013</v>
      </c>
      <c r="C320" t="s">
        <v>120</v>
      </c>
      <c r="D320">
        <v>1</v>
      </c>
      <c r="E320" s="18" t="s">
        <v>22</v>
      </c>
      <c r="F320" s="18" t="s">
        <v>113</v>
      </c>
      <c r="G320" s="18" t="s">
        <v>25</v>
      </c>
      <c r="H320" s="18" t="str">
        <f>Assumptions!$B$2</f>
        <v>Worst</v>
      </c>
      <c r="I320" s="18">
        <f>_xlfn.XLOOKUP(Assumptions!$B$2,Assumptions!$F$4:$H$4,Assumptions!$F$5:$H$5)</f>
        <v>1200</v>
      </c>
      <c r="J320" s="18">
        <f>_xlfn.XLOOKUP(Assumptions!$B$2,Assumptions!$F$4:$H$4,Assumptions!$F$6:$H$6)</f>
        <v>17</v>
      </c>
      <c r="K320" s="12">
        <f>_xlfn.XLOOKUP(Assumptions!$B$2,Assumptions!$F$4:$H$4,Assumptions!$F$8:$H$8)</f>
        <v>0.1</v>
      </c>
      <c r="L320" s="12">
        <f>_xlfn.XLOOKUP(Assumptions!$B$2,Assumptions!$F$4:$H$4,Assumptions!$F$9:$H$9)</f>
        <v>0.18</v>
      </c>
      <c r="M320" s="18">
        <f>_xlfn.XLOOKUP(Assumptions!$B$2,Assumptions!$F$4:$H$4,Assumptions!$F$10:$H$10)</f>
        <v>18000</v>
      </c>
      <c r="N320" s="12">
        <f>_xlfn.XLOOKUP(Assumptions!$B$2,Assumptions!$F$4:$H$4,Assumptions!$F$11:$H$11)</f>
        <v>0.3</v>
      </c>
      <c r="O320" s="14">
        <f>Final_Table[[#This Row],[Units Sold]]*Final_Table[[#This Row],[Sale Price]]</f>
        <v>20400</v>
      </c>
      <c r="P320" s="14">
        <f>Final_Table[[#This Row],[Gross Revenue]]*(1-Final_Table[[#This Row],[Discount %]])</f>
        <v>18360</v>
      </c>
      <c r="Q320">
        <f>Final_Table[[#This Row],[Net Revenue]]*Final_Table[[#This Row],[Variable Cost %]]</f>
        <v>3304.7999999999997</v>
      </c>
      <c r="R320">
        <f>Final_Table[[#This Row],[Variable Cost]]+Final_Table[[#This Row],[Fixed Monthly Cost]]</f>
        <v>21304.799999999999</v>
      </c>
      <c r="S320" s="5">
        <f>Final_Table[[#This Row],[Net Revenue]]-Final_Table[[#This Row],[Total Cost (COGS)]]</f>
        <v>-2944.7999999999993</v>
      </c>
      <c r="T320">
        <f>Final_Table[[#This Row],[Gross Profit]]*Final_Table[[#This Row],[Tax Rate]]</f>
        <v>-883.43999999999971</v>
      </c>
      <c r="U320" s="5">
        <f>Final_Table[[#This Row],[Gross Profit]]-Final_Table[[#This Row],[Tax]]</f>
        <v>-2061.3599999999997</v>
      </c>
      <c r="V320" s="12">
        <f>Final_Table[[#This Row],[Net Profit]]/Final_Table[[#This Row],[Gross Revenue]]</f>
        <v>-0.10104705882352939</v>
      </c>
    </row>
    <row r="321" spans="1:22">
      <c r="A321" s="18" t="s">
        <v>68</v>
      </c>
      <c r="B321">
        <v>2013</v>
      </c>
      <c r="C321" t="s">
        <v>120</v>
      </c>
      <c r="D321">
        <v>1</v>
      </c>
      <c r="E321" s="18" t="s">
        <v>22</v>
      </c>
      <c r="F321" s="18" t="s">
        <v>113</v>
      </c>
      <c r="G321" s="18" t="s">
        <v>17</v>
      </c>
      <c r="H321" s="18" t="str">
        <f>Assumptions!$B$2</f>
        <v>Worst</v>
      </c>
      <c r="I321" s="18">
        <f>_xlfn.XLOOKUP(Assumptions!$B$2,Assumptions!$F$4:$H$4,Assumptions!$F$5:$H$5)</f>
        <v>1200</v>
      </c>
      <c r="J321" s="18">
        <f>_xlfn.XLOOKUP(Assumptions!$B$2,Assumptions!$F$4:$H$4,Assumptions!$F$6:$H$6)</f>
        <v>17</v>
      </c>
      <c r="K321" s="12">
        <f>_xlfn.XLOOKUP(Assumptions!$B$2,Assumptions!$F$4:$H$4,Assumptions!$F$8:$H$8)</f>
        <v>0.1</v>
      </c>
      <c r="L321" s="12">
        <f>_xlfn.XLOOKUP(Assumptions!$B$2,Assumptions!$F$4:$H$4,Assumptions!$F$9:$H$9)</f>
        <v>0.18</v>
      </c>
      <c r="M321" s="18">
        <f>_xlfn.XLOOKUP(Assumptions!$B$2,Assumptions!$F$4:$H$4,Assumptions!$F$10:$H$10)</f>
        <v>18000</v>
      </c>
      <c r="N321" s="12">
        <f>_xlfn.XLOOKUP(Assumptions!$B$2,Assumptions!$F$4:$H$4,Assumptions!$F$11:$H$11)</f>
        <v>0.3</v>
      </c>
      <c r="O321" s="14">
        <f>Final_Table[[#This Row],[Units Sold]]*Final_Table[[#This Row],[Sale Price]]</f>
        <v>20400</v>
      </c>
      <c r="P321" s="14">
        <f>Final_Table[[#This Row],[Gross Revenue]]*(1-Final_Table[[#This Row],[Discount %]])</f>
        <v>18360</v>
      </c>
      <c r="Q321">
        <f>Final_Table[[#This Row],[Net Revenue]]*Final_Table[[#This Row],[Variable Cost %]]</f>
        <v>3304.7999999999997</v>
      </c>
      <c r="R321">
        <f>Final_Table[[#This Row],[Variable Cost]]+Final_Table[[#This Row],[Fixed Monthly Cost]]</f>
        <v>21304.799999999999</v>
      </c>
      <c r="S321" s="5">
        <f>Final_Table[[#This Row],[Net Revenue]]-Final_Table[[#This Row],[Total Cost (COGS)]]</f>
        <v>-2944.7999999999993</v>
      </c>
      <c r="T321">
        <f>Final_Table[[#This Row],[Gross Profit]]*Final_Table[[#This Row],[Tax Rate]]</f>
        <v>-883.43999999999971</v>
      </c>
      <c r="U321" s="5">
        <f>Final_Table[[#This Row],[Gross Profit]]-Final_Table[[#This Row],[Tax]]</f>
        <v>-2061.3599999999997</v>
      </c>
      <c r="V321" s="12">
        <f>Final_Table[[#This Row],[Net Profit]]/Final_Table[[#This Row],[Gross Revenue]]</f>
        <v>-0.10104705882352939</v>
      </c>
    </row>
    <row r="322" spans="1:22">
      <c r="A322" s="18" t="s">
        <v>68</v>
      </c>
      <c r="B322">
        <v>2013</v>
      </c>
      <c r="C322" t="s">
        <v>120</v>
      </c>
      <c r="D322">
        <v>1</v>
      </c>
      <c r="E322" s="18" t="s">
        <v>22</v>
      </c>
      <c r="F322" s="18" t="s">
        <v>114</v>
      </c>
      <c r="G322" s="18" t="s">
        <v>36</v>
      </c>
      <c r="H322" s="18" t="str">
        <f>Assumptions!$B$2</f>
        <v>Worst</v>
      </c>
      <c r="I322" s="18">
        <f>_xlfn.XLOOKUP(Assumptions!$B$2,Assumptions!$F$4:$H$4,Assumptions!$F$5:$H$5)</f>
        <v>1200</v>
      </c>
      <c r="J322" s="18">
        <f>_xlfn.XLOOKUP(Assumptions!$B$2,Assumptions!$F$4:$H$4,Assumptions!$F$6:$H$6)</f>
        <v>17</v>
      </c>
      <c r="K322" s="12">
        <f>_xlfn.XLOOKUP(Assumptions!$B$2,Assumptions!$F$4:$H$4,Assumptions!$F$8:$H$8)</f>
        <v>0.1</v>
      </c>
      <c r="L322" s="12">
        <f>_xlfn.XLOOKUP(Assumptions!$B$2,Assumptions!$F$4:$H$4,Assumptions!$F$9:$H$9)</f>
        <v>0.18</v>
      </c>
      <c r="M322" s="18">
        <f>_xlfn.XLOOKUP(Assumptions!$B$2,Assumptions!$F$4:$H$4,Assumptions!$F$10:$H$10)</f>
        <v>18000</v>
      </c>
      <c r="N322" s="12">
        <f>_xlfn.XLOOKUP(Assumptions!$B$2,Assumptions!$F$4:$H$4,Assumptions!$F$11:$H$11)</f>
        <v>0.3</v>
      </c>
      <c r="O322" s="14">
        <f>Final_Table[[#This Row],[Units Sold]]*Final_Table[[#This Row],[Sale Price]]</f>
        <v>20400</v>
      </c>
      <c r="P322" s="14">
        <f>Final_Table[[#This Row],[Gross Revenue]]*(1-Final_Table[[#This Row],[Discount %]])</f>
        <v>18360</v>
      </c>
      <c r="Q322">
        <f>Final_Table[[#This Row],[Net Revenue]]*Final_Table[[#This Row],[Variable Cost %]]</f>
        <v>3304.7999999999997</v>
      </c>
      <c r="R322">
        <f>Final_Table[[#This Row],[Variable Cost]]+Final_Table[[#This Row],[Fixed Monthly Cost]]</f>
        <v>21304.799999999999</v>
      </c>
      <c r="S322" s="5">
        <f>Final_Table[[#This Row],[Net Revenue]]-Final_Table[[#This Row],[Total Cost (COGS)]]</f>
        <v>-2944.7999999999993</v>
      </c>
      <c r="T322">
        <f>Final_Table[[#This Row],[Gross Profit]]*Final_Table[[#This Row],[Tax Rate]]</f>
        <v>-883.43999999999971</v>
      </c>
      <c r="U322" s="5">
        <f>Final_Table[[#This Row],[Gross Profit]]-Final_Table[[#This Row],[Tax]]</f>
        <v>-2061.3599999999997</v>
      </c>
      <c r="V322" s="12">
        <f>Final_Table[[#This Row],[Net Profit]]/Final_Table[[#This Row],[Gross Revenue]]</f>
        <v>-0.10104705882352939</v>
      </c>
    </row>
    <row r="323" spans="1:22">
      <c r="A323" s="18" t="s">
        <v>68</v>
      </c>
      <c r="B323">
        <v>2013</v>
      </c>
      <c r="C323" t="s">
        <v>120</v>
      </c>
      <c r="D323">
        <v>1</v>
      </c>
      <c r="E323" s="18" t="s">
        <v>22</v>
      </c>
      <c r="F323" s="18" t="s">
        <v>114</v>
      </c>
      <c r="G323" s="18" t="s">
        <v>23</v>
      </c>
      <c r="H323" s="18" t="str">
        <f>Assumptions!$B$2</f>
        <v>Worst</v>
      </c>
      <c r="I323" s="18">
        <f>_xlfn.XLOOKUP(Assumptions!$B$2,Assumptions!$F$4:$H$4,Assumptions!$F$5:$H$5)</f>
        <v>1200</v>
      </c>
      <c r="J323" s="18">
        <f>_xlfn.XLOOKUP(Assumptions!$B$2,Assumptions!$F$4:$H$4,Assumptions!$F$6:$H$6)</f>
        <v>17</v>
      </c>
      <c r="K323" s="12">
        <f>_xlfn.XLOOKUP(Assumptions!$B$2,Assumptions!$F$4:$H$4,Assumptions!$F$8:$H$8)</f>
        <v>0.1</v>
      </c>
      <c r="L323" s="12">
        <f>_xlfn.XLOOKUP(Assumptions!$B$2,Assumptions!$F$4:$H$4,Assumptions!$F$9:$H$9)</f>
        <v>0.18</v>
      </c>
      <c r="M323" s="18">
        <f>_xlfn.XLOOKUP(Assumptions!$B$2,Assumptions!$F$4:$H$4,Assumptions!$F$10:$H$10)</f>
        <v>18000</v>
      </c>
      <c r="N323" s="12">
        <f>_xlfn.XLOOKUP(Assumptions!$B$2,Assumptions!$F$4:$H$4,Assumptions!$F$11:$H$11)</f>
        <v>0.3</v>
      </c>
      <c r="O323" s="14">
        <f>Final_Table[[#This Row],[Units Sold]]*Final_Table[[#This Row],[Sale Price]]</f>
        <v>20400</v>
      </c>
      <c r="P323" s="14">
        <f>Final_Table[[#This Row],[Gross Revenue]]*(1-Final_Table[[#This Row],[Discount %]])</f>
        <v>18360</v>
      </c>
      <c r="Q323">
        <f>Final_Table[[#This Row],[Net Revenue]]*Final_Table[[#This Row],[Variable Cost %]]</f>
        <v>3304.7999999999997</v>
      </c>
      <c r="R323">
        <f>Final_Table[[#This Row],[Variable Cost]]+Final_Table[[#This Row],[Fixed Monthly Cost]]</f>
        <v>21304.799999999999</v>
      </c>
      <c r="S323" s="5">
        <f>Final_Table[[#This Row],[Net Revenue]]-Final_Table[[#This Row],[Total Cost (COGS)]]</f>
        <v>-2944.7999999999993</v>
      </c>
      <c r="T323">
        <f>Final_Table[[#This Row],[Gross Profit]]*Final_Table[[#This Row],[Tax Rate]]</f>
        <v>-883.43999999999971</v>
      </c>
      <c r="U323" s="5">
        <f>Final_Table[[#This Row],[Gross Profit]]-Final_Table[[#This Row],[Tax]]</f>
        <v>-2061.3599999999997</v>
      </c>
      <c r="V323" s="12">
        <f>Final_Table[[#This Row],[Net Profit]]/Final_Table[[#This Row],[Gross Revenue]]</f>
        <v>-0.10104705882352939</v>
      </c>
    </row>
    <row r="324" spans="1:22">
      <c r="A324" s="18" t="s">
        <v>68</v>
      </c>
      <c r="B324">
        <v>2013</v>
      </c>
      <c r="C324" t="s">
        <v>120</v>
      </c>
      <c r="D324">
        <v>1</v>
      </c>
      <c r="E324" s="18" t="s">
        <v>22</v>
      </c>
      <c r="F324" s="18" t="s">
        <v>114</v>
      </c>
      <c r="G324" s="18" t="s">
        <v>21</v>
      </c>
      <c r="H324" s="18" t="str">
        <f>Assumptions!$B$2</f>
        <v>Worst</v>
      </c>
      <c r="I324" s="18">
        <f>_xlfn.XLOOKUP(Assumptions!$B$2,Assumptions!$F$4:$H$4,Assumptions!$F$5:$H$5)</f>
        <v>1200</v>
      </c>
      <c r="J324" s="18">
        <f>_xlfn.XLOOKUP(Assumptions!$B$2,Assumptions!$F$4:$H$4,Assumptions!$F$6:$H$6)</f>
        <v>17</v>
      </c>
      <c r="K324" s="12">
        <f>_xlfn.XLOOKUP(Assumptions!$B$2,Assumptions!$F$4:$H$4,Assumptions!$F$8:$H$8)</f>
        <v>0.1</v>
      </c>
      <c r="L324" s="12">
        <f>_xlfn.XLOOKUP(Assumptions!$B$2,Assumptions!$F$4:$H$4,Assumptions!$F$9:$H$9)</f>
        <v>0.18</v>
      </c>
      <c r="M324" s="18">
        <f>_xlfn.XLOOKUP(Assumptions!$B$2,Assumptions!$F$4:$H$4,Assumptions!$F$10:$H$10)</f>
        <v>18000</v>
      </c>
      <c r="N324" s="12">
        <f>_xlfn.XLOOKUP(Assumptions!$B$2,Assumptions!$F$4:$H$4,Assumptions!$F$11:$H$11)</f>
        <v>0.3</v>
      </c>
      <c r="O324" s="14">
        <f>Final_Table[[#This Row],[Units Sold]]*Final_Table[[#This Row],[Sale Price]]</f>
        <v>20400</v>
      </c>
      <c r="P324" s="14">
        <f>Final_Table[[#This Row],[Gross Revenue]]*(1-Final_Table[[#This Row],[Discount %]])</f>
        <v>18360</v>
      </c>
      <c r="Q324">
        <f>Final_Table[[#This Row],[Net Revenue]]*Final_Table[[#This Row],[Variable Cost %]]</f>
        <v>3304.7999999999997</v>
      </c>
      <c r="R324">
        <f>Final_Table[[#This Row],[Variable Cost]]+Final_Table[[#This Row],[Fixed Monthly Cost]]</f>
        <v>21304.799999999999</v>
      </c>
      <c r="S324" s="5">
        <f>Final_Table[[#This Row],[Net Revenue]]-Final_Table[[#This Row],[Total Cost (COGS)]]</f>
        <v>-2944.7999999999993</v>
      </c>
      <c r="T324">
        <f>Final_Table[[#This Row],[Gross Profit]]*Final_Table[[#This Row],[Tax Rate]]</f>
        <v>-883.43999999999971</v>
      </c>
      <c r="U324" s="5">
        <f>Final_Table[[#This Row],[Gross Profit]]-Final_Table[[#This Row],[Tax]]</f>
        <v>-2061.3599999999997</v>
      </c>
      <c r="V324" s="12">
        <f>Final_Table[[#This Row],[Net Profit]]/Final_Table[[#This Row],[Gross Revenue]]</f>
        <v>-0.10104705882352939</v>
      </c>
    </row>
    <row r="325" spans="1:22">
      <c r="A325" s="18" t="s">
        <v>68</v>
      </c>
      <c r="B325">
        <v>2013</v>
      </c>
      <c r="C325" t="s">
        <v>120</v>
      </c>
      <c r="D325">
        <v>1</v>
      </c>
      <c r="E325" s="18" t="s">
        <v>22</v>
      </c>
      <c r="F325" s="18" t="s">
        <v>114</v>
      </c>
      <c r="G325" s="18" t="s">
        <v>25</v>
      </c>
      <c r="H325" s="18" t="str">
        <f>Assumptions!$B$2</f>
        <v>Worst</v>
      </c>
      <c r="I325" s="18">
        <f>_xlfn.XLOOKUP(Assumptions!$B$2,Assumptions!$F$4:$H$4,Assumptions!$F$5:$H$5)</f>
        <v>1200</v>
      </c>
      <c r="J325" s="18">
        <f>_xlfn.XLOOKUP(Assumptions!$B$2,Assumptions!$F$4:$H$4,Assumptions!$F$6:$H$6)</f>
        <v>17</v>
      </c>
      <c r="K325" s="12">
        <f>_xlfn.XLOOKUP(Assumptions!$B$2,Assumptions!$F$4:$H$4,Assumptions!$F$8:$H$8)</f>
        <v>0.1</v>
      </c>
      <c r="L325" s="12">
        <f>_xlfn.XLOOKUP(Assumptions!$B$2,Assumptions!$F$4:$H$4,Assumptions!$F$9:$H$9)</f>
        <v>0.18</v>
      </c>
      <c r="M325" s="18">
        <f>_xlfn.XLOOKUP(Assumptions!$B$2,Assumptions!$F$4:$H$4,Assumptions!$F$10:$H$10)</f>
        <v>18000</v>
      </c>
      <c r="N325" s="12">
        <f>_xlfn.XLOOKUP(Assumptions!$B$2,Assumptions!$F$4:$H$4,Assumptions!$F$11:$H$11)</f>
        <v>0.3</v>
      </c>
      <c r="O325" s="14">
        <f>Final_Table[[#This Row],[Units Sold]]*Final_Table[[#This Row],[Sale Price]]</f>
        <v>20400</v>
      </c>
      <c r="P325" s="14">
        <f>Final_Table[[#This Row],[Gross Revenue]]*(1-Final_Table[[#This Row],[Discount %]])</f>
        <v>18360</v>
      </c>
      <c r="Q325">
        <f>Final_Table[[#This Row],[Net Revenue]]*Final_Table[[#This Row],[Variable Cost %]]</f>
        <v>3304.7999999999997</v>
      </c>
      <c r="R325">
        <f>Final_Table[[#This Row],[Variable Cost]]+Final_Table[[#This Row],[Fixed Monthly Cost]]</f>
        <v>21304.799999999999</v>
      </c>
      <c r="S325" s="5">
        <f>Final_Table[[#This Row],[Net Revenue]]-Final_Table[[#This Row],[Total Cost (COGS)]]</f>
        <v>-2944.7999999999993</v>
      </c>
      <c r="T325">
        <f>Final_Table[[#This Row],[Gross Profit]]*Final_Table[[#This Row],[Tax Rate]]</f>
        <v>-883.43999999999971</v>
      </c>
      <c r="U325" s="5">
        <f>Final_Table[[#This Row],[Gross Profit]]-Final_Table[[#This Row],[Tax]]</f>
        <v>-2061.3599999999997</v>
      </c>
      <c r="V325" s="12">
        <f>Final_Table[[#This Row],[Net Profit]]/Final_Table[[#This Row],[Gross Revenue]]</f>
        <v>-0.10104705882352939</v>
      </c>
    </row>
    <row r="326" spans="1:22">
      <c r="A326" s="18" t="s">
        <v>68</v>
      </c>
      <c r="B326">
        <v>2013</v>
      </c>
      <c r="C326" t="s">
        <v>120</v>
      </c>
      <c r="D326">
        <v>1</v>
      </c>
      <c r="E326" s="18" t="s">
        <v>22</v>
      </c>
      <c r="F326" s="18" t="s">
        <v>114</v>
      </c>
      <c r="G326" s="18" t="s">
        <v>17</v>
      </c>
      <c r="H326" s="18" t="str">
        <f>Assumptions!$B$2</f>
        <v>Worst</v>
      </c>
      <c r="I326" s="18">
        <f>_xlfn.XLOOKUP(Assumptions!$B$2,Assumptions!$F$4:$H$4,Assumptions!$F$5:$H$5)</f>
        <v>1200</v>
      </c>
      <c r="J326" s="18">
        <f>_xlfn.XLOOKUP(Assumptions!$B$2,Assumptions!$F$4:$H$4,Assumptions!$F$6:$H$6)</f>
        <v>17</v>
      </c>
      <c r="K326" s="12">
        <f>_xlfn.XLOOKUP(Assumptions!$B$2,Assumptions!$F$4:$H$4,Assumptions!$F$8:$H$8)</f>
        <v>0.1</v>
      </c>
      <c r="L326" s="12">
        <f>_xlfn.XLOOKUP(Assumptions!$B$2,Assumptions!$F$4:$H$4,Assumptions!$F$9:$H$9)</f>
        <v>0.18</v>
      </c>
      <c r="M326" s="18">
        <f>_xlfn.XLOOKUP(Assumptions!$B$2,Assumptions!$F$4:$H$4,Assumptions!$F$10:$H$10)</f>
        <v>18000</v>
      </c>
      <c r="N326" s="12">
        <f>_xlfn.XLOOKUP(Assumptions!$B$2,Assumptions!$F$4:$H$4,Assumptions!$F$11:$H$11)</f>
        <v>0.3</v>
      </c>
      <c r="O326" s="14">
        <f>Final_Table[[#This Row],[Units Sold]]*Final_Table[[#This Row],[Sale Price]]</f>
        <v>20400</v>
      </c>
      <c r="P326" s="14">
        <f>Final_Table[[#This Row],[Gross Revenue]]*(1-Final_Table[[#This Row],[Discount %]])</f>
        <v>18360</v>
      </c>
      <c r="Q326">
        <f>Final_Table[[#This Row],[Net Revenue]]*Final_Table[[#This Row],[Variable Cost %]]</f>
        <v>3304.7999999999997</v>
      </c>
      <c r="R326">
        <f>Final_Table[[#This Row],[Variable Cost]]+Final_Table[[#This Row],[Fixed Monthly Cost]]</f>
        <v>21304.799999999999</v>
      </c>
      <c r="S326" s="5">
        <f>Final_Table[[#This Row],[Net Revenue]]-Final_Table[[#This Row],[Total Cost (COGS)]]</f>
        <v>-2944.7999999999993</v>
      </c>
      <c r="T326">
        <f>Final_Table[[#This Row],[Gross Profit]]*Final_Table[[#This Row],[Tax Rate]]</f>
        <v>-883.43999999999971</v>
      </c>
      <c r="U326" s="5">
        <f>Final_Table[[#This Row],[Gross Profit]]-Final_Table[[#This Row],[Tax]]</f>
        <v>-2061.3599999999997</v>
      </c>
      <c r="V326" s="12">
        <f>Final_Table[[#This Row],[Net Profit]]/Final_Table[[#This Row],[Gross Revenue]]</f>
        <v>-0.10104705882352939</v>
      </c>
    </row>
    <row r="327" spans="1:22">
      <c r="A327" s="18" t="s">
        <v>68</v>
      </c>
      <c r="B327">
        <v>2013</v>
      </c>
      <c r="C327" t="s">
        <v>120</v>
      </c>
      <c r="D327">
        <v>1</v>
      </c>
      <c r="E327" s="18" t="s">
        <v>16</v>
      </c>
      <c r="F327" s="18" t="s">
        <v>80</v>
      </c>
      <c r="G327" s="18" t="s">
        <v>36</v>
      </c>
      <c r="H327" s="18" t="str">
        <f>Assumptions!$B$2</f>
        <v>Worst</v>
      </c>
      <c r="I327" s="18">
        <f>_xlfn.XLOOKUP(Assumptions!$B$2,Assumptions!$F$4:$H$4,Assumptions!$F$5:$H$5)</f>
        <v>1200</v>
      </c>
      <c r="J327" s="18">
        <f>_xlfn.XLOOKUP(Assumptions!$B$2,Assumptions!$F$4:$H$4,Assumptions!$F$6:$H$6)</f>
        <v>17</v>
      </c>
      <c r="K327" s="12">
        <f>_xlfn.XLOOKUP(Assumptions!$B$2,Assumptions!$F$4:$H$4,Assumptions!$F$8:$H$8)</f>
        <v>0.1</v>
      </c>
      <c r="L327" s="12">
        <f>_xlfn.XLOOKUP(Assumptions!$B$2,Assumptions!$F$4:$H$4,Assumptions!$F$9:$H$9)</f>
        <v>0.18</v>
      </c>
      <c r="M327" s="18">
        <f>_xlfn.XLOOKUP(Assumptions!$B$2,Assumptions!$F$4:$H$4,Assumptions!$F$10:$H$10)</f>
        <v>18000</v>
      </c>
      <c r="N327" s="12">
        <f>_xlfn.XLOOKUP(Assumptions!$B$2,Assumptions!$F$4:$H$4,Assumptions!$F$11:$H$11)</f>
        <v>0.3</v>
      </c>
      <c r="O327" s="14">
        <f>Final_Table[[#This Row],[Units Sold]]*Final_Table[[#This Row],[Sale Price]]</f>
        <v>20400</v>
      </c>
      <c r="P327" s="14">
        <f>Final_Table[[#This Row],[Gross Revenue]]*(1-Final_Table[[#This Row],[Discount %]])</f>
        <v>18360</v>
      </c>
      <c r="Q327">
        <f>Final_Table[[#This Row],[Net Revenue]]*Final_Table[[#This Row],[Variable Cost %]]</f>
        <v>3304.7999999999997</v>
      </c>
      <c r="R327">
        <f>Final_Table[[#This Row],[Variable Cost]]+Final_Table[[#This Row],[Fixed Monthly Cost]]</f>
        <v>21304.799999999999</v>
      </c>
      <c r="S327" s="5">
        <f>Final_Table[[#This Row],[Net Revenue]]-Final_Table[[#This Row],[Total Cost (COGS)]]</f>
        <v>-2944.7999999999993</v>
      </c>
      <c r="T327">
        <f>Final_Table[[#This Row],[Gross Profit]]*Final_Table[[#This Row],[Tax Rate]]</f>
        <v>-883.43999999999971</v>
      </c>
      <c r="U327" s="5">
        <f>Final_Table[[#This Row],[Gross Profit]]-Final_Table[[#This Row],[Tax]]</f>
        <v>-2061.3599999999997</v>
      </c>
      <c r="V327" s="12">
        <f>Final_Table[[#This Row],[Net Profit]]/Final_Table[[#This Row],[Gross Revenue]]</f>
        <v>-0.10104705882352939</v>
      </c>
    </row>
    <row r="328" spans="1:22">
      <c r="A328" s="18" t="s">
        <v>68</v>
      </c>
      <c r="B328">
        <v>2013</v>
      </c>
      <c r="C328" t="s">
        <v>120</v>
      </c>
      <c r="D328">
        <v>1</v>
      </c>
      <c r="E328" s="18" t="s">
        <v>16</v>
      </c>
      <c r="F328" s="18" t="s">
        <v>80</v>
      </c>
      <c r="G328" s="18" t="s">
        <v>23</v>
      </c>
      <c r="H328" s="18" t="str">
        <f>Assumptions!$B$2</f>
        <v>Worst</v>
      </c>
      <c r="I328" s="18">
        <f>_xlfn.XLOOKUP(Assumptions!$B$2,Assumptions!$F$4:$H$4,Assumptions!$F$5:$H$5)</f>
        <v>1200</v>
      </c>
      <c r="J328" s="18">
        <f>_xlfn.XLOOKUP(Assumptions!$B$2,Assumptions!$F$4:$H$4,Assumptions!$F$6:$H$6)</f>
        <v>17</v>
      </c>
      <c r="K328" s="12">
        <f>_xlfn.XLOOKUP(Assumptions!$B$2,Assumptions!$F$4:$H$4,Assumptions!$F$8:$H$8)</f>
        <v>0.1</v>
      </c>
      <c r="L328" s="12">
        <f>_xlfn.XLOOKUP(Assumptions!$B$2,Assumptions!$F$4:$H$4,Assumptions!$F$9:$H$9)</f>
        <v>0.18</v>
      </c>
      <c r="M328" s="18">
        <f>_xlfn.XLOOKUP(Assumptions!$B$2,Assumptions!$F$4:$H$4,Assumptions!$F$10:$H$10)</f>
        <v>18000</v>
      </c>
      <c r="N328" s="12">
        <f>_xlfn.XLOOKUP(Assumptions!$B$2,Assumptions!$F$4:$H$4,Assumptions!$F$11:$H$11)</f>
        <v>0.3</v>
      </c>
      <c r="O328" s="14">
        <f>Final_Table[[#This Row],[Units Sold]]*Final_Table[[#This Row],[Sale Price]]</f>
        <v>20400</v>
      </c>
      <c r="P328" s="14">
        <f>Final_Table[[#This Row],[Gross Revenue]]*(1-Final_Table[[#This Row],[Discount %]])</f>
        <v>18360</v>
      </c>
      <c r="Q328">
        <f>Final_Table[[#This Row],[Net Revenue]]*Final_Table[[#This Row],[Variable Cost %]]</f>
        <v>3304.7999999999997</v>
      </c>
      <c r="R328">
        <f>Final_Table[[#This Row],[Variable Cost]]+Final_Table[[#This Row],[Fixed Monthly Cost]]</f>
        <v>21304.799999999999</v>
      </c>
      <c r="S328" s="5">
        <f>Final_Table[[#This Row],[Net Revenue]]-Final_Table[[#This Row],[Total Cost (COGS)]]</f>
        <v>-2944.7999999999993</v>
      </c>
      <c r="T328">
        <f>Final_Table[[#This Row],[Gross Profit]]*Final_Table[[#This Row],[Tax Rate]]</f>
        <v>-883.43999999999971</v>
      </c>
      <c r="U328" s="5">
        <f>Final_Table[[#This Row],[Gross Profit]]-Final_Table[[#This Row],[Tax]]</f>
        <v>-2061.3599999999997</v>
      </c>
      <c r="V328" s="12">
        <f>Final_Table[[#This Row],[Net Profit]]/Final_Table[[#This Row],[Gross Revenue]]</f>
        <v>-0.10104705882352939</v>
      </c>
    </row>
    <row r="329" spans="1:22">
      <c r="A329" s="18" t="s">
        <v>68</v>
      </c>
      <c r="B329">
        <v>2013</v>
      </c>
      <c r="C329" t="s">
        <v>120</v>
      </c>
      <c r="D329">
        <v>1</v>
      </c>
      <c r="E329" s="18" t="s">
        <v>16</v>
      </c>
      <c r="F329" s="18" t="s">
        <v>80</v>
      </c>
      <c r="G329" s="18" t="s">
        <v>21</v>
      </c>
      <c r="H329" s="18" t="str">
        <f>Assumptions!$B$2</f>
        <v>Worst</v>
      </c>
      <c r="I329" s="18">
        <f>_xlfn.XLOOKUP(Assumptions!$B$2,Assumptions!$F$4:$H$4,Assumptions!$F$5:$H$5)</f>
        <v>1200</v>
      </c>
      <c r="J329" s="18">
        <f>_xlfn.XLOOKUP(Assumptions!$B$2,Assumptions!$F$4:$H$4,Assumptions!$F$6:$H$6)</f>
        <v>17</v>
      </c>
      <c r="K329" s="12">
        <f>_xlfn.XLOOKUP(Assumptions!$B$2,Assumptions!$F$4:$H$4,Assumptions!$F$8:$H$8)</f>
        <v>0.1</v>
      </c>
      <c r="L329" s="12">
        <f>_xlfn.XLOOKUP(Assumptions!$B$2,Assumptions!$F$4:$H$4,Assumptions!$F$9:$H$9)</f>
        <v>0.18</v>
      </c>
      <c r="M329" s="18">
        <f>_xlfn.XLOOKUP(Assumptions!$B$2,Assumptions!$F$4:$H$4,Assumptions!$F$10:$H$10)</f>
        <v>18000</v>
      </c>
      <c r="N329" s="12">
        <f>_xlfn.XLOOKUP(Assumptions!$B$2,Assumptions!$F$4:$H$4,Assumptions!$F$11:$H$11)</f>
        <v>0.3</v>
      </c>
      <c r="O329" s="14">
        <f>Final_Table[[#This Row],[Units Sold]]*Final_Table[[#This Row],[Sale Price]]</f>
        <v>20400</v>
      </c>
      <c r="P329" s="14">
        <f>Final_Table[[#This Row],[Gross Revenue]]*(1-Final_Table[[#This Row],[Discount %]])</f>
        <v>18360</v>
      </c>
      <c r="Q329">
        <f>Final_Table[[#This Row],[Net Revenue]]*Final_Table[[#This Row],[Variable Cost %]]</f>
        <v>3304.7999999999997</v>
      </c>
      <c r="R329">
        <f>Final_Table[[#This Row],[Variable Cost]]+Final_Table[[#This Row],[Fixed Monthly Cost]]</f>
        <v>21304.799999999999</v>
      </c>
      <c r="S329" s="5">
        <f>Final_Table[[#This Row],[Net Revenue]]-Final_Table[[#This Row],[Total Cost (COGS)]]</f>
        <v>-2944.7999999999993</v>
      </c>
      <c r="T329">
        <f>Final_Table[[#This Row],[Gross Profit]]*Final_Table[[#This Row],[Tax Rate]]</f>
        <v>-883.43999999999971</v>
      </c>
      <c r="U329" s="5">
        <f>Final_Table[[#This Row],[Gross Profit]]-Final_Table[[#This Row],[Tax]]</f>
        <v>-2061.3599999999997</v>
      </c>
      <c r="V329" s="12">
        <f>Final_Table[[#This Row],[Net Profit]]/Final_Table[[#This Row],[Gross Revenue]]</f>
        <v>-0.10104705882352939</v>
      </c>
    </row>
    <row r="330" spans="1:22">
      <c r="A330" s="18" t="s">
        <v>68</v>
      </c>
      <c r="B330">
        <v>2013</v>
      </c>
      <c r="C330" t="s">
        <v>120</v>
      </c>
      <c r="D330">
        <v>1</v>
      </c>
      <c r="E330" s="18" t="s">
        <v>16</v>
      </c>
      <c r="F330" s="18" t="s">
        <v>80</v>
      </c>
      <c r="G330" s="18" t="s">
        <v>25</v>
      </c>
      <c r="H330" s="18" t="str">
        <f>Assumptions!$B$2</f>
        <v>Worst</v>
      </c>
      <c r="I330" s="18">
        <f>_xlfn.XLOOKUP(Assumptions!$B$2,Assumptions!$F$4:$H$4,Assumptions!$F$5:$H$5)</f>
        <v>1200</v>
      </c>
      <c r="J330" s="18">
        <f>_xlfn.XLOOKUP(Assumptions!$B$2,Assumptions!$F$4:$H$4,Assumptions!$F$6:$H$6)</f>
        <v>17</v>
      </c>
      <c r="K330" s="12">
        <f>_xlfn.XLOOKUP(Assumptions!$B$2,Assumptions!$F$4:$H$4,Assumptions!$F$8:$H$8)</f>
        <v>0.1</v>
      </c>
      <c r="L330" s="12">
        <f>_xlfn.XLOOKUP(Assumptions!$B$2,Assumptions!$F$4:$H$4,Assumptions!$F$9:$H$9)</f>
        <v>0.18</v>
      </c>
      <c r="M330" s="18">
        <f>_xlfn.XLOOKUP(Assumptions!$B$2,Assumptions!$F$4:$H$4,Assumptions!$F$10:$H$10)</f>
        <v>18000</v>
      </c>
      <c r="N330" s="12">
        <f>_xlfn.XLOOKUP(Assumptions!$B$2,Assumptions!$F$4:$H$4,Assumptions!$F$11:$H$11)</f>
        <v>0.3</v>
      </c>
      <c r="O330" s="14">
        <f>Final_Table[[#This Row],[Units Sold]]*Final_Table[[#This Row],[Sale Price]]</f>
        <v>20400</v>
      </c>
      <c r="P330" s="14">
        <f>Final_Table[[#This Row],[Gross Revenue]]*(1-Final_Table[[#This Row],[Discount %]])</f>
        <v>18360</v>
      </c>
      <c r="Q330">
        <f>Final_Table[[#This Row],[Net Revenue]]*Final_Table[[#This Row],[Variable Cost %]]</f>
        <v>3304.7999999999997</v>
      </c>
      <c r="R330">
        <f>Final_Table[[#This Row],[Variable Cost]]+Final_Table[[#This Row],[Fixed Monthly Cost]]</f>
        <v>21304.799999999999</v>
      </c>
      <c r="S330" s="5">
        <f>Final_Table[[#This Row],[Net Revenue]]-Final_Table[[#This Row],[Total Cost (COGS)]]</f>
        <v>-2944.7999999999993</v>
      </c>
      <c r="T330">
        <f>Final_Table[[#This Row],[Gross Profit]]*Final_Table[[#This Row],[Tax Rate]]</f>
        <v>-883.43999999999971</v>
      </c>
      <c r="U330" s="5">
        <f>Final_Table[[#This Row],[Gross Profit]]-Final_Table[[#This Row],[Tax]]</f>
        <v>-2061.3599999999997</v>
      </c>
      <c r="V330" s="12">
        <f>Final_Table[[#This Row],[Net Profit]]/Final_Table[[#This Row],[Gross Revenue]]</f>
        <v>-0.10104705882352939</v>
      </c>
    </row>
    <row r="331" spans="1:22">
      <c r="A331" s="18" t="s">
        <v>68</v>
      </c>
      <c r="B331">
        <v>2013</v>
      </c>
      <c r="C331" t="s">
        <v>120</v>
      </c>
      <c r="D331">
        <v>1</v>
      </c>
      <c r="E331" s="18" t="s">
        <v>16</v>
      </c>
      <c r="F331" s="18" t="s">
        <v>80</v>
      </c>
      <c r="G331" s="18" t="s">
        <v>17</v>
      </c>
      <c r="H331" s="18" t="str">
        <f>Assumptions!$B$2</f>
        <v>Worst</v>
      </c>
      <c r="I331" s="18">
        <f>_xlfn.XLOOKUP(Assumptions!$B$2,Assumptions!$F$4:$H$4,Assumptions!$F$5:$H$5)</f>
        <v>1200</v>
      </c>
      <c r="J331" s="18">
        <f>_xlfn.XLOOKUP(Assumptions!$B$2,Assumptions!$F$4:$H$4,Assumptions!$F$6:$H$6)</f>
        <v>17</v>
      </c>
      <c r="K331" s="12">
        <f>_xlfn.XLOOKUP(Assumptions!$B$2,Assumptions!$F$4:$H$4,Assumptions!$F$8:$H$8)</f>
        <v>0.1</v>
      </c>
      <c r="L331" s="12">
        <f>_xlfn.XLOOKUP(Assumptions!$B$2,Assumptions!$F$4:$H$4,Assumptions!$F$9:$H$9)</f>
        <v>0.18</v>
      </c>
      <c r="M331" s="18">
        <f>_xlfn.XLOOKUP(Assumptions!$B$2,Assumptions!$F$4:$H$4,Assumptions!$F$10:$H$10)</f>
        <v>18000</v>
      </c>
      <c r="N331" s="12">
        <f>_xlfn.XLOOKUP(Assumptions!$B$2,Assumptions!$F$4:$H$4,Assumptions!$F$11:$H$11)</f>
        <v>0.3</v>
      </c>
      <c r="O331" s="14">
        <f>Final_Table[[#This Row],[Units Sold]]*Final_Table[[#This Row],[Sale Price]]</f>
        <v>20400</v>
      </c>
      <c r="P331" s="14">
        <f>Final_Table[[#This Row],[Gross Revenue]]*(1-Final_Table[[#This Row],[Discount %]])</f>
        <v>18360</v>
      </c>
      <c r="Q331">
        <f>Final_Table[[#This Row],[Net Revenue]]*Final_Table[[#This Row],[Variable Cost %]]</f>
        <v>3304.7999999999997</v>
      </c>
      <c r="R331">
        <f>Final_Table[[#This Row],[Variable Cost]]+Final_Table[[#This Row],[Fixed Monthly Cost]]</f>
        <v>21304.799999999999</v>
      </c>
      <c r="S331" s="5">
        <f>Final_Table[[#This Row],[Net Revenue]]-Final_Table[[#This Row],[Total Cost (COGS)]]</f>
        <v>-2944.7999999999993</v>
      </c>
      <c r="T331">
        <f>Final_Table[[#This Row],[Gross Profit]]*Final_Table[[#This Row],[Tax Rate]]</f>
        <v>-883.43999999999971</v>
      </c>
      <c r="U331" s="5">
        <f>Final_Table[[#This Row],[Gross Profit]]-Final_Table[[#This Row],[Tax]]</f>
        <v>-2061.3599999999997</v>
      </c>
      <c r="V331" s="12">
        <f>Final_Table[[#This Row],[Net Profit]]/Final_Table[[#This Row],[Gross Revenue]]</f>
        <v>-0.10104705882352939</v>
      </c>
    </row>
    <row r="332" spans="1:22">
      <c r="A332" s="18" t="s">
        <v>68</v>
      </c>
      <c r="B332">
        <v>2013</v>
      </c>
      <c r="C332" t="s">
        <v>120</v>
      </c>
      <c r="D332">
        <v>1</v>
      </c>
      <c r="E332" s="18" t="s">
        <v>16</v>
      </c>
      <c r="F332" s="18" t="s">
        <v>108</v>
      </c>
      <c r="G332" s="18" t="s">
        <v>36</v>
      </c>
      <c r="H332" s="18" t="str">
        <f>Assumptions!$B$2</f>
        <v>Worst</v>
      </c>
      <c r="I332" s="18">
        <f>_xlfn.XLOOKUP(Assumptions!$B$2,Assumptions!$F$4:$H$4,Assumptions!$F$5:$H$5)</f>
        <v>1200</v>
      </c>
      <c r="J332" s="18">
        <f>_xlfn.XLOOKUP(Assumptions!$B$2,Assumptions!$F$4:$H$4,Assumptions!$F$6:$H$6)</f>
        <v>17</v>
      </c>
      <c r="K332" s="12">
        <f>_xlfn.XLOOKUP(Assumptions!$B$2,Assumptions!$F$4:$H$4,Assumptions!$F$8:$H$8)</f>
        <v>0.1</v>
      </c>
      <c r="L332" s="12">
        <f>_xlfn.XLOOKUP(Assumptions!$B$2,Assumptions!$F$4:$H$4,Assumptions!$F$9:$H$9)</f>
        <v>0.18</v>
      </c>
      <c r="M332" s="18">
        <f>_xlfn.XLOOKUP(Assumptions!$B$2,Assumptions!$F$4:$H$4,Assumptions!$F$10:$H$10)</f>
        <v>18000</v>
      </c>
      <c r="N332" s="12">
        <f>_xlfn.XLOOKUP(Assumptions!$B$2,Assumptions!$F$4:$H$4,Assumptions!$F$11:$H$11)</f>
        <v>0.3</v>
      </c>
      <c r="O332" s="14">
        <f>Final_Table[[#This Row],[Units Sold]]*Final_Table[[#This Row],[Sale Price]]</f>
        <v>20400</v>
      </c>
      <c r="P332" s="14">
        <f>Final_Table[[#This Row],[Gross Revenue]]*(1-Final_Table[[#This Row],[Discount %]])</f>
        <v>18360</v>
      </c>
      <c r="Q332">
        <f>Final_Table[[#This Row],[Net Revenue]]*Final_Table[[#This Row],[Variable Cost %]]</f>
        <v>3304.7999999999997</v>
      </c>
      <c r="R332">
        <f>Final_Table[[#This Row],[Variable Cost]]+Final_Table[[#This Row],[Fixed Monthly Cost]]</f>
        <v>21304.799999999999</v>
      </c>
      <c r="S332" s="5">
        <f>Final_Table[[#This Row],[Net Revenue]]-Final_Table[[#This Row],[Total Cost (COGS)]]</f>
        <v>-2944.7999999999993</v>
      </c>
      <c r="T332">
        <f>Final_Table[[#This Row],[Gross Profit]]*Final_Table[[#This Row],[Tax Rate]]</f>
        <v>-883.43999999999971</v>
      </c>
      <c r="U332" s="5">
        <f>Final_Table[[#This Row],[Gross Profit]]-Final_Table[[#This Row],[Tax]]</f>
        <v>-2061.3599999999997</v>
      </c>
      <c r="V332" s="12">
        <f>Final_Table[[#This Row],[Net Profit]]/Final_Table[[#This Row],[Gross Revenue]]</f>
        <v>-0.10104705882352939</v>
      </c>
    </row>
    <row r="333" spans="1:22">
      <c r="A333" s="18" t="s">
        <v>68</v>
      </c>
      <c r="B333">
        <v>2013</v>
      </c>
      <c r="C333" t="s">
        <v>120</v>
      </c>
      <c r="D333">
        <v>1</v>
      </c>
      <c r="E333" s="18" t="s">
        <v>16</v>
      </c>
      <c r="F333" s="18" t="s">
        <v>108</v>
      </c>
      <c r="G333" s="18" t="s">
        <v>23</v>
      </c>
      <c r="H333" s="18" t="str">
        <f>Assumptions!$B$2</f>
        <v>Worst</v>
      </c>
      <c r="I333" s="18">
        <f>_xlfn.XLOOKUP(Assumptions!$B$2,Assumptions!$F$4:$H$4,Assumptions!$F$5:$H$5)</f>
        <v>1200</v>
      </c>
      <c r="J333" s="18">
        <f>_xlfn.XLOOKUP(Assumptions!$B$2,Assumptions!$F$4:$H$4,Assumptions!$F$6:$H$6)</f>
        <v>17</v>
      </c>
      <c r="K333" s="12">
        <f>_xlfn.XLOOKUP(Assumptions!$B$2,Assumptions!$F$4:$H$4,Assumptions!$F$8:$H$8)</f>
        <v>0.1</v>
      </c>
      <c r="L333" s="12">
        <f>_xlfn.XLOOKUP(Assumptions!$B$2,Assumptions!$F$4:$H$4,Assumptions!$F$9:$H$9)</f>
        <v>0.18</v>
      </c>
      <c r="M333" s="18">
        <f>_xlfn.XLOOKUP(Assumptions!$B$2,Assumptions!$F$4:$H$4,Assumptions!$F$10:$H$10)</f>
        <v>18000</v>
      </c>
      <c r="N333" s="12">
        <f>_xlfn.XLOOKUP(Assumptions!$B$2,Assumptions!$F$4:$H$4,Assumptions!$F$11:$H$11)</f>
        <v>0.3</v>
      </c>
      <c r="O333" s="14">
        <f>Final_Table[[#This Row],[Units Sold]]*Final_Table[[#This Row],[Sale Price]]</f>
        <v>20400</v>
      </c>
      <c r="P333" s="14">
        <f>Final_Table[[#This Row],[Gross Revenue]]*(1-Final_Table[[#This Row],[Discount %]])</f>
        <v>18360</v>
      </c>
      <c r="Q333">
        <f>Final_Table[[#This Row],[Net Revenue]]*Final_Table[[#This Row],[Variable Cost %]]</f>
        <v>3304.7999999999997</v>
      </c>
      <c r="R333">
        <f>Final_Table[[#This Row],[Variable Cost]]+Final_Table[[#This Row],[Fixed Monthly Cost]]</f>
        <v>21304.799999999999</v>
      </c>
      <c r="S333" s="5">
        <f>Final_Table[[#This Row],[Net Revenue]]-Final_Table[[#This Row],[Total Cost (COGS)]]</f>
        <v>-2944.7999999999993</v>
      </c>
      <c r="T333">
        <f>Final_Table[[#This Row],[Gross Profit]]*Final_Table[[#This Row],[Tax Rate]]</f>
        <v>-883.43999999999971</v>
      </c>
      <c r="U333" s="5">
        <f>Final_Table[[#This Row],[Gross Profit]]-Final_Table[[#This Row],[Tax]]</f>
        <v>-2061.3599999999997</v>
      </c>
      <c r="V333" s="12">
        <f>Final_Table[[#This Row],[Net Profit]]/Final_Table[[#This Row],[Gross Revenue]]</f>
        <v>-0.10104705882352939</v>
      </c>
    </row>
    <row r="334" spans="1:22">
      <c r="A334" s="18" t="s">
        <v>68</v>
      </c>
      <c r="B334">
        <v>2013</v>
      </c>
      <c r="C334" t="s">
        <v>120</v>
      </c>
      <c r="D334">
        <v>1</v>
      </c>
      <c r="E334" s="18" t="s">
        <v>16</v>
      </c>
      <c r="F334" s="18" t="s">
        <v>108</v>
      </c>
      <c r="G334" s="18" t="s">
        <v>21</v>
      </c>
      <c r="H334" s="18" t="str">
        <f>Assumptions!$B$2</f>
        <v>Worst</v>
      </c>
      <c r="I334" s="18">
        <f>_xlfn.XLOOKUP(Assumptions!$B$2,Assumptions!$F$4:$H$4,Assumptions!$F$5:$H$5)</f>
        <v>1200</v>
      </c>
      <c r="J334" s="18">
        <f>_xlfn.XLOOKUP(Assumptions!$B$2,Assumptions!$F$4:$H$4,Assumptions!$F$6:$H$6)</f>
        <v>17</v>
      </c>
      <c r="K334" s="12">
        <f>_xlfn.XLOOKUP(Assumptions!$B$2,Assumptions!$F$4:$H$4,Assumptions!$F$8:$H$8)</f>
        <v>0.1</v>
      </c>
      <c r="L334" s="12">
        <f>_xlfn.XLOOKUP(Assumptions!$B$2,Assumptions!$F$4:$H$4,Assumptions!$F$9:$H$9)</f>
        <v>0.18</v>
      </c>
      <c r="M334" s="18">
        <f>_xlfn.XLOOKUP(Assumptions!$B$2,Assumptions!$F$4:$H$4,Assumptions!$F$10:$H$10)</f>
        <v>18000</v>
      </c>
      <c r="N334" s="12">
        <f>_xlfn.XLOOKUP(Assumptions!$B$2,Assumptions!$F$4:$H$4,Assumptions!$F$11:$H$11)</f>
        <v>0.3</v>
      </c>
      <c r="O334" s="14">
        <f>Final_Table[[#This Row],[Units Sold]]*Final_Table[[#This Row],[Sale Price]]</f>
        <v>20400</v>
      </c>
      <c r="P334" s="14">
        <f>Final_Table[[#This Row],[Gross Revenue]]*(1-Final_Table[[#This Row],[Discount %]])</f>
        <v>18360</v>
      </c>
      <c r="Q334">
        <f>Final_Table[[#This Row],[Net Revenue]]*Final_Table[[#This Row],[Variable Cost %]]</f>
        <v>3304.7999999999997</v>
      </c>
      <c r="R334">
        <f>Final_Table[[#This Row],[Variable Cost]]+Final_Table[[#This Row],[Fixed Monthly Cost]]</f>
        <v>21304.799999999999</v>
      </c>
      <c r="S334" s="5">
        <f>Final_Table[[#This Row],[Net Revenue]]-Final_Table[[#This Row],[Total Cost (COGS)]]</f>
        <v>-2944.7999999999993</v>
      </c>
      <c r="T334">
        <f>Final_Table[[#This Row],[Gross Profit]]*Final_Table[[#This Row],[Tax Rate]]</f>
        <v>-883.43999999999971</v>
      </c>
      <c r="U334" s="5">
        <f>Final_Table[[#This Row],[Gross Profit]]-Final_Table[[#This Row],[Tax]]</f>
        <v>-2061.3599999999997</v>
      </c>
      <c r="V334" s="12">
        <f>Final_Table[[#This Row],[Net Profit]]/Final_Table[[#This Row],[Gross Revenue]]</f>
        <v>-0.10104705882352939</v>
      </c>
    </row>
    <row r="335" spans="1:22">
      <c r="A335" s="18" t="s">
        <v>68</v>
      </c>
      <c r="B335">
        <v>2013</v>
      </c>
      <c r="C335" t="s">
        <v>120</v>
      </c>
      <c r="D335">
        <v>1</v>
      </c>
      <c r="E335" s="18" t="s">
        <v>16</v>
      </c>
      <c r="F335" s="18" t="s">
        <v>108</v>
      </c>
      <c r="G335" s="18" t="s">
        <v>25</v>
      </c>
      <c r="H335" s="18" t="str">
        <f>Assumptions!$B$2</f>
        <v>Worst</v>
      </c>
      <c r="I335" s="18">
        <f>_xlfn.XLOOKUP(Assumptions!$B$2,Assumptions!$F$4:$H$4,Assumptions!$F$5:$H$5)</f>
        <v>1200</v>
      </c>
      <c r="J335" s="18">
        <f>_xlfn.XLOOKUP(Assumptions!$B$2,Assumptions!$F$4:$H$4,Assumptions!$F$6:$H$6)</f>
        <v>17</v>
      </c>
      <c r="K335" s="12">
        <f>_xlfn.XLOOKUP(Assumptions!$B$2,Assumptions!$F$4:$H$4,Assumptions!$F$8:$H$8)</f>
        <v>0.1</v>
      </c>
      <c r="L335" s="12">
        <f>_xlfn.XLOOKUP(Assumptions!$B$2,Assumptions!$F$4:$H$4,Assumptions!$F$9:$H$9)</f>
        <v>0.18</v>
      </c>
      <c r="M335" s="18">
        <f>_xlfn.XLOOKUP(Assumptions!$B$2,Assumptions!$F$4:$H$4,Assumptions!$F$10:$H$10)</f>
        <v>18000</v>
      </c>
      <c r="N335" s="12">
        <f>_xlfn.XLOOKUP(Assumptions!$B$2,Assumptions!$F$4:$H$4,Assumptions!$F$11:$H$11)</f>
        <v>0.3</v>
      </c>
      <c r="O335" s="14">
        <f>Final_Table[[#This Row],[Units Sold]]*Final_Table[[#This Row],[Sale Price]]</f>
        <v>20400</v>
      </c>
      <c r="P335" s="14">
        <f>Final_Table[[#This Row],[Gross Revenue]]*(1-Final_Table[[#This Row],[Discount %]])</f>
        <v>18360</v>
      </c>
      <c r="Q335">
        <f>Final_Table[[#This Row],[Net Revenue]]*Final_Table[[#This Row],[Variable Cost %]]</f>
        <v>3304.7999999999997</v>
      </c>
      <c r="R335">
        <f>Final_Table[[#This Row],[Variable Cost]]+Final_Table[[#This Row],[Fixed Monthly Cost]]</f>
        <v>21304.799999999999</v>
      </c>
      <c r="S335" s="5">
        <f>Final_Table[[#This Row],[Net Revenue]]-Final_Table[[#This Row],[Total Cost (COGS)]]</f>
        <v>-2944.7999999999993</v>
      </c>
      <c r="T335">
        <f>Final_Table[[#This Row],[Gross Profit]]*Final_Table[[#This Row],[Tax Rate]]</f>
        <v>-883.43999999999971</v>
      </c>
      <c r="U335" s="5">
        <f>Final_Table[[#This Row],[Gross Profit]]-Final_Table[[#This Row],[Tax]]</f>
        <v>-2061.3599999999997</v>
      </c>
      <c r="V335" s="12">
        <f>Final_Table[[#This Row],[Net Profit]]/Final_Table[[#This Row],[Gross Revenue]]</f>
        <v>-0.10104705882352939</v>
      </c>
    </row>
    <row r="336" spans="1:22">
      <c r="A336" s="18" t="s">
        <v>68</v>
      </c>
      <c r="B336">
        <v>2013</v>
      </c>
      <c r="C336" t="s">
        <v>120</v>
      </c>
      <c r="D336">
        <v>1</v>
      </c>
      <c r="E336" s="18" t="s">
        <v>16</v>
      </c>
      <c r="F336" s="18" t="s">
        <v>108</v>
      </c>
      <c r="G336" s="18" t="s">
        <v>17</v>
      </c>
      <c r="H336" s="18" t="str">
        <f>Assumptions!$B$2</f>
        <v>Worst</v>
      </c>
      <c r="I336" s="18">
        <f>_xlfn.XLOOKUP(Assumptions!$B$2,Assumptions!$F$4:$H$4,Assumptions!$F$5:$H$5)</f>
        <v>1200</v>
      </c>
      <c r="J336" s="18">
        <f>_xlfn.XLOOKUP(Assumptions!$B$2,Assumptions!$F$4:$H$4,Assumptions!$F$6:$H$6)</f>
        <v>17</v>
      </c>
      <c r="K336" s="12">
        <f>_xlfn.XLOOKUP(Assumptions!$B$2,Assumptions!$F$4:$H$4,Assumptions!$F$8:$H$8)</f>
        <v>0.1</v>
      </c>
      <c r="L336" s="12">
        <f>_xlfn.XLOOKUP(Assumptions!$B$2,Assumptions!$F$4:$H$4,Assumptions!$F$9:$H$9)</f>
        <v>0.18</v>
      </c>
      <c r="M336" s="18">
        <f>_xlfn.XLOOKUP(Assumptions!$B$2,Assumptions!$F$4:$H$4,Assumptions!$F$10:$H$10)</f>
        <v>18000</v>
      </c>
      <c r="N336" s="12">
        <f>_xlfn.XLOOKUP(Assumptions!$B$2,Assumptions!$F$4:$H$4,Assumptions!$F$11:$H$11)</f>
        <v>0.3</v>
      </c>
      <c r="O336" s="14">
        <f>Final_Table[[#This Row],[Units Sold]]*Final_Table[[#This Row],[Sale Price]]</f>
        <v>20400</v>
      </c>
      <c r="P336" s="14">
        <f>Final_Table[[#This Row],[Gross Revenue]]*(1-Final_Table[[#This Row],[Discount %]])</f>
        <v>18360</v>
      </c>
      <c r="Q336">
        <f>Final_Table[[#This Row],[Net Revenue]]*Final_Table[[#This Row],[Variable Cost %]]</f>
        <v>3304.7999999999997</v>
      </c>
      <c r="R336">
        <f>Final_Table[[#This Row],[Variable Cost]]+Final_Table[[#This Row],[Fixed Monthly Cost]]</f>
        <v>21304.799999999999</v>
      </c>
      <c r="S336" s="5">
        <f>Final_Table[[#This Row],[Net Revenue]]-Final_Table[[#This Row],[Total Cost (COGS)]]</f>
        <v>-2944.7999999999993</v>
      </c>
      <c r="T336">
        <f>Final_Table[[#This Row],[Gross Profit]]*Final_Table[[#This Row],[Tax Rate]]</f>
        <v>-883.43999999999971</v>
      </c>
      <c r="U336" s="5">
        <f>Final_Table[[#This Row],[Gross Profit]]-Final_Table[[#This Row],[Tax]]</f>
        <v>-2061.3599999999997</v>
      </c>
      <c r="V336" s="12">
        <f>Final_Table[[#This Row],[Net Profit]]/Final_Table[[#This Row],[Gross Revenue]]</f>
        <v>-0.10104705882352939</v>
      </c>
    </row>
    <row r="337" spans="1:22">
      <c r="A337" s="18" t="s">
        <v>68</v>
      </c>
      <c r="B337">
        <v>2013</v>
      </c>
      <c r="C337" t="s">
        <v>120</v>
      </c>
      <c r="D337">
        <v>1</v>
      </c>
      <c r="E337" s="18" t="s">
        <v>16</v>
      </c>
      <c r="F337" s="18" t="s">
        <v>112</v>
      </c>
      <c r="G337" s="18" t="s">
        <v>36</v>
      </c>
      <c r="H337" s="18" t="str">
        <f>Assumptions!$B$2</f>
        <v>Worst</v>
      </c>
      <c r="I337" s="18">
        <f>_xlfn.XLOOKUP(Assumptions!$B$2,Assumptions!$F$4:$H$4,Assumptions!$F$5:$H$5)</f>
        <v>1200</v>
      </c>
      <c r="J337" s="18">
        <f>_xlfn.XLOOKUP(Assumptions!$B$2,Assumptions!$F$4:$H$4,Assumptions!$F$6:$H$6)</f>
        <v>17</v>
      </c>
      <c r="K337" s="12">
        <f>_xlfn.XLOOKUP(Assumptions!$B$2,Assumptions!$F$4:$H$4,Assumptions!$F$8:$H$8)</f>
        <v>0.1</v>
      </c>
      <c r="L337" s="12">
        <f>_xlfn.XLOOKUP(Assumptions!$B$2,Assumptions!$F$4:$H$4,Assumptions!$F$9:$H$9)</f>
        <v>0.18</v>
      </c>
      <c r="M337" s="18">
        <f>_xlfn.XLOOKUP(Assumptions!$B$2,Assumptions!$F$4:$H$4,Assumptions!$F$10:$H$10)</f>
        <v>18000</v>
      </c>
      <c r="N337" s="12">
        <f>_xlfn.XLOOKUP(Assumptions!$B$2,Assumptions!$F$4:$H$4,Assumptions!$F$11:$H$11)</f>
        <v>0.3</v>
      </c>
      <c r="O337" s="14">
        <f>Final_Table[[#This Row],[Units Sold]]*Final_Table[[#This Row],[Sale Price]]</f>
        <v>20400</v>
      </c>
      <c r="P337" s="14">
        <f>Final_Table[[#This Row],[Gross Revenue]]*(1-Final_Table[[#This Row],[Discount %]])</f>
        <v>18360</v>
      </c>
      <c r="Q337">
        <f>Final_Table[[#This Row],[Net Revenue]]*Final_Table[[#This Row],[Variable Cost %]]</f>
        <v>3304.7999999999997</v>
      </c>
      <c r="R337">
        <f>Final_Table[[#This Row],[Variable Cost]]+Final_Table[[#This Row],[Fixed Monthly Cost]]</f>
        <v>21304.799999999999</v>
      </c>
      <c r="S337" s="5">
        <f>Final_Table[[#This Row],[Net Revenue]]-Final_Table[[#This Row],[Total Cost (COGS)]]</f>
        <v>-2944.7999999999993</v>
      </c>
      <c r="T337">
        <f>Final_Table[[#This Row],[Gross Profit]]*Final_Table[[#This Row],[Tax Rate]]</f>
        <v>-883.43999999999971</v>
      </c>
      <c r="U337" s="5">
        <f>Final_Table[[#This Row],[Gross Profit]]-Final_Table[[#This Row],[Tax]]</f>
        <v>-2061.3599999999997</v>
      </c>
      <c r="V337" s="12">
        <f>Final_Table[[#This Row],[Net Profit]]/Final_Table[[#This Row],[Gross Revenue]]</f>
        <v>-0.10104705882352939</v>
      </c>
    </row>
    <row r="338" spans="1:22">
      <c r="A338" s="18" t="s">
        <v>68</v>
      </c>
      <c r="B338">
        <v>2013</v>
      </c>
      <c r="C338" t="s">
        <v>120</v>
      </c>
      <c r="D338">
        <v>1</v>
      </c>
      <c r="E338" s="18" t="s">
        <v>16</v>
      </c>
      <c r="F338" s="18" t="s">
        <v>112</v>
      </c>
      <c r="G338" s="18" t="s">
        <v>23</v>
      </c>
      <c r="H338" s="18" t="str">
        <f>Assumptions!$B$2</f>
        <v>Worst</v>
      </c>
      <c r="I338" s="18">
        <f>_xlfn.XLOOKUP(Assumptions!$B$2,Assumptions!$F$4:$H$4,Assumptions!$F$5:$H$5)</f>
        <v>1200</v>
      </c>
      <c r="J338" s="18">
        <f>_xlfn.XLOOKUP(Assumptions!$B$2,Assumptions!$F$4:$H$4,Assumptions!$F$6:$H$6)</f>
        <v>17</v>
      </c>
      <c r="K338" s="12">
        <f>_xlfn.XLOOKUP(Assumptions!$B$2,Assumptions!$F$4:$H$4,Assumptions!$F$8:$H$8)</f>
        <v>0.1</v>
      </c>
      <c r="L338" s="12">
        <f>_xlfn.XLOOKUP(Assumptions!$B$2,Assumptions!$F$4:$H$4,Assumptions!$F$9:$H$9)</f>
        <v>0.18</v>
      </c>
      <c r="M338" s="18">
        <f>_xlfn.XLOOKUP(Assumptions!$B$2,Assumptions!$F$4:$H$4,Assumptions!$F$10:$H$10)</f>
        <v>18000</v>
      </c>
      <c r="N338" s="12">
        <f>_xlfn.XLOOKUP(Assumptions!$B$2,Assumptions!$F$4:$H$4,Assumptions!$F$11:$H$11)</f>
        <v>0.3</v>
      </c>
      <c r="O338" s="14">
        <f>Final_Table[[#This Row],[Units Sold]]*Final_Table[[#This Row],[Sale Price]]</f>
        <v>20400</v>
      </c>
      <c r="P338" s="14">
        <f>Final_Table[[#This Row],[Gross Revenue]]*(1-Final_Table[[#This Row],[Discount %]])</f>
        <v>18360</v>
      </c>
      <c r="Q338">
        <f>Final_Table[[#This Row],[Net Revenue]]*Final_Table[[#This Row],[Variable Cost %]]</f>
        <v>3304.7999999999997</v>
      </c>
      <c r="R338">
        <f>Final_Table[[#This Row],[Variable Cost]]+Final_Table[[#This Row],[Fixed Monthly Cost]]</f>
        <v>21304.799999999999</v>
      </c>
      <c r="S338" s="5">
        <f>Final_Table[[#This Row],[Net Revenue]]-Final_Table[[#This Row],[Total Cost (COGS)]]</f>
        <v>-2944.7999999999993</v>
      </c>
      <c r="T338">
        <f>Final_Table[[#This Row],[Gross Profit]]*Final_Table[[#This Row],[Tax Rate]]</f>
        <v>-883.43999999999971</v>
      </c>
      <c r="U338" s="5">
        <f>Final_Table[[#This Row],[Gross Profit]]-Final_Table[[#This Row],[Tax]]</f>
        <v>-2061.3599999999997</v>
      </c>
      <c r="V338" s="12">
        <f>Final_Table[[#This Row],[Net Profit]]/Final_Table[[#This Row],[Gross Revenue]]</f>
        <v>-0.10104705882352939</v>
      </c>
    </row>
    <row r="339" spans="1:22">
      <c r="A339" s="18" t="s">
        <v>68</v>
      </c>
      <c r="B339">
        <v>2013</v>
      </c>
      <c r="C339" t="s">
        <v>120</v>
      </c>
      <c r="D339">
        <v>1</v>
      </c>
      <c r="E339" s="18" t="s">
        <v>16</v>
      </c>
      <c r="F339" s="18" t="s">
        <v>112</v>
      </c>
      <c r="G339" s="18" t="s">
        <v>21</v>
      </c>
      <c r="H339" s="18" t="str">
        <f>Assumptions!$B$2</f>
        <v>Worst</v>
      </c>
      <c r="I339" s="18">
        <f>_xlfn.XLOOKUP(Assumptions!$B$2,Assumptions!$F$4:$H$4,Assumptions!$F$5:$H$5)</f>
        <v>1200</v>
      </c>
      <c r="J339" s="18">
        <f>_xlfn.XLOOKUP(Assumptions!$B$2,Assumptions!$F$4:$H$4,Assumptions!$F$6:$H$6)</f>
        <v>17</v>
      </c>
      <c r="K339" s="12">
        <f>_xlfn.XLOOKUP(Assumptions!$B$2,Assumptions!$F$4:$H$4,Assumptions!$F$8:$H$8)</f>
        <v>0.1</v>
      </c>
      <c r="L339" s="12">
        <f>_xlfn.XLOOKUP(Assumptions!$B$2,Assumptions!$F$4:$H$4,Assumptions!$F$9:$H$9)</f>
        <v>0.18</v>
      </c>
      <c r="M339" s="18">
        <f>_xlfn.XLOOKUP(Assumptions!$B$2,Assumptions!$F$4:$H$4,Assumptions!$F$10:$H$10)</f>
        <v>18000</v>
      </c>
      <c r="N339" s="12">
        <f>_xlfn.XLOOKUP(Assumptions!$B$2,Assumptions!$F$4:$H$4,Assumptions!$F$11:$H$11)</f>
        <v>0.3</v>
      </c>
      <c r="O339" s="14">
        <f>Final_Table[[#This Row],[Units Sold]]*Final_Table[[#This Row],[Sale Price]]</f>
        <v>20400</v>
      </c>
      <c r="P339" s="14">
        <f>Final_Table[[#This Row],[Gross Revenue]]*(1-Final_Table[[#This Row],[Discount %]])</f>
        <v>18360</v>
      </c>
      <c r="Q339">
        <f>Final_Table[[#This Row],[Net Revenue]]*Final_Table[[#This Row],[Variable Cost %]]</f>
        <v>3304.7999999999997</v>
      </c>
      <c r="R339">
        <f>Final_Table[[#This Row],[Variable Cost]]+Final_Table[[#This Row],[Fixed Monthly Cost]]</f>
        <v>21304.799999999999</v>
      </c>
      <c r="S339" s="5">
        <f>Final_Table[[#This Row],[Net Revenue]]-Final_Table[[#This Row],[Total Cost (COGS)]]</f>
        <v>-2944.7999999999993</v>
      </c>
      <c r="T339">
        <f>Final_Table[[#This Row],[Gross Profit]]*Final_Table[[#This Row],[Tax Rate]]</f>
        <v>-883.43999999999971</v>
      </c>
      <c r="U339" s="5">
        <f>Final_Table[[#This Row],[Gross Profit]]-Final_Table[[#This Row],[Tax]]</f>
        <v>-2061.3599999999997</v>
      </c>
      <c r="V339" s="12">
        <f>Final_Table[[#This Row],[Net Profit]]/Final_Table[[#This Row],[Gross Revenue]]</f>
        <v>-0.10104705882352939</v>
      </c>
    </row>
    <row r="340" spans="1:22">
      <c r="A340" s="18" t="s">
        <v>68</v>
      </c>
      <c r="B340">
        <v>2013</v>
      </c>
      <c r="C340" t="s">
        <v>120</v>
      </c>
      <c r="D340">
        <v>1</v>
      </c>
      <c r="E340" s="18" t="s">
        <v>16</v>
      </c>
      <c r="F340" s="18" t="s">
        <v>112</v>
      </c>
      <c r="G340" s="18" t="s">
        <v>25</v>
      </c>
      <c r="H340" s="18" t="str">
        <f>Assumptions!$B$2</f>
        <v>Worst</v>
      </c>
      <c r="I340" s="18">
        <f>_xlfn.XLOOKUP(Assumptions!$B$2,Assumptions!$F$4:$H$4,Assumptions!$F$5:$H$5)</f>
        <v>1200</v>
      </c>
      <c r="J340" s="18">
        <f>_xlfn.XLOOKUP(Assumptions!$B$2,Assumptions!$F$4:$H$4,Assumptions!$F$6:$H$6)</f>
        <v>17</v>
      </c>
      <c r="K340" s="12">
        <f>_xlfn.XLOOKUP(Assumptions!$B$2,Assumptions!$F$4:$H$4,Assumptions!$F$8:$H$8)</f>
        <v>0.1</v>
      </c>
      <c r="L340" s="12">
        <f>_xlfn.XLOOKUP(Assumptions!$B$2,Assumptions!$F$4:$H$4,Assumptions!$F$9:$H$9)</f>
        <v>0.18</v>
      </c>
      <c r="M340" s="18">
        <f>_xlfn.XLOOKUP(Assumptions!$B$2,Assumptions!$F$4:$H$4,Assumptions!$F$10:$H$10)</f>
        <v>18000</v>
      </c>
      <c r="N340" s="12">
        <f>_xlfn.XLOOKUP(Assumptions!$B$2,Assumptions!$F$4:$H$4,Assumptions!$F$11:$H$11)</f>
        <v>0.3</v>
      </c>
      <c r="O340" s="14">
        <f>Final_Table[[#This Row],[Units Sold]]*Final_Table[[#This Row],[Sale Price]]</f>
        <v>20400</v>
      </c>
      <c r="P340" s="14">
        <f>Final_Table[[#This Row],[Gross Revenue]]*(1-Final_Table[[#This Row],[Discount %]])</f>
        <v>18360</v>
      </c>
      <c r="Q340">
        <f>Final_Table[[#This Row],[Net Revenue]]*Final_Table[[#This Row],[Variable Cost %]]</f>
        <v>3304.7999999999997</v>
      </c>
      <c r="R340">
        <f>Final_Table[[#This Row],[Variable Cost]]+Final_Table[[#This Row],[Fixed Monthly Cost]]</f>
        <v>21304.799999999999</v>
      </c>
      <c r="S340" s="5">
        <f>Final_Table[[#This Row],[Net Revenue]]-Final_Table[[#This Row],[Total Cost (COGS)]]</f>
        <v>-2944.7999999999993</v>
      </c>
      <c r="T340">
        <f>Final_Table[[#This Row],[Gross Profit]]*Final_Table[[#This Row],[Tax Rate]]</f>
        <v>-883.43999999999971</v>
      </c>
      <c r="U340" s="5">
        <f>Final_Table[[#This Row],[Gross Profit]]-Final_Table[[#This Row],[Tax]]</f>
        <v>-2061.3599999999997</v>
      </c>
      <c r="V340" s="12">
        <f>Final_Table[[#This Row],[Net Profit]]/Final_Table[[#This Row],[Gross Revenue]]</f>
        <v>-0.10104705882352939</v>
      </c>
    </row>
    <row r="341" spans="1:22">
      <c r="A341" s="18" t="s">
        <v>68</v>
      </c>
      <c r="B341">
        <v>2013</v>
      </c>
      <c r="C341" t="s">
        <v>120</v>
      </c>
      <c r="D341">
        <v>1</v>
      </c>
      <c r="E341" s="18" t="s">
        <v>16</v>
      </c>
      <c r="F341" s="18" t="s">
        <v>112</v>
      </c>
      <c r="G341" s="18" t="s">
        <v>17</v>
      </c>
      <c r="H341" s="18" t="str">
        <f>Assumptions!$B$2</f>
        <v>Worst</v>
      </c>
      <c r="I341" s="18">
        <f>_xlfn.XLOOKUP(Assumptions!$B$2,Assumptions!$F$4:$H$4,Assumptions!$F$5:$H$5)</f>
        <v>1200</v>
      </c>
      <c r="J341" s="18">
        <f>_xlfn.XLOOKUP(Assumptions!$B$2,Assumptions!$F$4:$H$4,Assumptions!$F$6:$H$6)</f>
        <v>17</v>
      </c>
      <c r="K341" s="12">
        <f>_xlfn.XLOOKUP(Assumptions!$B$2,Assumptions!$F$4:$H$4,Assumptions!$F$8:$H$8)</f>
        <v>0.1</v>
      </c>
      <c r="L341" s="12">
        <f>_xlfn.XLOOKUP(Assumptions!$B$2,Assumptions!$F$4:$H$4,Assumptions!$F$9:$H$9)</f>
        <v>0.18</v>
      </c>
      <c r="M341" s="18">
        <f>_xlfn.XLOOKUP(Assumptions!$B$2,Assumptions!$F$4:$H$4,Assumptions!$F$10:$H$10)</f>
        <v>18000</v>
      </c>
      <c r="N341" s="12">
        <f>_xlfn.XLOOKUP(Assumptions!$B$2,Assumptions!$F$4:$H$4,Assumptions!$F$11:$H$11)</f>
        <v>0.3</v>
      </c>
      <c r="O341" s="14">
        <f>Final_Table[[#This Row],[Units Sold]]*Final_Table[[#This Row],[Sale Price]]</f>
        <v>20400</v>
      </c>
      <c r="P341" s="14">
        <f>Final_Table[[#This Row],[Gross Revenue]]*(1-Final_Table[[#This Row],[Discount %]])</f>
        <v>18360</v>
      </c>
      <c r="Q341">
        <f>Final_Table[[#This Row],[Net Revenue]]*Final_Table[[#This Row],[Variable Cost %]]</f>
        <v>3304.7999999999997</v>
      </c>
      <c r="R341">
        <f>Final_Table[[#This Row],[Variable Cost]]+Final_Table[[#This Row],[Fixed Monthly Cost]]</f>
        <v>21304.799999999999</v>
      </c>
      <c r="S341" s="5">
        <f>Final_Table[[#This Row],[Net Revenue]]-Final_Table[[#This Row],[Total Cost (COGS)]]</f>
        <v>-2944.7999999999993</v>
      </c>
      <c r="T341">
        <f>Final_Table[[#This Row],[Gross Profit]]*Final_Table[[#This Row],[Tax Rate]]</f>
        <v>-883.43999999999971</v>
      </c>
      <c r="U341" s="5">
        <f>Final_Table[[#This Row],[Gross Profit]]-Final_Table[[#This Row],[Tax]]</f>
        <v>-2061.3599999999997</v>
      </c>
      <c r="V341" s="12">
        <f>Final_Table[[#This Row],[Net Profit]]/Final_Table[[#This Row],[Gross Revenue]]</f>
        <v>-0.10104705882352939</v>
      </c>
    </row>
    <row r="342" spans="1:22">
      <c r="A342" s="18" t="s">
        <v>68</v>
      </c>
      <c r="B342">
        <v>2013</v>
      </c>
      <c r="C342" t="s">
        <v>120</v>
      </c>
      <c r="D342">
        <v>1</v>
      </c>
      <c r="E342" s="18" t="s">
        <v>16</v>
      </c>
      <c r="F342" s="18" t="s">
        <v>113</v>
      </c>
      <c r="G342" s="18" t="s">
        <v>36</v>
      </c>
      <c r="H342" s="18" t="str">
        <f>Assumptions!$B$2</f>
        <v>Worst</v>
      </c>
      <c r="I342" s="18">
        <f>_xlfn.XLOOKUP(Assumptions!$B$2,Assumptions!$F$4:$H$4,Assumptions!$F$5:$H$5)</f>
        <v>1200</v>
      </c>
      <c r="J342" s="18">
        <f>_xlfn.XLOOKUP(Assumptions!$B$2,Assumptions!$F$4:$H$4,Assumptions!$F$6:$H$6)</f>
        <v>17</v>
      </c>
      <c r="K342" s="12">
        <f>_xlfn.XLOOKUP(Assumptions!$B$2,Assumptions!$F$4:$H$4,Assumptions!$F$8:$H$8)</f>
        <v>0.1</v>
      </c>
      <c r="L342" s="12">
        <f>_xlfn.XLOOKUP(Assumptions!$B$2,Assumptions!$F$4:$H$4,Assumptions!$F$9:$H$9)</f>
        <v>0.18</v>
      </c>
      <c r="M342" s="18">
        <f>_xlfn.XLOOKUP(Assumptions!$B$2,Assumptions!$F$4:$H$4,Assumptions!$F$10:$H$10)</f>
        <v>18000</v>
      </c>
      <c r="N342" s="12">
        <f>_xlfn.XLOOKUP(Assumptions!$B$2,Assumptions!$F$4:$H$4,Assumptions!$F$11:$H$11)</f>
        <v>0.3</v>
      </c>
      <c r="O342" s="14">
        <f>Final_Table[[#This Row],[Units Sold]]*Final_Table[[#This Row],[Sale Price]]</f>
        <v>20400</v>
      </c>
      <c r="P342" s="14">
        <f>Final_Table[[#This Row],[Gross Revenue]]*(1-Final_Table[[#This Row],[Discount %]])</f>
        <v>18360</v>
      </c>
      <c r="Q342">
        <f>Final_Table[[#This Row],[Net Revenue]]*Final_Table[[#This Row],[Variable Cost %]]</f>
        <v>3304.7999999999997</v>
      </c>
      <c r="R342">
        <f>Final_Table[[#This Row],[Variable Cost]]+Final_Table[[#This Row],[Fixed Monthly Cost]]</f>
        <v>21304.799999999999</v>
      </c>
      <c r="S342" s="5">
        <f>Final_Table[[#This Row],[Net Revenue]]-Final_Table[[#This Row],[Total Cost (COGS)]]</f>
        <v>-2944.7999999999993</v>
      </c>
      <c r="T342">
        <f>Final_Table[[#This Row],[Gross Profit]]*Final_Table[[#This Row],[Tax Rate]]</f>
        <v>-883.43999999999971</v>
      </c>
      <c r="U342" s="5">
        <f>Final_Table[[#This Row],[Gross Profit]]-Final_Table[[#This Row],[Tax]]</f>
        <v>-2061.3599999999997</v>
      </c>
      <c r="V342" s="12">
        <f>Final_Table[[#This Row],[Net Profit]]/Final_Table[[#This Row],[Gross Revenue]]</f>
        <v>-0.10104705882352939</v>
      </c>
    </row>
    <row r="343" spans="1:22">
      <c r="A343" s="18" t="s">
        <v>68</v>
      </c>
      <c r="B343">
        <v>2013</v>
      </c>
      <c r="C343" t="s">
        <v>120</v>
      </c>
      <c r="D343">
        <v>1</v>
      </c>
      <c r="E343" s="18" t="s">
        <v>16</v>
      </c>
      <c r="F343" s="18" t="s">
        <v>113</v>
      </c>
      <c r="G343" s="18" t="s">
        <v>23</v>
      </c>
      <c r="H343" s="18" t="str">
        <f>Assumptions!$B$2</f>
        <v>Worst</v>
      </c>
      <c r="I343" s="18">
        <f>_xlfn.XLOOKUP(Assumptions!$B$2,Assumptions!$F$4:$H$4,Assumptions!$F$5:$H$5)</f>
        <v>1200</v>
      </c>
      <c r="J343" s="18">
        <f>_xlfn.XLOOKUP(Assumptions!$B$2,Assumptions!$F$4:$H$4,Assumptions!$F$6:$H$6)</f>
        <v>17</v>
      </c>
      <c r="K343" s="12">
        <f>_xlfn.XLOOKUP(Assumptions!$B$2,Assumptions!$F$4:$H$4,Assumptions!$F$8:$H$8)</f>
        <v>0.1</v>
      </c>
      <c r="L343" s="12">
        <f>_xlfn.XLOOKUP(Assumptions!$B$2,Assumptions!$F$4:$H$4,Assumptions!$F$9:$H$9)</f>
        <v>0.18</v>
      </c>
      <c r="M343" s="18">
        <f>_xlfn.XLOOKUP(Assumptions!$B$2,Assumptions!$F$4:$H$4,Assumptions!$F$10:$H$10)</f>
        <v>18000</v>
      </c>
      <c r="N343" s="12">
        <f>_xlfn.XLOOKUP(Assumptions!$B$2,Assumptions!$F$4:$H$4,Assumptions!$F$11:$H$11)</f>
        <v>0.3</v>
      </c>
      <c r="O343" s="14">
        <f>Final_Table[[#This Row],[Units Sold]]*Final_Table[[#This Row],[Sale Price]]</f>
        <v>20400</v>
      </c>
      <c r="P343" s="14">
        <f>Final_Table[[#This Row],[Gross Revenue]]*(1-Final_Table[[#This Row],[Discount %]])</f>
        <v>18360</v>
      </c>
      <c r="Q343">
        <f>Final_Table[[#This Row],[Net Revenue]]*Final_Table[[#This Row],[Variable Cost %]]</f>
        <v>3304.7999999999997</v>
      </c>
      <c r="R343">
        <f>Final_Table[[#This Row],[Variable Cost]]+Final_Table[[#This Row],[Fixed Monthly Cost]]</f>
        <v>21304.799999999999</v>
      </c>
      <c r="S343" s="5">
        <f>Final_Table[[#This Row],[Net Revenue]]-Final_Table[[#This Row],[Total Cost (COGS)]]</f>
        <v>-2944.7999999999993</v>
      </c>
      <c r="T343">
        <f>Final_Table[[#This Row],[Gross Profit]]*Final_Table[[#This Row],[Tax Rate]]</f>
        <v>-883.43999999999971</v>
      </c>
      <c r="U343" s="5">
        <f>Final_Table[[#This Row],[Gross Profit]]-Final_Table[[#This Row],[Tax]]</f>
        <v>-2061.3599999999997</v>
      </c>
      <c r="V343" s="12">
        <f>Final_Table[[#This Row],[Net Profit]]/Final_Table[[#This Row],[Gross Revenue]]</f>
        <v>-0.10104705882352939</v>
      </c>
    </row>
    <row r="344" spans="1:22">
      <c r="A344" s="18" t="s">
        <v>68</v>
      </c>
      <c r="B344">
        <v>2013</v>
      </c>
      <c r="C344" t="s">
        <v>120</v>
      </c>
      <c r="D344">
        <v>1</v>
      </c>
      <c r="E344" s="18" t="s">
        <v>16</v>
      </c>
      <c r="F344" s="18" t="s">
        <v>113</v>
      </c>
      <c r="G344" s="18" t="s">
        <v>21</v>
      </c>
      <c r="H344" s="18" t="str">
        <f>Assumptions!$B$2</f>
        <v>Worst</v>
      </c>
      <c r="I344" s="18">
        <f>_xlfn.XLOOKUP(Assumptions!$B$2,Assumptions!$F$4:$H$4,Assumptions!$F$5:$H$5)</f>
        <v>1200</v>
      </c>
      <c r="J344" s="18">
        <f>_xlfn.XLOOKUP(Assumptions!$B$2,Assumptions!$F$4:$H$4,Assumptions!$F$6:$H$6)</f>
        <v>17</v>
      </c>
      <c r="K344" s="12">
        <f>_xlfn.XLOOKUP(Assumptions!$B$2,Assumptions!$F$4:$H$4,Assumptions!$F$8:$H$8)</f>
        <v>0.1</v>
      </c>
      <c r="L344" s="12">
        <f>_xlfn.XLOOKUP(Assumptions!$B$2,Assumptions!$F$4:$H$4,Assumptions!$F$9:$H$9)</f>
        <v>0.18</v>
      </c>
      <c r="M344" s="18">
        <f>_xlfn.XLOOKUP(Assumptions!$B$2,Assumptions!$F$4:$H$4,Assumptions!$F$10:$H$10)</f>
        <v>18000</v>
      </c>
      <c r="N344" s="12">
        <f>_xlfn.XLOOKUP(Assumptions!$B$2,Assumptions!$F$4:$H$4,Assumptions!$F$11:$H$11)</f>
        <v>0.3</v>
      </c>
      <c r="O344" s="14">
        <f>Final_Table[[#This Row],[Units Sold]]*Final_Table[[#This Row],[Sale Price]]</f>
        <v>20400</v>
      </c>
      <c r="P344" s="14">
        <f>Final_Table[[#This Row],[Gross Revenue]]*(1-Final_Table[[#This Row],[Discount %]])</f>
        <v>18360</v>
      </c>
      <c r="Q344">
        <f>Final_Table[[#This Row],[Net Revenue]]*Final_Table[[#This Row],[Variable Cost %]]</f>
        <v>3304.7999999999997</v>
      </c>
      <c r="R344">
        <f>Final_Table[[#This Row],[Variable Cost]]+Final_Table[[#This Row],[Fixed Monthly Cost]]</f>
        <v>21304.799999999999</v>
      </c>
      <c r="S344" s="5">
        <f>Final_Table[[#This Row],[Net Revenue]]-Final_Table[[#This Row],[Total Cost (COGS)]]</f>
        <v>-2944.7999999999993</v>
      </c>
      <c r="T344">
        <f>Final_Table[[#This Row],[Gross Profit]]*Final_Table[[#This Row],[Tax Rate]]</f>
        <v>-883.43999999999971</v>
      </c>
      <c r="U344" s="5">
        <f>Final_Table[[#This Row],[Gross Profit]]-Final_Table[[#This Row],[Tax]]</f>
        <v>-2061.3599999999997</v>
      </c>
      <c r="V344" s="12">
        <f>Final_Table[[#This Row],[Net Profit]]/Final_Table[[#This Row],[Gross Revenue]]</f>
        <v>-0.10104705882352939</v>
      </c>
    </row>
    <row r="345" spans="1:22">
      <c r="A345" s="18" t="s">
        <v>68</v>
      </c>
      <c r="B345">
        <v>2013</v>
      </c>
      <c r="C345" t="s">
        <v>120</v>
      </c>
      <c r="D345">
        <v>1</v>
      </c>
      <c r="E345" s="18" t="s">
        <v>16</v>
      </c>
      <c r="F345" s="18" t="s">
        <v>113</v>
      </c>
      <c r="G345" s="18" t="s">
        <v>25</v>
      </c>
      <c r="H345" s="18" t="str">
        <f>Assumptions!$B$2</f>
        <v>Worst</v>
      </c>
      <c r="I345" s="18">
        <f>_xlfn.XLOOKUP(Assumptions!$B$2,Assumptions!$F$4:$H$4,Assumptions!$F$5:$H$5)</f>
        <v>1200</v>
      </c>
      <c r="J345" s="18">
        <f>_xlfn.XLOOKUP(Assumptions!$B$2,Assumptions!$F$4:$H$4,Assumptions!$F$6:$H$6)</f>
        <v>17</v>
      </c>
      <c r="K345" s="12">
        <f>_xlfn.XLOOKUP(Assumptions!$B$2,Assumptions!$F$4:$H$4,Assumptions!$F$8:$H$8)</f>
        <v>0.1</v>
      </c>
      <c r="L345" s="12">
        <f>_xlfn.XLOOKUP(Assumptions!$B$2,Assumptions!$F$4:$H$4,Assumptions!$F$9:$H$9)</f>
        <v>0.18</v>
      </c>
      <c r="M345" s="18">
        <f>_xlfn.XLOOKUP(Assumptions!$B$2,Assumptions!$F$4:$H$4,Assumptions!$F$10:$H$10)</f>
        <v>18000</v>
      </c>
      <c r="N345" s="12">
        <f>_xlfn.XLOOKUP(Assumptions!$B$2,Assumptions!$F$4:$H$4,Assumptions!$F$11:$H$11)</f>
        <v>0.3</v>
      </c>
      <c r="O345" s="14">
        <f>Final_Table[[#This Row],[Units Sold]]*Final_Table[[#This Row],[Sale Price]]</f>
        <v>20400</v>
      </c>
      <c r="P345" s="14">
        <f>Final_Table[[#This Row],[Gross Revenue]]*(1-Final_Table[[#This Row],[Discount %]])</f>
        <v>18360</v>
      </c>
      <c r="Q345">
        <f>Final_Table[[#This Row],[Net Revenue]]*Final_Table[[#This Row],[Variable Cost %]]</f>
        <v>3304.7999999999997</v>
      </c>
      <c r="R345">
        <f>Final_Table[[#This Row],[Variable Cost]]+Final_Table[[#This Row],[Fixed Monthly Cost]]</f>
        <v>21304.799999999999</v>
      </c>
      <c r="S345" s="5">
        <f>Final_Table[[#This Row],[Net Revenue]]-Final_Table[[#This Row],[Total Cost (COGS)]]</f>
        <v>-2944.7999999999993</v>
      </c>
      <c r="T345">
        <f>Final_Table[[#This Row],[Gross Profit]]*Final_Table[[#This Row],[Tax Rate]]</f>
        <v>-883.43999999999971</v>
      </c>
      <c r="U345" s="5">
        <f>Final_Table[[#This Row],[Gross Profit]]-Final_Table[[#This Row],[Tax]]</f>
        <v>-2061.3599999999997</v>
      </c>
      <c r="V345" s="12">
        <f>Final_Table[[#This Row],[Net Profit]]/Final_Table[[#This Row],[Gross Revenue]]</f>
        <v>-0.10104705882352939</v>
      </c>
    </row>
    <row r="346" spans="1:22">
      <c r="A346" s="18" t="s">
        <v>68</v>
      </c>
      <c r="B346">
        <v>2013</v>
      </c>
      <c r="C346" t="s">
        <v>120</v>
      </c>
      <c r="D346">
        <v>1</v>
      </c>
      <c r="E346" s="18" t="s">
        <v>16</v>
      </c>
      <c r="F346" s="18" t="s">
        <v>113</v>
      </c>
      <c r="G346" s="18" t="s">
        <v>17</v>
      </c>
      <c r="H346" s="18" t="str">
        <f>Assumptions!$B$2</f>
        <v>Worst</v>
      </c>
      <c r="I346" s="18">
        <f>_xlfn.XLOOKUP(Assumptions!$B$2,Assumptions!$F$4:$H$4,Assumptions!$F$5:$H$5)</f>
        <v>1200</v>
      </c>
      <c r="J346" s="18">
        <f>_xlfn.XLOOKUP(Assumptions!$B$2,Assumptions!$F$4:$H$4,Assumptions!$F$6:$H$6)</f>
        <v>17</v>
      </c>
      <c r="K346" s="12">
        <f>_xlfn.XLOOKUP(Assumptions!$B$2,Assumptions!$F$4:$H$4,Assumptions!$F$8:$H$8)</f>
        <v>0.1</v>
      </c>
      <c r="L346" s="12">
        <f>_xlfn.XLOOKUP(Assumptions!$B$2,Assumptions!$F$4:$H$4,Assumptions!$F$9:$H$9)</f>
        <v>0.18</v>
      </c>
      <c r="M346" s="18">
        <f>_xlfn.XLOOKUP(Assumptions!$B$2,Assumptions!$F$4:$H$4,Assumptions!$F$10:$H$10)</f>
        <v>18000</v>
      </c>
      <c r="N346" s="12">
        <f>_xlfn.XLOOKUP(Assumptions!$B$2,Assumptions!$F$4:$H$4,Assumptions!$F$11:$H$11)</f>
        <v>0.3</v>
      </c>
      <c r="O346" s="14">
        <f>Final_Table[[#This Row],[Units Sold]]*Final_Table[[#This Row],[Sale Price]]</f>
        <v>20400</v>
      </c>
      <c r="P346" s="14">
        <f>Final_Table[[#This Row],[Gross Revenue]]*(1-Final_Table[[#This Row],[Discount %]])</f>
        <v>18360</v>
      </c>
      <c r="Q346">
        <f>Final_Table[[#This Row],[Net Revenue]]*Final_Table[[#This Row],[Variable Cost %]]</f>
        <v>3304.7999999999997</v>
      </c>
      <c r="R346">
        <f>Final_Table[[#This Row],[Variable Cost]]+Final_Table[[#This Row],[Fixed Monthly Cost]]</f>
        <v>21304.799999999999</v>
      </c>
      <c r="S346" s="5">
        <f>Final_Table[[#This Row],[Net Revenue]]-Final_Table[[#This Row],[Total Cost (COGS)]]</f>
        <v>-2944.7999999999993</v>
      </c>
      <c r="T346">
        <f>Final_Table[[#This Row],[Gross Profit]]*Final_Table[[#This Row],[Tax Rate]]</f>
        <v>-883.43999999999971</v>
      </c>
      <c r="U346" s="5">
        <f>Final_Table[[#This Row],[Gross Profit]]-Final_Table[[#This Row],[Tax]]</f>
        <v>-2061.3599999999997</v>
      </c>
      <c r="V346" s="12">
        <f>Final_Table[[#This Row],[Net Profit]]/Final_Table[[#This Row],[Gross Revenue]]</f>
        <v>-0.10104705882352939</v>
      </c>
    </row>
    <row r="347" spans="1:22">
      <c r="A347" s="18" t="s">
        <v>68</v>
      </c>
      <c r="B347">
        <v>2013</v>
      </c>
      <c r="C347" t="s">
        <v>120</v>
      </c>
      <c r="D347">
        <v>1</v>
      </c>
      <c r="E347" s="18" t="s">
        <v>16</v>
      </c>
      <c r="F347" s="18" t="s">
        <v>114</v>
      </c>
      <c r="G347" s="18" t="s">
        <v>36</v>
      </c>
      <c r="H347" s="18" t="str">
        <f>Assumptions!$B$2</f>
        <v>Worst</v>
      </c>
      <c r="I347" s="18">
        <f>_xlfn.XLOOKUP(Assumptions!$B$2,Assumptions!$F$4:$H$4,Assumptions!$F$5:$H$5)</f>
        <v>1200</v>
      </c>
      <c r="J347" s="18">
        <f>_xlfn.XLOOKUP(Assumptions!$B$2,Assumptions!$F$4:$H$4,Assumptions!$F$6:$H$6)</f>
        <v>17</v>
      </c>
      <c r="K347" s="12">
        <f>_xlfn.XLOOKUP(Assumptions!$B$2,Assumptions!$F$4:$H$4,Assumptions!$F$8:$H$8)</f>
        <v>0.1</v>
      </c>
      <c r="L347" s="12">
        <f>_xlfn.XLOOKUP(Assumptions!$B$2,Assumptions!$F$4:$H$4,Assumptions!$F$9:$H$9)</f>
        <v>0.18</v>
      </c>
      <c r="M347" s="18">
        <f>_xlfn.XLOOKUP(Assumptions!$B$2,Assumptions!$F$4:$H$4,Assumptions!$F$10:$H$10)</f>
        <v>18000</v>
      </c>
      <c r="N347" s="12">
        <f>_xlfn.XLOOKUP(Assumptions!$B$2,Assumptions!$F$4:$H$4,Assumptions!$F$11:$H$11)</f>
        <v>0.3</v>
      </c>
      <c r="O347" s="14">
        <f>Final_Table[[#This Row],[Units Sold]]*Final_Table[[#This Row],[Sale Price]]</f>
        <v>20400</v>
      </c>
      <c r="P347" s="14">
        <f>Final_Table[[#This Row],[Gross Revenue]]*(1-Final_Table[[#This Row],[Discount %]])</f>
        <v>18360</v>
      </c>
      <c r="Q347">
        <f>Final_Table[[#This Row],[Net Revenue]]*Final_Table[[#This Row],[Variable Cost %]]</f>
        <v>3304.7999999999997</v>
      </c>
      <c r="R347">
        <f>Final_Table[[#This Row],[Variable Cost]]+Final_Table[[#This Row],[Fixed Monthly Cost]]</f>
        <v>21304.799999999999</v>
      </c>
      <c r="S347" s="5">
        <f>Final_Table[[#This Row],[Net Revenue]]-Final_Table[[#This Row],[Total Cost (COGS)]]</f>
        <v>-2944.7999999999993</v>
      </c>
      <c r="T347">
        <f>Final_Table[[#This Row],[Gross Profit]]*Final_Table[[#This Row],[Tax Rate]]</f>
        <v>-883.43999999999971</v>
      </c>
      <c r="U347" s="5">
        <f>Final_Table[[#This Row],[Gross Profit]]-Final_Table[[#This Row],[Tax]]</f>
        <v>-2061.3599999999997</v>
      </c>
      <c r="V347" s="12">
        <f>Final_Table[[#This Row],[Net Profit]]/Final_Table[[#This Row],[Gross Revenue]]</f>
        <v>-0.10104705882352939</v>
      </c>
    </row>
    <row r="348" spans="1:22">
      <c r="A348" s="18" t="s">
        <v>68</v>
      </c>
      <c r="B348">
        <v>2013</v>
      </c>
      <c r="C348" t="s">
        <v>120</v>
      </c>
      <c r="D348">
        <v>1</v>
      </c>
      <c r="E348" s="18" t="s">
        <v>16</v>
      </c>
      <c r="F348" s="18" t="s">
        <v>114</v>
      </c>
      <c r="G348" s="18" t="s">
        <v>23</v>
      </c>
      <c r="H348" s="18" t="str">
        <f>Assumptions!$B$2</f>
        <v>Worst</v>
      </c>
      <c r="I348" s="18">
        <f>_xlfn.XLOOKUP(Assumptions!$B$2,Assumptions!$F$4:$H$4,Assumptions!$F$5:$H$5)</f>
        <v>1200</v>
      </c>
      <c r="J348" s="18">
        <f>_xlfn.XLOOKUP(Assumptions!$B$2,Assumptions!$F$4:$H$4,Assumptions!$F$6:$H$6)</f>
        <v>17</v>
      </c>
      <c r="K348" s="12">
        <f>_xlfn.XLOOKUP(Assumptions!$B$2,Assumptions!$F$4:$H$4,Assumptions!$F$8:$H$8)</f>
        <v>0.1</v>
      </c>
      <c r="L348" s="12">
        <f>_xlfn.XLOOKUP(Assumptions!$B$2,Assumptions!$F$4:$H$4,Assumptions!$F$9:$H$9)</f>
        <v>0.18</v>
      </c>
      <c r="M348" s="18">
        <f>_xlfn.XLOOKUP(Assumptions!$B$2,Assumptions!$F$4:$H$4,Assumptions!$F$10:$H$10)</f>
        <v>18000</v>
      </c>
      <c r="N348" s="12">
        <f>_xlfn.XLOOKUP(Assumptions!$B$2,Assumptions!$F$4:$H$4,Assumptions!$F$11:$H$11)</f>
        <v>0.3</v>
      </c>
      <c r="O348" s="14">
        <f>Final_Table[[#This Row],[Units Sold]]*Final_Table[[#This Row],[Sale Price]]</f>
        <v>20400</v>
      </c>
      <c r="P348" s="14">
        <f>Final_Table[[#This Row],[Gross Revenue]]*(1-Final_Table[[#This Row],[Discount %]])</f>
        <v>18360</v>
      </c>
      <c r="Q348">
        <f>Final_Table[[#This Row],[Net Revenue]]*Final_Table[[#This Row],[Variable Cost %]]</f>
        <v>3304.7999999999997</v>
      </c>
      <c r="R348">
        <f>Final_Table[[#This Row],[Variable Cost]]+Final_Table[[#This Row],[Fixed Monthly Cost]]</f>
        <v>21304.799999999999</v>
      </c>
      <c r="S348" s="5">
        <f>Final_Table[[#This Row],[Net Revenue]]-Final_Table[[#This Row],[Total Cost (COGS)]]</f>
        <v>-2944.7999999999993</v>
      </c>
      <c r="T348">
        <f>Final_Table[[#This Row],[Gross Profit]]*Final_Table[[#This Row],[Tax Rate]]</f>
        <v>-883.43999999999971</v>
      </c>
      <c r="U348" s="5">
        <f>Final_Table[[#This Row],[Gross Profit]]-Final_Table[[#This Row],[Tax]]</f>
        <v>-2061.3599999999997</v>
      </c>
      <c r="V348" s="12">
        <f>Final_Table[[#This Row],[Net Profit]]/Final_Table[[#This Row],[Gross Revenue]]</f>
        <v>-0.10104705882352939</v>
      </c>
    </row>
    <row r="349" spans="1:22">
      <c r="A349" s="18" t="s">
        <v>68</v>
      </c>
      <c r="B349">
        <v>2013</v>
      </c>
      <c r="C349" t="s">
        <v>120</v>
      </c>
      <c r="D349">
        <v>1</v>
      </c>
      <c r="E349" s="18" t="s">
        <v>16</v>
      </c>
      <c r="F349" s="18" t="s">
        <v>114</v>
      </c>
      <c r="G349" s="18" t="s">
        <v>21</v>
      </c>
      <c r="H349" s="18" t="str">
        <f>Assumptions!$B$2</f>
        <v>Worst</v>
      </c>
      <c r="I349" s="18">
        <f>_xlfn.XLOOKUP(Assumptions!$B$2,Assumptions!$F$4:$H$4,Assumptions!$F$5:$H$5)</f>
        <v>1200</v>
      </c>
      <c r="J349" s="18">
        <f>_xlfn.XLOOKUP(Assumptions!$B$2,Assumptions!$F$4:$H$4,Assumptions!$F$6:$H$6)</f>
        <v>17</v>
      </c>
      <c r="K349" s="12">
        <f>_xlfn.XLOOKUP(Assumptions!$B$2,Assumptions!$F$4:$H$4,Assumptions!$F$8:$H$8)</f>
        <v>0.1</v>
      </c>
      <c r="L349" s="12">
        <f>_xlfn.XLOOKUP(Assumptions!$B$2,Assumptions!$F$4:$H$4,Assumptions!$F$9:$H$9)</f>
        <v>0.18</v>
      </c>
      <c r="M349" s="18">
        <f>_xlfn.XLOOKUP(Assumptions!$B$2,Assumptions!$F$4:$H$4,Assumptions!$F$10:$H$10)</f>
        <v>18000</v>
      </c>
      <c r="N349" s="12">
        <f>_xlfn.XLOOKUP(Assumptions!$B$2,Assumptions!$F$4:$H$4,Assumptions!$F$11:$H$11)</f>
        <v>0.3</v>
      </c>
      <c r="O349" s="14">
        <f>Final_Table[[#This Row],[Units Sold]]*Final_Table[[#This Row],[Sale Price]]</f>
        <v>20400</v>
      </c>
      <c r="P349" s="14">
        <f>Final_Table[[#This Row],[Gross Revenue]]*(1-Final_Table[[#This Row],[Discount %]])</f>
        <v>18360</v>
      </c>
      <c r="Q349">
        <f>Final_Table[[#This Row],[Net Revenue]]*Final_Table[[#This Row],[Variable Cost %]]</f>
        <v>3304.7999999999997</v>
      </c>
      <c r="R349">
        <f>Final_Table[[#This Row],[Variable Cost]]+Final_Table[[#This Row],[Fixed Monthly Cost]]</f>
        <v>21304.799999999999</v>
      </c>
      <c r="S349" s="5">
        <f>Final_Table[[#This Row],[Net Revenue]]-Final_Table[[#This Row],[Total Cost (COGS)]]</f>
        <v>-2944.7999999999993</v>
      </c>
      <c r="T349">
        <f>Final_Table[[#This Row],[Gross Profit]]*Final_Table[[#This Row],[Tax Rate]]</f>
        <v>-883.43999999999971</v>
      </c>
      <c r="U349" s="5">
        <f>Final_Table[[#This Row],[Gross Profit]]-Final_Table[[#This Row],[Tax]]</f>
        <v>-2061.3599999999997</v>
      </c>
      <c r="V349" s="12">
        <f>Final_Table[[#This Row],[Net Profit]]/Final_Table[[#This Row],[Gross Revenue]]</f>
        <v>-0.10104705882352939</v>
      </c>
    </row>
    <row r="350" spans="1:22">
      <c r="A350" s="18" t="s">
        <v>68</v>
      </c>
      <c r="B350">
        <v>2013</v>
      </c>
      <c r="C350" t="s">
        <v>120</v>
      </c>
      <c r="D350">
        <v>1</v>
      </c>
      <c r="E350" s="18" t="s">
        <v>16</v>
      </c>
      <c r="F350" s="18" t="s">
        <v>114</v>
      </c>
      <c r="G350" s="18" t="s">
        <v>25</v>
      </c>
      <c r="H350" s="18" t="str">
        <f>Assumptions!$B$2</f>
        <v>Worst</v>
      </c>
      <c r="I350" s="18">
        <f>_xlfn.XLOOKUP(Assumptions!$B$2,Assumptions!$F$4:$H$4,Assumptions!$F$5:$H$5)</f>
        <v>1200</v>
      </c>
      <c r="J350" s="18">
        <f>_xlfn.XLOOKUP(Assumptions!$B$2,Assumptions!$F$4:$H$4,Assumptions!$F$6:$H$6)</f>
        <v>17</v>
      </c>
      <c r="K350" s="12">
        <f>_xlfn.XLOOKUP(Assumptions!$B$2,Assumptions!$F$4:$H$4,Assumptions!$F$8:$H$8)</f>
        <v>0.1</v>
      </c>
      <c r="L350" s="12">
        <f>_xlfn.XLOOKUP(Assumptions!$B$2,Assumptions!$F$4:$H$4,Assumptions!$F$9:$H$9)</f>
        <v>0.18</v>
      </c>
      <c r="M350" s="18">
        <f>_xlfn.XLOOKUP(Assumptions!$B$2,Assumptions!$F$4:$H$4,Assumptions!$F$10:$H$10)</f>
        <v>18000</v>
      </c>
      <c r="N350" s="12">
        <f>_xlfn.XLOOKUP(Assumptions!$B$2,Assumptions!$F$4:$H$4,Assumptions!$F$11:$H$11)</f>
        <v>0.3</v>
      </c>
      <c r="O350" s="14">
        <f>Final_Table[[#This Row],[Units Sold]]*Final_Table[[#This Row],[Sale Price]]</f>
        <v>20400</v>
      </c>
      <c r="P350" s="14">
        <f>Final_Table[[#This Row],[Gross Revenue]]*(1-Final_Table[[#This Row],[Discount %]])</f>
        <v>18360</v>
      </c>
      <c r="Q350">
        <f>Final_Table[[#This Row],[Net Revenue]]*Final_Table[[#This Row],[Variable Cost %]]</f>
        <v>3304.7999999999997</v>
      </c>
      <c r="R350">
        <f>Final_Table[[#This Row],[Variable Cost]]+Final_Table[[#This Row],[Fixed Monthly Cost]]</f>
        <v>21304.799999999999</v>
      </c>
      <c r="S350" s="5">
        <f>Final_Table[[#This Row],[Net Revenue]]-Final_Table[[#This Row],[Total Cost (COGS)]]</f>
        <v>-2944.7999999999993</v>
      </c>
      <c r="T350">
        <f>Final_Table[[#This Row],[Gross Profit]]*Final_Table[[#This Row],[Tax Rate]]</f>
        <v>-883.43999999999971</v>
      </c>
      <c r="U350" s="5">
        <f>Final_Table[[#This Row],[Gross Profit]]-Final_Table[[#This Row],[Tax]]</f>
        <v>-2061.3599999999997</v>
      </c>
      <c r="V350" s="12">
        <f>Final_Table[[#This Row],[Net Profit]]/Final_Table[[#This Row],[Gross Revenue]]</f>
        <v>-0.10104705882352939</v>
      </c>
    </row>
    <row r="351" spans="1:22">
      <c r="A351" s="18" t="s">
        <v>68</v>
      </c>
      <c r="B351">
        <v>2013</v>
      </c>
      <c r="C351" t="s">
        <v>120</v>
      </c>
      <c r="D351">
        <v>1</v>
      </c>
      <c r="E351" s="18" t="s">
        <v>16</v>
      </c>
      <c r="F351" s="18" t="s">
        <v>114</v>
      </c>
      <c r="G351" s="18" t="s">
        <v>17</v>
      </c>
      <c r="H351" s="18" t="str">
        <f>Assumptions!$B$2</f>
        <v>Worst</v>
      </c>
      <c r="I351" s="18">
        <f>_xlfn.XLOOKUP(Assumptions!$B$2,Assumptions!$F$4:$H$4,Assumptions!$F$5:$H$5)</f>
        <v>1200</v>
      </c>
      <c r="J351" s="18">
        <f>_xlfn.XLOOKUP(Assumptions!$B$2,Assumptions!$F$4:$H$4,Assumptions!$F$6:$H$6)</f>
        <v>17</v>
      </c>
      <c r="K351" s="12">
        <f>_xlfn.XLOOKUP(Assumptions!$B$2,Assumptions!$F$4:$H$4,Assumptions!$F$8:$H$8)</f>
        <v>0.1</v>
      </c>
      <c r="L351" s="12">
        <f>_xlfn.XLOOKUP(Assumptions!$B$2,Assumptions!$F$4:$H$4,Assumptions!$F$9:$H$9)</f>
        <v>0.18</v>
      </c>
      <c r="M351" s="18">
        <f>_xlfn.XLOOKUP(Assumptions!$B$2,Assumptions!$F$4:$H$4,Assumptions!$F$10:$H$10)</f>
        <v>18000</v>
      </c>
      <c r="N351" s="12">
        <f>_xlfn.XLOOKUP(Assumptions!$B$2,Assumptions!$F$4:$H$4,Assumptions!$F$11:$H$11)</f>
        <v>0.3</v>
      </c>
      <c r="O351" s="14">
        <f>Final_Table[[#This Row],[Units Sold]]*Final_Table[[#This Row],[Sale Price]]</f>
        <v>20400</v>
      </c>
      <c r="P351" s="14">
        <f>Final_Table[[#This Row],[Gross Revenue]]*(1-Final_Table[[#This Row],[Discount %]])</f>
        <v>18360</v>
      </c>
      <c r="Q351">
        <f>Final_Table[[#This Row],[Net Revenue]]*Final_Table[[#This Row],[Variable Cost %]]</f>
        <v>3304.7999999999997</v>
      </c>
      <c r="R351">
        <f>Final_Table[[#This Row],[Variable Cost]]+Final_Table[[#This Row],[Fixed Monthly Cost]]</f>
        <v>21304.799999999999</v>
      </c>
      <c r="S351" s="5">
        <f>Final_Table[[#This Row],[Net Revenue]]-Final_Table[[#This Row],[Total Cost (COGS)]]</f>
        <v>-2944.7999999999993</v>
      </c>
      <c r="T351">
        <f>Final_Table[[#This Row],[Gross Profit]]*Final_Table[[#This Row],[Tax Rate]]</f>
        <v>-883.43999999999971</v>
      </c>
      <c r="U351" s="5">
        <f>Final_Table[[#This Row],[Gross Profit]]-Final_Table[[#This Row],[Tax]]</f>
        <v>-2061.3599999999997</v>
      </c>
      <c r="V351" s="12">
        <f>Final_Table[[#This Row],[Net Profit]]/Final_Table[[#This Row],[Gross Revenue]]</f>
        <v>-0.10104705882352939</v>
      </c>
    </row>
    <row r="352" spans="1:22">
      <c r="A352" s="18" t="s">
        <v>68</v>
      </c>
      <c r="B352">
        <v>2013</v>
      </c>
      <c r="C352" t="s">
        <v>120</v>
      </c>
      <c r="D352">
        <v>1</v>
      </c>
      <c r="E352" s="18" t="s">
        <v>32</v>
      </c>
      <c r="F352" s="18" t="s">
        <v>80</v>
      </c>
      <c r="G352" s="18" t="s">
        <v>36</v>
      </c>
      <c r="H352" s="18" t="str">
        <f>Assumptions!$B$2</f>
        <v>Worst</v>
      </c>
      <c r="I352" s="18">
        <f>_xlfn.XLOOKUP(Assumptions!$B$2,Assumptions!$F$4:$H$4,Assumptions!$F$5:$H$5)</f>
        <v>1200</v>
      </c>
      <c r="J352" s="18">
        <f>_xlfn.XLOOKUP(Assumptions!$B$2,Assumptions!$F$4:$H$4,Assumptions!$F$6:$H$6)</f>
        <v>17</v>
      </c>
      <c r="K352" s="12">
        <f>_xlfn.XLOOKUP(Assumptions!$B$2,Assumptions!$F$4:$H$4,Assumptions!$F$8:$H$8)</f>
        <v>0.1</v>
      </c>
      <c r="L352" s="12">
        <f>_xlfn.XLOOKUP(Assumptions!$B$2,Assumptions!$F$4:$H$4,Assumptions!$F$9:$H$9)</f>
        <v>0.18</v>
      </c>
      <c r="M352" s="18">
        <f>_xlfn.XLOOKUP(Assumptions!$B$2,Assumptions!$F$4:$H$4,Assumptions!$F$10:$H$10)</f>
        <v>18000</v>
      </c>
      <c r="N352" s="12">
        <f>_xlfn.XLOOKUP(Assumptions!$B$2,Assumptions!$F$4:$H$4,Assumptions!$F$11:$H$11)</f>
        <v>0.3</v>
      </c>
      <c r="O352" s="14">
        <f>Final_Table[[#This Row],[Units Sold]]*Final_Table[[#This Row],[Sale Price]]</f>
        <v>20400</v>
      </c>
      <c r="P352" s="14">
        <f>Final_Table[[#This Row],[Gross Revenue]]*(1-Final_Table[[#This Row],[Discount %]])</f>
        <v>18360</v>
      </c>
      <c r="Q352">
        <f>Final_Table[[#This Row],[Net Revenue]]*Final_Table[[#This Row],[Variable Cost %]]</f>
        <v>3304.7999999999997</v>
      </c>
      <c r="R352">
        <f>Final_Table[[#This Row],[Variable Cost]]+Final_Table[[#This Row],[Fixed Monthly Cost]]</f>
        <v>21304.799999999999</v>
      </c>
      <c r="S352" s="5">
        <f>Final_Table[[#This Row],[Net Revenue]]-Final_Table[[#This Row],[Total Cost (COGS)]]</f>
        <v>-2944.7999999999993</v>
      </c>
      <c r="T352">
        <f>Final_Table[[#This Row],[Gross Profit]]*Final_Table[[#This Row],[Tax Rate]]</f>
        <v>-883.43999999999971</v>
      </c>
      <c r="U352" s="5">
        <f>Final_Table[[#This Row],[Gross Profit]]-Final_Table[[#This Row],[Tax]]</f>
        <v>-2061.3599999999997</v>
      </c>
      <c r="V352" s="12">
        <f>Final_Table[[#This Row],[Net Profit]]/Final_Table[[#This Row],[Gross Revenue]]</f>
        <v>-0.10104705882352939</v>
      </c>
    </row>
    <row r="353" spans="1:22">
      <c r="A353" s="18" t="s">
        <v>68</v>
      </c>
      <c r="B353">
        <v>2013</v>
      </c>
      <c r="C353" t="s">
        <v>120</v>
      </c>
      <c r="D353">
        <v>1</v>
      </c>
      <c r="E353" s="18" t="s">
        <v>32</v>
      </c>
      <c r="F353" s="18" t="s">
        <v>80</v>
      </c>
      <c r="G353" s="18" t="s">
        <v>23</v>
      </c>
      <c r="H353" s="18" t="str">
        <f>Assumptions!$B$2</f>
        <v>Worst</v>
      </c>
      <c r="I353" s="18">
        <f>_xlfn.XLOOKUP(Assumptions!$B$2,Assumptions!$F$4:$H$4,Assumptions!$F$5:$H$5)</f>
        <v>1200</v>
      </c>
      <c r="J353" s="18">
        <f>_xlfn.XLOOKUP(Assumptions!$B$2,Assumptions!$F$4:$H$4,Assumptions!$F$6:$H$6)</f>
        <v>17</v>
      </c>
      <c r="K353" s="12">
        <f>_xlfn.XLOOKUP(Assumptions!$B$2,Assumptions!$F$4:$H$4,Assumptions!$F$8:$H$8)</f>
        <v>0.1</v>
      </c>
      <c r="L353" s="12">
        <f>_xlfn.XLOOKUP(Assumptions!$B$2,Assumptions!$F$4:$H$4,Assumptions!$F$9:$H$9)</f>
        <v>0.18</v>
      </c>
      <c r="M353" s="18">
        <f>_xlfn.XLOOKUP(Assumptions!$B$2,Assumptions!$F$4:$H$4,Assumptions!$F$10:$H$10)</f>
        <v>18000</v>
      </c>
      <c r="N353" s="12">
        <f>_xlfn.XLOOKUP(Assumptions!$B$2,Assumptions!$F$4:$H$4,Assumptions!$F$11:$H$11)</f>
        <v>0.3</v>
      </c>
      <c r="O353" s="14">
        <f>Final_Table[[#This Row],[Units Sold]]*Final_Table[[#This Row],[Sale Price]]</f>
        <v>20400</v>
      </c>
      <c r="P353" s="14">
        <f>Final_Table[[#This Row],[Gross Revenue]]*(1-Final_Table[[#This Row],[Discount %]])</f>
        <v>18360</v>
      </c>
      <c r="Q353">
        <f>Final_Table[[#This Row],[Net Revenue]]*Final_Table[[#This Row],[Variable Cost %]]</f>
        <v>3304.7999999999997</v>
      </c>
      <c r="R353">
        <f>Final_Table[[#This Row],[Variable Cost]]+Final_Table[[#This Row],[Fixed Monthly Cost]]</f>
        <v>21304.799999999999</v>
      </c>
      <c r="S353" s="5">
        <f>Final_Table[[#This Row],[Net Revenue]]-Final_Table[[#This Row],[Total Cost (COGS)]]</f>
        <v>-2944.7999999999993</v>
      </c>
      <c r="T353">
        <f>Final_Table[[#This Row],[Gross Profit]]*Final_Table[[#This Row],[Tax Rate]]</f>
        <v>-883.43999999999971</v>
      </c>
      <c r="U353" s="5">
        <f>Final_Table[[#This Row],[Gross Profit]]-Final_Table[[#This Row],[Tax]]</f>
        <v>-2061.3599999999997</v>
      </c>
      <c r="V353" s="12">
        <f>Final_Table[[#This Row],[Net Profit]]/Final_Table[[#This Row],[Gross Revenue]]</f>
        <v>-0.10104705882352939</v>
      </c>
    </row>
    <row r="354" spans="1:22">
      <c r="A354" s="18" t="s">
        <v>68</v>
      </c>
      <c r="B354">
        <v>2013</v>
      </c>
      <c r="C354" t="s">
        <v>120</v>
      </c>
      <c r="D354">
        <v>1</v>
      </c>
      <c r="E354" s="18" t="s">
        <v>32</v>
      </c>
      <c r="F354" s="18" t="s">
        <v>80</v>
      </c>
      <c r="G354" s="18" t="s">
        <v>21</v>
      </c>
      <c r="H354" s="18" t="str">
        <f>Assumptions!$B$2</f>
        <v>Worst</v>
      </c>
      <c r="I354" s="18">
        <f>_xlfn.XLOOKUP(Assumptions!$B$2,Assumptions!$F$4:$H$4,Assumptions!$F$5:$H$5)</f>
        <v>1200</v>
      </c>
      <c r="J354" s="18">
        <f>_xlfn.XLOOKUP(Assumptions!$B$2,Assumptions!$F$4:$H$4,Assumptions!$F$6:$H$6)</f>
        <v>17</v>
      </c>
      <c r="K354" s="12">
        <f>_xlfn.XLOOKUP(Assumptions!$B$2,Assumptions!$F$4:$H$4,Assumptions!$F$8:$H$8)</f>
        <v>0.1</v>
      </c>
      <c r="L354" s="12">
        <f>_xlfn.XLOOKUP(Assumptions!$B$2,Assumptions!$F$4:$H$4,Assumptions!$F$9:$H$9)</f>
        <v>0.18</v>
      </c>
      <c r="M354" s="18">
        <f>_xlfn.XLOOKUP(Assumptions!$B$2,Assumptions!$F$4:$H$4,Assumptions!$F$10:$H$10)</f>
        <v>18000</v>
      </c>
      <c r="N354" s="12">
        <f>_xlfn.XLOOKUP(Assumptions!$B$2,Assumptions!$F$4:$H$4,Assumptions!$F$11:$H$11)</f>
        <v>0.3</v>
      </c>
      <c r="O354" s="14">
        <f>Final_Table[[#This Row],[Units Sold]]*Final_Table[[#This Row],[Sale Price]]</f>
        <v>20400</v>
      </c>
      <c r="P354" s="14">
        <f>Final_Table[[#This Row],[Gross Revenue]]*(1-Final_Table[[#This Row],[Discount %]])</f>
        <v>18360</v>
      </c>
      <c r="Q354">
        <f>Final_Table[[#This Row],[Net Revenue]]*Final_Table[[#This Row],[Variable Cost %]]</f>
        <v>3304.7999999999997</v>
      </c>
      <c r="R354">
        <f>Final_Table[[#This Row],[Variable Cost]]+Final_Table[[#This Row],[Fixed Monthly Cost]]</f>
        <v>21304.799999999999</v>
      </c>
      <c r="S354" s="5">
        <f>Final_Table[[#This Row],[Net Revenue]]-Final_Table[[#This Row],[Total Cost (COGS)]]</f>
        <v>-2944.7999999999993</v>
      </c>
      <c r="T354">
        <f>Final_Table[[#This Row],[Gross Profit]]*Final_Table[[#This Row],[Tax Rate]]</f>
        <v>-883.43999999999971</v>
      </c>
      <c r="U354" s="5">
        <f>Final_Table[[#This Row],[Gross Profit]]-Final_Table[[#This Row],[Tax]]</f>
        <v>-2061.3599999999997</v>
      </c>
      <c r="V354" s="12">
        <f>Final_Table[[#This Row],[Net Profit]]/Final_Table[[#This Row],[Gross Revenue]]</f>
        <v>-0.10104705882352939</v>
      </c>
    </row>
    <row r="355" spans="1:22">
      <c r="A355" s="18" t="s">
        <v>68</v>
      </c>
      <c r="B355">
        <v>2013</v>
      </c>
      <c r="C355" t="s">
        <v>120</v>
      </c>
      <c r="D355">
        <v>1</v>
      </c>
      <c r="E355" s="18" t="s">
        <v>32</v>
      </c>
      <c r="F355" s="18" t="s">
        <v>80</v>
      </c>
      <c r="G355" s="18" t="s">
        <v>25</v>
      </c>
      <c r="H355" s="18" t="str">
        <f>Assumptions!$B$2</f>
        <v>Worst</v>
      </c>
      <c r="I355" s="18">
        <f>_xlfn.XLOOKUP(Assumptions!$B$2,Assumptions!$F$4:$H$4,Assumptions!$F$5:$H$5)</f>
        <v>1200</v>
      </c>
      <c r="J355" s="18">
        <f>_xlfn.XLOOKUP(Assumptions!$B$2,Assumptions!$F$4:$H$4,Assumptions!$F$6:$H$6)</f>
        <v>17</v>
      </c>
      <c r="K355" s="12">
        <f>_xlfn.XLOOKUP(Assumptions!$B$2,Assumptions!$F$4:$H$4,Assumptions!$F$8:$H$8)</f>
        <v>0.1</v>
      </c>
      <c r="L355" s="12">
        <f>_xlfn.XLOOKUP(Assumptions!$B$2,Assumptions!$F$4:$H$4,Assumptions!$F$9:$H$9)</f>
        <v>0.18</v>
      </c>
      <c r="M355" s="18">
        <f>_xlfn.XLOOKUP(Assumptions!$B$2,Assumptions!$F$4:$H$4,Assumptions!$F$10:$H$10)</f>
        <v>18000</v>
      </c>
      <c r="N355" s="12">
        <f>_xlfn.XLOOKUP(Assumptions!$B$2,Assumptions!$F$4:$H$4,Assumptions!$F$11:$H$11)</f>
        <v>0.3</v>
      </c>
      <c r="O355" s="14">
        <f>Final_Table[[#This Row],[Units Sold]]*Final_Table[[#This Row],[Sale Price]]</f>
        <v>20400</v>
      </c>
      <c r="P355" s="14">
        <f>Final_Table[[#This Row],[Gross Revenue]]*(1-Final_Table[[#This Row],[Discount %]])</f>
        <v>18360</v>
      </c>
      <c r="Q355">
        <f>Final_Table[[#This Row],[Net Revenue]]*Final_Table[[#This Row],[Variable Cost %]]</f>
        <v>3304.7999999999997</v>
      </c>
      <c r="R355">
        <f>Final_Table[[#This Row],[Variable Cost]]+Final_Table[[#This Row],[Fixed Monthly Cost]]</f>
        <v>21304.799999999999</v>
      </c>
      <c r="S355" s="5">
        <f>Final_Table[[#This Row],[Net Revenue]]-Final_Table[[#This Row],[Total Cost (COGS)]]</f>
        <v>-2944.7999999999993</v>
      </c>
      <c r="T355">
        <f>Final_Table[[#This Row],[Gross Profit]]*Final_Table[[#This Row],[Tax Rate]]</f>
        <v>-883.43999999999971</v>
      </c>
      <c r="U355" s="5">
        <f>Final_Table[[#This Row],[Gross Profit]]-Final_Table[[#This Row],[Tax]]</f>
        <v>-2061.3599999999997</v>
      </c>
      <c r="V355" s="12">
        <f>Final_Table[[#This Row],[Net Profit]]/Final_Table[[#This Row],[Gross Revenue]]</f>
        <v>-0.10104705882352939</v>
      </c>
    </row>
    <row r="356" spans="1:22">
      <c r="A356" s="18" t="s">
        <v>68</v>
      </c>
      <c r="B356">
        <v>2013</v>
      </c>
      <c r="C356" t="s">
        <v>120</v>
      </c>
      <c r="D356">
        <v>1</v>
      </c>
      <c r="E356" s="18" t="s">
        <v>32</v>
      </c>
      <c r="F356" s="18" t="s">
        <v>80</v>
      </c>
      <c r="G356" s="18" t="s">
        <v>17</v>
      </c>
      <c r="H356" s="18" t="str">
        <f>Assumptions!$B$2</f>
        <v>Worst</v>
      </c>
      <c r="I356" s="18">
        <f>_xlfn.XLOOKUP(Assumptions!$B$2,Assumptions!$F$4:$H$4,Assumptions!$F$5:$H$5)</f>
        <v>1200</v>
      </c>
      <c r="J356" s="18">
        <f>_xlfn.XLOOKUP(Assumptions!$B$2,Assumptions!$F$4:$H$4,Assumptions!$F$6:$H$6)</f>
        <v>17</v>
      </c>
      <c r="K356" s="12">
        <f>_xlfn.XLOOKUP(Assumptions!$B$2,Assumptions!$F$4:$H$4,Assumptions!$F$8:$H$8)</f>
        <v>0.1</v>
      </c>
      <c r="L356" s="12">
        <f>_xlfn.XLOOKUP(Assumptions!$B$2,Assumptions!$F$4:$H$4,Assumptions!$F$9:$H$9)</f>
        <v>0.18</v>
      </c>
      <c r="M356" s="18">
        <f>_xlfn.XLOOKUP(Assumptions!$B$2,Assumptions!$F$4:$H$4,Assumptions!$F$10:$H$10)</f>
        <v>18000</v>
      </c>
      <c r="N356" s="12">
        <f>_xlfn.XLOOKUP(Assumptions!$B$2,Assumptions!$F$4:$H$4,Assumptions!$F$11:$H$11)</f>
        <v>0.3</v>
      </c>
      <c r="O356" s="14">
        <f>Final_Table[[#This Row],[Units Sold]]*Final_Table[[#This Row],[Sale Price]]</f>
        <v>20400</v>
      </c>
      <c r="P356" s="14">
        <f>Final_Table[[#This Row],[Gross Revenue]]*(1-Final_Table[[#This Row],[Discount %]])</f>
        <v>18360</v>
      </c>
      <c r="Q356">
        <f>Final_Table[[#This Row],[Net Revenue]]*Final_Table[[#This Row],[Variable Cost %]]</f>
        <v>3304.7999999999997</v>
      </c>
      <c r="R356">
        <f>Final_Table[[#This Row],[Variable Cost]]+Final_Table[[#This Row],[Fixed Monthly Cost]]</f>
        <v>21304.799999999999</v>
      </c>
      <c r="S356" s="5">
        <f>Final_Table[[#This Row],[Net Revenue]]-Final_Table[[#This Row],[Total Cost (COGS)]]</f>
        <v>-2944.7999999999993</v>
      </c>
      <c r="T356">
        <f>Final_Table[[#This Row],[Gross Profit]]*Final_Table[[#This Row],[Tax Rate]]</f>
        <v>-883.43999999999971</v>
      </c>
      <c r="U356" s="5">
        <f>Final_Table[[#This Row],[Gross Profit]]-Final_Table[[#This Row],[Tax]]</f>
        <v>-2061.3599999999997</v>
      </c>
      <c r="V356" s="12">
        <f>Final_Table[[#This Row],[Net Profit]]/Final_Table[[#This Row],[Gross Revenue]]</f>
        <v>-0.10104705882352939</v>
      </c>
    </row>
    <row r="357" spans="1:22">
      <c r="A357" s="18" t="s">
        <v>68</v>
      </c>
      <c r="B357">
        <v>2013</v>
      </c>
      <c r="C357" t="s">
        <v>120</v>
      </c>
      <c r="D357">
        <v>1</v>
      </c>
      <c r="E357" s="18" t="s">
        <v>32</v>
      </c>
      <c r="F357" s="18" t="s">
        <v>108</v>
      </c>
      <c r="G357" s="18" t="s">
        <v>36</v>
      </c>
      <c r="H357" s="18" t="str">
        <f>Assumptions!$B$2</f>
        <v>Worst</v>
      </c>
      <c r="I357" s="18">
        <f>_xlfn.XLOOKUP(Assumptions!$B$2,Assumptions!$F$4:$H$4,Assumptions!$F$5:$H$5)</f>
        <v>1200</v>
      </c>
      <c r="J357" s="18">
        <f>_xlfn.XLOOKUP(Assumptions!$B$2,Assumptions!$F$4:$H$4,Assumptions!$F$6:$H$6)</f>
        <v>17</v>
      </c>
      <c r="K357" s="12">
        <f>_xlfn.XLOOKUP(Assumptions!$B$2,Assumptions!$F$4:$H$4,Assumptions!$F$8:$H$8)</f>
        <v>0.1</v>
      </c>
      <c r="L357" s="12">
        <f>_xlfn.XLOOKUP(Assumptions!$B$2,Assumptions!$F$4:$H$4,Assumptions!$F$9:$H$9)</f>
        <v>0.18</v>
      </c>
      <c r="M357" s="18">
        <f>_xlfn.XLOOKUP(Assumptions!$B$2,Assumptions!$F$4:$H$4,Assumptions!$F$10:$H$10)</f>
        <v>18000</v>
      </c>
      <c r="N357" s="12">
        <f>_xlfn.XLOOKUP(Assumptions!$B$2,Assumptions!$F$4:$H$4,Assumptions!$F$11:$H$11)</f>
        <v>0.3</v>
      </c>
      <c r="O357" s="14">
        <f>Final_Table[[#This Row],[Units Sold]]*Final_Table[[#This Row],[Sale Price]]</f>
        <v>20400</v>
      </c>
      <c r="P357" s="14">
        <f>Final_Table[[#This Row],[Gross Revenue]]*(1-Final_Table[[#This Row],[Discount %]])</f>
        <v>18360</v>
      </c>
      <c r="Q357">
        <f>Final_Table[[#This Row],[Net Revenue]]*Final_Table[[#This Row],[Variable Cost %]]</f>
        <v>3304.7999999999997</v>
      </c>
      <c r="R357">
        <f>Final_Table[[#This Row],[Variable Cost]]+Final_Table[[#This Row],[Fixed Monthly Cost]]</f>
        <v>21304.799999999999</v>
      </c>
      <c r="S357" s="5">
        <f>Final_Table[[#This Row],[Net Revenue]]-Final_Table[[#This Row],[Total Cost (COGS)]]</f>
        <v>-2944.7999999999993</v>
      </c>
      <c r="T357">
        <f>Final_Table[[#This Row],[Gross Profit]]*Final_Table[[#This Row],[Tax Rate]]</f>
        <v>-883.43999999999971</v>
      </c>
      <c r="U357" s="5">
        <f>Final_Table[[#This Row],[Gross Profit]]-Final_Table[[#This Row],[Tax]]</f>
        <v>-2061.3599999999997</v>
      </c>
      <c r="V357" s="12">
        <f>Final_Table[[#This Row],[Net Profit]]/Final_Table[[#This Row],[Gross Revenue]]</f>
        <v>-0.10104705882352939</v>
      </c>
    </row>
    <row r="358" spans="1:22">
      <c r="A358" s="18" t="s">
        <v>68</v>
      </c>
      <c r="B358">
        <v>2013</v>
      </c>
      <c r="C358" t="s">
        <v>120</v>
      </c>
      <c r="D358">
        <v>1</v>
      </c>
      <c r="E358" s="18" t="s">
        <v>32</v>
      </c>
      <c r="F358" s="18" t="s">
        <v>108</v>
      </c>
      <c r="G358" s="18" t="s">
        <v>23</v>
      </c>
      <c r="H358" s="18" t="str">
        <f>Assumptions!$B$2</f>
        <v>Worst</v>
      </c>
      <c r="I358" s="18">
        <f>_xlfn.XLOOKUP(Assumptions!$B$2,Assumptions!$F$4:$H$4,Assumptions!$F$5:$H$5)</f>
        <v>1200</v>
      </c>
      <c r="J358" s="18">
        <f>_xlfn.XLOOKUP(Assumptions!$B$2,Assumptions!$F$4:$H$4,Assumptions!$F$6:$H$6)</f>
        <v>17</v>
      </c>
      <c r="K358" s="12">
        <f>_xlfn.XLOOKUP(Assumptions!$B$2,Assumptions!$F$4:$H$4,Assumptions!$F$8:$H$8)</f>
        <v>0.1</v>
      </c>
      <c r="L358" s="12">
        <f>_xlfn.XLOOKUP(Assumptions!$B$2,Assumptions!$F$4:$H$4,Assumptions!$F$9:$H$9)</f>
        <v>0.18</v>
      </c>
      <c r="M358" s="18">
        <f>_xlfn.XLOOKUP(Assumptions!$B$2,Assumptions!$F$4:$H$4,Assumptions!$F$10:$H$10)</f>
        <v>18000</v>
      </c>
      <c r="N358" s="12">
        <f>_xlfn.XLOOKUP(Assumptions!$B$2,Assumptions!$F$4:$H$4,Assumptions!$F$11:$H$11)</f>
        <v>0.3</v>
      </c>
      <c r="O358" s="14">
        <f>Final_Table[[#This Row],[Units Sold]]*Final_Table[[#This Row],[Sale Price]]</f>
        <v>20400</v>
      </c>
      <c r="P358" s="14">
        <f>Final_Table[[#This Row],[Gross Revenue]]*(1-Final_Table[[#This Row],[Discount %]])</f>
        <v>18360</v>
      </c>
      <c r="Q358">
        <f>Final_Table[[#This Row],[Net Revenue]]*Final_Table[[#This Row],[Variable Cost %]]</f>
        <v>3304.7999999999997</v>
      </c>
      <c r="R358">
        <f>Final_Table[[#This Row],[Variable Cost]]+Final_Table[[#This Row],[Fixed Monthly Cost]]</f>
        <v>21304.799999999999</v>
      </c>
      <c r="S358" s="5">
        <f>Final_Table[[#This Row],[Net Revenue]]-Final_Table[[#This Row],[Total Cost (COGS)]]</f>
        <v>-2944.7999999999993</v>
      </c>
      <c r="T358">
        <f>Final_Table[[#This Row],[Gross Profit]]*Final_Table[[#This Row],[Tax Rate]]</f>
        <v>-883.43999999999971</v>
      </c>
      <c r="U358" s="5">
        <f>Final_Table[[#This Row],[Gross Profit]]-Final_Table[[#This Row],[Tax]]</f>
        <v>-2061.3599999999997</v>
      </c>
      <c r="V358" s="12">
        <f>Final_Table[[#This Row],[Net Profit]]/Final_Table[[#This Row],[Gross Revenue]]</f>
        <v>-0.10104705882352939</v>
      </c>
    </row>
    <row r="359" spans="1:22">
      <c r="A359" s="18" t="s">
        <v>68</v>
      </c>
      <c r="B359">
        <v>2013</v>
      </c>
      <c r="C359" t="s">
        <v>120</v>
      </c>
      <c r="D359">
        <v>1</v>
      </c>
      <c r="E359" s="18" t="s">
        <v>32</v>
      </c>
      <c r="F359" s="18" t="s">
        <v>108</v>
      </c>
      <c r="G359" s="18" t="s">
        <v>21</v>
      </c>
      <c r="H359" s="18" t="str">
        <f>Assumptions!$B$2</f>
        <v>Worst</v>
      </c>
      <c r="I359" s="18">
        <f>_xlfn.XLOOKUP(Assumptions!$B$2,Assumptions!$F$4:$H$4,Assumptions!$F$5:$H$5)</f>
        <v>1200</v>
      </c>
      <c r="J359" s="18">
        <f>_xlfn.XLOOKUP(Assumptions!$B$2,Assumptions!$F$4:$H$4,Assumptions!$F$6:$H$6)</f>
        <v>17</v>
      </c>
      <c r="K359" s="12">
        <f>_xlfn.XLOOKUP(Assumptions!$B$2,Assumptions!$F$4:$H$4,Assumptions!$F$8:$H$8)</f>
        <v>0.1</v>
      </c>
      <c r="L359" s="12">
        <f>_xlfn.XLOOKUP(Assumptions!$B$2,Assumptions!$F$4:$H$4,Assumptions!$F$9:$H$9)</f>
        <v>0.18</v>
      </c>
      <c r="M359" s="18">
        <f>_xlfn.XLOOKUP(Assumptions!$B$2,Assumptions!$F$4:$H$4,Assumptions!$F$10:$H$10)</f>
        <v>18000</v>
      </c>
      <c r="N359" s="12">
        <f>_xlfn.XLOOKUP(Assumptions!$B$2,Assumptions!$F$4:$H$4,Assumptions!$F$11:$H$11)</f>
        <v>0.3</v>
      </c>
      <c r="O359" s="14">
        <f>Final_Table[[#This Row],[Units Sold]]*Final_Table[[#This Row],[Sale Price]]</f>
        <v>20400</v>
      </c>
      <c r="P359" s="14">
        <f>Final_Table[[#This Row],[Gross Revenue]]*(1-Final_Table[[#This Row],[Discount %]])</f>
        <v>18360</v>
      </c>
      <c r="Q359">
        <f>Final_Table[[#This Row],[Net Revenue]]*Final_Table[[#This Row],[Variable Cost %]]</f>
        <v>3304.7999999999997</v>
      </c>
      <c r="R359">
        <f>Final_Table[[#This Row],[Variable Cost]]+Final_Table[[#This Row],[Fixed Monthly Cost]]</f>
        <v>21304.799999999999</v>
      </c>
      <c r="S359" s="5">
        <f>Final_Table[[#This Row],[Net Revenue]]-Final_Table[[#This Row],[Total Cost (COGS)]]</f>
        <v>-2944.7999999999993</v>
      </c>
      <c r="T359">
        <f>Final_Table[[#This Row],[Gross Profit]]*Final_Table[[#This Row],[Tax Rate]]</f>
        <v>-883.43999999999971</v>
      </c>
      <c r="U359" s="5">
        <f>Final_Table[[#This Row],[Gross Profit]]-Final_Table[[#This Row],[Tax]]</f>
        <v>-2061.3599999999997</v>
      </c>
      <c r="V359" s="12">
        <f>Final_Table[[#This Row],[Net Profit]]/Final_Table[[#This Row],[Gross Revenue]]</f>
        <v>-0.10104705882352939</v>
      </c>
    </row>
    <row r="360" spans="1:22">
      <c r="A360" s="18" t="s">
        <v>68</v>
      </c>
      <c r="B360">
        <v>2013</v>
      </c>
      <c r="C360" t="s">
        <v>120</v>
      </c>
      <c r="D360">
        <v>1</v>
      </c>
      <c r="E360" s="18" t="s">
        <v>32</v>
      </c>
      <c r="F360" s="18" t="s">
        <v>108</v>
      </c>
      <c r="G360" s="18" t="s">
        <v>25</v>
      </c>
      <c r="H360" s="18" t="str">
        <f>Assumptions!$B$2</f>
        <v>Worst</v>
      </c>
      <c r="I360" s="18">
        <f>_xlfn.XLOOKUP(Assumptions!$B$2,Assumptions!$F$4:$H$4,Assumptions!$F$5:$H$5)</f>
        <v>1200</v>
      </c>
      <c r="J360" s="18">
        <f>_xlfn.XLOOKUP(Assumptions!$B$2,Assumptions!$F$4:$H$4,Assumptions!$F$6:$H$6)</f>
        <v>17</v>
      </c>
      <c r="K360" s="12">
        <f>_xlfn.XLOOKUP(Assumptions!$B$2,Assumptions!$F$4:$H$4,Assumptions!$F$8:$H$8)</f>
        <v>0.1</v>
      </c>
      <c r="L360" s="12">
        <f>_xlfn.XLOOKUP(Assumptions!$B$2,Assumptions!$F$4:$H$4,Assumptions!$F$9:$H$9)</f>
        <v>0.18</v>
      </c>
      <c r="M360" s="18">
        <f>_xlfn.XLOOKUP(Assumptions!$B$2,Assumptions!$F$4:$H$4,Assumptions!$F$10:$H$10)</f>
        <v>18000</v>
      </c>
      <c r="N360" s="12">
        <f>_xlfn.XLOOKUP(Assumptions!$B$2,Assumptions!$F$4:$H$4,Assumptions!$F$11:$H$11)</f>
        <v>0.3</v>
      </c>
      <c r="O360" s="14">
        <f>Final_Table[[#This Row],[Units Sold]]*Final_Table[[#This Row],[Sale Price]]</f>
        <v>20400</v>
      </c>
      <c r="P360" s="14">
        <f>Final_Table[[#This Row],[Gross Revenue]]*(1-Final_Table[[#This Row],[Discount %]])</f>
        <v>18360</v>
      </c>
      <c r="Q360">
        <f>Final_Table[[#This Row],[Net Revenue]]*Final_Table[[#This Row],[Variable Cost %]]</f>
        <v>3304.7999999999997</v>
      </c>
      <c r="R360">
        <f>Final_Table[[#This Row],[Variable Cost]]+Final_Table[[#This Row],[Fixed Monthly Cost]]</f>
        <v>21304.799999999999</v>
      </c>
      <c r="S360" s="5">
        <f>Final_Table[[#This Row],[Net Revenue]]-Final_Table[[#This Row],[Total Cost (COGS)]]</f>
        <v>-2944.7999999999993</v>
      </c>
      <c r="T360">
        <f>Final_Table[[#This Row],[Gross Profit]]*Final_Table[[#This Row],[Tax Rate]]</f>
        <v>-883.43999999999971</v>
      </c>
      <c r="U360" s="5">
        <f>Final_Table[[#This Row],[Gross Profit]]-Final_Table[[#This Row],[Tax]]</f>
        <v>-2061.3599999999997</v>
      </c>
      <c r="V360" s="12">
        <f>Final_Table[[#This Row],[Net Profit]]/Final_Table[[#This Row],[Gross Revenue]]</f>
        <v>-0.10104705882352939</v>
      </c>
    </row>
    <row r="361" spans="1:22">
      <c r="A361" s="18" t="s">
        <v>68</v>
      </c>
      <c r="B361">
        <v>2013</v>
      </c>
      <c r="C361" t="s">
        <v>120</v>
      </c>
      <c r="D361">
        <v>1</v>
      </c>
      <c r="E361" s="18" t="s">
        <v>32</v>
      </c>
      <c r="F361" s="18" t="s">
        <v>108</v>
      </c>
      <c r="G361" s="18" t="s">
        <v>17</v>
      </c>
      <c r="H361" s="18" t="str">
        <f>Assumptions!$B$2</f>
        <v>Worst</v>
      </c>
      <c r="I361" s="18">
        <f>_xlfn.XLOOKUP(Assumptions!$B$2,Assumptions!$F$4:$H$4,Assumptions!$F$5:$H$5)</f>
        <v>1200</v>
      </c>
      <c r="J361" s="18">
        <f>_xlfn.XLOOKUP(Assumptions!$B$2,Assumptions!$F$4:$H$4,Assumptions!$F$6:$H$6)</f>
        <v>17</v>
      </c>
      <c r="K361" s="12">
        <f>_xlfn.XLOOKUP(Assumptions!$B$2,Assumptions!$F$4:$H$4,Assumptions!$F$8:$H$8)</f>
        <v>0.1</v>
      </c>
      <c r="L361" s="12">
        <f>_xlfn.XLOOKUP(Assumptions!$B$2,Assumptions!$F$4:$H$4,Assumptions!$F$9:$H$9)</f>
        <v>0.18</v>
      </c>
      <c r="M361" s="18">
        <f>_xlfn.XLOOKUP(Assumptions!$B$2,Assumptions!$F$4:$H$4,Assumptions!$F$10:$H$10)</f>
        <v>18000</v>
      </c>
      <c r="N361" s="12">
        <f>_xlfn.XLOOKUP(Assumptions!$B$2,Assumptions!$F$4:$H$4,Assumptions!$F$11:$H$11)</f>
        <v>0.3</v>
      </c>
      <c r="O361" s="14">
        <f>Final_Table[[#This Row],[Units Sold]]*Final_Table[[#This Row],[Sale Price]]</f>
        <v>20400</v>
      </c>
      <c r="P361" s="14">
        <f>Final_Table[[#This Row],[Gross Revenue]]*(1-Final_Table[[#This Row],[Discount %]])</f>
        <v>18360</v>
      </c>
      <c r="Q361">
        <f>Final_Table[[#This Row],[Net Revenue]]*Final_Table[[#This Row],[Variable Cost %]]</f>
        <v>3304.7999999999997</v>
      </c>
      <c r="R361">
        <f>Final_Table[[#This Row],[Variable Cost]]+Final_Table[[#This Row],[Fixed Monthly Cost]]</f>
        <v>21304.799999999999</v>
      </c>
      <c r="S361" s="5">
        <f>Final_Table[[#This Row],[Net Revenue]]-Final_Table[[#This Row],[Total Cost (COGS)]]</f>
        <v>-2944.7999999999993</v>
      </c>
      <c r="T361">
        <f>Final_Table[[#This Row],[Gross Profit]]*Final_Table[[#This Row],[Tax Rate]]</f>
        <v>-883.43999999999971</v>
      </c>
      <c r="U361" s="5">
        <f>Final_Table[[#This Row],[Gross Profit]]-Final_Table[[#This Row],[Tax]]</f>
        <v>-2061.3599999999997</v>
      </c>
      <c r="V361" s="12">
        <f>Final_Table[[#This Row],[Net Profit]]/Final_Table[[#This Row],[Gross Revenue]]</f>
        <v>-0.10104705882352939</v>
      </c>
    </row>
    <row r="362" spans="1:22">
      <c r="A362" s="18" t="s">
        <v>68</v>
      </c>
      <c r="B362">
        <v>2013</v>
      </c>
      <c r="C362" t="s">
        <v>120</v>
      </c>
      <c r="D362">
        <v>1</v>
      </c>
      <c r="E362" s="18" t="s">
        <v>32</v>
      </c>
      <c r="F362" s="18" t="s">
        <v>112</v>
      </c>
      <c r="G362" s="18" t="s">
        <v>36</v>
      </c>
      <c r="H362" s="18" t="str">
        <f>Assumptions!$B$2</f>
        <v>Worst</v>
      </c>
      <c r="I362" s="18">
        <f>_xlfn.XLOOKUP(Assumptions!$B$2,Assumptions!$F$4:$H$4,Assumptions!$F$5:$H$5)</f>
        <v>1200</v>
      </c>
      <c r="J362" s="18">
        <f>_xlfn.XLOOKUP(Assumptions!$B$2,Assumptions!$F$4:$H$4,Assumptions!$F$6:$H$6)</f>
        <v>17</v>
      </c>
      <c r="K362" s="12">
        <f>_xlfn.XLOOKUP(Assumptions!$B$2,Assumptions!$F$4:$H$4,Assumptions!$F$8:$H$8)</f>
        <v>0.1</v>
      </c>
      <c r="L362" s="12">
        <f>_xlfn.XLOOKUP(Assumptions!$B$2,Assumptions!$F$4:$H$4,Assumptions!$F$9:$H$9)</f>
        <v>0.18</v>
      </c>
      <c r="M362" s="18">
        <f>_xlfn.XLOOKUP(Assumptions!$B$2,Assumptions!$F$4:$H$4,Assumptions!$F$10:$H$10)</f>
        <v>18000</v>
      </c>
      <c r="N362" s="12">
        <f>_xlfn.XLOOKUP(Assumptions!$B$2,Assumptions!$F$4:$H$4,Assumptions!$F$11:$H$11)</f>
        <v>0.3</v>
      </c>
      <c r="O362" s="14">
        <f>Final_Table[[#This Row],[Units Sold]]*Final_Table[[#This Row],[Sale Price]]</f>
        <v>20400</v>
      </c>
      <c r="P362" s="14">
        <f>Final_Table[[#This Row],[Gross Revenue]]*(1-Final_Table[[#This Row],[Discount %]])</f>
        <v>18360</v>
      </c>
      <c r="Q362">
        <f>Final_Table[[#This Row],[Net Revenue]]*Final_Table[[#This Row],[Variable Cost %]]</f>
        <v>3304.7999999999997</v>
      </c>
      <c r="R362">
        <f>Final_Table[[#This Row],[Variable Cost]]+Final_Table[[#This Row],[Fixed Monthly Cost]]</f>
        <v>21304.799999999999</v>
      </c>
      <c r="S362" s="5">
        <f>Final_Table[[#This Row],[Net Revenue]]-Final_Table[[#This Row],[Total Cost (COGS)]]</f>
        <v>-2944.7999999999993</v>
      </c>
      <c r="T362">
        <f>Final_Table[[#This Row],[Gross Profit]]*Final_Table[[#This Row],[Tax Rate]]</f>
        <v>-883.43999999999971</v>
      </c>
      <c r="U362" s="5">
        <f>Final_Table[[#This Row],[Gross Profit]]-Final_Table[[#This Row],[Tax]]</f>
        <v>-2061.3599999999997</v>
      </c>
      <c r="V362" s="12">
        <f>Final_Table[[#This Row],[Net Profit]]/Final_Table[[#This Row],[Gross Revenue]]</f>
        <v>-0.10104705882352939</v>
      </c>
    </row>
    <row r="363" spans="1:22">
      <c r="A363" s="18" t="s">
        <v>68</v>
      </c>
      <c r="B363">
        <v>2013</v>
      </c>
      <c r="C363" t="s">
        <v>120</v>
      </c>
      <c r="D363">
        <v>1</v>
      </c>
      <c r="E363" s="18" t="s">
        <v>32</v>
      </c>
      <c r="F363" s="18" t="s">
        <v>112</v>
      </c>
      <c r="G363" s="18" t="s">
        <v>23</v>
      </c>
      <c r="H363" s="18" t="str">
        <f>Assumptions!$B$2</f>
        <v>Worst</v>
      </c>
      <c r="I363" s="18">
        <f>_xlfn.XLOOKUP(Assumptions!$B$2,Assumptions!$F$4:$H$4,Assumptions!$F$5:$H$5)</f>
        <v>1200</v>
      </c>
      <c r="J363" s="18">
        <f>_xlfn.XLOOKUP(Assumptions!$B$2,Assumptions!$F$4:$H$4,Assumptions!$F$6:$H$6)</f>
        <v>17</v>
      </c>
      <c r="K363" s="12">
        <f>_xlfn.XLOOKUP(Assumptions!$B$2,Assumptions!$F$4:$H$4,Assumptions!$F$8:$H$8)</f>
        <v>0.1</v>
      </c>
      <c r="L363" s="12">
        <f>_xlfn.XLOOKUP(Assumptions!$B$2,Assumptions!$F$4:$H$4,Assumptions!$F$9:$H$9)</f>
        <v>0.18</v>
      </c>
      <c r="M363" s="18">
        <f>_xlfn.XLOOKUP(Assumptions!$B$2,Assumptions!$F$4:$H$4,Assumptions!$F$10:$H$10)</f>
        <v>18000</v>
      </c>
      <c r="N363" s="12">
        <f>_xlfn.XLOOKUP(Assumptions!$B$2,Assumptions!$F$4:$H$4,Assumptions!$F$11:$H$11)</f>
        <v>0.3</v>
      </c>
      <c r="O363" s="14">
        <f>Final_Table[[#This Row],[Units Sold]]*Final_Table[[#This Row],[Sale Price]]</f>
        <v>20400</v>
      </c>
      <c r="P363" s="14">
        <f>Final_Table[[#This Row],[Gross Revenue]]*(1-Final_Table[[#This Row],[Discount %]])</f>
        <v>18360</v>
      </c>
      <c r="Q363">
        <f>Final_Table[[#This Row],[Net Revenue]]*Final_Table[[#This Row],[Variable Cost %]]</f>
        <v>3304.7999999999997</v>
      </c>
      <c r="R363">
        <f>Final_Table[[#This Row],[Variable Cost]]+Final_Table[[#This Row],[Fixed Monthly Cost]]</f>
        <v>21304.799999999999</v>
      </c>
      <c r="S363" s="5">
        <f>Final_Table[[#This Row],[Net Revenue]]-Final_Table[[#This Row],[Total Cost (COGS)]]</f>
        <v>-2944.7999999999993</v>
      </c>
      <c r="T363">
        <f>Final_Table[[#This Row],[Gross Profit]]*Final_Table[[#This Row],[Tax Rate]]</f>
        <v>-883.43999999999971</v>
      </c>
      <c r="U363" s="5">
        <f>Final_Table[[#This Row],[Gross Profit]]-Final_Table[[#This Row],[Tax]]</f>
        <v>-2061.3599999999997</v>
      </c>
      <c r="V363" s="12">
        <f>Final_Table[[#This Row],[Net Profit]]/Final_Table[[#This Row],[Gross Revenue]]</f>
        <v>-0.10104705882352939</v>
      </c>
    </row>
    <row r="364" spans="1:22">
      <c r="A364" s="18" t="s">
        <v>68</v>
      </c>
      <c r="B364">
        <v>2013</v>
      </c>
      <c r="C364" t="s">
        <v>120</v>
      </c>
      <c r="D364">
        <v>1</v>
      </c>
      <c r="E364" s="18" t="s">
        <v>32</v>
      </c>
      <c r="F364" s="18" t="s">
        <v>112</v>
      </c>
      <c r="G364" s="18" t="s">
        <v>21</v>
      </c>
      <c r="H364" s="18" t="str">
        <f>Assumptions!$B$2</f>
        <v>Worst</v>
      </c>
      <c r="I364" s="18">
        <f>_xlfn.XLOOKUP(Assumptions!$B$2,Assumptions!$F$4:$H$4,Assumptions!$F$5:$H$5)</f>
        <v>1200</v>
      </c>
      <c r="J364" s="18">
        <f>_xlfn.XLOOKUP(Assumptions!$B$2,Assumptions!$F$4:$H$4,Assumptions!$F$6:$H$6)</f>
        <v>17</v>
      </c>
      <c r="K364" s="12">
        <f>_xlfn.XLOOKUP(Assumptions!$B$2,Assumptions!$F$4:$H$4,Assumptions!$F$8:$H$8)</f>
        <v>0.1</v>
      </c>
      <c r="L364" s="12">
        <f>_xlfn.XLOOKUP(Assumptions!$B$2,Assumptions!$F$4:$H$4,Assumptions!$F$9:$H$9)</f>
        <v>0.18</v>
      </c>
      <c r="M364" s="18">
        <f>_xlfn.XLOOKUP(Assumptions!$B$2,Assumptions!$F$4:$H$4,Assumptions!$F$10:$H$10)</f>
        <v>18000</v>
      </c>
      <c r="N364" s="12">
        <f>_xlfn.XLOOKUP(Assumptions!$B$2,Assumptions!$F$4:$H$4,Assumptions!$F$11:$H$11)</f>
        <v>0.3</v>
      </c>
      <c r="O364" s="14">
        <f>Final_Table[[#This Row],[Units Sold]]*Final_Table[[#This Row],[Sale Price]]</f>
        <v>20400</v>
      </c>
      <c r="P364" s="14">
        <f>Final_Table[[#This Row],[Gross Revenue]]*(1-Final_Table[[#This Row],[Discount %]])</f>
        <v>18360</v>
      </c>
      <c r="Q364">
        <f>Final_Table[[#This Row],[Net Revenue]]*Final_Table[[#This Row],[Variable Cost %]]</f>
        <v>3304.7999999999997</v>
      </c>
      <c r="R364">
        <f>Final_Table[[#This Row],[Variable Cost]]+Final_Table[[#This Row],[Fixed Monthly Cost]]</f>
        <v>21304.799999999999</v>
      </c>
      <c r="S364" s="5">
        <f>Final_Table[[#This Row],[Net Revenue]]-Final_Table[[#This Row],[Total Cost (COGS)]]</f>
        <v>-2944.7999999999993</v>
      </c>
      <c r="T364">
        <f>Final_Table[[#This Row],[Gross Profit]]*Final_Table[[#This Row],[Tax Rate]]</f>
        <v>-883.43999999999971</v>
      </c>
      <c r="U364" s="5">
        <f>Final_Table[[#This Row],[Gross Profit]]-Final_Table[[#This Row],[Tax]]</f>
        <v>-2061.3599999999997</v>
      </c>
      <c r="V364" s="12">
        <f>Final_Table[[#This Row],[Net Profit]]/Final_Table[[#This Row],[Gross Revenue]]</f>
        <v>-0.10104705882352939</v>
      </c>
    </row>
    <row r="365" spans="1:22">
      <c r="A365" s="18" t="s">
        <v>68</v>
      </c>
      <c r="B365">
        <v>2013</v>
      </c>
      <c r="C365" t="s">
        <v>120</v>
      </c>
      <c r="D365">
        <v>1</v>
      </c>
      <c r="E365" s="18" t="s">
        <v>32</v>
      </c>
      <c r="F365" s="18" t="s">
        <v>112</v>
      </c>
      <c r="G365" s="18" t="s">
        <v>25</v>
      </c>
      <c r="H365" s="18" t="str">
        <f>Assumptions!$B$2</f>
        <v>Worst</v>
      </c>
      <c r="I365" s="18">
        <f>_xlfn.XLOOKUP(Assumptions!$B$2,Assumptions!$F$4:$H$4,Assumptions!$F$5:$H$5)</f>
        <v>1200</v>
      </c>
      <c r="J365" s="18">
        <f>_xlfn.XLOOKUP(Assumptions!$B$2,Assumptions!$F$4:$H$4,Assumptions!$F$6:$H$6)</f>
        <v>17</v>
      </c>
      <c r="K365" s="12">
        <f>_xlfn.XLOOKUP(Assumptions!$B$2,Assumptions!$F$4:$H$4,Assumptions!$F$8:$H$8)</f>
        <v>0.1</v>
      </c>
      <c r="L365" s="12">
        <f>_xlfn.XLOOKUP(Assumptions!$B$2,Assumptions!$F$4:$H$4,Assumptions!$F$9:$H$9)</f>
        <v>0.18</v>
      </c>
      <c r="M365" s="18">
        <f>_xlfn.XLOOKUP(Assumptions!$B$2,Assumptions!$F$4:$H$4,Assumptions!$F$10:$H$10)</f>
        <v>18000</v>
      </c>
      <c r="N365" s="12">
        <f>_xlfn.XLOOKUP(Assumptions!$B$2,Assumptions!$F$4:$H$4,Assumptions!$F$11:$H$11)</f>
        <v>0.3</v>
      </c>
      <c r="O365" s="14">
        <f>Final_Table[[#This Row],[Units Sold]]*Final_Table[[#This Row],[Sale Price]]</f>
        <v>20400</v>
      </c>
      <c r="P365" s="14">
        <f>Final_Table[[#This Row],[Gross Revenue]]*(1-Final_Table[[#This Row],[Discount %]])</f>
        <v>18360</v>
      </c>
      <c r="Q365">
        <f>Final_Table[[#This Row],[Net Revenue]]*Final_Table[[#This Row],[Variable Cost %]]</f>
        <v>3304.7999999999997</v>
      </c>
      <c r="R365">
        <f>Final_Table[[#This Row],[Variable Cost]]+Final_Table[[#This Row],[Fixed Monthly Cost]]</f>
        <v>21304.799999999999</v>
      </c>
      <c r="S365" s="5">
        <f>Final_Table[[#This Row],[Net Revenue]]-Final_Table[[#This Row],[Total Cost (COGS)]]</f>
        <v>-2944.7999999999993</v>
      </c>
      <c r="T365">
        <f>Final_Table[[#This Row],[Gross Profit]]*Final_Table[[#This Row],[Tax Rate]]</f>
        <v>-883.43999999999971</v>
      </c>
      <c r="U365" s="5">
        <f>Final_Table[[#This Row],[Gross Profit]]-Final_Table[[#This Row],[Tax]]</f>
        <v>-2061.3599999999997</v>
      </c>
      <c r="V365" s="12">
        <f>Final_Table[[#This Row],[Net Profit]]/Final_Table[[#This Row],[Gross Revenue]]</f>
        <v>-0.10104705882352939</v>
      </c>
    </row>
    <row r="366" spans="1:22">
      <c r="A366" s="18" t="s">
        <v>68</v>
      </c>
      <c r="B366">
        <v>2013</v>
      </c>
      <c r="C366" t="s">
        <v>120</v>
      </c>
      <c r="D366">
        <v>1</v>
      </c>
      <c r="E366" s="18" t="s">
        <v>32</v>
      </c>
      <c r="F366" s="18" t="s">
        <v>112</v>
      </c>
      <c r="G366" s="18" t="s">
        <v>17</v>
      </c>
      <c r="H366" s="18" t="str">
        <f>Assumptions!$B$2</f>
        <v>Worst</v>
      </c>
      <c r="I366" s="18">
        <f>_xlfn.XLOOKUP(Assumptions!$B$2,Assumptions!$F$4:$H$4,Assumptions!$F$5:$H$5)</f>
        <v>1200</v>
      </c>
      <c r="J366" s="18">
        <f>_xlfn.XLOOKUP(Assumptions!$B$2,Assumptions!$F$4:$H$4,Assumptions!$F$6:$H$6)</f>
        <v>17</v>
      </c>
      <c r="K366" s="12">
        <f>_xlfn.XLOOKUP(Assumptions!$B$2,Assumptions!$F$4:$H$4,Assumptions!$F$8:$H$8)</f>
        <v>0.1</v>
      </c>
      <c r="L366" s="12">
        <f>_xlfn.XLOOKUP(Assumptions!$B$2,Assumptions!$F$4:$H$4,Assumptions!$F$9:$H$9)</f>
        <v>0.18</v>
      </c>
      <c r="M366" s="18">
        <f>_xlfn.XLOOKUP(Assumptions!$B$2,Assumptions!$F$4:$H$4,Assumptions!$F$10:$H$10)</f>
        <v>18000</v>
      </c>
      <c r="N366" s="12">
        <f>_xlfn.XLOOKUP(Assumptions!$B$2,Assumptions!$F$4:$H$4,Assumptions!$F$11:$H$11)</f>
        <v>0.3</v>
      </c>
      <c r="O366" s="14">
        <f>Final_Table[[#This Row],[Units Sold]]*Final_Table[[#This Row],[Sale Price]]</f>
        <v>20400</v>
      </c>
      <c r="P366" s="14">
        <f>Final_Table[[#This Row],[Gross Revenue]]*(1-Final_Table[[#This Row],[Discount %]])</f>
        <v>18360</v>
      </c>
      <c r="Q366">
        <f>Final_Table[[#This Row],[Net Revenue]]*Final_Table[[#This Row],[Variable Cost %]]</f>
        <v>3304.7999999999997</v>
      </c>
      <c r="R366">
        <f>Final_Table[[#This Row],[Variable Cost]]+Final_Table[[#This Row],[Fixed Monthly Cost]]</f>
        <v>21304.799999999999</v>
      </c>
      <c r="S366" s="5">
        <f>Final_Table[[#This Row],[Net Revenue]]-Final_Table[[#This Row],[Total Cost (COGS)]]</f>
        <v>-2944.7999999999993</v>
      </c>
      <c r="T366">
        <f>Final_Table[[#This Row],[Gross Profit]]*Final_Table[[#This Row],[Tax Rate]]</f>
        <v>-883.43999999999971</v>
      </c>
      <c r="U366" s="5">
        <f>Final_Table[[#This Row],[Gross Profit]]-Final_Table[[#This Row],[Tax]]</f>
        <v>-2061.3599999999997</v>
      </c>
      <c r="V366" s="12">
        <f>Final_Table[[#This Row],[Net Profit]]/Final_Table[[#This Row],[Gross Revenue]]</f>
        <v>-0.10104705882352939</v>
      </c>
    </row>
    <row r="367" spans="1:22">
      <c r="A367" s="18" t="s">
        <v>68</v>
      </c>
      <c r="B367">
        <v>2013</v>
      </c>
      <c r="C367" t="s">
        <v>120</v>
      </c>
      <c r="D367">
        <v>1</v>
      </c>
      <c r="E367" s="18" t="s">
        <v>32</v>
      </c>
      <c r="F367" s="18" t="s">
        <v>113</v>
      </c>
      <c r="G367" s="18" t="s">
        <v>36</v>
      </c>
      <c r="H367" s="18" t="str">
        <f>Assumptions!$B$2</f>
        <v>Worst</v>
      </c>
      <c r="I367" s="18">
        <f>_xlfn.XLOOKUP(Assumptions!$B$2,Assumptions!$F$4:$H$4,Assumptions!$F$5:$H$5)</f>
        <v>1200</v>
      </c>
      <c r="J367" s="18">
        <f>_xlfn.XLOOKUP(Assumptions!$B$2,Assumptions!$F$4:$H$4,Assumptions!$F$6:$H$6)</f>
        <v>17</v>
      </c>
      <c r="K367" s="12">
        <f>_xlfn.XLOOKUP(Assumptions!$B$2,Assumptions!$F$4:$H$4,Assumptions!$F$8:$H$8)</f>
        <v>0.1</v>
      </c>
      <c r="L367" s="12">
        <f>_xlfn.XLOOKUP(Assumptions!$B$2,Assumptions!$F$4:$H$4,Assumptions!$F$9:$H$9)</f>
        <v>0.18</v>
      </c>
      <c r="M367" s="18">
        <f>_xlfn.XLOOKUP(Assumptions!$B$2,Assumptions!$F$4:$H$4,Assumptions!$F$10:$H$10)</f>
        <v>18000</v>
      </c>
      <c r="N367" s="12">
        <f>_xlfn.XLOOKUP(Assumptions!$B$2,Assumptions!$F$4:$H$4,Assumptions!$F$11:$H$11)</f>
        <v>0.3</v>
      </c>
      <c r="O367" s="14">
        <f>Final_Table[[#This Row],[Units Sold]]*Final_Table[[#This Row],[Sale Price]]</f>
        <v>20400</v>
      </c>
      <c r="P367" s="14">
        <f>Final_Table[[#This Row],[Gross Revenue]]*(1-Final_Table[[#This Row],[Discount %]])</f>
        <v>18360</v>
      </c>
      <c r="Q367">
        <f>Final_Table[[#This Row],[Net Revenue]]*Final_Table[[#This Row],[Variable Cost %]]</f>
        <v>3304.7999999999997</v>
      </c>
      <c r="R367">
        <f>Final_Table[[#This Row],[Variable Cost]]+Final_Table[[#This Row],[Fixed Monthly Cost]]</f>
        <v>21304.799999999999</v>
      </c>
      <c r="S367" s="5">
        <f>Final_Table[[#This Row],[Net Revenue]]-Final_Table[[#This Row],[Total Cost (COGS)]]</f>
        <v>-2944.7999999999993</v>
      </c>
      <c r="T367">
        <f>Final_Table[[#This Row],[Gross Profit]]*Final_Table[[#This Row],[Tax Rate]]</f>
        <v>-883.43999999999971</v>
      </c>
      <c r="U367" s="5">
        <f>Final_Table[[#This Row],[Gross Profit]]-Final_Table[[#This Row],[Tax]]</f>
        <v>-2061.3599999999997</v>
      </c>
      <c r="V367" s="12">
        <f>Final_Table[[#This Row],[Net Profit]]/Final_Table[[#This Row],[Gross Revenue]]</f>
        <v>-0.10104705882352939</v>
      </c>
    </row>
    <row r="368" spans="1:22">
      <c r="A368" s="18" t="s">
        <v>68</v>
      </c>
      <c r="B368">
        <v>2013</v>
      </c>
      <c r="C368" t="s">
        <v>120</v>
      </c>
      <c r="D368">
        <v>1</v>
      </c>
      <c r="E368" s="18" t="s">
        <v>32</v>
      </c>
      <c r="F368" s="18" t="s">
        <v>113</v>
      </c>
      <c r="G368" s="18" t="s">
        <v>23</v>
      </c>
      <c r="H368" s="18" t="str">
        <f>Assumptions!$B$2</f>
        <v>Worst</v>
      </c>
      <c r="I368" s="18">
        <f>_xlfn.XLOOKUP(Assumptions!$B$2,Assumptions!$F$4:$H$4,Assumptions!$F$5:$H$5)</f>
        <v>1200</v>
      </c>
      <c r="J368" s="18">
        <f>_xlfn.XLOOKUP(Assumptions!$B$2,Assumptions!$F$4:$H$4,Assumptions!$F$6:$H$6)</f>
        <v>17</v>
      </c>
      <c r="K368" s="12">
        <f>_xlfn.XLOOKUP(Assumptions!$B$2,Assumptions!$F$4:$H$4,Assumptions!$F$8:$H$8)</f>
        <v>0.1</v>
      </c>
      <c r="L368" s="12">
        <f>_xlfn.XLOOKUP(Assumptions!$B$2,Assumptions!$F$4:$H$4,Assumptions!$F$9:$H$9)</f>
        <v>0.18</v>
      </c>
      <c r="M368" s="18">
        <f>_xlfn.XLOOKUP(Assumptions!$B$2,Assumptions!$F$4:$H$4,Assumptions!$F$10:$H$10)</f>
        <v>18000</v>
      </c>
      <c r="N368" s="12">
        <f>_xlfn.XLOOKUP(Assumptions!$B$2,Assumptions!$F$4:$H$4,Assumptions!$F$11:$H$11)</f>
        <v>0.3</v>
      </c>
      <c r="O368" s="14">
        <f>Final_Table[[#This Row],[Units Sold]]*Final_Table[[#This Row],[Sale Price]]</f>
        <v>20400</v>
      </c>
      <c r="P368" s="14">
        <f>Final_Table[[#This Row],[Gross Revenue]]*(1-Final_Table[[#This Row],[Discount %]])</f>
        <v>18360</v>
      </c>
      <c r="Q368">
        <f>Final_Table[[#This Row],[Net Revenue]]*Final_Table[[#This Row],[Variable Cost %]]</f>
        <v>3304.7999999999997</v>
      </c>
      <c r="R368">
        <f>Final_Table[[#This Row],[Variable Cost]]+Final_Table[[#This Row],[Fixed Monthly Cost]]</f>
        <v>21304.799999999999</v>
      </c>
      <c r="S368" s="5">
        <f>Final_Table[[#This Row],[Net Revenue]]-Final_Table[[#This Row],[Total Cost (COGS)]]</f>
        <v>-2944.7999999999993</v>
      </c>
      <c r="T368">
        <f>Final_Table[[#This Row],[Gross Profit]]*Final_Table[[#This Row],[Tax Rate]]</f>
        <v>-883.43999999999971</v>
      </c>
      <c r="U368" s="5">
        <f>Final_Table[[#This Row],[Gross Profit]]-Final_Table[[#This Row],[Tax]]</f>
        <v>-2061.3599999999997</v>
      </c>
      <c r="V368" s="12">
        <f>Final_Table[[#This Row],[Net Profit]]/Final_Table[[#This Row],[Gross Revenue]]</f>
        <v>-0.10104705882352939</v>
      </c>
    </row>
    <row r="369" spans="1:22">
      <c r="A369" s="18" t="s">
        <v>68</v>
      </c>
      <c r="B369">
        <v>2013</v>
      </c>
      <c r="C369" t="s">
        <v>120</v>
      </c>
      <c r="D369">
        <v>1</v>
      </c>
      <c r="E369" s="18" t="s">
        <v>32</v>
      </c>
      <c r="F369" s="18" t="s">
        <v>113</v>
      </c>
      <c r="G369" s="18" t="s">
        <v>21</v>
      </c>
      <c r="H369" s="18" t="str">
        <f>Assumptions!$B$2</f>
        <v>Worst</v>
      </c>
      <c r="I369" s="18">
        <f>_xlfn.XLOOKUP(Assumptions!$B$2,Assumptions!$F$4:$H$4,Assumptions!$F$5:$H$5)</f>
        <v>1200</v>
      </c>
      <c r="J369" s="18">
        <f>_xlfn.XLOOKUP(Assumptions!$B$2,Assumptions!$F$4:$H$4,Assumptions!$F$6:$H$6)</f>
        <v>17</v>
      </c>
      <c r="K369" s="12">
        <f>_xlfn.XLOOKUP(Assumptions!$B$2,Assumptions!$F$4:$H$4,Assumptions!$F$8:$H$8)</f>
        <v>0.1</v>
      </c>
      <c r="L369" s="12">
        <f>_xlfn.XLOOKUP(Assumptions!$B$2,Assumptions!$F$4:$H$4,Assumptions!$F$9:$H$9)</f>
        <v>0.18</v>
      </c>
      <c r="M369" s="18">
        <f>_xlfn.XLOOKUP(Assumptions!$B$2,Assumptions!$F$4:$H$4,Assumptions!$F$10:$H$10)</f>
        <v>18000</v>
      </c>
      <c r="N369" s="12">
        <f>_xlfn.XLOOKUP(Assumptions!$B$2,Assumptions!$F$4:$H$4,Assumptions!$F$11:$H$11)</f>
        <v>0.3</v>
      </c>
      <c r="O369" s="14">
        <f>Final_Table[[#This Row],[Units Sold]]*Final_Table[[#This Row],[Sale Price]]</f>
        <v>20400</v>
      </c>
      <c r="P369" s="14">
        <f>Final_Table[[#This Row],[Gross Revenue]]*(1-Final_Table[[#This Row],[Discount %]])</f>
        <v>18360</v>
      </c>
      <c r="Q369">
        <f>Final_Table[[#This Row],[Net Revenue]]*Final_Table[[#This Row],[Variable Cost %]]</f>
        <v>3304.7999999999997</v>
      </c>
      <c r="R369">
        <f>Final_Table[[#This Row],[Variable Cost]]+Final_Table[[#This Row],[Fixed Monthly Cost]]</f>
        <v>21304.799999999999</v>
      </c>
      <c r="S369" s="5">
        <f>Final_Table[[#This Row],[Net Revenue]]-Final_Table[[#This Row],[Total Cost (COGS)]]</f>
        <v>-2944.7999999999993</v>
      </c>
      <c r="T369">
        <f>Final_Table[[#This Row],[Gross Profit]]*Final_Table[[#This Row],[Tax Rate]]</f>
        <v>-883.43999999999971</v>
      </c>
      <c r="U369" s="5">
        <f>Final_Table[[#This Row],[Gross Profit]]-Final_Table[[#This Row],[Tax]]</f>
        <v>-2061.3599999999997</v>
      </c>
      <c r="V369" s="12">
        <f>Final_Table[[#This Row],[Net Profit]]/Final_Table[[#This Row],[Gross Revenue]]</f>
        <v>-0.10104705882352939</v>
      </c>
    </row>
    <row r="370" spans="1:22">
      <c r="A370" s="18" t="s">
        <v>68</v>
      </c>
      <c r="B370">
        <v>2013</v>
      </c>
      <c r="C370" t="s">
        <v>120</v>
      </c>
      <c r="D370">
        <v>1</v>
      </c>
      <c r="E370" s="18" t="s">
        <v>32</v>
      </c>
      <c r="F370" s="18" t="s">
        <v>113</v>
      </c>
      <c r="G370" s="18" t="s">
        <v>25</v>
      </c>
      <c r="H370" s="18" t="str">
        <f>Assumptions!$B$2</f>
        <v>Worst</v>
      </c>
      <c r="I370" s="18">
        <f>_xlfn.XLOOKUP(Assumptions!$B$2,Assumptions!$F$4:$H$4,Assumptions!$F$5:$H$5)</f>
        <v>1200</v>
      </c>
      <c r="J370" s="18">
        <f>_xlfn.XLOOKUP(Assumptions!$B$2,Assumptions!$F$4:$H$4,Assumptions!$F$6:$H$6)</f>
        <v>17</v>
      </c>
      <c r="K370" s="12">
        <f>_xlfn.XLOOKUP(Assumptions!$B$2,Assumptions!$F$4:$H$4,Assumptions!$F$8:$H$8)</f>
        <v>0.1</v>
      </c>
      <c r="L370" s="12">
        <f>_xlfn.XLOOKUP(Assumptions!$B$2,Assumptions!$F$4:$H$4,Assumptions!$F$9:$H$9)</f>
        <v>0.18</v>
      </c>
      <c r="M370" s="18">
        <f>_xlfn.XLOOKUP(Assumptions!$B$2,Assumptions!$F$4:$H$4,Assumptions!$F$10:$H$10)</f>
        <v>18000</v>
      </c>
      <c r="N370" s="12">
        <f>_xlfn.XLOOKUP(Assumptions!$B$2,Assumptions!$F$4:$H$4,Assumptions!$F$11:$H$11)</f>
        <v>0.3</v>
      </c>
      <c r="O370" s="14">
        <f>Final_Table[[#This Row],[Units Sold]]*Final_Table[[#This Row],[Sale Price]]</f>
        <v>20400</v>
      </c>
      <c r="P370" s="14">
        <f>Final_Table[[#This Row],[Gross Revenue]]*(1-Final_Table[[#This Row],[Discount %]])</f>
        <v>18360</v>
      </c>
      <c r="Q370">
        <f>Final_Table[[#This Row],[Net Revenue]]*Final_Table[[#This Row],[Variable Cost %]]</f>
        <v>3304.7999999999997</v>
      </c>
      <c r="R370">
        <f>Final_Table[[#This Row],[Variable Cost]]+Final_Table[[#This Row],[Fixed Monthly Cost]]</f>
        <v>21304.799999999999</v>
      </c>
      <c r="S370" s="5">
        <f>Final_Table[[#This Row],[Net Revenue]]-Final_Table[[#This Row],[Total Cost (COGS)]]</f>
        <v>-2944.7999999999993</v>
      </c>
      <c r="T370">
        <f>Final_Table[[#This Row],[Gross Profit]]*Final_Table[[#This Row],[Tax Rate]]</f>
        <v>-883.43999999999971</v>
      </c>
      <c r="U370" s="5">
        <f>Final_Table[[#This Row],[Gross Profit]]-Final_Table[[#This Row],[Tax]]</f>
        <v>-2061.3599999999997</v>
      </c>
      <c r="V370" s="12">
        <f>Final_Table[[#This Row],[Net Profit]]/Final_Table[[#This Row],[Gross Revenue]]</f>
        <v>-0.10104705882352939</v>
      </c>
    </row>
    <row r="371" spans="1:22">
      <c r="A371" s="18" t="s">
        <v>68</v>
      </c>
      <c r="B371">
        <v>2013</v>
      </c>
      <c r="C371" t="s">
        <v>120</v>
      </c>
      <c r="D371">
        <v>1</v>
      </c>
      <c r="E371" s="18" t="s">
        <v>32</v>
      </c>
      <c r="F371" s="18" t="s">
        <v>113</v>
      </c>
      <c r="G371" s="18" t="s">
        <v>17</v>
      </c>
      <c r="H371" s="18" t="str">
        <f>Assumptions!$B$2</f>
        <v>Worst</v>
      </c>
      <c r="I371" s="18">
        <f>_xlfn.XLOOKUP(Assumptions!$B$2,Assumptions!$F$4:$H$4,Assumptions!$F$5:$H$5)</f>
        <v>1200</v>
      </c>
      <c r="J371" s="18">
        <f>_xlfn.XLOOKUP(Assumptions!$B$2,Assumptions!$F$4:$H$4,Assumptions!$F$6:$H$6)</f>
        <v>17</v>
      </c>
      <c r="K371" s="12">
        <f>_xlfn.XLOOKUP(Assumptions!$B$2,Assumptions!$F$4:$H$4,Assumptions!$F$8:$H$8)</f>
        <v>0.1</v>
      </c>
      <c r="L371" s="12">
        <f>_xlfn.XLOOKUP(Assumptions!$B$2,Assumptions!$F$4:$H$4,Assumptions!$F$9:$H$9)</f>
        <v>0.18</v>
      </c>
      <c r="M371" s="18">
        <f>_xlfn.XLOOKUP(Assumptions!$B$2,Assumptions!$F$4:$H$4,Assumptions!$F$10:$H$10)</f>
        <v>18000</v>
      </c>
      <c r="N371" s="12">
        <f>_xlfn.XLOOKUP(Assumptions!$B$2,Assumptions!$F$4:$H$4,Assumptions!$F$11:$H$11)</f>
        <v>0.3</v>
      </c>
      <c r="O371" s="14">
        <f>Final_Table[[#This Row],[Units Sold]]*Final_Table[[#This Row],[Sale Price]]</f>
        <v>20400</v>
      </c>
      <c r="P371" s="14">
        <f>Final_Table[[#This Row],[Gross Revenue]]*(1-Final_Table[[#This Row],[Discount %]])</f>
        <v>18360</v>
      </c>
      <c r="Q371">
        <f>Final_Table[[#This Row],[Net Revenue]]*Final_Table[[#This Row],[Variable Cost %]]</f>
        <v>3304.7999999999997</v>
      </c>
      <c r="R371">
        <f>Final_Table[[#This Row],[Variable Cost]]+Final_Table[[#This Row],[Fixed Monthly Cost]]</f>
        <v>21304.799999999999</v>
      </c>
      <c r="S371" s="5">
        <f>Final_Table[[#This Row],[Net Revenue]]-Final_Table[[#This Row],[Total Cost (COGS)]]</f>
        <v>-2944.7999999999993</v>
      </c>
      <c r="T371">
        <f>Final_Table[[#This Row],[Gross Profit]]*Final_Table[[#This Row],[Tax Rate]]</f>
        <v>-883.43999999999971</v>
      </c>
      <c r="U371" s="5">
        <f>Final_Table[[#This Row],[Gross Profit]]-Final_Table[[#This Row],[Tax]]</f>
        <v>-2061.3599999999997</v>
      </c>
      <c r="V371" s="12">
        <f>Final_Table[[#This Row],[Net Profit]]/Final_Table[[#This Row],[Gross Revenue]]</f>
        <v>-0.10104705882352939</v>
      </c>
    </row>
    <row r="372" spans="1:22">
      <c r="A372" s="18" t="s">
        <v>68</v>
      </c>
      <c r="B372">
        <v>2013</v>
      </c>
      <c r="C372" t="s">
        <v>120</v>
      </c>
      <c r="D372">
        <v>1</v>
      </c>
      <c r="E372" s="18" t="s">
        <v>32</v>
      </c>
      <c r="F372" s="18" t="s">
        <v>114</v>
      </c>
      <c r="G372" s="18" t="s">
        <v>36</v>
      </c>
      <c r="H372" s="18" t="str">
        <f>Assumptions!$B$2</f>
        <v>Worst</v>
      </c>
      <c r="I372" s="18">
        <f>_xlfn.XLOOKUP(Assumptions!$B$2,Assumptions!$F$4:$H$4,Assumptions!$F$5:$H$5)</f>
        <v>1200</v>
      </c>
      <c r="J372" s="18">
        <f>_xlfn.XLOOKUP(Assumptions!$B$2,Assumptions!$F$4:$H$4,Assumptions!$F$6:$H$6)</f>
        <v>17</v>
      </c>
      <c r="K372" s="12">
        <f>_xlfn.XLOOKUP(Assumptions!$B$2,Assumptions!$F$4:$H$4,Assumptions!$F$8:$H$8)</f>
        <v>0.1</v>
      </c>
      <c r="L372" s="12">
        <f>_xlfn.XLOOKUP(Assumptions!$B$2,Assumptions!$F$4:$H$4,Assumptions!$F$9:$H$9)</f>
        <v>0.18</v>
      </c>
      <c r="M372" s="18">
        <f>_xlfn.XLOOKUP(Assumptions!$B$2,Assumptions!$F$4:$H$4,Assumptions!$F$10:$H$10)</f>
        <v>18000</v>
      </c>
      <c r="N372" s="12">
        <f>_xlfn.XLOOKUP(Assumptions!$B$2,Assumptions!$F$4:$H$4,Assumptions!$F$11:$H$11)</f>
        <v>0.3</v>
      </c>
      <c r="O372" s="14">
        <f>Final_Table[[#This Row],[Units Sold]]*Final_Table[[#This Row],[Sale Price]]</f>
        <v>20400</v>
      </c>
      <c r="P372" s="14">
        <f>Final_Table[[#This Row],[Gross Revenue]]*(1-Final_Table[[#This Row],[Discount %]])</f>
        <v>18360</v>
      </c>
      <c r="Q372">
        <f>Final_Table[[#This Row],[Net Revenue]]*Final_Table[[#This Row],[Variable Cost %]]</f>
        <v>3304.7999999999997</v>
      </c>
      <c r="R372">
        <f>Final_Table[[#This Row],[Variable Cost]]+Final_Table[[#This Row],[Fixed Monthly Cost]]</f>
        <v>21304.799999999999</v>
      </c>
      <c r="S372" s="5">
        <f>Final_Table[[#This Row],[Net Revenue]]-Final_Table[[#This Row],[Total Cost (COGS)]]</f>
        <v>-2944.7999999999993</v>
      </c>
      <c r="T372">
        <f>Final_Table[[#This Row],[Gross Profit]]*Final_Table[[#This Row],[Tax Rate]]</f>
        <v>-883.43999999999971</v>
      </c>
      <c r="U372" s="5">
        <f>Final_Table[[#This Row],[Gross Profit]]-Final_Table[[#This Row],[Tax]]</f>
        <v>-2061.3599999999997</v>
      </c>
      <c r="V372" s="12">
        <f>Final_Table[[#This Row],[Net Profit]]/Final_Table[[#This Row],[Gross Revenue]]</f>
        <v>-0.10104705882352939</v>
      </c>
    </row>
    <row r="373" spans="1:22">
      <c r="A373" s="18" t="s">
        <v>68</v>
      </c>
      <c r="B373">
        <v>2013</v>
      </c>
      <c r="C373" t="s">
        <v>120</v>
      </c>
      <c r="D373">
        <v>1</v>
      </c>
      <c r="E373" s="18" t="s">
        <v>32</v>
      </c>
      <c r="F373" s="18" t="s">
        <v>114</v>
      </c>
      <c r="G373" s="18" t="s">
        <v>23</v>
      </c>
      <c r="H373" s="18" t="str">
        <f>Assumptions!$B$2</f>
        <v>Worst</v>
      </c>
      <c r="I373" s="18">
        <f>_xlfn.XLOOKUP(Assumptions!$B$2,Assumptions!$F$4:$H$4,Assumptions!$F$5:$H$5)</f>
        <v>1200</v>
      </c>
      <c r="J373" s="18">
        <f>_xlfn.XLOOKUP(Assumptions!$B$2,Assumptions!$F$4:$H$4,Assumptions!$F$6:$H$6)</f>
        <v>17</v>
      </c>
      <c r="K373" s="12">
        <f>_xlfn.XLOOKUP(Assumptions!$B$2,Assumptions!$F$4:$H$4,Assumptions!$F$8:$H$8)</f>
        <v>0.1</v>
      </c>
      <c r="L373" s="12">
        <f>_xlfn.XLOOKUP(Assumptions!$B$2,Assumptions!$F$4:$H$4,Assumptions!$F$9:$H$9)</f>
        <v>0.18</v>
      </c>
      <c r="M373" s="18">
        <f>_xlfn.XLOOKUP(Assumptions!$B$2,Assumptions!$F$4:$H$4,Assumptions!$F$10:$H$10)</f>
        <v>18000</v>
      </c>
      <c r="N373" s="12">
        <f>_xlfn.XLOOKUP(Assumptions!$B$2,Assumptions!$F$4:$H$4,Assumptions!$F$11:$H$11)</f>
        <v>0.3</v>
      </c>
      <c r="O373" s="14">
        <f>Final_Table[[#This Row],[Units Sold]]*Final_Table[[#This Row],[Sale Price]]</f>
        <v>20400</v>
      </c>
      <c r="P373" s="14">
        <f>Final_Table[[#This Row],[Gross Revenue]]*(1-Final_Table[[#This Row],[Discount %]])</f>
        <v>18360</v>
      </c>
      <c r="Q373">
        <f>Final_Table[[#This Row],[Net Revenue]]*Final_Table[[#This Row],[Variable Cost %]]</f>
        <v>3304.7999999999997</v>
      </c>
      <c r="R373">
        <f>Final_Table[[#This Row],[Variable Cost]]+Final_Table[[#This Row],[Fixed Monthly Cost]]</f>
        <v>21304.799999999999</v>
      </c>
      <c r="S373" s="5">
        <f>Final_Table[[#This Row],[Net Revenue]]-Final_Table[[#This Row],[Total Cost (COGS)]]</f>
        <v>-2944.7999999999993</v>
      </c>
      <c r="T373">
        <f>Final_Table[[#This Row],[Gross Profit]]*Final_Table[[#This Row],[Tax Rate]]</f>
        <v>-883.43999999999971</v>
      </c>
      <c r="U373" s="5">
        <f>Final_Table[[#This Row],[Gross Profit]]-Final_Table[[#This Row],[Tax]]</f>
        <v>-2061.3599999999997</v>
      </c>
      <c r="V373" s="12">
        <f>Final_Table[[#This Row],[Net Profit]]/Final_Table[[#This Row],[Gross Revenue]]</f>
        <v>-0.10104705882352939</v>
      </c>
    </row>
    <row r="374" spans="1:22">
      <c r="A374" s="18" t="s">
        <v>68</v>
      </c>
      <c r="B374">
        <v>2013</v>
      </c>
      <c r="C374" t="s">
        <v>120</v>
      </c>
      <c r="D374">
        <v>1</v>
      </c>
      <c r="E374" s="18" t="s">
        <v>32</v>
      </c>
      <c r="F374" s="18" t="s">
        <v>114</v>
      </c>
      <c r="G374" s="18" t="s">
        <v>21</v>
      </c>
      <c r="H374" s="18" t="str">
        <f>Assumptions!$B$2</f>
        <v>Worst</v>
      </c>
      <c r="I374" s="18">
        <f>_xlfn.XLOOKUP(Assumptions!$B$2,Assumptions!$F$4:$H$4,Assumptions!$F$5:$H$5)</f>
        <v>1200</v>
      </c>
      <c r="J374" s="18">
        <f>_xlfn.XLOOKUP(Assumptions!$B$2,Assumptions!$F$4:$H$4,Assumptions!$F$6:$H$6)</f>
        <v>17</v>
      </c>
      <c r="K374" s="12">
        <f>_xlfn.XLOOKUP(Assumptions!$B$2,Assumptions!$F$4:$H$4,Assumptions!$F$8:$H$8)</f>
        <v>0.1</v>
      </c>
      <c r="L374" s="12">
        <f>_xlfn.XLOOKUP(Assumptions!$B$2,Assumptions!$F$4:$H$4,Assumptions!$F$9:$H$9)</f>
        <v>0.18</v>
      </c>
      <c r="M374" s="18">
        <f>_xlfn.XLOOKUP(Assumptions!$B$2,Assumptions!$F$4:$H$4,Assumptions!$F$10:$H$10)</f>
        <v>18000</v>
      </c>
      <c r="N374" s="12">
        <f>_xlfn.XLOOKUP(Assumptions!$B$2,Assumptions!$F$4:$H$4,Assumptions!$F$11:$H$11)</f>
        <v>0.3</v>
      </c>
      <c r="O374" s="14">
        <f>Final_Table[[#This Row],[Units Sold]]*Final_Table[[#This Row],[Sale Price]]</f>
        <v>20400</v>
      </c>
      <c r="P374" s="14">
        <f>Final_Table[[#This Row],[Gross Revenue]]*(1-Final_Table[[#This Row],[Discount %]])</f>
        <v>18360</v>
      </c>
      <c r="Q374">
        <f>Final_Table[[#This Row],[Net Revenue]]*Final_Table[[#This Row],[Variable Cost %]]</f>
        <v>3304.7999999999997</v>
      </c>
      <c r="R374">
        <f>Final_Table[[#This Row],[Variable Cost]]+Final_Table[[#This Row],[Fixed Monthly Cost]]</f>
        <v>21304.799999999999</v>
      </c>
      <c r="S374" s="5">
        <f>Final_Table[[#This Row],[Net Revenue]]-Final_Table[[#This Row],[Total Cost (COGS)]]</f>
        <v>-2944.7999999999993</v>
      </c>
      <c r="T374">
        <f>Final_Table[[#This Row],[Gross Profit]]*Final_Table[[#This Row],[Tax Rate]]</f>
        <v>-883.43999999999971</v>
      </c>
      <c r="U374" s="5">
        <f>Final_Table[[#This Row],[Gross Profit]]-Final_Table[[#This Row],[Tax]]</f>
        <v>-2061.3599999999997</v>
      </c>
      <c r="V374" s="12">
        <f>Final_Table[[#This Row],[Net Profit]]/Final_Table[[#This Row],[Gross Revenue]]</f>
        <v>-0.10104705882352939</v>
      </c>
    </row>
    <row r="375" spans="1:22">
      <c r="A375" s="18" t="s">
        <v>68</v>
      </c>
      <c r="B375">
        <v>2013</v>
      </c>
      <c r="C375" t="s">
        <v>120</v>
      </c>
      <c r="D375">
        <v>1</v>
      </c>
      <c r="E375" s="18" t="s">
        <v>32</v>
      </c>
      <c r="F375" s="18" t="s">
        <v>114</v>
      </c>
      <c r="G375" s="18" t="s">
        <v>25</v>
      </c>
      <c r="H375" s="18" t="str">
        <f>Assumptions!$B$2</f>
        <v>Worst</v>
      </c>
      <c r="I375" s="18">
        <f>_xlfn.XLOOKUP(Assumptions!$B$2,Assumptions!$F$4:$H$4,Assumptions!$F$5:$H$5)</f>
        <v>1200</v>
      </c>
      <c r="J375" s="18">
        <f>_xlfn.XLOOKUP(Assumptions!$B$2,Assumptions!$F$4:$H$4,Assumptions!$F$6:$H$6)</f>
        <v>17</v>
      </c>
      <c r="K375" s="12">
        <f>_xlfn.XLOOKUP(Assumptions!$B$2,Assumptions!$F$4:$H$4,Assumptions!$F$8:$H$8)</f>
        <v>0.1</v>
      </c>
      <c r="L375" s="12">
        <f>_xlfn.XLOOKUP(Assumptions!$B$2,Assumptions!$F$4:$H$4,Assumptions!$F$9:$H$9)</f>
        <v>0.18</v>
      </c>
      <c r="M375" s="18">
        <f>_xlfn.XLOOKUP(Assumptions!$B$2,Assumptions!$F$4:$H$4,Assumptions!$F$10:$H$10)</f>
        <v>18000</v>
      </c>
      <c r="N375" s="12">
        <f>_xlfn.XLOOKUP(Assumptions!$B$2,Assumptions!$F$4:$H$4,Assumptions!$F$11:$H$11)</f>
        <v>0.3</v>
      </c>
      <c r="O375" s="14">
        <f>Final_Table[[#This Row],[Units Sold]]*Final_Table[[#This Row],[Sale Price]]</f>
        <v>20400</v>
      </c>
      <c r="P375" s="14">
        <f>Final_Table[[#This Row],[Gross Revenue]]*(1-Final_Table[[#This Row],[Discount %]])</f>
        <v>18360</v>
      </c>
      <c r="Q375">
        <f>Final_Table[[#This Row],[Net Revenue]]*Final_Table[[#This Row],[Variable Cost %]]</f>
        <v>3304.7999999999997</v>
      </c>
      <c r="R375">
        <f>Final_Table[[#This Row],[Variable Cost]]+Final_Table[[#This Row],[Fixed Monthly Cost]]</f>
        <v>21304.799999999999</v>
      </c>
      <c r="S375" s="5">
        <f>Final_Table[[#This Row],[Net Revenue]]-Final_Table[[#This Row],[Total Cost (COGS)]]</f>
        <v>-2944.7999999999993</v>
      </c>
      <c r="T375">
        <f>Final_Table[[#This Row],[Gross Profit]]*Final_Table[[#This Row],[Tax Rate]]</f>
        <v>-883.43999999999971</v>
      </c>
      <c r="U375" s="5">
        <f>Final_Table[[#This Row],[Gross Profit]]-Final_Table[[#This Row],[Tax]]</f>
        <v>-2061.3599999999997</v>
      </c>
      <c r="V375" s="12">
        <f>Final_Table[[#This Row],[Net Profit]]/Final_Table[[#This Row],[Gross Revenue]]</f>
        <v>-0.10104705882352939</v>
      </c>
    </row>
    <row r="376" spans="1:22">
      <c r="A376" s="18" t="s">
        <v>68</v>
      </c>
      <c r="B376">
        <v>2013</v>
      </c>
      <c r="C376" t="s">
        <v>120</v>
      </c>
      <c r="D376">
        <v>1</v>
      </c>
      <c r="E376" s="18" t="s">
        <v>32</v>
      </c>
      <c r="F376" s="18" t="s">
        <v>114</v>
      </c>
      <c r="G376" s="18" t="s">
        <v>17</v>
      </c>
      <c r="H376" s="18" t="str">
        <f>Assumptions!$B$2</f>
        <v>Worst</v>
      </c>
      <c r="I376" s="18">
        <f>_xlfn.XLOOKUP(Assumptions!$B$2,Assumptions!$F$4:$H$4,Assumptions!$F$5:$H$5)</f>
        <v>1200</v>
      </c>
      <c r="J376" s="18">
        <f>_xlfn.XLOOKUP(Assumptions!$B$2,Assumptions!$F$4:$H$4,Assumptions!$F$6:$H$6)</f>
        <v>17</v>
      </c>
      <c r="K376" s="12">
        <f>_xlfn.XLOOKUP(Assumptions!$B$2,Assumptions!$F$4:$H$4,Assumptions!$F$8:$H$8)</f>
        <v>0.1</v>
      </c>
      <c r="L376" s="12">
        <f>_xlfn.XLOOKUP(Assumptions!$B$2,Assumptions!$F$4:$H$4,Assumptions!$F$9:$H$9)</f>
        <v>0.18</v>
      </c>
      <c r="M376" s="18">
        <f>_xlfn.XLOOKUP(Assumptions!$B$2,Assumptions!$F$4:$H$4,Assumptions!$F$10:$H$10)</f>
        <v>18000</v>
      </c>
      <c r="N376" s="12">
        <f>_xlfn.XLOOKUP(Assumptions!$B$2,Assumptions!$F$4:$H$4,Assumptions!$F$11:$H$11)</f>
        <v>0.3</v>
      </c>
      <c r="O376" s="14">
        <f>Final_Table[[#This Row],[Units Sold]]*Final_Table[[#This Row],[Sale Price]]</f>
        <v>20400</v>
      </c>
      <c r="P376" s="14">
        <f>Final_Table[[#This Row],[Gross Revenue]]*(1-Final_Table[[#This Row],[Discount %]])</f>
        <v>18360</v>
      </c>
      <c r="Q376">
        <f>Final_Table[[#This Row],[Net Revenue]]*Final_Table[[#This Row],[Variable Cost %]]</f>
        <v>3304.7999999999997</v>
      </c>
      <c r="R376">
        <f>Final_Table[[#This Row],[Variable Cost]]+Final_Table[[#This Row],[Fixed Monthly Cost]]</f>
        <v>21304.799999999999</v>
      </c>
      <c r="S376" s="5">
        <f>Final_Table[[#This Row],[Net Revenue]]-Final_Table[[#This Row],[Total Cost (COGS)]]</f>
        <v>-2944.7999999999993</v>
      </c>
      <c r="T376">
        <f>Final_Table[[#This Row],[Gross Profit]]*Final_Table[[#This Row],[Tax Rate]]</f>
        <v>-883.43999999999971</v>
      </c>
      <c r="U376" s="5">
        <f>Final_Table[[#This Row],[Gross Profit]]-Final_Table[[#This Row],[Tax]]</f>
        <v>-2061.3599999999997</v>
      </c>
      <c r="V376" s="12">
        <f>Final_Table[[#This Row],[Net Profit]]/Final_Table[[#This Row],[Gross Revenue]]</f>
        <v>-0.10104705882352939</v>
      </c>
    </row>
    <row r="377" spans="1:22">
      <c r="A377" s="18" t="s">
        <v>69</v>
      </c>
      <c r="B377">
        <v>2013</v>
      </c>
      <c r="C377" t="s">
        <v>121</v>
      </c>
      <c r="D377">
        <v>1</v>
      </c>
      <c r="E377" s="18" t="s">
        <v>30</v>
      </c>
      <c r="F377" s="18" t="s">
        <v>80</v>
      </c>
      <c r="G377" s="18" t="s">
        <v>36</v>
      </c>
      <c r="H377" s="18" t="str">
        <f>Assumptions!$B$2</f>
        <v>Worst</v>
      </c>
      <c r="I377" s="18">
        <f>_xlfn.XLOOKUP(Assumptions!$B$2,Assumptions!$F$4:$H$4,Assumptions!$F$5:$H$5)</f>
        <v>1200</v>
      </c>
      <c r="J377" s="18">
        <f>_xlfn.XLOOKUP(Assumptions!$B$2,Assumptions!$F$4:$H$4,Assumptions!$F$6:$H$6)</f>
        <v>17</v>
      </c>
      <c r="K377" s="12">
        <f>_xlfn.XLOOKUP(Assumptions!$B$2,Assumptions!$F$4:$H$4,Assumptions!$F$8:$H$8)</f>
        <v>0.1</v>
      </c>
      <c r="L377" s="12">
        <f>_xlfn.XLOOKUP(Assumptions!$B$2,Assumptions!$F$4:$H$4,Assumptions!$F$9:$H$9)</f>
        <v>0.18</v>
      </c>
      <c r="M377" s="18">
        <f>_xlfn.XLOOKUP(Assumptions!$B$2,Assumptions!$F$4:$H$4,Assumptions!$F$10:$H$10)</f>
        <v>18000</v>
      </c>
      <c r="N377" s="12">
        <f>_xlfn.XLOOKUP(Assumptions!$B$2,Assumptions!$F$4:$H$4,Assumptions!$F$11:$H$11)</f>
        <v>0.3</v>
      </c>
      <c r="O377" s="14">
        <f>Final_Table[[#This Row],[Units Sold]]*Final_Table[[#This Row],[Sale Price]]</f>
        <v>20400</v>
      </c>
      <c r="P377" s="14">
        <f>Final_Table[[#This Row],[Gross Revenue]]*(1-Final_Table[[#This Row],[Discount %]])</f>
        <v>18360</v>
      </c>
      <c r="Q377">
        <f>Final_Table[[#This Row],[Net Revenue]]*Final_Table[[#This Row],[Variable Cost %]]</f>
        <v>3304.7999999999997</v>
      </c>
      <c r="R377">
        <f>Final_Table[[#This Row],[Variable Cost]]+Final_Table[[#This Row],[Fixed Monthly Cost]]</f>
        <v>21304.799999999999</v>
      </c>
      <c r="S377" s="5">
        <f>Final_Table[[#This Row],[Net Revenue]]-Final_Table[[#This Row],[Total Cost (COGS)]]</f>
        <v>-2944.7999999999993</v>
      </c>
      <c r="T377">
        <f>Final_Table[[#This Row],[Gross Profit]]*Final_Table[[#This Row],[Tax Rate]]</f>
        <v>-883.43999999999971</v>
      </c>
      <c r="U377" s="5">
        <f>Final_Table[[#This Row],[Gross Profit]]-Final_Table[[#This Row],[Tax]]</f>
        <v>-2061.3599999999997</v>
      </c>
      <c r="V377" s="12">
        <f>Final_Table[[#This Row],[Net Profit]]/Final_Table[[#This Row],[Gross Revenue]]</f>
        <v>-0.10104705882352939</v>
      </c>
    </row>
    <row r="378" spans="1:22">
      <c r="A378" s="18" t="s">
        <v>69</v>
      </c>
      <c r="B378">
        <v>2013</v>
      </c>
      <c r="C378" t="s">
        <v>121</v>
      </c>
      <c r="D378">
        <v>1</v>
      </c>
      <c r="E378" s="18" t="s">
        <v>30</v>
      </c>
      <c r="F378" s="18" t="s">
        <v>80</v>
      </c>
      <c r="G378" s="18" t="s">
        <v>23</v>
      </c>
      <c r="H378" s="18" t="str">
        <f>Assumptions!$B$2</f>
        <v>Worst</v>
      </c>
      <c r="I378" s="18">
        <f>_xlfn.XLOOKUP(Assumptions!$B$2,Assumptions!$F$4:$H$4,Assumptions!$F$5:$H$5)</f>
        <v>1200</v>
      </c>
      <c r="J378" s="18">
        <f>_xlfn.XLOOKUP(Assumptions!$B$2,Assumptions!$F$4:$H$4,Assumptions!$F$6:$H$6)</f>
        <v>17</v>
      </c>
      <c r="K378" s="12">
        <f>_xlfn.XLOOKUP(Assumptions!$B$2,Assumptions!$F$4:$H$4,Assumptions!$F$8:$H$8)</f>
        <v>0.1</v>
      </c>
      <c r="L378" s="12">
        <f>_xlfn.XLOOKUP(Assumptions!$B$2,Assumptions!$F$4:$H$4,Assumptions!$F$9:$H$9)</f>
        <v>0.18</v>
      </c>
      <c r="M378" s="18">
        <f>_xlfn.XLOOKUP(Assumptions!$B$2,Assumptions!$F$4:$H$4,Assumptions!$F$10:$H$10)</f>
        <v>18000</v>
      </c>
      <c r="N378" s="12">
        <f>_xlfn.XLOOKUP(Assumptions!$B$2,Assumptions!$F$4:$H$4,Assumptions!$F$11:$H$11)</f>
        <v>0.3</v>
      </c>
      <c r="O378" s="14">
        <f>Final_Table[[#This Row],[Units Sold]]*Final_Table[[#This Row],[Sale Price]]</f>
        <v>20400</v>
      </c>
      <c r="P378" s="14">
        <f>Final_Table[[#This Row],[Gross Revenue]]*(1-Final_Table[[#This Row],[Discount %]])</f>
        <v>18360</v>
      </c>
      <c r="Q378">
        <f>Final_Table[[#This Row],[Net Revenue]]*Final_Table[[#This Row],[Variable Cost %]]</f>
        <v>3304.7999999999997</v>
      </c>
      <c r="R378">
        <f>Final_Table[[#This Row],[Variable Cost]]+Final_Table[[#This Row],[Fixed Monthly Cost]]</f>
        <v>21304.799999999999</v>
      </c>
      <c r="S378" s="5">
        <f>Final_Table[[#This Row],[Net Revenue]]-Final_Table[[#This Row],[Total Cost (COGS)]]</f>
        <v>-2944.7999999999993</v>
      </c>
      <c r="T378">
        <f>Final_Table[[#This Row],[Gross Profit]]*Final_Table[[#This Row],[Tax Rate]]</f>
        <v>-883.43999999999971</v>
      </c>
      <c r="U378" s="5">
        <f>Final_Table[[#This Row],[Gross Profit]]-Final_Table[[#This Row],[Tax]]</f>
        <v>-2061.3599999999997</v>
      </c>
      <c r="V378" s="12">
        <f>Final_Table[[#This Row],[Net Profit]]/Final_Table[[#This Row],[Gross Revenue]]</f>
        <v>-0.10104705882352939</v>
      </c>
    </row>
    <row r="379" spans="1:22">
      <c r="A379" s="18" t="s">
        <v>69</v>
      </c>
      <c r="B379">
        <v>2013</v>
      </c>
      <c r="C379" t="s">
        <v>121</v>
      </c>
      <c r="D379">
        <v>1</v>
      </c>
      <c r="E379" s="18" t="s">
        <v>30</v>
      </c>
      <c r="F379" s="18" t="s">
        <v>80</v>
      </c>
      <c r="G379" s="18" t="s">
        <v>21</v>
      </c>
      <c r="H379" s="18" t="str">
        <f>Assumptions!$B$2</f>
        <v>Worst</v>
      </c>
      <c r="I379" s="18">
        <f>_xlfn.XLOOKUP(Assumptions!$B$2,Assumptions!$F$4:$H$4,Assumptions!$F$5:$H$5)</f>
        <v>1200</v>
      </c>
      <c r="J379" s="18">
        <f>_xlfn.XLOOKUP(Assumptions!$B$2,Assumptions!$F$4:$H$4,Assumptions!$F$6:$H$6)</f>
        <v>17</v>
      </c>
      <c r="K379" s="12">
        <f>_xlfn.XLOOKUP(Assumptions!$B$2,Assumptions!$F$4:$H$4,Assumptions!$F$8:$H$8)</f>
        <v>0.1</v>
      </c>
      <c r="L379" s="12">
        <f>_xlfn.XLOOKUP(Assumptions!$B$2,Assumptions!$F$4:$H$4,Assumptions!$F$9:$H$9)</f>
        <v>0.18</v>
      </c>
      <c r="M379" s="18">
        <f>_xlfn.XLOOKUP(Assumptions!$B$2,Assumptions!$F$4:$H$4,Assumptions!$F$10:$H$10)</f>
        <v>18000</v>
      </c>
      <c r="N379" s="12">
        <f>_xlfn.XLOOKUP(Assumptions!$B$2,Assumptions!$F$4:$H$4,Assumptions!$F$11:$H$11)</f>
        <v>0.3</v>
      </c>
      <c r="O379" s="14">
        <f>Final_Table[[#This Row],[Units Sold]]*Final_Table[[#This Row],[Sale Price]]</f>
        <v>20400</v>
      </c>
      <c r="P379" s="14">
        <f>Final_Table[[#This Row],[Gross Revenue]]*(1-Final_Table[[#This Row],[Discount %]])</f>
        <v>18360</v>
      </c>
      <c r="Q379">
        <f>Final_Table[[#This Row],[Net Revenue]]*Final_Table[[#This Row],[Variable Cost %]]</f>
        <v>3304.7999999999997</v>
      </c>
      <c r="R379">
        <f>Final_Table[[#This Row],[Variable Cost]]+Final_Table[[#This Row],[Fixed Monthly Cost]]</f>
        <v>21304.799999999999</v>
      </c>
      <c r="S379" s="5">
        <f>Final_Table[[#This Row],[Net Revenue]]-Final_Table[[#This Row],[Total Cost (COGS)]]</f>
        <v>-2944.7999999999993</v>
      </c>
      <c r="T379">
        <f>Final_Table[[#This Row],[Gross Profit]]*Final_Table[[#This Row],[Tax Rate]]</f>
        <v>-883.43999999999971</v>
      </c>
      <c r="U379" s="5">
        <f>Final_Table[[#This Row],[Gross Profit]]-Final_Table[[#This Row],[Tax]]</f>
        <v>-2061.3599999999997</v>
      </c>
      <c r="V379" s="12">
        <f>Final_Table[[#This Row],[Net Profit]]/Final_Table[[#This Row],[Gross Revenue]]</f>
        <v>-0.10104705882352939</v>
      </c>
    </row>
    <row r="380" spans="1:22">
      <c r="A380" s="18" t="s">
        <v>69</v>
      </c>
      <c r="B380">
        <v>2013</v>
      </c>
      <c r="C380" t="s">
        <v>121</v>
      </c>
      <c r="D380">
        <v>1</v>
      </c>
      <c r="E380" s="18" t="s">
        <v>30</v>
      </c>
      <c r="F380" s="18" t="s">
        <v>80</v>
      </c>
      <c r="G380" s="18" t="s">
        <v>25</v>
      </c>
      <c r="H380" s="18" t="str">
        <f>Assumptions!$B$2</f>
        <v>Worst</v>
      </c>
      <c r="I380" s="18">
        <f>_xlfn.XLOOKUP(Assumptions!$B$2,Assumptions!$F$4:$H$4,Assumptions!$F$5:$H$5)</f>
        <v>1200</v>
      </c>
      <c r="J380" s="18">
        <f>_xlfn.XLOOKUP(Assumptions!$B$2,Assumptions!$F$4:$H$4,Assumptions!$F$6:$H$6)</f>
        <v>17</v>
      </c>
      <c r="K380" s="12">
        <f>_xlfn.XLOOKUP(Assumptions!$B$2,Assumptions!$F$4:$H$4,Assumptions!$F$8:$H$8)</f>
        <v>0.1</v>
      </c>
      <c r="L380" s="12">
        <f>_xlfn.XLOOKUP(Assumptions!$B$2,Assumptions!$F$4:$H$4,Assumptions!$F$9:$H$9)</f>
        <v>0.18</v>
      </c>
      <c r="M380" s="18">
        <f>_xlfn.XLOOKUP(Assumptions!$B$2,Assumptions!$F$4:$H$4,Assumptions!$F$10:$H$10)</f>
        <v>18000</v>
      </c>
      <c r="N380" s="12">
        <f>_xlfn.XLOOKUP(Assumptions!$B$2,Assumptions!$F$4:$H$4,Assumptions!$F$11:$H$11)</f>
        <v>0.3</v>
      </c>
      <c r="O380" s="14">
        <f>Final_Table[[#This Row],[Units Sold]]*Final_Table[[#This Row],[Sale Price]]</f>
        <v>20400</v>
      </c>
      <c r="P380" s="14">
        <f>Final_Table[[#This Row],[Gross Revenue]]*(1-Final_Table[[#This Row],[Discount %]])</f>
        <v>18360</v>
      </c>
      <c r="Q380">
        <f>Final_Table[[#This Row],[Net Revenue]]*Final_Table[[#This Row],[Variable Cost %]]</f>
        <v>3304.7999999999997</v>
      </c>
      <c r="R380">
        <f>Final_Table[[#This Row],[Variable Cost]]+Final_Table[[#This Row],[Fixed Monthly Cost]]</f>
        <v>21304.799999999999</v>
      </c>
      <c r="S380" s="5">
        <f>Final_Table[[#This Row],[Net Revenue]]-Final_Table[[#This Row],[Total Cost (COGS)]]</f>
        <v>-2944.7999999999993</v>
      </c>
      <c r="T380">
        <f>Final_Table[[#This Row],[Gross Profit]]*Final_Table[[#This Row],[Tax Rate]]</f>
        <v>-883.43999999999971</v>
      </c>
      <c r="U380" s="5">
        <f>Final_Table[[#This Row],[Gross Profit]]-Final_Table[[#This Row],[Tax]]</f>
        <v>-2061.3599999999997</v>
      </c>
      <c r="V380" s="12">
        <f>Final_Table[[#This Row],[Net Profit]]/Final_Table[[#This Row],[Gross Revenue]]</f>
        <v>-0.10104705882352939</v>
      </c>
    </row>
    <row r="381" spans="1:22">
      <c r="A381" s="18" t="s">
        <v>69</v>
      </c>
      <c r="B381">
        <v>2013</v>
      </c>
      <c r="C381" t="s">
        <v>121</v>
      </c>
      <c r="D381">
        <v>1</v>
      </c>
      <c r="E381" s="18" t="s">
        <v>30</v>
      </c>
      <c r="F381" s="18" t="s">
        <v>80</v>
      </c>
      <c r="G381" s="18" t="s">
        <v>17</v>
      </c>
      <c r="H381" s="18" t="str">
        <f>Assumptions!$B$2</f>
        <v>Worst</v>
      </c>
      <c r="I381" s="18">
        <f>_xlfn.XLOOKUP(Assumptions!$B$2,Assumptions!$F$4:$H$4,Assumptions!$F$5:$H$5)</f>
        <v>1200</v>
      </c>
      <c r="J381" s="18">
        <f>_xlfn.XLOOKUP(Assumptions!$B$2,Assumptions!$F$4:$H$4,Assumptions!$F$6:$H$6)</f>
        <v>17</v>
      </c>
      <c r="K381" s="12">
        <f>_xlfn.XLOOKUP(Assumptions!$B$2,Assumptions!$F$4:$H$4,Assumptions!$F$8:$H$8)</f>
        <v>0.1</v>
      </c>
      <c r="L381" s="12">
        <f>_xlfn.XLOOKUP(Assumptions!$B$2,Assumptions!$F$4:$H$4,Assumptions!$F$9:$H$9)</f>
        <v>0.18</v>
      </c>
      <c r="M381" s="18">
        <f>_xlfn.XLOOKUP(Assumptions!$B$2,Assumptions!$F$4:$H$4,Assumptions!$F$10:$H$10)</f>
        <v>18000</v>
      </c>
      <c r="N381" s="12">
        <f>_xlfn.XLOOKUP(Assumptions!$B$2,Assumptions!$F$4:$H$4,Assumptions!$F$11:$H$11)</f>
        <v>0.3</v>
      </c>
      <c r="O381" s="14">
        <f>Final_Table[[#This Row],[Units Sold]]*Final_Table[[#This Row],[Sale Price]]</f>
        <v>20400</v>
      </c>
      <c r="P381" s="14">
        <f>Final_Table[[#This Row],[Gross Revenue]]*(1-Final_Table[[#This Row],[Discount %]])</f>
        <v>18360</v>
      </c>
      <c r="Q381">
        <f>Final_Table[[#This Row],[Net Revenue]]*Final_Table[[#This Row],[Variable Cost %]]</f>
        <v>3304.7999999999997</v>
      </c>
      <c r="R381">
        <f>Final_Table[[#This Row],[Variable Cost]]+Final_Table[[#This Row],[Fixed Monthly Cost]]</f>
        <v>21304.799999999999</v>
      </c>
      <c r="S381" s="5">
        <f>Final_Table[[#This Row],[Net Revenue]]-Final_Table[[#This Row],[Total Cost (COGS)]]</f>
        <v>-2944.7999999999993</v>
      </c>
      <c r="T381">
        <f>Final_Table[[#This Row],[Gross Profit]]*Final_Table[[#This Row],[Tax Rate]]</f>
        <v>-883.43999999999971</v>
      </c>
      <c r="U381" s="5">
        <f>Final_Table[[#This Row],[Gross Profit]]-Final_Table[[#This Row],[Tax]]</f>
        <v>-2061.3599999999997</v>
      </c>
      <c r="V381" s="12">
        <f>Final_Table[[#This Row],[Net Profit]]/Final_Table[[#This Row],[Gross Revenue]]</f>
        <v>-0.10104705882352939</v>
      </c>
    </row>
    <row r="382" spans="1:22">
      <c r="A382" s="18" t="s">
        <v>69</v>
      </c>
      <c r="B382">
        <v>2013</v>
      </c>
      <c r="C382" t="s">
        <v>121</v>
      </c>
      <c r="D382">
        <v>1</v>
      </c>
      <c r="E382" s="18" t="s">
        <v>30</v>
      </c>
      <c r="F382" s="18" t="s">
        <v>108</v>
      </c>
      <c r="G382" s="18" t="s">
        <v>36</v>
      </c>
      <c r="H382" s="18" t="str">
        <f>Assumptions!$B$2</f>
        <v>Worst</v>
      </c>
      <c r="I382" s="18">
        <f>_xlfn.XLOOKUP(Assumptions!$B$2,Assumptions!$F$4:$H$4,Assumptions!$F$5:$H$5)</f>
        <v>1200</v>
      </c>
      <c r="J382" s="18">
        <f>_xlfn.XLOOKUP(Assumptions!$B$2,Assumptions!$F$4:$H$4,Assumptions!$F$6:$H$6)</f>
        <v>17</v>
      </c>
      <c r="K382" s="12">
        <f>_xlfn.XLOOKUP(Assumptions!$B$2,Assumptions!$F$4:$H$4,Assumptions!$F$8:$H$8)</f>
        <v>0.1</v>
      </c>
      <c r="L382" s="12">
        <f>_xlfn.XLOOKUP(Assumptions!$B$2,Assumptions!$F$4:$H$4,Assumptions!$F$9:$H$9)</f>
        <v>0.18</v>
      </c>
      <c r="M382" s="18">
        <f>_xlfn.XLOOKUP(Assumptions!$B$2,Assumptions!$F$4:$H$4,Assumptions!$F$10:$H$10)</f>
        <v>18000</v>
      </c>
      <c r="N382" s="12">
        <f>_xlfn.XLOOKUP(Assumptions!$B$2,Assumptions!$F$4:$H$4,Assumptions!$F$11:$H$11)</f>
        <v>0.3</v>
      </c>
      <c r="O382" s="14">
        <f>Final_Table[[#This Row],[Units Sold]]*Final_Table[[#This Row],[Sale Price]]</f>
        <v>20400</v>
      </c>
      <c r="P382" s="14">
        <f>Final_Table[[#This Row],[Gross Revenue]]*(1-Final_Table[[#This Row],[Discount %]])</f>
        <v>18360</v>
      </c>
      <c r="Q382">
        <f>Final_Table[[#This Row],[Net Revenue]]*Final_Table[[#This Row],[Variable Cost %]]</f>
        <v>3304.7999999999997</v>
      </c>
      <c r="R382">
        <f>Final_Table[[#This Row],[Variable Cost]]+Final_Table[[#This Row],[Fixed Monthly Cost]]</f>
        <v>21304.799999999999</v>
      </c>
      <c r="S382" s="5">
        <f>Final_Table[[#This Row],[Net Revenue]]-Final_Table[[#This Row],[Total Cost (COGS)]]</f>
        <v>-2944.7999999999993</v>
      </c>
      <c r="T382">
        <f>Final_Table[[#This Row],[Gross Profit]]*Final_Table[[#This Row],[Tax Rate]]</f>
        <v>-883.43999999999971</v>
      </c>
      <c r="U382" s="5">
        <f>Final_Table[[#This Row],[Gross Profit]]-Final_Table[[#This Row],[Tax]]</f>
        <v>-2061.3599999999997</v>
      </c>
      <c r="V382" s="12">
        <f>Final_Table[[#This Row],[Net Profit]]/Final_Table[[#This Row],[Gross Revenue]]</f>
        <v>-0.10104705882352939</v>
      </c>
    </row>
    <row r="383" spans="1:22">
      <c r="A383" s="18" t="s">
        <v>69</v>
      </c>
      <c r="B383">
        <v>2013</v>
      </c>
      <c r="C383" t="s">
        <v>121</v>
      </c>
      <c r="D383">
        <v>1</v>
      </c>
      <c r="E383" s="18" t="s">
        <v>30</v>
      </c>
      <c r="F383" s="18" t="s">
        <v>108</v>
      </c>
      <c r="G383" s="18" t="s">
        <v>23</v>
      </c>
      <c r="H383" s="18" t="str">
        <f>Assumptions!$B$2</f>
        <v>Worst</v>
      </c>
      <c r="I383" s="18">
        <f>_xlfn.XLOOKUP(Assumptions!$B$2,Assumptions!$F$4:$H$4,Assumptions!$F$5:$H$5)</f>
        <v>1200</v>
      </c>
      <c r="J383" s="18">
        <f>_xlfn.XLOOKUP(Assumptions!$B$2,Assumptions!$F$4:$H$4,Assumptions!$F$6:$H$6)</f>
        <v>17</v>
      </c>
      <c r="K383" s="12">
        <f>_xlfn.XLOOKUP(Assumptions!$B$2,Assumptions!$F$4:$H$4,Assumptions!$F$8:$H$8)</f>
        <v>0.1</v>
      </c>
      <c r="L383" s="12">
        <f>_xlfn.XLOOKUP(Assumptions!$B$2,Assumptions!$F$4:$H$4,Assumptions!$F$9:$H$9)</f>
        <v>0.18</v>
      </c>
      <c r="M383" s="18">
        <f>_xlfn.XLOOKUP(Assumptions!$B$2,Assumptions!$F$4:$H$4,Assumptions!$F$10:$H$10)</f>
        <v>18000</v>
      </c>
      <c r="N383" s="12">
        <f>_xlfn.XLOOKUP(Assumptions!$B$2,Assumptions!$F$4:$H$4,Assumptions!$F$11:$H$11)</f>
        <v>0.3</v>
      </c>
      <c r="O383" s="14">
        <f>Final_Table[[#This Row],[Units Sold]]*Final_Table[[#This Row],[Sale Price]]</f>
        <v>20400</v>
      </c>
      <c r="P383" s="14">
        <f>Final_Table[[#This Row],[Gross Revenue]]*(1-Final_Table[[#This Row],[Discount %]])</f>
        <v>18360</v>
      </c>
      <c r="Q383">
        <f>Final_Table[[#This Row],[Net Revenue]]*Final_Table[[#This Row],[Variable Cost %]]</f>
        <v>3304.7999999999997</v>
      </c>
      <c r="R383">
        <f>Final_Table[[#This Row],[Variable Cost]]+Final_Table[[#This Row],[Fixed Monthly Cost]]</f>
        <v>21304.799999999999</v>
      </c>
      <c r="S383" s="5">
        <f>Final_Table[[#This Row],[Net Revenue]]-Final_Table[[#This Row],[Total Cost (COGS)]]</f>
        <v>-2944.7999999999993</v>
      </c>
      <c r="T383">
        <f>Final_Table[[#This Row],[Gross Profit]]*Final_Table[[#This Row],[Tax Rate]]</f>
        <v>-883.43999999999971</v>
      </c>
      <c r="U383" s="5">
        <f>Final_Table[[#This Row],[Gross Profit]]-Final_Table[[#This Row],[Tax]]</f>
        <v>-2061.3599999999997</v>
      </c>
      <c r="V383" s="12">
        <f>Final_Table[[#This Row],[Net Profit]]/Final_Table[[#This Row],[Gross Revenue]]</f>
        <v>-0.10104705882352939</v>
      </c>
    </row>
    <row r="384" spans="1:22">
      <c r="A384" s="18" t="s">
        <v>69</v>
      </c>
      <c r="B384">
        <v>2013</v>
      </c>
      <c r="C384" t="s">
        <v>121</v>
      </c>
      <c r="D384">
        <v>1</v>
      </c>
      <c r="E384" s="18" t="s">
        <v>30</v>
      </c>
      <c r="F384" s="18" t="s">
        <v>108</v>
      </c>
      <c r="G384" s="18" t="s">
        <v>21</v>
      </c>
      <c r="H384" s="18" t="str">
        <f>Assumptions!$B$2</f>
        <v>Worst</v>
      </c>
      <c r="I384" s="18">
        <f>_xlfn.XLOOKUP(Assumptions!$B$2,Assumptions!$F$4:$H$4,Assumptions!$F$5:$H$5)</f>
        <v>1200</v>
      </c>
      <c r="J384" s="18">
        <f>_xlfn.XLOOKUP(Assumptions!$B$2,Assumptions!$F$4:$H$4,Assumptions!$F$6:$H$6)</f>
        <v>17</v>
      </c>
      <c r="K384" s="12">
        <f>_xlfn.XLOOKUP(Assumptions!$B$2,Assumptions!$F$4:$H$4,Assumptions!$F$8:$H$8)</f>
        <v>0.1</v>
      </c>
      <c r="L384" s="12">
        <f>_xlfn.XLOOKUP(Assumptions!$B$2,Assumptions!$F$4:$H$4,Assumptions!$F$9:$H$9)</f>
        <v>0.18</v>
      </c>
      <c r="M384" s="18">
        <f>_xlfn.XLOOKUP(Assumptions!$B$2,Assumptions!$F$4:$H$4,Assumptions!$F$10:$H$10)</f>
        <v>18000</v>
      </c>
      <c r="N384" s="12">
        <f>_xlfn.XLOOKUP(Assumptions!$B$2,Assumptions!$F$4:$H$4,Assumptions!$F$11:$H$11)</f>
        <v>0.3</v>
      </c>
      <c r="O384" s="14">
        <f>Final_Table[[#This Row],[Units Sold]]*Final_Table[[#This Row],[Sale Price]]</f>
        <v>20400</v>
      </c>
      <c r="P384" s="14">
        <f>Final_Table[[#This Row],[Gross Revenue]]*(1-Final_Table[[#This Row],[Discount %]])</f>
        <v>18360</v>
      </c>
      <c r="Q384">
        <f>Final_Table[[#This Row],[Net Revenue]]*Final_Table[[#This Row],[Variable Cost %]]</f>
        <v>3304.7999999999997</v>
      </c>
      <c r="R384">
        <f>Final_Table[[#This Row],[Variable Cost]]+Final_Table[[#This Row],[Fixed Monthly Cost]]</f>
        <v>21304.799999999999</v>
      </c>
      <c r="S384" s="5">
        <f>Final_Table[[#This Row],[Net Revenue]]-Final_Table[[#This Row],[Total Cost (COGS)]]</f>
        <v>-2944.7999999999993</v>
      </c>
      <c r="T384">
        <f>Final_Table[[#This Row],[Gross Profit]]*Final_Table[[#This Row],[Tax Rate]]</f>
        <v>-883.43999999999971</v>
      </c>
      <c r="U384" s="5">
        <f>Final_Table[[#This Row],[Gross Profit]]-Final_Table[[#This Row],[Tax]]</f>
        <v>-2061.3599999999997</v>
      </c>
      <c r="V384" s="12">
        <f>Final_Table[[#This Row],[Net Profit]]/Final_Table[[#This Row],[Gross Revenue]]</f>
        <v>-0.10104705882352939</v>
      </c>
    </row>
    <row r="385" spans="1:22">
      <c r="A385" s="18" t="s">
        <v>69</v>
      </c>
      <c r="B385">
        <v>2013</v>
      </c>
      <c r="C385" t="s">
        <v>121</v>
      </c>
      <c r="D385">
        <v>1</v>
      </c>
      <c r="E385" s="18" t="s">
        <v>30</v>
      </c>
      <c r="F385" s="18" t="s">
        <v>108</v>
      </c>
      <c r="G385" s="18" t="s">
        <v>25</v>
      </c>
      <c r="H385" s="18" t="str">
        <f>Assumptions!$B$2</f>
        <v>Worst</v>
      </c>
      <c r="I385" s="18">
        <f>_xlfn.XLOOKUP(Assumptions!$B$2,Assumptions!$F$4:$H$4,Assumptions!$F$5:$H$5)</f>
        <v>1200</v>
      </c>
      <c r="J385" s="18">
        <f>_xlfn.XLOOKUP(Assumptions!$B$2,Assumptions!$F$4:$H$4,Assumptions!$F$6:$H$6)</f>
        <v>17</v>
      </c>
      <c r="K385" s="12">
        <f>_xlfn.XLOOKUP(Assumptions!$B$2,Assumptions!$F$4:$H$4,Assumptions!$F$8:$H$8)</f>
        <v>0.1</v>
      </c>
      <c r="L385" s="12">
        <f>_xlfn.XLOOKUP(Assumptions!$B$2,Assumptions!$F$4:$H$4,Assumptions!$F$9:$H$9)</f>
        <v>0.18</v>
      </c>
      <c r="M385" s="18">
        <f>_xlfn.XLOOKUP(Assumptions!$B$2,Assumptions!$F$4:$H$4,Assumptions!$F$10:$H$10)</f>
        <v>18000</v>
      </c>
      <c r="N385" s="12">
        <f>_xlfn.XLOOKUP(Assumptions!$B$2,Assumptions!$F$4:$H$4,Assumptions!$F$11:$H$11)</f>
        <v>0.3</v>
      </c>
      <c r="O385" s="14">
        <f>Final_Table[[#This Row],[Units Sold]]*Final_Table[[#This Row],[Sale Price]]</f>
        <v>20400</v>
      </c>
      <c r="P385" s="14">
        <f>Final_Table[[#This Row],[Gross Revenue]]*(1-Final_Table[[#This Row],[Discount %]])</f>
        <v>18360</v>
      </c>
      <c r="Q385">
        <f>Final_Table[[#This Row],[Net Revenue]]*Final_Table[[#This Row],[Variable Cost %]]</f>
        <v>3304.7999999999997</v>
      </c>
      <c r="R385">
        <f>Final_Table[[#This Row],[Variable Cost]]+Final_Table[[#This Row],[Fixed Monthly Cost]]</f>
        <v>21304.799999999999</v>
      </c>
      <c r="S385" s="5">
        <f>Final_Table[[#This Row],[Net Revenue]]-Final_Table[[#This Row],[Total Cost (COGS)]]</f>
        <v>-2944.7999999999993</v>
      </c>
      <c r="T385">
        <f>Final_Table[[#This Row],[Gross Profit]]*Final_Table[[#This Row],[Tax Rate]]</f>
        <v>-883.43999999999971</v>
      </c>
      <c r="U385" s="5">
        <f>Final_Table[[#This Row],[Gross Profit]]-Final_Table[[#This Row],[Tax]]</f>
        <v>-2061.3599999999997</v>
      </c>
      <c r="V385" s="12">
        <f>Final_Table[[#This Row],[Net Profit]]/Final_Table[[#This Row],[Gross Revenue]]</f>
        <v>-0.10104705882352939</v>
      </c>
    </row>
    <row r="386" spans="1:22">
      <c r="A386" s="18" t="s">
        <v>69</v>
      </c>
      <c r="B386">
        <v>2013</v>
      </c>
      <c r="C386" t="s">
        <v>121</v>
      </c>
      <c r="D386">
        <v>1</v>
      </c>
      <c r="E386" s="18" t="s">
        <v>30</v>
      </c>
      <c r="F386" s="18" t="s">
        <v>108</v>
      </c>
      <c r="G386" s="18" t="s">
        <v>17</v>
      </c>
      <c r="H386" s="18" t="str">
        <f>Assumptions!$B$2</f>
        <v>Worst</v>
      </c>
      <c r="I386" s="18">
        <f>_xlfn.XLOOKUP(Assumptions!$B$2,Assumptions!$F$4:$H$4,Assumptions!$F$5:$H$5)</f>
        <v>1200</v>
      </c>
      <c r="J386" s="18">
        <f>_xlfn.XLOOKUP(Assumptions!$B$2,Assumptions!$F$4:$H$4,Assumptions!$F$6:$H$6)</f>
        <v>17</v>
      </c>
      <c r="K386" s="12">
        <f>_xlfn.XLOOKUP(Assumptions!$B$2,Assumptions!$F$4:$H$4,Assumptions!$F$8:$H$8)</f>
        <v>0.1</v>
      </c>
      <c r="L386" s="12">
        <f>_xlfn.XLOOKUP(Assumptions!$B$2,Assumptions!$F$4:$H$4,Assumptions!$F$9:$H$9)</f>
        <v>0.18</v>
      </c>
      <c r="M386" s="18">
        <f>_xlfn.XLOOKUP(Assumptions!$B$2,Assumptions!$F$4:$H$4,Assumptions!$F$10:$H$10)</f>
        <v>18000</v>
      </c>
      <c r="N386" s="12">
        <f>_xlfn.XLOOKUP(Assumptions!$B$2,Assumptions!$F$4:$H$4,Assumptions!$F$11:$H$11)</f>
        <v>0.3</v>
      </c>
      <c r="O386" s="14">
        <f>Final_Table[[#This Row],[Units Sold]]*Final_Table[[#This Row],[Sale Price]]</f>
        <v>20400</v>
      </c>
      <c r="P386" s="14">
        <f>Final_Table[[#This Row],[Gross Revenue]]*(1-Final_Table[[#This Row],[Discount %]])</f>
        <v>18360</v>
      </c>
      <c r="Q386">
        <f>Final_Table[[#This Row],[Net Revenue]]*Final_Table[[#This Row],[Variable Cost %]]</f>
        <v>3304.7999999999997</v>
      </c>
      <c r="R386">
        <f>Final_Table[[#This Row],[Variable Cost]]+Final_Table[[#This Row],[Fixed Monthly Cost]]</f>
        <v>21304.799999999999</v>
      </c>
      <c r="S386" s="5">
        <f>Final_Table[[#This Row],[Net Revenue]]-Final_Table[[#This Row],[Total Cost (COGS)]]</f>
        <v>-2944.7999999999993</v>
      </c>
      <c r="T386">
        <f>Final_Table[[#This Row],[Gross Profit]]*Final_Table[[#This Row],[Tax Rate]]</f>
        <v>-883.43999999999971</v>
      </c>
      <c r="U386" s="5">
        <f>Final_Table[[#This Row],[Gross Profit]]-Final_Table[[#This Row],[Tax]]</f>
        <v>-2061.3599999999997</v>
      </c>
      <c r="V386" s="12">
        <f>Final_Table[[#This Row],[Net Profit]]/Final_Table[[#This Row],[Gross Revenue]]</f>
        <v>-0.10104705882352939</v>
      </c>
    </row>
    <row r="387" spans="1:22">
      <c r="A387" s="18" t="s">
        <v>69</v>
      </c>
      <c r="B387">
        <v>2013</v>
      </c>
      <c r="C387" t="s">
        <v>121</v>
      </c>
      <c r="D387">
        <v>1</v>
      </c>
      <c r="E387" s="18" t="s">
        <v>30</v>
      </c>
      <c r="F387" s="18" t="s">
        <v>112</v>
      </c>
      <c r="G387" s="18" t="s">
        <v>36</v>
      </c>
      <c r="H387" s="18" t="str">
        <f>Assumptions!$B$2</f>
        <v>Worst</v>
      </c>
      <c r="I387" s="18">
        <f>_xlfn.XLOOKUP(Assumptions!$B$2,Assumptions!$F$4:$H$4,Assumptions!$F$5:$H$5)</f>
        <v>1200</v>
      </c>
      <c r="J387" s="18">
        <f>_xlfn.XLOOKUP(Assumptions!$B$2,Assumptions!$F$4:$H$4,Assumptions!$F$6:$H$6)</f>
        <v>17</v>
      </c>
      <c r="K387" s="12">
        <f>_xlfn.XLOOKUP(Assumptions!$B$2,Assumptions!$F$4:$H$4,Assumptions!$F$8:$H$8)</f>
        <v>0.1</v>
      </c>
      <c r="L387" s="12">
        <f>_xlfn.XLOOKUP(Assumptions!$B$2,Assumptions!$F$4:$H$4,Assumptions!$F$9:$H$9)</f>
        <v>0.18</v>
      </c>
      <c r="M387" s="18">
        <f>_xlfn.XLOOKUP(Assumptions!$B$2,Assumptions!$F$4:$H$4,Assumptions!$F$10:$H$10)</f>
        <v>18000</v>
      </c>
      <c r="N387" s="12">
        <f>_xlfn.XLOOKUP(Assumptions!$B$2,Assumptions!$F$4:$H$4,Assumptions!$F$11:$H$11)</f>
        <v>0.3</v>
      </c>
      <c r="O387" s="14">
        <f>Final_Table[[#This Row],[Units Sold]]*Final_Table[[#This Row],[Sale Price]]</f>
        <v>20400</v>
      </c>
      <c r="P387" s="14">
        <f>Final_Table[[#This Row],[Gross Revenue]]*(1-Final_Table[[#This Row],[Discount %]])</f>
        <v>18360</v>
      </c>
      <c r="Q387">
        <f>Final_Table[[#This Row],[Net Revenue]]*Final_Table[[#This Row],[Variable Cost %]]</f>
        <v>3304.7999999999997</v>
      </c>
      <c r="R387">
        <f>Final_Table[[#This Row],[Variable Cost]]+Final_Table[[#This Row],[Fixed Monthly Cost]]</f>
        <v>21304.799999999999</v>
      </c>
      <c r="S387" s="5">
        <f>Final_Table[[#This Row],[Net Revenue]]-Final_Table[[#This Row],[Total Cost (COGS)]]</f>
        <v>-2944.7999999999993</v>
      </c>
      <c r="T387">
        <f>Final_Table[[#This Row],[Gross Profit]]*Final_Table[[#This Row],[Tax Rate]]</f>
        <v>-883.43999999999971</v>
      </c>
      <c r="U387" s="5">
        <f>Final_Table[[#This Row],[Gross Profit]]-Final_Table[[#This Row],[Tax]]</f>
        <v>-2061.3599999999997</v>
      </c>
      <c r="V387" s="12">
        <f>Final_Table[[#This Row],[Net Profit]]/Final_Table[[#This Row],[Gross Revenue]]</f>
        <v>-0.10104705882352939</v>
      </c>
    </row>
    <row r="388" spans="1:22">
      <c r="A388" s="18" t="s">
        <v>69</v>
      </c>
      <c r="B388">
        <v>2013</v>
      </c>
      <c r="C388" t="s">
        <v>121</v>
      </c>
      <c r="D388">
        <v>1</v>
      </c>
      <c r="E388" s="18" t="s">
        <v>30</v>
      </c>
      <c r="F388" s="18" t="s">
        <v>112</v>
      </c>
      <c r="G388" s="18" t="s">
        <v>23</v>
      </c>
      <c r="H388" s="18" t="str">
        <f>Assumptions!$B$2</f>
        <v>Worst</v>
      </c>
      <c r="I388" s="18">
        <f>_xlfn.XLOOKUP(Assumptions!$B$2,Assumptions!$F$4:$H$4,Assumptions!$F$5:$H$5)</f>
        <v>1200</v>
      </c>
      <c r="J388" s="18">
        <f>_xlfn.XLOOKUP(Assumptions!$B$2,Assumptions!$F$4:$H$4,Assumptions!$F$6:$H$6)</f>
        <v>17</v>
      </c>
      <c r="K388" s="12">
        <f>_xlfn.XLOOKUP(Assumptions!$B$2,Assumptions!$F$4:$H$4,Assumptions!$F$8:$H$8)</f>
        <v>0.1</v>
      </c>
      <c r="L388" s="12">
        <f>_xlfn.XLOOKUP(Assumptions!$B$2,Assumptions!$F$4:$H$4,Assumptions!$F$9:$H$9)</f>
        <v>0.18</v>
      </c>
      <c r="M388" s="18">
        <f>_xlfn.XLOOKUP(Assumptions!$B$2,Assumptions!$F$4:$H$4,Assumptions!$F$10:$H$10)</f>
        <v>18000</v>
      </c>
      <c r="N388" s="12">
        <f>_xlfn.XLOOKUP(Assumptions!$B$2,Assumptions!$F$4:$H$4,Assumptions!$F$11:$H$11)</f>
        <v>0.3</v>
      </c>
      <c r="O388" s="14">
        <f>Final_Table[[#This Row],[Units Sold]]*Final_Table[[#This Row],[Sale Price]]</f>
        <v>20400</v>
      </c>
      <c r="P388" s="14">
        <f>Final_Table[[#This Row],[Gross Revenue]]*(1-Final_Table[[#This Row],[Discount %]])</f>
        <v>18360</v>
      </c>
      <c r="Q388">
        <f>Final_Table[[#This Row],[Net Revenue]]*Final_Table[[#This Row],[Variable Cost %]]</f>
        <v>3304.7999999999997</v>
      </c>
      <c r="R388">
        <f>Final_Table[[#This Row],[Variable Cost]]+Final_Table[[#This Row],[Fixed Monthly Cost]]</f>
        <v>21304.799999999999</v>
      </c>
      <c r="S388" s="5">
        <f>Final_Table[[#This Row],[Net Revenue]]-Final_Table[[#This Row],[Total Cost (COGS)]]</f>
        <v>-2944.7999999999993</v>
      </c>
      <c r="T388">
        <f>Final_Table[[#This Row],[Gross Profit]]*Final_Table[[#This Row],[Tax Rate]]</f>
        <v>-883.43999999999971</v>
      </c>
      <c r="U388" s="5">
        <f>Final_Table[[#This Row],[Gross Profit]]-Final_Table[[#This Row],[Tax]]</f>
        <v>-2061.3599999999997</v>
      </c>
      <c r="V388" s="12">
        <f>Final_Table[[#This Row],[Net Profit]]/Final_Table[[#This Row],[Gross Revenue]]</f>
        <v>-0.10104705882352939</v>
      </c>
    </row>
    <row r="389" spans="1:22">
      <c r="A389" s="18" t="s">
        <v>69</v>
      </c>
      <c r="B389">
        <v>2013</v>
      </c>
      <c r="C389" t="s">
        <v>121</v>
      </c>
      <c r="D389">
        <v>1</v>
      </c>
      <c r="E389" s="18" t="s">
        <v>30</v>
      </c>
      <c r="F389" s="18" t="s">
        <v>112</v>
      </c>
      <c r="G389" s="18" t="s">
        <v>21</v>
      </c>
      <c r="H389" s="18" t="str">
        <f>Assumptions!$B$2</f>
        <v>Worst</v>
      </c>
      <c r="I389" s="18">
        <f>_xlfn.XLOOKUP(Assumptions!$B$2,Assumptions!$F$4:$H$4,Assumptions!$F$5:$H$5)</f>
        <v>1200</v>
      </c>
      <c r="J389" s="18">
        <f>_xlfn.XLOOKUP(Assumptions!$B$2,Assumptions!$F$4:$H$4,Assumptions!$F$6:$H$6)</f>
        <v>17</v>
      </c>
      <c r="K389" s="12">
        <f>_xlfn.XLOOKUP(Assumptions!$B$2,Assumptions!$F$4:$H$4,Assumptions!$F$8:$H$8)</f>
        <v>0.1</v>
      </c>
      <c r="L389" s="12">
        <f>_xlfn.XLOOKUP(Assumptions!$B$2,Assumptions!$F$4:$H$4,Assumptions!$F$9:$H$9)</f>
        <v>0.18</v>
      </c>
      <c r="M389" s="18">
        <f>_xlfn.XLOOKUP(Assumptions!$B$2,Assumptions!$F$4:$H$4,Assumptions!$F$10:$H$10)</f>
        <v>18000</v>
      </c>
      <c r="N389" s="12">
        <f>_xlfn.XLOOKUP(Assumptions!$B$2,Assumptions!$F$4:$H$4,Assumptions!$F$11:$H$11)</f>
        <v>0.3</v>
      </c>
      <c r="O389" s="14">
        <f>Final_Table[[#This Row],[Units Sold]]*Final_Table[[#This Row],[Sale Price]]</f>
        <v>20400</v>
      </c>
      <c r="P389" s="14">
        <f>Final_Table[[#This Row],[Gross Revenue]]*(1-Final_Table[[#This Row],[Discount %]])</f>
        <v>18360</v>
      </c>
      <c r="Q389">
        <f>Final_Table[[#This Row],[Net Revenue]]*Final_Table[[#This Row],[Variable Cost %]]</f>
        <v>3304.7999999999997</v>
      </c>
      <c r="R389">
        <f>Final_Table[[#This Row],[Variable Cost]]+Final_Table[[#This Row],[Fixed Monthly Cost]]</f>
        <v>21304.799999999999</v>
      </c>
      <c r="S389" s="5">
        <f>Final_Table[[#This Row],[Net Revenue]]-Final_Table[[#This Row],[Total Cost (COGS)]]</f>
        <v>-2944.7999999999993</v>
      </c>
      <c r="T389">
        <f>Final_Table[[#This Row],[Gross Profit]]*Final_Table[[#This Row],[Tax Rate]]</f>
        <v>-883.43999999999971</v>
      </c>
      <c r="U389" s="5">
        <f>Final_Table[[#This Row],[Gross Profit]]-Final_Table[[#This Row],[Tax]]</f>
        <v>-2061.3599999999997</v>
      </c>
      <c r="V389" s="12">
        <f>Final_Table[[#This Row],[Net Profit]]/Final_Table[[#This Row],[Gross Revenue]]</f>
        <v>-0.10104705882352939</v>
      </c>
    </row>
    <row r="390" spans="1:22">
      <c r="A390" s="18" t="s">
        <v>69</v>
      </c>
      <c r="B390">
        <v>2013</v>
      </c>
      <c r="C390" t="s">
        <v>121</v>
      </c>
      <c r="D390">
        <v>1</v>
      </c>
      <c r="E390" s="18" t="s">
        <v>30</v>
      </c>
      <c r="F390" s="18" t="s">
        <v>112</v>
      </c>
      <c r="G390" s="18" t="s">
        <v>25</v>
      </c>
      <c r="H390" s="18" t="str">
        <f>Assumptions!$B$2</f>
        <v>Worst</v>
      </c>
      <c r="I390" s="18">
        <f>_xlfn.XLOOKUP(Assumptions!$B$2,Assumptions!$F$4:$H$4,Assumptions!$F$5:$H$5)</f>
        <v>1200</v>
      </c>
      <c r="J390" s="18">
        <f>_xlfn.XLOOKUP(Assumptions!$B$2,Assumptions!$F$4:$H$4,Assumptions!$F$6:$H$6)</f>
        <v>17</v>
      </c>
      <c r="K390" s="12">
        <f>_xlfn.XLOOKUP(Assumptions!$B$2,Assumptions!$F$4:$H$4,Assumptions!$F$8:$H$8)</f>
        <v>0.1</v>
      </c>
      <c r="L390" s="12">
        <f>_xlfn.XLOOKUP(Assumptions!$B$2,Assumptions!$F$4:$H$4,Assumptions!$F$9:$H$9)</f>
        <v>0.18</v>
      </c>
      <c r="M390" s="18">
        <f>_xlfn.XLOOKUP(Assumptions!$B$2,Assumptions!$F$4:$H$4,Assumptions!$F$10:$H$10)</f>
        <v>18000</v>
      </c>
      <c r="N390" s="12">
        <f>_xlfn.XLOOKUP(Assumptions!$B$2,Assumptions!$F$4:$H$4,Assumptions!$F$11:$H$11)</f>
        <v>0.3</v>
      </c>
      <c r="O390" s="14">
        <f>Final_Table[[#This Row],[Units Sold]]*Final_Table[[#This Row],[Sale Price]]</f>
        <v>20400</v>
      </c>
      <c r="P390" s="14">
        <f>Final_Table[[#This Row],[Gross Revenue]]*(1-Final_Table[[#This Row],[Discount %]])</f>
        <v>18360</v>
      </c>
      <c r="Q390">
        <f>Final_Table[[#This Row],[Net Revenue]]*Final_Table[[#This Row],[Variable Cost %]]</f>
        <v>3304.7999999999997</v>
      </c>
      <c r="R390">
        <f>Final_Table[[#This Row],[Variable Cost]]+Final_Table[[#This Row],[Fixed Monthly Cost]]</f>
        <v>21304.799999999999</v>
      </c>
      <c r="S390" s="5">
        <f>Final_Table[[#This Row],[Net Revenue]]-Final_Table[[#This Row],[Total Cost (COGS)]]</f>
        <v>-2944.7999999999993</v>
      </c>
      <c r="T390">
        <f>Final_Table[[#This Row],[Gross Profit]]*Final_Table[[#This Row],[Tax Rate]]</f>
        <v>-883.43999999999971</v>
      </c>
      <c r="U390" s="5">
        <f>Final_Table[[#This Row],[Gross Profit]]-Final_Table[[#This Row],[Tax]]</f>
        <v>-2061.3599999999997</v>
      </c>
      <c r="V390" s="12">
        <f>Final_Table[[#This Row],[Net Profit]]/Final_Table[[#This Row],[Gross Revenue]]</f>
        <v>-0.10104705882352939</v>
      </c>
    </row>
    <row r="391" spans="1:22">
      <c r="A391" s="18" t="s">
        <v>69</v>
      </c>
      <c r="B391">
        <v>2013</v>
      </c>
      <c r="C391" t="s">
        <v>121</v>
      </c>
      <c r="D391">
        <v>1</v>
      </c>
      <c r="E391" s="18" t="s">
        <v>30</v>
      </c>
      <c r="F391" s="18" t="s">
        <v>112</v>
      </c>
      <c r="G391" s="18" t="s">
        <v>17</v>
      </c>
      <c r="H391" s="18" t="str">
        <f>Assumptions!$B$2</f>
        <v>Worst</v>
      </c>
      <c r="I391" s="18">
        <f>_xlfn.XLOOKUP(Assumptions!$B$2,Assumptions!$F$4:$H$4,Assumptions!$F$5:$H$5)</f>
        <v>1200</v>
      </c>
      <c r="J391" s="18">
        <f>_xlfn.XLOOKUP(Assumptions!$B$2,Assumptions!$F$4:$H$4,Assumptions!$F$6:$H$6)</f>
        <v>17</v>
      </c>
      <c r="K391" s="12">
        <f>_xlfn.XLOOKUP(Assumptions!$B$2,Assumptions!$F$4:$H$4,Assumptions!$F$8:$H$8)</f>
        <v>0.1</v>
      </c>
      <c r="L391" s="12">
        <f>_xlfn.XLOOKUP(Assumptions!$B$2,Assumptions!$F$4:$H$4,Assumptions!$F$9:$H$9)</f>
        <v>0.18</v>
      </c>
      <c r="M391" s="18">
        <f>_xlfn.XLOOKUP(Assumptions!$B$2,Assumptions!$F$4:$H$4,Assumptions!$F$10:$H$10)</f>
        <v>18000</v>
      </c>
      <c r="N391" s="12">
        <f>_xlfn.XLOOKUP(Assumptions!$B$2,Assumptions!$F$4:$H$4,Assumptions!$F$11:$H$11)</f>
        <v>0.3</v>
      </c>
      <c r="O391" s="14">
        <f>Final_Table[[#This Row],[Units Sold]]*Final_Table[[#This Row],[Sale Price]]</f>
        <v>20400</v>
      </c>
      <c r="P391" s="14">
        <f>Final_Table[[#This Row],[Gross Revenue]]*(1-Final_Table[[#This Row],[Discount %]])</f>
        <v>18360</v>
      </c>
      <c r="Q391">
        <f>Final_Table[[#This Row],[Net Revenue]]*Final_Table[[#This Row],[Variable Cost %]]</f>
        <v>3304.7999999999997</v>
      </c>
      <c r="R391">
        <f>Final_Table[[#This Row],[Variable Cost]]+Final_Table[[#This Row],[Fixed Monthly Cost]]</f>
        <v>21304.799999999999</v>
      </c>
      <c r="S391" s="5">
        <f>Final_Table[[#This Row],[Net Revenue]]-Final_Table[[#This Row],[Total Cost (COGS)]]</f>
        <v>-2944.7999999999993</v>
      </c>
      <c r="T391">
        <f>Final_Table[[#This Row],[Gross Profit]]*Final_Table[[#This Row],[Tax Rate]]</f>
        <v>-883.43999999999971</v>
      </c>
      <c r="U391" s="5">
        <f>Final_Table[[#This Row],[Gross Profit]]-Final_Table[[#This Row],[Tax]]</f>
        <v>-2061.3599999999997</v>
      </c>
      <c r="V391" s="12">
        <f>Final_Table[[#This Row],[Net Profit]]/Final_Table[[#This Row],[Gross Revenue]]</f>
        <v>-0.10104705882352939</v>
      </c>
    </row>
    <row r="392" spans="1:22">
      <c r="A392" s="18" t="s">
        <v>69</v>
      </c>
      <c r="B392">
        <v>2013</v>
      </c>
      <c r="C392" t="s">
        <v>121</v>
      </c>
      <c r="D392">
        <v>1</v>
      </c>
      <c r="E392" s="18" t="s">
        <v>30</v>
      </c>
      <c r="F392" s="18" t="s">
        <v>113</v>
      </c>
      <c r="G392" s="18" t="s">
        <v>36</v>
      </c>
      <c r="H392" s="18" t="str">
        <f>Assumptions!$B$2</f>
        <v>Worst</v>
      </c>
      <c r="I392" s="18">
        <f>_xlfn.XLOOKUP(Assumptions!$B$2,Assumptions!$F$4:$H$4,Assumptions!$F$5:$H$5)</f>
        <v>1200</v>
      </c>
      <c r="J392" s="18">
        <f>_xlfn.XLOOKUP(Assumptions!$B$2,Assumptions!$F$4:$H$4,Assumptions!$F$6:$H$6)</f>
        <v>17</v>
      </c>
      <c r="K392" s="12">
        <f>_xlfn.XLOOKUP(Assumptions!$B$2,Assumptions!$F$4:$H$4,Assumptions!$F$8:$H$8)</f>
        <v>0.1</v>
      </c>
      <c r="L392" s="12">
        <f>_xlfn.XLOOKUP(Assumptions!$B$2,Assumptions!$F$4:$H$4,Assumptions!$F$9:$H$9)</f>
        <v>0.18</v>
      </c>
      <c r="M392" s="18">
        <f>_xlfn.XLOOKUP(Assumptions!$B$2,Assumptions!$F$4:$H$4,Assumptions!$F$10:$H$10)</f>
        <v>18000</v>
      </c>
      <c r="N392" s="12">
        <f>_xlfn.XLOOKUP(Assumptions!$B$2,Assumptions!$F$4:$H$4,Assumptions!$F$11:$H$11)</f>
        <v>0.3</v>
      </c>
      <c r="O392" s="14">
        <f>Final_Table[[#This Row],[Units Sold]]*Final_Table[[#This Row],[Sale Price]]</f>
        <v>20400</v>
      </c>
      <c r="P392" s="14">
        <f>Final_Table[[#This Row],[Gross Revenue]]*(1-Final_Table[[#This Row],[Discount %]])</f>
        <v>18360</v>
      </c>
      <c r="Q392">
        <f>Final_Table[[#This Row],[Net Revenue]]*Final_Table[[#This Row],[Variable Cost %]]</f>
        <v>3304.7999999999997</v>
      </c>
      <c r="R392">
        <f>Final_Table[[#This Row],[Variable Cost]]+Final_Table[[#This Row],[Fixed Monthly Cost]]</f>
        <v>21304.799999999999</v>
      </c>
      <c r="S392" s="5">
        <f>Final_Table[[#This Row],[Net Revenue]]-Final_Table[[#This Row],[Total Cost (COGS)]]</f>
        <v>-2944.7999999999993</v>
      </c>
      <c r="T392">
        <f>Final_Table[[#This Row],[Gross Profit]]*Final_Table[[#This Row],[Tax Rate]]</f>
        <v>-883.43999999999971</v>
      </c>
      <c r="U392" s="5">
        <f>Final_Table[[#This Row],[Gross Profit]]-Final_Table[[#This Row],[Tax]]</f>
        <v>-2061.3599999999997</v>
      </c>
      <c r="V392" s="12">
        <f>Final_Table[[#This Row],[Net Profit]]/Final_Table[[#This Row],[Gross Revenue]]</f>
        <v>-0.10104705882352939</v>
      </c>
    </row>
    <row r="393" spans="1:22">
      <c r="A393" s="18" t="s">
        <v>69</v>
      </c>
      <c r="B393">
        <v>2013</v>
      </c>
      <c r="C393" t="s">
        <v>121</v>
      </c>
      <c r="D393">
        <v>1</v>
      </c>
      <c r="E393" s="18" t="s">
        <v>30</v>
      </c>
      <c r="F393" s="18" t="s">
        <v>113</v>
      </c>
      <c r="G393" s="18" t="s">
        <v>23</v>
      </c>
      <c r="H393" s="18" t="str">
        <f>Assumptions!$B$2</f>
        <v>Worst</v>
      </c>
      <c r="I393" s="18">
        <f>_xlfn.XLOOKUP(Assumptions!$B$2,Assumptions!$F$4:$H$4,Assumptions!$F$5:$H$5)</f>
        <v>1200</v>
      </c>
      <c r="J393" s="18">
        <f>_xlfn.XLOOKUP(Assumptions!$B$2,Assumptions!$F$4:$H$4,Assumptions!$F$6:$H$6)</f>
        <v>17</v>
      </c>
      <c r="K393" s="12">
        <f>_xlfn.XLOOKUP(Assumptions!$B$2,Assumptions!$F$4:$H$4,Assumptions!$F$8:$H$8)</f>
        <v>0.1</v>
      </c>
      <c r="L393" s="12">
        <f>_xlfn.XLOOKUP(Assumptions!$B$2,Assumptions!$F$4:$H$4,Assumptions!$F$9:$H$9)</f>
        <v>0.18</v>
      </c>
      <c r="M393" s="18">
        <f>_xlfn.XLOOKUP(Assumptions!$B$2,Assumptions!$F$4:$H$4,Assumptions!$F$10:$H$10)</f>
        <v>18000</v>
      </c>
      <c r="N393" s="12">
        <f>_xlfn.XLOOKUP(Assumptions!$B$2,Assumptions!$F$4:$H$4,Assumptions!$F$11:$H$11)</f>
        <v>0.3</v>
      </c>
      <c r="O393" s="14">
        <f>Final_Table[[#This Row],[Units Sold]]*Final_Table[[#This Row],[Sale Price]]</f>
        <v>20400</v>
      </c>
      <c r="P393" s="14">
        <f>Final_Table[[#This Row],[Gross Revenue]]*(1-Final_Table[[#This Row],[Discount %]])</f>
        <v>18360</v>
      </c>
      <c r="Q393">
        <f>Final_Table[[#This Row],[Net Revenue]]*Final_Table[[#This Row],[Variable Cost %]]</f>
        <v>3304.7999999999997</v>
      </c>
      <c r="R393">
        <f>Final_Table[[#This Row],[Variable Cost]]+Final_Table[[#This Row],[Fixed Monthly Cost]]</f>
        <v>21304.799999999999</v>
      </c>
      <c r="S393" s="5">
        <f>Final_Table[[#This Row],[Net Revenue]]-Final_Table[[#This Row],[Total Cost (COGS)]]</f>
        <v>-2944.7999999999993</v>
      </c>
      <c r="T393">
        <f>Final_Table[[#This Row],[Gross Profit]]*Final_Table[[#This Row],[Tax Rate]]</f>
        <v>-883.43999999999971</v>
      </c>
      <c r="U393" s="5">
        <f>Final_Table[[#This Row],[Gross Profit]]-Final_Table[[#This Row],[Tax]]</f>
        <v>-2061.3599999999997</v>
      </c>
      <c r="V393" s="12">
        <f>Final_Table[[#This Row],[Net Profit]]/Final_Table[[#This Row],[Gross Revenue]]</f>
        <v>-0.10104705882352939</v>
      </c>
    </row>
    <row r="394" spans="1:22">
      <c r="A394" s="18" t="s">
        <v>69</v>
      </c>
      <c r="B394">
        <v>2013</v>
      </c>
      <c r="C394" t="s">
        <v>121</v>
      </c>
      <c r="D394">
        <v>1</v>
      </c>
      <c r="E394" s="18" t="s">
        <v>30</v>
      </c>
      <c r="F394" s="18" t="s">
        <v>113</v>
      </c>
      <c r="G394" s="18" t="s">
        <v>21</v>
      </c>
      <c r="H394" s="18" t="str">
        <f>Assumptions!$B$2</f>
        <v>Worst</v>
      </c>
      <c r="I394" s="18">
        <f>_xlfn.XLOOKUP(Assumptions!$B$2,Assumptions!$F$4:$H$4,Assumptions!$F$5:$H$5)</f>
        <v>1200</v>
      </c>
      <c r="J394" s="18">
        <f>_xlfn.XLOOKUP(Assumptions!$B$2,Assumptions!$F$4:$H$4,Assumptions!$F$6:$H$6)</f>
        <v>17</v>
      </c>
      <c r="K394" s="12">
        <f>_xlfn.XLOOKUP(Assumptions!$B$2,Assumptions!$F$4:$H$4,Assumptions!$F$8:$H$8)</f>
        <v>0.1</v>
      </c>
      <c r="L394" s="12">
        <f>_xlfn.XLOOKUP(Assumptions!$B$2,Assumptions!$F$4:$H$4,Assumptions!$F$9:$H$9)</f>
        <v>0.18</v>
      </c>
      <c r="M394" s="18">
        <f>_xlfn.XLOOKUP(Assumptions!$B$2,Assumptions!$F$4:$H$4,Assumptions!$F$10:$H$10)</f>
        <v>18000</v>
      </c>
      <c r="N394" s="12">
        <f>_xlfn.XLOOKUP(Assumptions!$B$2,Assumptions!$F$4:$H$4,Assumptions!$F$11:$H$11)</f>
        <v>0.3</v>
      </c>
      <c r="O394" s="14">
        <f>Final_Table[[#This Row],[Units Sold]]*Final_Table[[#This Row],[Sale Price]]</f>
        <v>20400</v>
      </c>
      <c r="P394" s="14">
        <f>Final_Table[[#This Row],[Gross Revenue]]*(1-Final_Table[[#This Row],[Discount %]])</f>
        <v>18360</v>
      </c>
      <c r="Q394">
        <f>Final_Table[[#This Row],[Net Revenue]]*Final_Table[[#This Row],[Variable Cost %]]</f>
        <v>3304.7999999999997</v>
      </c>
      <c r="R394">
        <f>Final_Table[[#This Row],[Variable Cost]]+Final_Table[[#This Row],[Fixed Monthly Cost]]</f>
        <v>21304.799999999999</v>
      </c>
      <c r="S394" s="5">
        <f>Final_Table[[#This Row],[Net Revenue]]-Final_Table[[#This Row],[Total Cost (COGS)]]</f>
        <v>-2944.7999999999993</v>
      </c>
      <c r="T394">
        <f>Final_Table[[#This Row],[Gross Profit]]*Final_Table[[#This Row],[Tax Rate]]</f>
        <v>-883.43999999999971</v>
      </c>
      <c r="U394" s="5">
        <f>Final_Table[[#This Row],[Gross Profit]]-Final_Table[[#This Row],[Tax]]</f>
        <v>-2061.3599999999997</v>
      </c>
      <c r="V394" s="12">
        <f>Final_Table[[#This Row],[Net Profit]]/Final_Table[[#This Row],[Gross Revenue]]</f>
        <v>-0.10104705882352939</v>
      </c>
    </row>
    <row r="395" spans="1:22">
      <c r="A395" s="18" t="s">
        <v>69</v>
      </c>
      <c r="B395">
        <v>2013</v>
      </c>
      <c r="C395" t="s">
        <v>121</v>
      </c>
      <c r="D395">
        <v>1</v>
      </c>
      <c r="E395" s="18" t="s">
        <v>30</v>
      </c>
      <c r="F395" s="18" t="s">
        <v>113</v>
      </c>
      <c r="G395" s="18" t="s">
        <v>25</v>
      </c>
      <c r="H395" s="18" t="str">
        <f>Assumptions!$B$2</f>
        <v>Worst</v>
      </c>
      <c r="I395" s="18">
        <f>_xlfn.XLOOKUP(Assumptions!$B$2,Assumptions!$F$4:$H$4,Assumptions!$F$5:$H$5)</f>
        <v>1200</v>
      </c>
      <c r="J395" s="18">
        <f>_xlfn.XLOOKUP(Assumptions!$B$2,Assumptions!$F$4:$H$4,Assumptions!$F$6:$H$6)</f>
        <v>17</v>
      </c>
      <c r="K395" s="12">
        <f>_xlfn.XLOOKUP(Assumptions!$B$2,Assumptions!$F$4:$H$4,Assumptions!$F$8:$H$8)</f>
        <v>0.1</v>
      </c>
      <c r="L395" s="12">
        <f>_xlfn.XLOOKUP(Assumptions!$B$2,Assumptions!$F$4:$H$4,Assumptions!$F$9:$H$9)</f>
        <v>0.18</v>
      </c>
      <c r="M395" s="18">
        <f>_xlfn.XLOOKUP(Assumptions!$B$2,Assumptions!$F$4:$H$4,Assumptions!$F$10:$H$10)</f>
        <v>18000</v>
      </c>
      <c r="N395" s="12">
        <f>_xlfn.XLOOKUP(Assumptions!$B$2,Assumptions!$F$4:$H$4,Assumptions!$F$11:$H$11)</f>
        <v>0.3</v>
      </c>
      <c r="O395" s="14">
        <f>Final_Table[[#This Row],[Units Sold]]*Final_Table[[#This Row],[Sale Price]]</f>
        <v>20400</v>
      </c>
      <c r="P395" s="14">
        <f>Final_Table[[#This Row],[Gross Revenue]]*(1-Final_Table[[#This Row],[Discount %]])</f>
        <v>18360</v>
      </c>
      <c r="Q395">
        <f>Final_Table[[#This Row],[Net Revenue]]*Final_Table[[#This Row],[Variable Cost %]]</f>
        <v>3304.7999999999997</v>
      </c>
      <c r="R395">
        <f>Final_Table[[#This Row],[Variable Cost]]+Final_Table[[#This Row],[Fixed Monthly Cost]]</f>
        <v>21304.799999999999</v>
      </c>
      <c r="S395" s="5">
        <f>Final_Table[[#This Row],[Net Revenue]]-Final_Table[[#This Row],[Total Cost (COGS)]]</f>
        <v>-2944.7999999999993</v>
      </c>
      <c r="T395">
        <f>Final_Table[[#This Row],[Gross Profit]]*Final_Table[[#This Row],[Tax Rate]]</f>
        <v>-883.43999999999971</v>
      </c>
      <c r="U395" s="5">
        <f>Final_Table[[#This Row],[Gross Profit]]-Final_Table[[#This Row],[Tax]]</f>
        <v>-2061.3599999999997</v>
      </c>
      <c r="V395" s="12">
        <f>Final_Table[[#This Row],[Net Profit]]/Final_Table[[#This Row],[Gross Revenue]]</f>
        <v>-0.10104705882352939</v>
      </c>
    </row>
    <row r="396" spans="1:22">
      <c r="A396" s="18" t="s">
        <v>69</v>
      </c>
      <c r="B396">
        <v>2013</v>
      </c>
      <c r="C396" t="s">
        <v>121</v>
      </c>
      <c r="D396">
        <v>1</v>
      </c>
      <c r="E396" s="18" t="s">
        <v>30</v>
      </c>
      <c r="F396" s="18" t="s">
        <v>113</v>
      </c>
      <c r="G396" s="18" t="s">
        <v>17</v>
      </c>
      <c r="H396" s="18" t="str">
        <f>Assumptions!$B$2</f>
        <v>Worst</v>
      </c>
      <c r="I396" s="18">
        <f>_xlfn.XLOOKUP(Assumptions!$B$2,Assumptions!$F$4:$H$4,Assumptions!$F$5:$H$5)</f>
        <v>1200</v>
      </c>
      <c r="J396" s="18">
        <f>_xlfn.XLOOKUP(Assumptions!$B$2,Assumptions!$F$4:$H$4,Assumptions!$F$6:$H$6)</f>
        <v>17</v>
      </c>
      <c r="K396" s="12">
        <f>_xlfn.XLOOKUP(Assumptions!$B$2,Assumptions!$F$4:$H$4,Assumptions!$F$8:$H$8)</f>
        <v>0.1</v>
      </c>
      <c r="L396" s="12">
        <f>_xlfn.XLOOKUP(Assumptions!$B$2,Assumptions!$F$4:$H$4,Assumptions!$F$9:$H$9)</f>
        <v>0.18</v>
      </c>
      <c r="M396" s="18">
        <f>_xlfn.XLOOKUP(Assumptions!$B$2,Assumptions!$F$4:$H$4,Assumptions!$F$10:$H$10)</f>
        <v>18000</v>
      </c>
      <c r="N396" s="12">
        <f>_xlfn.XLOOKUP(Assumptions!$B$2,Assumptions!$F$4:$H$4,Assumptions!$F$11:$H$11)</f>
        <v>0.3</v>
      </c>
      <c r="O396" s="14">
        <f>Final_Table[[#This Row],[Units Sold]]*Final_Table[[#This Row],[Sale Price]]</f>
        <v>20400</v>
      </c>
      <c r="P396" s="14">
        <f>Final_Table[[#This Row],[Gross Revenue]]*(1-Final_Table[[#This Row],[Discount %]])</f>
        <v>18360</v>
      </c>
      <c r="Q396">
        <f>Final_Table[[#This Row],[Net Revenue]]*Final_Table[[#This Row],[Variable Cost %]]</f>
        <v>3304.7999999999997</v>
      </c>
      <c r="R396">
        <f>Final_Table[[#This Row],[Variable Cost]]+Final_Table[[#This Row],[Fixed Monthly Cost]]</f>
        <v>21304.799999999999</v>
      </c>
      <c r="S396" s="5">
        <f>Final_Table[[#This Row],[Net Revenue]]-Final_Table[[#This Row],[Total Cost (COGS)]]</f>
        <v>-2944.7999999999993</v>
      </c>
      <c r="T396">
        <f>Final_Table[[#This Row],[Gross Profit]]*Final_Table[[#This Row],[Tax Rate]]</f>
        <v>-883.43999999999971</v>
      </c>
      <c r="U396" s="5">
        <f>Final_Table[[#This Row],[Gross Profit]]-Final_Table[[#This Row],[Tax]]</f>
        <v>-2061.3599999999997</v>
      </c>
      <c r="V396" s="12">
        <f>Final_Table[[#This Row],[Net Profit]]/Final_Table[[#This Row],[Gross Revenue]]</f>
        <v>-0.10104705882352939</v>
      </c>
    </row>
    <row r="397" spans="1:22">
      <c r="A397" s="18" t="s">
        <v>69</v>
      </c>
      <c r="B397">
        <v>2013</v>
      </c>
      <c r="C397" t="s">
        <v>121</v>
      </c>
      <c r="D397">
        <v>1</v>
      </c>
      <c r="E397" s="18" t="s">
        <v>30</v>
      </c>
      <c r="F397" s="18" t="s">
        <v>114</v>
      </c>
      <c r="G397" s="18" t="s">
        <v>36</v>
      </c>
      <c r="H397" s="18" t="str">
        <f>Assumptions!$B$2</f>
        <v>Worst</v>
      </c>
      <c r="I397" s="18">
        <f>_xlfn.XLOOKUP(Assumptions!$B$2,Assumptions!$F$4:$H$4,Assumptions!$F$5:$H$5)</f>
        <v>1200</v>
      </c>
      <c r="J397" s="18">
        <f>_xlfn.XLOOKUP(Assumptions!$B$2,Assumptions!$F$4:$H$4,Assumptions!$F$6:$H$6)</f>
        <v>17</v>
      </c>
      <c r="K397" s="12">
        <f>_xlfn.XLOOKUP(Assumptions!$B$2,Assumptions!$F$4:$H$4,Assumptions!$F$8:$H$8)</f>
        <v>0.1</v>
      </c>
      <c r="L397" s="12">
        <f>_xlfn.XLOOKUP(Assumptions!$B$2,Assumptions!$F$4:$H$4,Assumptions!$F$9:$H$9)</f>
        <v>0.18</v>
      </c>
      <c r="M397" s="18">
        <f>_xlfn.XLOOKUP(Assumptions!$B$2,Assumptions!$F$4:$H$4,Assumptions!$F$10:$H$10)</f>
        <v>18000</v>
      </c>
      <c r="N397" s="12">
        <f>_xlfn.XLOOKUP(Assumptions!$B$2,Assumptions!$F$4:$H$4,Assumptions!$F$11:$H$11)</f>
        <v>0.3</v>
      </c>
      <c r="O397" s="14">
        <f>Final_Table[[#This Row],[Units Sold]]*Final_Table[[#This Row],[Sale Price]]</f>
        <v>20400</v>
      </c>
      <c r="P397" s="14">
        <f>Final_Table[[#This Row],[Gross Revenue]]*(1-Final_Table[[#This Row],[Discount %]])</f>
        <v>18360</v>
      </c>
      <c r="Q397">
        <f>Final_Table[[#This Row],[Net Revenue]]*Final_Table[[#This Row],[Variable Cost %]]</f>
        <v>3304.7999999999997</v>
      </c>
      <c r="R397">
        <f>Final_Table[[#This Row],[Variable Cost]]+Final_Table[[#This Row],[Fixed Monthly Cost]]</f>
        <v>21304.799999999999</v>
      </c>
      <c r="S397" s="5">
        <f>Final_Table[[#This Row],[Net Revenue]]-Final_Table[[#This Row],[Total Cost (COGS)]]</f>
        <v>-2944.7999999999993</v>
      </c>
      <c r="T397">
        <f>Final_Table[[#This Row],[Gross Profit]]*Final_Table[[#This Row],[Tax Rate]]</f>
        <v>-883.43999999999971</v>
      </c>
      <c r="U397" s="5">
        <f>Final_Table[[#This Row],[Gross Profit]]-Final_Table[[#This Row],[Tax]]</f>
        <v>-2061.3599999999997</v>
      </c>
      <c r="V397" s="12">
        <f>Final_Table[[#This Row],[Net Profit]]/Final_Table[[#This Row],[Gross Revenue]]</f>
        <v>-0.10104705882352939</v>
      </c>
    </row>
    <row r="398" spans="1:22">
      <c r="A398" s="18" t="s">
        <v>69</v>
      </c>
      <c r="B398">
        <v>2013</v>
      </c>
      <c r="C398" t="s">
        <v>121</v>
      </c>
      <c r="D398">
        <v>1</v>
      </c>
      <c r="E398" s="18" t="s">
        <v>30</v>
      </c>
      <c r="F398" s="18" t="s">
        <v>114</v>
      </c>
      <c r="G398" s="18" t="s">
        <v>23</v>
      </c>
      <c r="H398" s="18" t="str">
        <f>Assumptions!$B$2</f>
        <v>Worst</v>
      </c>
      <c r="I398" s="18">
        <f>_xlfn.XLOOKUP(Assumptions!$B$2,Assumptions!$F$4:$H$4,Assumptions!$F$5:$H$5)</f>
        <v>1200</v>
      </c>
      <c r="J398" s="18">
        <f>_xlfn.XLOOKUP(Assumptions!$B$2,Assumptions!$F$4:$H$4,Assumptions!$F$6:$H$6)</f>
        <v>17</v>
      </c>
      <c r="K398" s="12">
        <f>_xlfn.XLOOKUP(Assumptions!$B$2,Assumptions!$F$4:$H$4,Assumptions!$F$8:$H$8)</f>
        <v>0.1</v>
      </c>
      <c r="L398" s="12">
        <f>_xlfn.XLOOKUP(Assumptions!$B$2,Assumptions!$F$4:$H$4,Assumptions!$F$9:$H$9)</f>
        <v>0.18</v>
      </c>
      <c r="M398" s="18">
        <f>_xlfn.XLOOKUP(Assumptions!$B$2,Assumptions!$F$4:$H$4,Assumptions!$F$10:$H$10)</f>
        <v>18000</v>
      </c>
      <c r="N398" s="12">
        <f>_xlfn.XLOOKUP(Assumptions!$B$2,Assumptions!$F$4:$H$4,Assumptions!$F$11:$H$11)</f>
        <v>0.3</v>
      </c>
      <c r="O398" s="14">
        <f>Final_Table[[#This Row],[Units Sold]]*Final_Table[[#This Row],[Sale Price]]</f>
        <v>20400</v>
      </c>
      <c r="P398" s="14">
        <f>Final_Table[[#This Row],[Gross Revenue]]*(1-Final_Table[[#This Row],[Discount %]])</f>
        <v>18360</v>
      </c>
      <c r="Q398">
        <f>Final_Table[[#This Row],[Net Revenue]]*Final_Table[[#This Row],[Variable Cost %]]</f>
        <v>3304.7999999999997</v>
      </c>
      <c r="R398">
        <f>Final_Table[[#This Row],[Variable Cost]]+Final_Table[[#This Row],[Fixed Monthly Cost]]</f>
        <v>21304.799999999999</v>
      </c>
      <c r="S398" s="5">
        <f>Final_Table[[#This Row],[Net Revenue]]-Final_Table[[#This Row],[Total Cost (COGS)]]</f>
        <v>-2944.7999999999993</v>
      </c>
      <c r="T398">
        <f>Final_Table[[#This Row],[Gross Profit]]*Final_Table[[#This Row],[Tax Rate]]</f>
        <v>-883.43999999999971</v>
      </c>
      <c r="U398" s="5">
        <f>Final_Table[[#This Row],[Gross Profit]]-Final_Table[[#This Row],[Tax]]</f>
        <v>-2061.3599999999997</v>
      </c>
      <c r="V398" s="12">
        <f>Final_Table[[#This Row],[Net Profit]]/Final_Table[[#This Row],[Gross Revenue]]</f>
        <v>-0.10104705882352939</v>
      </c>
    </row>
    <row r="399" spans="1:22">
      <c r="A399" s="18" t="s">
        <v>69</v>
      </c>
      <c r="B399">
        <v>2013</v>
      </c>
      <c r="C399" t="s">
        <v>121</v>
      </c>
      <c r="D399">
        <v>1</v>
      </c>
      <c r="E399" s="18" t="s">
        <v>30</v>
      </c>
      <c r="F399" s="18" t="s">
        <v>114</v>
      </c>
      <c r="G399" s="18" t="s">
        <v>21</v>
      </c>
      <c r="H399" s="18" t="str">
        <f>Assumptions!$B$2</f>
        <v>Worst</v>
      </c>
      <c r="I399" s="18">
        <f>_xlfn.XLOOKUP(Assumptions!$B$2,Assumptions!$F$4:$H$4,Assumptions!$F$5:$H$5)</f>
        <v>1200</v>
      </c>
      <c r="J399" s="18">
        <f>_xlfn.XLOOKUP(Assumptions!$B$2,Assumptions!$F$4:$H$4,Assumptions!$F$6:$H$6)</f>
        <v>17</v>
      </c>
      <c r="K399" s="12">
        <f>_xlfn.XLOOKUP(Assumptions!$B$2,Assumptions!$F$4:$H$4,Assumptions!$F$8:$H$8)</f>
        <v>0.1</v>
      </c>
      <c r="L399" s="12">
        <f>_xlfn.XLOOKUP(Assumptions!$B$2,Assumptions!$F$4:$H$4,Assumptions!$F$9:$H$9)</f>
        <v>0.18</v>
      </c>
      <c r="M399" s="18">
        <f>_xlfn.XLOOKUP(Assumptions!$B$2,Assumptions!$F$4:$H$4,Assumptions!$F$10:$H$10)</f>
        <v>18000</v>
      </c>
      <c r="N399" s="12">
        <f>_xlfn.XLOOKUP(Assumptions!$B$2,Assumptions!$F$4:$H$4,Assumptions!$F$11:$H$11)</f>
        <v>0.3</v>
      </c>
      <c r="O399" s="14">
        <f>Final_Table[[#This Row],[Units Sold]]*Final_Table[[#This Row],[Sale Price]]</f>
        <v>20400</v>
      </c>
      <c r="P399" s="14">
        <f>Final_Table[[#This Row],[Gross Revenue]]*(1-Final_Table[[#This Row],[Discount %]])</f>
        <v>18360</v>
      </c>
      <c r="Q399">
        <f>Final_Table[[#This Row],[Net Revenue]]*Final_Table[[#This Row],[Variable Cost %]]</f>
        <v>3304.7999999999997</v>
      </c>
      <c r="R399">
        <f>Final_Table[[#This Row],[Variable Cost]]+Final_Table[[#This Row],[Fixed Monthly Cost]]</f>
        <v>21304.799999999999</v>
      </c>
      <c r="S399" s="5">
        <f>Final_Table[[#This Row],[Net Revenue]]-Final_Table[[#This Row],[Total Cost (COGS)]]</f>
        <v>-2944.7999999999993</v>
      </c>
      <c r="T399">
        <f>Final_Table[[#This Row],[Gross Profit]]*Final_Table[[#This Row],[Tax Rate]]</f>
        <v>-883.43999999999971</v>
      </c>
      <c r="U399" s="5">
        <f>Final_Table[[#This Row],[Gross Profit]]-Final_Table[[#This Row],[Tax]]</f>
        <v>-2061.3599999999997</v>
      </c>
      <c r="V399" s="12">
        <f>Final_Table[[#This Row],[Net Profit]]/Final_Table[[#This Row],[Gross Revenue]]</f>
        <v>-0.10104705882352939</v>
      </c>
    </row>
    <row r="400" spans="1:22">
      <c r="A400" s="18" t="s">
        <v>69</v>
      </c>
      <c r="B400">
        <v>2013</v>
      </c>
      <c r="C400" t="s">
        <v>121</v>
      </c>
      <c r="D400">
        <v>1</v>
      </c>
      <c r="E400" s="18" t="s">
        <v>30</v>
      </c>
      <c r="F400" s="18" t="s">
        <v>114</v>
      </c>
      <c r="G400" s="18" t="s">
        <v>25</v>
      </c>
      <c r="H400" s="18" t="str">
        <f>Assumptions!$B$2</f>
        <v>Worst</v>
      </c>
      <c r="I400" s="18">
        <f>_xlfn.XLOOKUP(Assumptions!$B$2,Assumptions!$F$4:$H$4,Assumptions!$F$5:$H$5)</f>
        <v>1200</v>
      </c>
      <c r="J400" s="18">
        <f>_xlfn.XLOOKUP(Assumptions!$B$2,Assumptions!$F$4:$H$4,Assumptions!$F$6:$H$6)</f>
        <v>17</v>
      </c>
      <c r="K400" s="12">
        <f>_xlfn.XLOOKUP(Assumptions!$B$2,Assumptions!$F$4:$H$4,Assumptions!$F$8:$H$8)</f>
        <v>0.1</v>
      </c>
      <c r="L400" s="12">
        <f>_xlfn.XLOOKUP(Assumptions!$B$2,Assumptions!$F$4:$H$4,Assumptions!$F$9:$H$9)</f>
        <v>0.18</v>
      </c>
      <c r="M400" s="18">
        <f>_xlfn.XLOOKUP(Assumptions!$B$2,Assumptions!$F$4:$H$4,Assumptions!$F$10:$H$10)</f>
        <v>18000</v>
      </c>
      <c r="N400" s="12">
        <f>_xlfn.XLOOKUP(Assumptions!$B$2,Assumptions!$F$4:$H$4,Assumptions!$F$11:$H$11)</f>
        <v>0.3</v>
      </c>
      <c r="O400" s="14">
        <f>Final_Table[[#This Row],[Units Sold]]*Final_Table[[#This Row],[Sale Price]]</f>
        <v>20400</v>
      </c>
      <c r="P400" s="14">
        <f>Final_Table[[#This Row],[Gross Revenue]]*(1-Final_Table[[#This Row],[Discount %]])</f>
        <v>18360</v>
      </c>
      <c r="Q400">
        <f>Final_Table[[#This Row],[Net Revenue]]*Final_Table[[#This Row],[Variable Cost %]]</f>
        <v>3304.7999999999997</v>
      </c>
      <c r="R400">
        <f>Final_Table[[#This Row],[Variable Cost]]+Final_Table[[#This Row],[Fixed Monthly Cost]]</f>
        <v>21304.799999999999</v>
      </c>
      <c r="S400" s="5">
        <f>Final_Table[[#This Row],[Net Revenue]]-Final_Table[[#This Row],[Total Cost (COGS)]]</f>
        <v>-2944.7999999999993</v>
      </c>
      <c r="T400">
        <f>Final_Table[[#This Row],[Gross Profit]]*Final_Table[[#This Row],[Tax Rate]]</f>
        <v>-883.43999999999971</v>
      </c>
      <c r="U400" s="5">
        <f>Final_Table[[#This Row],[Gross Profit]]-Final_Table[[#This Row],[Tax]]</f>
        <v>-2061.3599999999997</v>
      </c>
      <c r="V400" s="12">
        <f>Final_Table[[#This Row],[Net Profit]]/Final_Table[[#This Row],[Gross Revenue]]</f>
        <v>-0.10104705882352939</v>
      </c>
    </row>
    <row r="401" spans="1:22">
      <c r="A401" s="18" t="s">
        <v>69</v>
      </c>
      <c r="B401">
        <v>2013</v>
      </c>
      <c r="C401" t="s">
        <v>121</v>
      </c>
      <c r="D401">
        <v>1</v>
      </c>
      <c r="E401" s="18" t="s">
        <v>30</v>
      </c>
      <c r="F401" s="18" t="s">
        <v>114</v>
      </c>
      <c r="G401" s="18" t="s">
        <v>17</v>
      </c>
      <c r="H401" s="18" t="str">
        <f>Assumptions!$B$2</f>
        <v>Worst</v>
      </c>
      <c r="I401" s="18">
        <f>_xlfn.XLOOKUP(Assumptions!$B$2,Assumptions!$F$4:$H$4,Assumptions!$F$5:$H$5)</f>
        <v>1200</v>
      </c>
      <c r="J401" s="18">
        <f>_xlfn.XLOOKUP(Assumptions!$B$2,Assumptions!$F$4:$H$4,Assumptions!$F$6:$H$6)</f>
        <v>17</v>
      </c>
      <c r="K401" s="12">
        <f>_xlfn.XLOOKUP(Assumptions!$B$2,Assumptions!$F$4:$H$4,Assumptions!$F$8:$H$8)</f>
        <v>0.1</v>
      </c>
      <c r="L401" s="12">
        <f>_xlfn.XLOOKUP(Assumptions!$B$2,Assumptions!$F$4:$H$4,Assumptions!$F$9:$H$9)</f>
        <v>0.18</v>
      </c>
      <c r="M401" s="18">
        <f>_xlfn.XLOOKUP(Assumptions!$B$2,Assumptions!$F$4:$H$4,Assumptions!$F$10:$H$10)</f>
        <v>18000</v>
      </c>
      <c r="N401" s="12">
        <f>_xlfn.XLOOKUP(Assumptions!$B$2,Assumptions!$F$4:$H$4,Assumptions!$F$11:$H$11)</f>
        <v>0.3</v>
      </c>
      <c r="O401" s="14">
        <f>Final_Table[[#This Row],[Units Sold]]*Final_Table[[#This Row],[Sale Price]]</f>
        <v>20400</v>
      </c>
      <c r="P401" s="14">
        <f>Final_Table[[#This Row],[Gross Revenue]]*(1-Final_Table[[#This Row],[Discount %]])</f>
        <v>18360</v>
      </c>
      <c r="Q401">
        <f>Final_Table[[#This Row],[Net Revenue]]*Final_Table[[#This Row],[Variable Cost %]]</f>
        <v>3304.7999999999997</v>
      </c>
      <c r="R401">
        <f>Final_Table[[#This Row],[Variable Cost]]+Final_Table[[#This Row],[Fixed Monthly Cost]]</f>
        <v>21304.799999999999</v>
      </c>
      <c r="S401" s="5">
        <f>Final_Table[[#This Row],[Net Revenue]]-Final_Table[[#This Row],[Total Cost (COGS)]]</f>
        <v>-2944.7999999999993</v>
      </c>
      <c r="T401">
        <f>Final_Table[[#This Row],[Gross Profit]]*Final_Table[[#This Row],[Tax Rate]]</f>
        <v>-883.43999999999971</v>
      </c>
      <c r="U401" s="5">
        <f>Final_Table[[#This Row],[Gross Profit]]-Final_Table[[#This Row],[Tax]]</f>
        <v>-2061.3599999999997</v>
      </c>
      <c r="V401" s="12">
        <f>Final_Table[[#This Row],[Net Profit]]/Final_Table[[#This Row],[Gross Revenue]]</f>
        <v>-0.10104705882352939</v>
      </c>
    </row>
    <row r="402" spans="1:22">
      <c r="A402" s="18" t="s">
        <v>69</v>
      </c>
      <c r="B402">
        <v>2013</v>
      </c>
      <c r="C402" t="s">
        <v>121</v>
      </c>
      <c r="D402">
        <v>1</v>
      </c>
      <c r="E402" s="18" t="s">
        <v>29</v>
      </c>
      <c r="F402" s="18" t="s">
        <v>80</v>
      </c>
      <c r="G402" s="18" t="s">
        <v>36</v>
      </c>
      <c r="H402" s="18" t="str">
        <f>Assumptions!$B$2</f>
        <v>Worst</v>
      </c>
      <c r="I402" s="18">
        <f>_xlfn.XLOOKUP(Assumptions!$B$2,Assumptions!$F$4:$H$4,Assumptions!$F$5:$H$5)</f>
        <v>1200</v>
      </c>
      <c r="J402" s="18">
        <f>_xlfn.XLOOKUP(Assumptions!$B$2,Assumptions!$F$4:$H$4,Assumptions!$F$6:$H$6)</f>
        <v>17</v>
      </c>
      <c r="K402" s="12">
        <f>_xlfn.XLOOKUP(Assumptions!$B$2,Assumptions!$F$4:$H$4,Assumptions!$F$8:$H$8)</f>
        <v>0.1</v>
      </c>
      <c r="L402" s="12">
        <f>_xlfn.XLOOKUP(Assumptions!$B$2,Assumptions!$F$4:$H$4,Assumptions!$F$9:$H$9)</f>
        <v>0.18</v>
      </c>
      <c r="M402" s="18">
        <f>_xlfn.XLOOKUP(Assumptions!$B$2,Assumptions!$F$4:$H$4,Assumptions!$F$10:$H$10)</f>
        <v>18000</v>
      </c>
      <c r="N402" s="12">
        <f>_xlfn.XLOOKUP(Assumptions!$B$2,Assumptions!$F$4:$H$4,Assumptions!$F$11:$H$11)</f>
        <v>0.3</v>
      </c>
      <c r="O402" s="14">
        <f>Final_Table[[#This Row],[Units Sold]]*Final_Table[[#This Row],[Sale Price]]</f>
        <v>20400</v>
      </c>
      <c r="P402" s="14">
        <f>Final_Table[[#This Row],[Gross Revenue]]*(1-Final_Table[[#This Row],[Discount %]])</f>
        <v>18360</v>
      </c>
      <c r="Q402">
        <f>Final_Table[[#This Row],[Net Revenue]]*Final_Table[[#This Row],[Variable Cost %]]</f>
        <v>3304.7999999999997</v>
      </c>
      <c r="R402">
        <f>Final_Table[[#This Row],[Variable Cost]]+Final_Table[[#This Row],[Fixed Monthly Cost]]</f>
        <v>21304.799999999999</v>
      </c>
      <c r="S402" s="5">
        <f>Final_Table[[#This Row],[Net Revenue]]-Final_Table[[#This Row],[Total Cost (COGS)]]</f>
        <v>-2944.7999999999993</v>
      </c>
      <c r="T402">
        <f>Final_Table[[#This Row],[Gross Profit]]*Final_Table[[#This Row],[Tax Rate]]</f>
        <v>-883.43999999999971</v>
      </c>
      <c r="U402" s="5">
        <f>Final_Table[[#This Row],[Gross Profit]]-Final_Table[[#This Row],[Tax]]</f>
        <v>-2061.3599999999997</v>
      </c>
      <c r="V402" s="12">
        <f>Final_Table[[#This Row],[Net Profit]]/Final_Table[[#This Row],[Gross Revenue]]</f>
        <v>-0.10104705882352939</v>
      </c>
    </row>
    <row r="403" spans="1:22">
      <c r="A403" s="18" t="s">
        <v>69</v>
      </c>
      <c r="B403">
        <v>2013</v>
      </c>
      <c r="C403" t="s">
        <v>121</v>
      </c>
      <c r="D403">
        <v>1</v>
      </c>
      <c r="E403" s="18" t="s">
        <v>29</v>
      </c>
      <c r="F403" s="18" t="s">
        <v>80</v>
      </c>
      <c r="G403" s="18" t="s">
        <v>23</v>
      </c>
      <c r="H403" s="18" t="str">
        <f>Assumptions!$B$2</f>
        <v>Worst</v>
      </c>
      <c r="I403" s="18">
        <f>_xlfn.XLOOKUP(Assumptions!$B$2,Assumptions!$F$4:$H$4,Assumptions!$F$5:$H$5)</f>
        <v>1200</v>
      </c>
      <c r="J403" s="18">
        <f>_xlfn.XLOOKUP(Assumptions!$B$2,Assumptions!$F$4:$H$4,Assumptions!$F$6:$H$6)</f>
        <v>17</v>
      </c>
      <c r="K403" s="12">
        <f>_xlfn.XLOOKUP(Assumptions!$B$2,Assumptions!$F$4:$H$4,Assumptions!$F$8:$H$8)</f>
        <v>0.1</v>
      </c>
      <c r="L403" s="12">
        <f>_xlfn.XLOOKUP(Assumptions!$B$2,Assumptions!$F$4:$H$4,Assumptions!$F$9:$H$9)</f>
        <v>0.18</v>
      </c>
      <c r="M403" s="18">
        <f>_xlfn.XLOOKUP(Assumptions!$B$2,Assumptions!$F$4:$H$4,Assumptions!$F$10:$H$10)</f>
        <v>18000</v>
      </c>
      <c r="N403" s="12">
        <f>_xlfn.XLOOKUP(Assumptions!$B$2,Assumptions!$F$4:$H$4,Assumptions!$F$11:$H$11)</f>
        <v>0.3</v>
      </c>
      <c r="O403" s="14">
        <f>Final_Table[[#This Row],[Units Sold]]*Final_Table[[#This Row],[Sale Price]]</f>
        <v>20400</v>
      </c>
      <c r="P403" s="14">
        <f>Final_Table[[#This Row],[Gross Revenue]]*(1-Final_Table[[#This Row],[Discount %]])</f>
        <v>18360</v>
      </c>
      <c r="Q403">
        <f>Final_Table[[#This Row],[Net Revenue]]*Final_Table[[#This Row],[Variable Cost %]]</f>
        <v>3304.7999999999997</v>
      </c>
      <c r="R403">
        <f>Final_Table[[#This Row],[Variable Cost]]+Final_Table[[#This Row],[Fixed Monthly Cost]]</f>
        <v>21304.799999999999</v>
      </c>
      <c r="S403" s="5">
        <f>Final_Table[[#This Row],[Net Revenue]]-Final_Table[[#This Row],[Total Cost (COGS)]]</f>
        <v>-2944.7999999999993</v>
      </c>
      <c r="T403">
        <f>Final_Table[[#This Row],[Gross Profit]]*Final_Table[[#This Row],[Tax Rate]]</f>
        <v>-883.43999999999971</v>
      </c>
      <c r="U403" s="5">
        <f>Final_Table[[#This Row],[Gross Profit]]-Final_Table[[#This Row],[Tax]]</f>
        <v>-2061.3599999999997</v>
      </c>
      <c r="V403" s="12">
        <f>Final_Table[[#This Row],[Net Profit]]/Final_Table[[#This Row],[Gross Revenue]]</f>
        <v>-0.10104705882352939</v>
      </c>
    </row>
    <row r="404" spans="1:22">
      <c r="A404" s="18" t="s">
        <v>69</v>
      </c>
      <c r="B404">
        <v>2013</v>
      </c>
      <c r="C404" t="s">
        <v>121</v>
      </c>
      <c r="D404">
        <v>1</v>
      </c>
      <c r="E404" s="18" t="s">
        <v>29</v>
      </c>
      <c r="F404" s="18" t="s">
        <v>80</v>
      </c>
      <c r="G404" s="18" t="s">
        <v>21</v>
      </c>
      <c r="H404" s="18" t="str">
        <f>Assumptions!$B$2</f>
        <v>Worst</v>
      </c>
      <c r="I404" s="18">
        <f>_xlfn.XLOOKUP(Assumptions!$B$2,Assumptions!$F$4:$H$4,Assumptions!$F$5:$H$5)</f>
        <v>1200</v>
      </c>
      <c r="J404" s="18">
        <f>_xlfn.XLOOKUP(Assumptions!$B$2,Assumptions!$F$4:$H$4,Assumptions!$F$6:$H$6)</f>
        <v>17</v>
      </c>
      <c r="K404" s="12">
        <f>_xlfn.XLOOKUP(Assumptions!$B$2,Assumptions!$F$4:$H$4,Assumptions!$F$8:$H$8)</f>
        <v>0.1</v>
      </c>
      <c r="L404" s="12">
        <f>_xlfn.XLOOKUP(Assumptions!$B$2,Assumptions!$F$4:$H$4,Assumptions!$F$9:$H$9)</f>
        <v>0.18</v>
      </c>
      <c r="M404" s="18">
        <f>_xlfn.XLOOKUP(Assumptions!$B$2,Assumptions!$F$4:$H$4,Assumptions!$F$10:$H$10)</f>
        <v>18000</v>
      </c>
      <c r="N404" s="12">
        <f>_xlfn.XLOOKUP(Assumptions!$B$2,Assumptions!$F$4:$H$4,Assumptions!$F$11:$H$11)</f>
        <v>0.3</v>
      </c>
      <c r="O404" s="14">
        <f>Final_Table[[#This Row],[Units Sold]]*Final_Table[[#This Row],[Sale Price]]</f>
        <v>20400</v>
      </c>
      <c r="P404" s="14">
        <f>Final_Table[[#This Row],[Gross Revenue]]*(1-Final_Table[[#This Row],[Discount %]])</f>
        <v>18360</v>
      </c>
      <c r="Q404">
        <f>Final_Table[[#This Row],[Net Revenue]]*Final_Table[[#This Row],[Variable Cost %]]</f>
        <v>3304.7999999999997</v>
      </c>
      <c r="R404">
        <f>Final_Table[[#This Row],[Variable Cost]]+Final_Table[[#This Row],[Fixed Monthly Cost]]</f>
        <v>21304.799999999999</v>
      </c>
      <c r="S404" s="5">
        <f>Final_Table[[#This Row],[Net Revenue]]-Final_Table[[#This Row],[Total Cost (COGS)]]</f>
        <v>-2944.7999999999993</v>
      </c>
      <c r="T404">
        <f>Final_Table[[#This Row],[Gross Profit]]*Final_Table[[#This Row],[Tax Rate]]</f>
        <v>-883.43999999999971</v>
      </c>
      <c r="U404" s="5">
        <f>Final_Table[[#This Row],[Gross Profit]]-Final_Table[[#This Row],[Tax]]</f>
        <v>-2061.3599999999997</v>
      </c>
      <c r="V404" s="12">
        <f>Final_Table[[#This Row],[Net Profit]]/Final_Table[[#This Row],[Gross Revenue]]</f>
        <v>-0.10104705882352939</v>
      </c>
    </row>
    <row r="405" spans="1:22">
      <c r="A405" s="18" t="s">
        <v>69</v>
      </c>
      <c r="B405">
        <v>2013</v>
      </c>
      <c r="C405" t="s">
        <v>121</v>
      </c>
      <c r="D405">
        <v>1</v>
      </c>
      <c r="E405" s="18" t="s">
        <v>29</v>
      </c>
      <c r="F405" s="18" t="s">
        <v>80</v>
      </c>
      <c r="G405" s="18" t="s">
        <v>25</v>
      </c>
      <c r="H405" s="18" t="str">
        <f>Assumptions!$B$2</f>
        <v>Worst</v>
      </c>
      <c r="I405" s="18">
        <f>_xlfn.XLOOKUP(Assumptions!$B$2,Assumptions!$F$4:$H$4,Assumptions!$F$5:$H$5)</f>
        <v>1200</v>
      </c>
      <c r="J405" s="18">
        <f>_xlfn.XLOOKUP(Assumptions!$B$2,Assumptions!$F$4:$H$4,Assumptions!$F$6:$H$6)</f>
        <v>17</v>
      </c>
      <c r="K405" s="12">
        <f>_xlfn.XLOOKUP(Assumptions!$B$2,Assumptions!$F$4:$H$4,Assumptions!$F$8:$H$8)</f>
        <v>0.1</v>
      </c>
      <c r="L405" s="12">
        <f>_xlfn.XLOOKUP(Assumptions!$B$2,Assumptions!$F$4:$H$4,Assumptions!$F$9:$H$9)</f>
        <v>0.18</v>
      </c>
      <c r="M405" s="18">
        <f>_xlfn.XLOOKUP(Assumptions!$B$2,Assumptions!$F$4:$H$4,Assumptions!$F$10:$H$10)</f>
        <v>18000</v>
      </c>
      <c r="N405" s="12">
        <f>_xlfn.XLOOKUP(Assumptions!$B$2,Assumptions!$F$4:$H$4,Assumptions!$F$11:$H$11)</f>
        <v>0.3</v>
      </c>
      <c r="O405" s="14">
        <f>Final_Table[[#This Row],[Units Sold]]*Final_Table[[#This Row],[Sale Price]]</f>
        <v>20400</v>
      </c>
      <c r="P405" s="14">
        <f>Final_Table[[#This Row],[Gross Revenue]]*(1-Final_Table[[#This Row],[Discount %]])</f>
        <v>18360</v>
      </c>
      <c r="Q405">
        <f>Final_Table[[#This Row],[Net Revenue]]*Final_Table[[#This Row],[Variable Cost %]]</f>
        <v>3304.7999999999997</v>
      </c>
      <c r="R405">
        <f>Final_Table[[#This Row],[Variable Cost]]+Final_Table[[#This Row],[Fixed Monthly Cost]]</f>
        <v>21304.799999999999</v>
      </c>
      <c r="S405" s="5">
        <f>Final_Table[[#This Row],[Net Revenue]]-Final_Table[[#This Row],[Total Cost (COGS)]]</f>
        <v>-2944.7999999999993</v>
      </c>
      <c r="T405">
        <f>Final_Table[[#This Row],[Gross Profit]]*Final_Table[[#This Row],[Tax Rate]]</f>
        <v>-883.43999999999971</v>
      </c>
      <c r="U405" s="5">
        <f>Final_Table[[#This Row],[Gross Profit]]-Final_Table[[#This Row],[Tax]]</f>
        <v>-2061.3599999999997</v>
      </c>
      <c r="V405" s="12">
        <f>Final_Table[[#This Row],[Net Profit]]/Final_Table[[#This Row],[Gross Revenue]]</f>
        <v>-0.10104705882352939</v>
      </c>
    </row>
    <row r="406" spans="1:22">
      <c r="A406" s="18" t="s">
        <v>69</v>
      </c>
      <c r="B406">
        <v>2013</v>
      </c>
      <c r="C406" t="s">
        <v>121</v>
      </c>
      <c r="D406">
        <v>1</v>
      </c>
      <c r="E406" s="18" t="s">
        <v>29</v>
      </c>
      <c r="F406" s="18" t="s">
        <v>80</v>
      </c>
      <c r="G406" s="18" t="s">
        <v>17</v>
      </c>
      <c r="H406" s="18" t="str">
        <f>Assumptions!$B$2</f>
        <v>Worst</v>
      </c>
      <c r="I406" s="18">
        <f>_xlfn.XLOOKUP(Assumptions!$B$2,Assumptions!$F$4:$H$4,Assumptions!$F$5:$H$5)</f>
        <v>1200</v>
      </c>
      <c r="J406" s="18">
        <f>_xlfn.XLOOKUP(Assumptions!$B$2,Assumptions!$F$4:$H$4,Assumptions!$F$6:$H$6)</f>
        <v>17</v>
      </c>
      <c r="K406" s="12">
        <f>_xlfn.XLOOKUP(Assumptions!$B$2,Assumptions!$F$4:$H$4,Assumptions!$F$8:$H$8)</f>
        <v>0.1</v>
      </c>
      <c r="L406" s="12">
        <f>_xlfn.XLOOKUP(Assumptions!$B$2,Assumptions!$F$4:$H$4,Assumptions!$F$9:$H$9)</f>
        <v>0.18</v>
      </c>
      <c r="M406" s="18">
        <f>_xlfn.XLOOKUP(Assumptions!$B$2,Assumptions!$F$4:$H$4,Assumptions!$F$10:$H$10)</f>
        <v>18000</v>
      </c>
      <c r="N406" s="12">
        <f>_xlfn.XLOOKUP(Assumptions!$B$2,Assumptions!$F$4:$H$4,Assumptions!$F$11:$H$11)</f>
        <v>0.3</v>
      </c>
      <c r="O406" s="14">
        <f>Final_Table[[#This Row],[Units Sold]]*Final_Table[[#This Row],[Sale Price]]</f>
        <v>20400</v>
      </c>
      <c r="P406" s="14">
        <f>Final_Table[[#This Row],[Gross Revenue]]*(1-Final_Table[[#This Row],[Discount %]])</f>
        <v>18360</v>
      </c>
      <c r="Q406">
        <f>Final_Table[[#This Row],[Net Revenue]]*Final_Table[[#This Row],[Variable Cost %]]</f>
        <v>3304.7999999999997</v>
      </c>
      <c r="R406">
        <f>Final_Table[[#This Row],[Variable Cost]]+Final_Table[[#This Row],[Fixed Monthly Cost]]</f>
        <v>21304.799999999999</v>
      </c>
      <c r="S406" s="5">
        <f>Final_Table[[#This Row],[Net Revenue]]-Final_Table[[#This Row],[Total Cost (COGS)]]</f>
        <v>-2944.7999999999993</v>
      </c>
      <c r="T406">
        <f>Final_Table[[#This Row],[Gross Profit]]*Final_Table[[#This Row],[Tax Rate]]</f>
        <v>-883.43999999999971</v>
      </c>
      <c r="U406" s="5">
        <f>Final_Table[[#This Row],[Gross Profit]]-Final_Table[[#This Row],[Tax]]</f>
        <v>-2061.3599999999997</v>
      </c>
      <c r="V406" s="12">
        <f>Final_Table[[#This Row],[Net Profit]]/Final_Table[[#This Row],[Gross Revenue]]</f>
        <v>-0.10104705882352939</v>
      </c>
    </row>
    <row r="407" spans="1:22">
      <c r="A407" s="18" t="s">
        <v>69</v>
      </c>
      <c r="B407">
        <v>2013</v>
      </c>
      <c r="C407" t="s">
        <v>121</v>
      </c>
      <c r="D407">
        <v>1</v>
      </c>
      <c r="E407" s="18" t="s">
        <v>29</v>
      </c>
      <c r="F407" s="18" t="s">
        <v>108</v>
      </c>
      <c r="G407" s="18" t="s">
        <v>36</v>
      </c>
      <c r="H407" s="18" t="str">
        <f>Assumptions!$B$2</f>
        <v>Worst</v>
      </c>
      <c r="I407" s="18">
        <f>_xlfn.XLOOKUP(Assumptions!$B$2,Assumptions!$F$4:$H$4,Assumptions!$F$5:$H$5)</f>
        <v>1200</v>
      </c>
      <c r="J407" s="18">
        <f>_xlfn.XLOOKUP(Assumptions!$B$2,Assumptions!$F$4:$H$4,Assumptions!$F$6:$H$6)</f>
        <v>17</v>
      </c>
      <c r="K407" s="12">
        <f>_xlfn.XLOOKUP(Assumptions!$B$2,Assumptions!$F$4:$H$4,Assumptions!$F$8:$H$8)</f>
        <v>0.1</v>
      </c>
      <c r="L407" s="12">
        <f>_xlfn.XLOOKUP(Assumptions!$B$2,Assumptions!$F$4:$H$4,Assumptions!$F$9:$H$9)</f>
        <v>0.18</v>
      </c>
      <c r="M407" s="18">
        <f>_xlfn.XLOOKUP(Assumptions!$B$2,Assumptions!$F$4:$H$4,Assumptions!$F$10:$H$10)</f>
        <v>18000</v>
      </c>
      <c r="N407" s="12">
        <f>_xlfn.XLOOKUP(Assumptions!$B$2,Assumptions!$F$4:$H$4,Assumptions!$F$11:$H$11)</f>
        <v>0.3</v>
      </c>
      <c r="O407" s="14">
        <f>Final_Table[[#This Row],[Units Sold]]*Final_Table[[#This Row],[Sale Price]]</f>
        <v>20400</v>
      </c>
      <c r="P407" s="14">
        <f>Final_Table[[#This Row],[Gross Revenue]]*(1-Final_Table[[#This Row],[Discount %]])</f>
        <v>18360</v>
      </c>
      <c r="Q407">
        <f>Final_Table[[#This Row],[Net Revenue]]*Final_Table[[#This Row],[Variable Cost %]]</f>
        <v>3304.7999999999997</v>
      </c>
      <c r="R407">
        <f>Final_Table[[#This Row],[Variable Cost]]+Final_Table[[#This Row],[Fixed Monthly Cost]]</f>
        <v>21304.799999999999</v>
      </c>
      <c r="S407" s="5">
        <f>Final_Table[[#This Row],[Net Revenue]]-Final_Table[[#This Row],[Total Cost (COGS)]]</f>
        <v>-2944.7999999999993</v>
      </c>
      <c r="T407">
        <f>Final_Table[[#This Row],[Gross Profit]]*Final_Table[[#This Row],[Tax Rate]]</f>
        <v>-883.43999999999971</v>
      </c>
      <c r="U407" s="5">
        <f>Final_Table[[#This Row],[Gross Profit]]-Final_Table[[#This Row],[Tax]]</f>
        <v>-2061.3599999999997</v>
      </c>
      <c r="V407" s="12">
        <f>Final_Table[[#This Row],[Net Profit]]/Final_Table[[#This Row],[Gross Revenue]]</f>
        <v>-0.10104705882352939</v>
      </c>
    </row>
    <row r="408" spans="1:22">
      <c r="A408" s="18" t="s">
        <v>69</v>
      </c>
      <c r="B408">
        <v>2013</v>
      </c>
      <c r="C408" t="s">
        <v>121</v>
      </c>
      <c r="D408">
        <v>1</v>
      </c>
      <c r="E408" s="18" t="s">
        <v>29</v>
      </c>
      <c r="F408" s="18" t="s">
        <v>108</v>
      </c>
      <c r="G408" s="18" t="s">
        <v>23</v>
      </c>
      <c r="H408" s="18" t="str">
        <f>Assumptions!$B$2</f>
        <v>Worst</v>
      </c>
      <c r="I408" s="18">
        <f>_xlfn.XLOOKUP(Assumptions!$B$2,Assumptions!$F$4:$H$4,Assumptions!$F$5:$H$5)</f>
        <v>1200</v>
      </c>
      <c r="J408" s="18">
        <f>_xlfn.XLOOKUP(Assumptions!$B$2,Assumptions!$F$4:$H$4,Assumptions!$F$6:$H$6)</f>
        <v>17</v>
      </c>
      <c r="K408" s="12">
        <f>_xlfn.XLOOKUP(Assumptions!$B$2,Assumptions!$F$4:$H$4,Assumptions!$F$8:$H$8)</f>
        <v>0.1</v>
      </c>
      <c r="L408" s="12">
        <f>_xlfn.XLOOKUP(Assumptions!$B$2,Assumptions!$F$4:$H$4,Assumptions!$F$9:$H$9)</f>
        <v>0.18</v>
      </c>
      <c r="M408" s="18">
        <f>_xlfn.XLOOKUP(Assumptions!$B$2,Assumptions!$F$4:$H$4,Assumptions!$F$10:$H$10)</f>
        <v>18000</v>
      </c>
      <c r="N408" s="12">
        <f>_xlfn.XLOOKUP(Assumptions!$B$2,Assumptions!$F$4:$H$4,Assumptions!$F$11:$H$11)</f>
        <v>0.3</v>
      </c>
      <c r="O408" s="14">
        <f>Final_Table[[#This Row],[Units Sold]]*Final_Table[[#This Row],[Sale Price]]</f>
        <v>20400</v>
      </c>
      <c r="P408" s="14">
        <f>Final_Table[[#This Row],[Gross Revenue]]*(1-Final_Table[[#This Row],[Discount %]])</f>
        <v>18360</v>
      </c>
      <c r="Q408">
        <f>Final_Table[[#This Row],[Net Revenue]]*Final_Table[[#This Row],[Variable Cost %]]</f>
        <v>3304.7999999999997</v>
      </c>
      <c r="R408">
        <f>Final_Table[[#This Row],[Variable Cost]]+Final_Table[[#This Row],[Fixed Monthly Cost]]</f>
        <v>21304.799999999999</v>
      </c>
      <c r="S408" s="5">
        <f>Final_Table[[#This Row],[Net Revenue]]-Final_Table[[#This Row],[Total Cost (COGS)]]</f>
        <v>-2944.7999999999993</v>
      </c>
      <c r="T408">
        <f>Final_Table[[#This Row],[Gross Profit]]*Final_Table[[#This Row],[Tax Rate]]</f>
        <v>-883.43999999999971</v>
      </c>
      <c r="U408" s="5">
        <f>Final_Table[[#This Row],[Gross Profit]]-Final_Table[[#This Row],[Tax]]</f>
        <v>-2061.3599999999997</v>
      </c>
      <c r="V408" s="12">
        <f>Final_Table[[#This Row],[Net Profit]]/Final_Table[[#This Row],[Gross Revenue]]</f>
        <v>-0.10104705882352939</v>
      </c>
    </row>
    <row r="409" spans="1:22">
      <c r="A409" s="18" t="s">
        <v>69</v>
      </c>
      <c r="B409">
        <v>2013</v>
      </c>
      <c r="C409" t="s">
        <v>121</v>
      </c>
      <c r="D409">
        <v>1</v>
      </c>
      <c r="E409" s="18" t="s">
        <v>29</v>
      </c>
      <c r="F409" s="18" t="s">
        <v>108</v>
      </c>
      <c r="G409" s="18" t="s">
        <v>21</v>
      </c>
      <c r="H409" s="18" t="str">
        <f>Assumptions!$B$2</f>
        <v>Worst</v>
      </c>
      <c r="I409" s="18">
        <f>_xlfn.XLOOKUP(Assumptions!$B$2,Assumptions!$F$4:$H$4,Assumptions!$F$5:$H$5)</f>
        <v>1200</v>
      </c>
      <c r="J409" s="18">
        <f>_xlfn.XLOOKUP(Assumptions!$B$2,Assumptions!$F$4:$H$4,Assumptions!$F$6:$H$6)</f>
        <v>17</v>
      </c>
      <c r="K409" s="12">
        <f>_xlfn.XLOOKUP(Assumptions!$B$2,Assumptions!$F$4:$H$4,Assumptions!$F$8:$H$8)</f>
        <v>0.1</v>
      </c>
      <c r="L409" s="12">
        <f>_xlfn.XLOOKUP(Assumptions!$B$2,Assumptions!$F$4:$H$4,Assumptions!$F$9:$H$9)</f>
        <v>0.18</v>
      </c>
      <c r="M409" s="18">
        <f>_xlfn.XLOOKUP(Assumptions!$B$2,Assumptions!$F$4:$H$4,Assumptions!$F$10:$H$10)</f>
        <v>18000</v>
      </c>
      <c r="N409" s="12">
        <f>_xlfn.XLOOKUP(Assumptions!$B$2,Assumptions!$F$4:$H$4,Assumptions!$F$11:$H$11)</f>
        <v>0.3</v>
      </c>
      <c r="O409" s="14">
        <f>Final_Table[[#This Row],[Units Sold]]*Final_Table[[#This Row],[Sale Price]]</f>
        <v>20400</v>
      </c>
      <c r="P409" s="14">
        <f>Final_Table[[#This Row],[Gross Revenue]]*(1-Final_Table[[#This Row],[Discount %]])</f>
        <v>18360</v>
      </c>
      <c r="Q409">
        <f>Final_Table[[#This Row],[Net Revenue]]*Final_Table[[#This Row],[Variable Cost %]]</f>
        <v>3304.7999999999997</v>
      </c>
      <c r="R409">
        <f>Final_Table[[#This Row],[Variable Cost]]+Final_Table[[#This Row],[Fixed Monthly Cost]]</f>
        <v>21304.799999999999</v>
      </c>
      <c r="S409" s="5">
        <f>Final_Table[[#This Row],[Net Revenue]]-Final_Table[[#This Row],[Total Cost (COGS)]]</f>
        <v>-2944.7999999999993</v>
      </c>
      <c r="T409">
        <f>Final_Table[[#This Row],[Gross Profit]]*Final_Table[[#This Row],[Tax Rate]]</f>
        <v>-883.43999999999971</v>
      </c>
      <c r="U409" s="5">
        <f>Final_Table[[#This Row],[Gross Profit]]-Final_Table[[#This Row],[Tax]]</f>
        <v>-2061.3599999999997</v>
      </c>
      <c r="V409" s="12">
        <f>Final_Table[[#This Row],[Net Profit]]/Final_Table[[#This Row],[Gross Revenue]]</f>
        <v>-0.10104705882352939</v>
      </c>
    </row>
    <row r="410" spans="1:22">
      <c r="A410" s="18" t="s">
        <v>69</v>
      </c>
      <c r="B410">
        <v>2013</v>
      </c>
      <c r="C410" t="s">
        <v>121</v>
      </c>
      <c r="D410">
        <v>1</v>
      </c>
      <c r="E410" s="18" t="s">
        <v>29</v>
      </c>
      <c r="F410" s="18" t="s">
        <v>108</v>
      </c>
      <c r="G410" s="18" t="s">
        <v>25</v>
      </c>
      <c r="H410" s="18" t="str">
        <f>Assumptions!$B$2</f>
        <v>Worst</v>
      </c>
      <c r="I410" s="18">
        <f>_xlfn.XLOOKUP(Assumptions!$B$2,Assumptions!$F$4:$H$4,Assumptions!$F$5:$H$5)</f>
        <v>1200</v>
      </c>
      <c r="J410" s="18">
        <f>_xlfn.XLOOKUP(Assumptions!$B$2,Assumptions!$F$4:$H$4,Assumptions!$F$6:$H$6)</f>
        <v>17</v>
      </c>
      <c r="K410" s="12">
        <f>_xlfn.XLOOKUP(Assumptions!$B$2,Assumptions!$F$4:$H$4,Assumptions!$F$8:$H$8)</f>
        <v>0.1</v>
      </c>
      <c r="L410" s="12">
        <f>_xlfn.XLOOKUP(Assumptions!$B$2,Assumptions!$F$4:$H$4,Assumptions!$F$9:$H$9)</f>
        <v>0.18</v>
      </c>
      <c r="M410" s="18">
        <f>_xlfn.XLOOKUP(Assumptions!$B$2,Assumptions!$F$4:$H$4,Assumptions!$F$10:$H$10)</f>
        <v>18000</v>
      </c>
      <c r="N410" s="12">
        <f>_xlfn.XLOOKUP(Assumptions!$B$2,Assumptions!$F$4:$H$4,Assumptions!$F$11:$H$11)</f>
        <v>0.3</v>
      </c>
      <c r="O410" s="14">
        <f>Final_Table[[#This Row],[Units Sold]]*Final_Table[[#This Row],[Sale Price]]</f>
        <v>20400</v>
      </c>
      <c r="P410" s="14">
        <f>Final_Table[[#This Row],[Gross Revenue]]*(1-Final_Table[[#This Row],[Discount %]])</f>
        <v>18360</v>
      </c>
      <c r="Q410">
        <f>Final_Table[[#This Row],[Net Revenue]]*Final_Table[[#This Row],[Variable Cost %]]</f>
        <v>3304.7999999999997</v>
      </c>
      <c r="R410">
        <f>Final_Table[[#This Row],[Variable Cost]]+Final_Table[[#This Row],[Fixed Monthly Cost]]</f>
        <v>21304.799999999999</v>
      </c>
      <c r="S410" s="5">
        <f>Final_Table[[#This Row],[Net Revenue]]-Final_Table[[#This Row],[Total Cost (COGS)]]</f>
        <v>-2944.7999999999993</v>
      </c>
      <c r="T410">
        <f>Final_Table[[#This Row],[Gross Profit]]*Final_Table[[#This Row],[Tax Rate]]</f>
        <v>-883.43999999999971</v>
      </c>
      <c r="U410" s="5">
        <f>Final_Table[[#This Row],[Gross Profit]]-Final_Table[[#This Row],[Tax]]</f>
        <v>-2061.3599999999997</v>
      </c>
      <c r="V410" s="12">
        <f>Final_Table[[#This Row],[Net Profit]]/Final_Table[[#This Row],[Gross Revenue]]</f>
        <v>-0.10104705882352939</v>
      </c>
    </row>
    <row r="411" spans="1:22">
      <c r="A411" s="18" t="s">
        <v>69</v>
      </c>
      <c r="B411">
        <v>2013</v>
      </c>
      <c r="C411" t="s">
        <v>121</v>
      </c>
      <c r="D411">
        <v>1</v>
      </c>
      <c r="E411" s="18" t="s">
        <v>29</v>
      </c>
      <c r="F411" s="18" t="s">
        <v>108</v>
      </c>
      <c r="G411" s="18" t="s">
        <v>17</v>
      </c>
      <c r="H411" s="18" t="str">
        <f>Assumptions!$B$2</f>
        <v>Worst</v>
      </c>
      <c r="I411" s="18">
        <f>_xlfn.XLOOKUP(Assumptions!$B$2,Assumptions!$F$4:$H$4,Assumptions!$F$5:$H$5)</f>
        <v>1200</v>
      </c>
      <c r="J411" s="18">
        <f>_xlfn.XLOOKUP(Assumptions!$B$2,Assumptions!$F$4:$H$4,Assumptions!$F$6:$H$6)</f>
        <v>17</v>
      </c>
      <c r="K411" s="12">
        <f>_xlfn.XLOOKUP(Assumptions!$B$2,Assumptions!$F$4:$H$4,Assumptions!$F$8:$H$8)</f>
        <v>0.1</v>
      </c>
      <c r="L411" s="12">
        <f>_xlfn.XLOOKUP(Assumptions!$B$2,Assumptions!$F$4:$H$4,Assumptions!$F$9:$H$9)</f>
        <v>0.18</v>
      </c>
      <c r="M411" s="18">
        <f>_xlfn.XLOOKUP(Assumptions!$B$2,Assumptions!$F$4:$H$4,Assumptions!$F$10:$H$10)</f>
        <v>18000</v>
      </c>
      <c r="N411" s="12">
        <f>_xlfn.XLOOKUP(Assumptions!$B$2,Assumptions!$F$4:$H$4,Assumptions!$F$11:$H$11)</f>
        <v>0.3</v>
      </c>
      <c r="O411" s="14">
        <f>Final_Table[[#This Row],[Units Sold]]*Final_Table[[#This Row],[Sale Price]]</f>
        <v>20400</v>
      </c>
      <c r="P411" s="14">
        <f>Final_Table[[#This Row],[Gross Revenue]]*(1-Final_Table[[#This Row],[Discount %]])</f>
        <v>18360</v>
      </c>
      <c r="Q411">
        <f>Final_Table[[#This Row],[Net Revenue]]*Final_Table[[#This Row],[Variable Cost %]]</f>
        <v>3304.7999999999997</v>
      </c>
      <c r="R411">
        <f>Final_Table[[#This Row],[Variable Cost]]+Final_Table[[#This Row],[Fixed Monthly Cost]]</f>
        <v>21304.799999999999</v>
      </c>
      <c r="S411" s="5">
        <f>Final_Table[[#This Row],[Net Revenue]]-Final_Table[[#This Row],[Total Cost (COGS)]]</f>
        <v>-2944.7999999999993</v>
      </c>
      <c r="T411">
        <f>Final_Table[[#This Row],[Gross Profit]]*Final_Table[[#This Row],[Tax Rate]]</f>
        <v>-883.43999999999971</v>
      </c>
      <c r="U411" s="5">
        <f>Final_Table[[#This Row],[Gross Profit]]-Final_Table[[#This Row],[Tax]]</f>
        <v>-2061.3599999999997</v>
      </c>
      <c r="V411" s="12">
        <f>Final_Table[[#This Row],[Net Profit]]/Final_Table[[#This Row],[Gross Revenue]]</f>
        <v>-0.10104705882352939</v>
      </c>
    </row>
    <row r="412" spans="1:22">
      <c r="A412" s="18" t="s">
        <v>69</v>
      </c>
      <c r="B412">
        <v>2013</v>
      </c>
      <c r="C412" t="s">
        <v>121</v>
      </c>
      <c r="D412">
        <v>1</v>
      </c>
      <c r="E412" s="18" t="s">
        <v>29</v>
      </c>
      <c r="F412" s="18" t="s">
        <v>112</v>
      </c>
      <c r="G412" s="18" t="s">
        <v>36</v>
      </c>
      <c r="H412" s="18" t="str">
        <f>Assumptions!$B$2</f>
        <v>Worst</v>
      </c>
      <c r="I412" s="18">
        <f>_xlfn.XLOOKUP(Assumptions!$B$2,Assumptions!$F$4:$H$4,Assumptions!$F$5:$H$5)</f>
        <v>1200</v>
      </c>
      <c r="J412" s="18">
        <f>_xlfn.XLOOKUP(Assumptions!$B$2,Assumptions!$F$4:$H$4,Assumptions!$F$6:$H$6)</f>
        <v>17</v>
      </c>
      <c r="K412" s="12">
        <f>_xlfn.XLOOKUP(Assumptions!$B$2,Assumptions!$F$4:$H$4,Assumptions!$F$8:$H$8)</f>
        <v>0.1</v>
      </c>
      <c r="L412" s="12">
        <f>_xlfn.XLOOKUP(Assumptions!$B$2,Assumptions!$F$4:$H$4,Assumptions!$F$9:$H$9)</f>
        <v>0.18</v>
      </c>
      <c r="M412" s="18">
        <f>_xlfn.XLOOKUP(Assumptions!$B$2,Assumptions!$F$4:$H$4,Assumptions!$F$10:$H$10)</f>
        <v>18000</v>
      </c>
      <c r="N412" s="12">
        <f>_xlfn.XLOOKUP(Assumptions!$B$2,Assumptions!$F$4:$H$4,Assumptions!$F$11:$H$11)</f>
        <v>0.3</v>
      </c>
      <c r="O412" s="14">
        <f>Final_Table[[#This Row],[Units Sold]]*Final_Table[[#This Row],[Sale Price]]</f>
        <v>20400</v>
      </c>
      <c r="P412" s="14">
        <f>Final_Table[[#This Row],[Gross Revenue]]*(1-Final_Table[[#This Row],[Discount %]])</f>
        <v>18360</v>
      </c>
      <c r="Q412">
        <f>Final_Table[[#This Row],[Net Revenue]]*Final_Table[[#This Row],[Variable Cost %]]</f>
        <v>3304.7999999999997</v>
      </c>
      <c r="R412">
        <f>Final_Table[[#This Row],[Variable Cost]]+Final_Table[[#This Row],[Fixed Monthly Cost]]</f>
        <v>21304.799999999999</v>
      </c>
      <c r="S412" s="5">
        <f>Final_Table[[#This Row],[Net Revenue]]-Final_Table[[#This Row],[Total Cost (COGS)]]</f>
        <v>-2944.7999999999993</v>
      </c>
      <c r="T412">
        <f>Final_Table[[#This Row],[Gross Profit]]*Final_Table[[#This Row],[Tax Rate]]</f>
        <v>-883.43999999999971</v>
      </c>
      <c r="U412" s="5">
        <f>Final_Table[[#This Row],[Gross Profit]]-Final_Table[[#This Row],[Tax]]</f>
        <v>-2061.3599999999997</v>
      </c>
      <c r="V412" s="12">
        <f>Final_Table[[#This Row],[Net Profit]]/Final_Table[[#This Row],[Gross Revenue]]</f>
        <v>-0.10104705882352939</v>
      </c>
    </row>
    <row r="413" spans="1:22">
      <c r="A413" s="18" t="s">
        <v>69</v>
      </c>
      <c r="B413">
        <v>2013</v>
      </c>
      <c r="C413" t="s">
        <v>121</v>
      </c>
      <c r="D413">
        <v>1</v>
      </c>
      <c r="E413" s="18" t="s">
        <v>29</v>
      </c>
      <c r="F413" s="18" t="s">
        <v>112</v>
      </c>
      <c r="G413" s="18" t="s">
        <v>23</v>
      </c>
      <c r="H413" s="18" t="str">
        <f>Assumptions!$B$2</f>
        <v>Worst</v>
      </c>
      <c r="I413" s="18">
        <f>_xlfn.XLOOKUP(Assumptions!$B$2,Assumptions!$F$4:$H$4,Assumptions!$F$5:$H$5)</f>
        <v>1200</v>
      </c>
      <c r="J413" s="18">
        <f>_xlfn.XLOOKUP(Assumptions!$B$2,Assumptions!$F$4:$H$4,Assumptions!$F$6:$H$6)</f>
        <v>17</v>
      </c>
      <c r="K413" s="12">
        <f>_xlfn.XLOOKUP(Assumptions!$B$2,Assumptions!$F$4:$H$4,Assumptions!$F$8:$H$8)</f>
        <v>0.1</v>
      </c>
      <c r="L413" s="12">
        <f>_xlfn.XLOOKUP(Assumptions!$B$2,Assumptions!$F$4:$H$4,Assumptions!$F$9:$H$9)</f>
        <v>0.18</v>
      </c>
      <c r="M413" s="18">
        <f>_xlfn.XLOOKUP(Assumptions!$B$2,Assumptions!$F$4:$H$4,Assumptions!$F$10:$H$10)</f>
        <v>18000</v>
      </c>
      <c r="N413" s="12">
        <f>_xlfn.XLOOKUP(Assumptions!$B$2,Assumptions!$F$4:$H$4,Assumptions!$F$11:$H$11)</f>
        <v>0.3</v>
      </c>
      <c r="O413" s="14">
        <f>Final_Table[[#This Row],[Units Sold]]*Final_Table[[#This Row],[Sale Price]]</f>
        <v>20400</v>
      </c>
      <c r="P413" s="14">
        <f>Final_Table[[#This Row],[Gross Revenue]]*(1-Final_Table[[#This Row],[Discount %]])</f>
        <v>18360</v>
      </c>
      <c r="Q413">
        <f>Final_Table[[#This Row],[Net Revenue]]*Final_Table[[#This Row],[Variable Cost %]]</f>
        <v>3304.7999999999997</v>
      </c>
      <c r="R413">
        <f>Final_Table[[#This Row],[Variable Cost]]+Final_Table[[#This Row],[Fixed Monthly Cost]]</f>
        <v>21304.799999999999</v>
      </c>
      <c r="S413" s="5">
        <f>Final_Table[[#This Row],[Net Revenue]]-Final_Table[[#This Row],[Total Cost (COGS)]]</f>
        <v>-2944.7999999999993</v>
      </c>
      <c r="T413">
        <f>Final_Table[[#This Row],[Gross Profit]]*Final_Table[[#This Row],[Tax Rate]]</f>
        <v>-883.43999999999971</v>
      </c>
      <c r="U413" s="5">
        <f>Final_Table[[#This Row],[Gross Profit]]-Final_Table[[#This Row],[Tax]]</f>
        <v>-2061.3599999999997</v>
      </c>
      <c r="V413" s="12">
        <f>Final_Table[[#This Row],[Net Profit]]/Final_Table[[#This Row],[Gross Revenue]]</f>
        <v>-0.10104705882352939</v>
      </c>
    </row>
    <row r="414" spans="1:22">
      <c r="A414" s="18" t="s">
        <v>69</v>
      </c>
      <c r="B414">
        <v>2013</v>
      </c>
      <c r="C414" t="s">
        <v>121</v>
      </c>
      <c r="D414">
        <v>1</v>
      </c>
      <c r="E414" s="18" t="s">
        <v>29</v>
      </c>
      <c r="F414" s="18" t="s">
        <v>112</v>
      </c>
      <c r="G414" s="18" t="s">
        <v>21</v>
      </c>
      <c r="H414" s="18" t="str">
        <f>Assumptions!$B$2</f>
        <v>Worst</v>
      </c>
      <c r="I414" s="18">
        <f>_xlfn.XLOOKUP(Assumptions!$B$2,Assumptions!$F$4:$H$4,Assumptions!$F$5:$H$5)</f>
        <v>1200</v>
      </c>
      <c r="J414" s="18">
        <f>_xlfn.XLOOKUP(Assumptions!$B$2,Assumptions!$F$4:$H$4,Assumptions!$F$6:$H$6)</f>
        <v>17</v>
      </c>
      <c r="K414" s="12">
        <f>_xlfn.XLOOKUP(Assumptions!$B$2,Assumptions!$F$4:$H$4,Assumptions!$F$8:$H$8)</f>
        <v>0.1</v>
      </c>
      <c r="L414" s="12">
        <f>_xlfn.XLOOKUP(Assumptions!$B$2,Assumptions!$F$4:$H$4,Assumptions!$F$9:$H$9)</f>
        <v>0.18</v>
      </c>
      <c r="M414" s="18">
        <f>_xlfn.XLOOKUP(Assumptions!$B$2,Assumptions!$F$4:$H$4,Assumptions!$F$10:$H$10)</f>
        <v>18000</v>
      </c>
      <c r="N414" s="12">
        <f>_xlfn.XLOOKUP(Assumptions!$B$2,Assumptions!$F$4:$H$4,Assumptions!$F$11:$H$11)</f>
        <v>0.3</v>
      </c>
      <c r="O414" s="14">
        <f>Final_Table[[#This Row],[Units Sold]]*Final_Table[[#This Row],[Sale Price]]</f>
        <v>20400</v>
      </c>
      <c r="P414" s="14">
        <f>Final_Table[[#This Row],[Gross Revenue]]*(1-Final_Table[[#This Row],[Discount %]])</f>
        <v>18360</v>
      </c>
      <c r="Q414">
        <f>Final_Table[[#This Row],[Net Revenue]]*Final_Table[[#This Row],[Variable Cost %]]</f>
        <v>3304.7999999999997</v>
      </c>
      <c r="R414">
        <f>Final_Table[[#This Row],[Variable Cost]]+Final_Table[[#This Row],[Fixed Monthly Cost]]</f>
        <v>21304.799999999999</v>
      </c>
      <c r="S414" s="5">
        <f>Final_Table[[#This Row],[Net Revenue]]-Final_Table[[#This Row],[Total Cost (COGS)]]</f>
        <v>-2944.7999999999993</v>
      </c>
      <c r="T414">
        <f>Final_Table[[#This Row],[Gross Profit]]*Final_Table[[#This Row],[Tax Rate]]</f>
        <v>-883.43999999999971</v>
      </c>
      <c r="U414" s="5">
        <f>Final_Table[[#This Row],[Gross Profit]]-Final_Table[[#This Row],[Tax]]</f>
        <v>-2061.3599999999997</v>
      </c>
      <c r="V414" s="12">
        <f>Final_Table[[#This Row],[Net Profit]]/Final_Table[[#This Row],[Gross Revenue]]</f>
        <v>-0.10104705882352939</v>
      </c>
    </row>
    <row r="415" spans="1:22">
      <c r="A415" s="18" t="s">
        <v>69</v>
      </c>
      <c r="B415">
        <v>2013</v>
      </c>
      <c r="C415" t="s">
        <v>121</v>
      </c>
      <c r="D415">
        <v>1</v>
      </c>
      <c r="E415" s="18" t="s">
        <v>29</v>
      </c>
      <c r="F415" s="18" t="s">
        <v>112</v>
      </c>
      <c r="G415" s="18" t="s">
        <v>25</v>
      </c>
      <c r="H415" s="18" t="str">
        <f>Assumptions!$B$2</f>
        <v>Worst</v>
      </c>
      <c r="I415" s="18">
        <f>_xlfn.XLOOKUP(Assumptions!$B$2,Assumptions!$F$4:$H$4,Assumptions!$F$5:$H$5)</f>
        <v>1200</v>
      </c>
      <c r="J415" s="18">
        <f>_xlfn.XLOOKUP(Assumptions!$B$2,Assumptions!$F$4:$H$4,Assumptions!$F$6:$H$6)</f>
        <v>17</v>
      </c>
      <c r="K415" s="12">
        <f>_xlfn.XLOOKUP(Assumptions!$B$2,Assumptions!$F$4:$H$4,Assumptions!$F$8:$H$8)</f>
        <v>0.1</v>
      </c>
      <c r="L415" s="12">
        <f>_xlfn.XLOOKUP(Assumptions!$B$2,Assumptions!$F$4:$H$4,Assumptions!$F$9:$H$9)</f>
        <v>0.18</v>
      </c>
      <c r="M415" s="18">
        <f>_xlfn.XLOOKUP(Assumptions!$B$2,Assumptions!$F$4:$H$4,Assumptions!$F$10:$H$10)</f>
        <v>18000</v>
      </c>
      <c r="N415" s="12">
        <f>_xlfn.XLOOKUP(Assumptions!$B$2,Assumptions!$F$4:$H$4,Assumptions!$F$11:$H$11)</f>
        <v>0.3</v>
      </c>
      <c r="O415" s="14">
        <f>Final_Table[[#This Row],[Units Sold]]*Final_Table[[#This Row],[Sale Price]]</f>
        <v>20400</v>
      </c>
      <c r="P415" s="14">
        <f>Final_Table[[#This Row],[Gross Revenue]]*(1-Final_Table[[#This Row],[Discount %]])</f>
        <v>18360</v>
      </c>
      <c r="Q415">
        <f>Final_Table[[#This Row],[Net Revenue]]*Final_Table[[#This Row],[Variable Cost %]]</f>
        <v>3304.7999999999997</v>
      </c>
      <c r="R415">
        <f>Final_Table[[#This Row],[Variable Cost]]+Final_Table[[#This Row],[Fixed Monthly Cost]]</f>
        <v>21304.799999999999</v>
      </c>
      <c r="S415" s="5">
        <f>Final_Table[[#This Row],[Net Revenue]]-Final_Table[[#This Row],[Total Cost (COGS)]]</f>
        <v>-2944.7999999999993</v>
      </c>
      <c r="T415">
        <f>Final_Table[[#This Row],[Gross Profit]]*Final_Table[[#This Row],[Tax Rate]]</f>
        <v>-883.43999999999971</v>
      </c>
      <c r="U415" s="5">
        <f>Final_Table[[#This Row],[Gross Profit]]-Final_Table[[#This Row],[Tax]]</f>
        <v>-2061.3599999999997</v>
      </c>
      <c r="V415" s="12">
        <f>Final_Table[[#This Row],[Net Profit]]/Final_Table[[#This Row],[Gross Revenue]]</f>
        <v>-0.10104705882352939</v>
      </c>
    </row>
    <row r="416" spans="1:22">
      <c r="A416" s="18" t="s">
        <v>69</v>
      </c>
      <c r="B416">
        <v>2013</v>
      </c>
      <c r="C416" t="s">
        <v>121</v>
      </c>
      <c r="D416">
        <v>1</v>
      </c>
      <c r="E416" s="18" t="s">
        <v>29</v>
      </c>
      <c r="F416" s="18" t="s">
        <v>112</v>
      </c>
      <c r="G416" s="18" t="s">
        <v>17</v>
      </c>
      <c r="H416" s="18" t="str">
        <f>Assumptions!$B$2</f>
        <v>Worst</v>
      </c>
      <c r="I416" s="18">
        <f>_xlfn.XLOOKUP(Assumptions!$B$2,Assumptions!$F$4:$H$4,Assumptions!$F$5:$H$5)</f>
        <v>1200</v>
      </c>
      <c r="J416" s="18">
        <f>_xlfn.XLOOKUP(Assumptions!$B$2,Assumptions!$F$4:$H$4,Assumptions!$F$6:$H$6)</f>
        <v>17</v>
      </c>
      <c r="K416" s="12">
        <f>_xlfn.XLOOKUP(Assumptions!$B$2,Assumptions!$F$4:$H$4,Assumptions!$F$8:$H$8)</f>
        <v>0.1</v>
      </c>
      <c r="L416" s="12">
        <f>_xlfn.XLOOKUP(Assumptions!$B$2,Assumptions!$F$4:$H$4,Assumptions!$F$9:$H$9)</f>
        <v>0.18</v>
      </c>
      <c r="M416" s="18">
        <f>_xlfn.XLOOKUP(Assumptions!$B$2,Assumptions!$F$4:$H$4,Assumptions!$F$10:$H$10)</f>
        <v>18000</v>
      </c>
      <c r="N416" s="12">
        <f>_xlfn.XLOOKUP(Assumptions!$B$2,Assumptions!$F$4:$H$4,Assumptions!$F$11:$H$11)</f>
        <v>0.3</v>
      </c>
      <c r="O416" s="14">
        <f>Final_Table[[#This Row],[Units Sold]]*Final_Table[[#This Row],[Sale Price]]</f>
        <v>20400</v>
      </c>
      <c r="P416" s="14">
        <f>Final_Table[[#This Row],[Gross Revenue]]*(1-Final_Table[[#This Row],[Discount %]])</f>
        <v>18360</v>
      </c>
      <c r="Q416">
        <f>Final_Table[[#This Row],[Net Revenue]]*Final_Table[[#This Row],[Variable Cost %]]</f>
        <v>3304.7999999999997</v>
      </c>
      <c r="R416">
        <f>Final_Table[[#This Row],[Variable Cost]]+Final_Table[[#This Row],[Fixed Monthly Cost]]</f>
        <v>21304.799999999999</v>
      </c>
      <c r="S416" s="5">
        <f>Final_Table[[#This Row],[Net Revenue]]-Final_Table[[#This Row],[Total Cost (COGS)]]</f>
        <v>-2944.7999999999993</v>
      </c>
      <c r="T416">
        <f>Final_Table[[#This Row],[Gross Profit]]*Final_Table[[#This Row],[Tax Rate]]</f>
        <v>-883.43999999999971</v>
      </c>
      <c r="U416" s="5">
        <f>Final_Table[[#This Row],[Gross Profit]]-Final_Table[[#This Row],[Tax]]</f>
        <v>-2061.3599999999997</v>
      </c>
      <c r="V416" s="12">
        <f>Final_Table[[#This Row],[Net Profit]]/Final_Table[[#This Row],[Gross Revenue]]</f>
        <v>-0.10104705882352939</v>
      </c>
    </row>
    <row r="417" spans="1:22">
      <c r="A417" s="18" t="s">
        <v>69</v>
      </c>
      <c r="B417">
        <v>2013</v>
      </c>
      <c r="C417" t="s">
        <v>121</v>
      </c>
      <c r="D417">
        <v>1</v>
      </c>
      <c r="E417" s="18" t="s">
        <v>29</v>
      </c>
      <c r="F417" s="18" t="s">
        <v>113</v>
      </c>
      <c r="G417" s="18" t="s">
        <v>36</v>
      </c>
      <c r="H417" s="18" t="str">
        <f>Assumptions!$B$2</f>
        <v>Worst</v>
      </c>
      <c r="I417" s="18">
        <f>_xlfn.XLOOKUP(Assumptions!$B$2,Assumptions!$F$4:$H$4,Assumptions!$F$5:$H$5)</f>
        <v>1200</v>
      </c>
      <c r="J417" s="18">
        <f>_xlfn.XLOOKUP(Assumptions!$B$2,Assumptions!$F$4:$H$4,Assumptions!$F$6:$H$6)</f>
        <v>17</v>
      </c>
      <c r="K417" s="12">
        <f>_xlfn.XLOOKUP(Assumptions!$B$2,Assumptions!$F$4:$H$4,Assumptions!$F$8:$H$8)</f>
        <v>0.1</v>
      </c>
      <c r="L417" s="12">
        <f>_xlfn.XLOOKUP(Assumptions!$B$2,Assumptions!$F$4:$H$4,Assumptions!$F$9:$H$9)</f>
        <v>0.18</v>
      </c>
      <c r="M417" s="18">
        <f>_xlfn.XLOOKUP(Assumptions!$B$2,Assumptions!$F$4:$H$4,Assumptions!$F$10:$H$10)</f>
        <v>18000</v>
      </c>
      <c r="N417" s="12">
        <f>_xlfn.XLOOKUP(Assumptions!$B$2,Assumptions!$F$4:$H$4,Assumptions!$F$11:$H$11)</f>
        <v>0.3</v>
      </c>
      <c r="O417" s="14">
        <f>Final_Table[[#This Row],[Units Sold]]*Final_Table[[#This Row],[Sale Price]]</f>
        <v>20400</v>
      </c>
      <c r="P417" s="14">
        <f>Final_Table[[#This Row],[Gross Revenue]]*(1-Final_Table[[#This Row],[Discount %]])</f>
        <v>18360</v>
      </c>
      <c r="Q417">
        <f>Final_Table[[#This Row],[Net Revenue]]*Final_Table[[#This Row],[Variable Cost %]]</f>
        <v>3304.7999999999997</v>
      </c>
      <c r="R417">
        <f>Final_Table[[#This Row],[Variable Cost]]+Final_Table[[#This Row],[Fixed Monthly Cost]]</f>
        <v>21304.799999999999</v>
      </c>
      <c r="S417" s="5">
        <f>Final_Table[[#This Row],[Net Revenue]]-Final_Table[[#This Row],[Total Cost (COGS)]]</f>
        <v>-2944.7999999999993</v>
      </c>
      <c r="T417">
        <f>Final_Table[[#This Row],[Gross Profit]]*Final_Table[[#This Row],[Tax Rate]]</f>
        <v>-883.43999999999971</v>
      </c>
      <c r="U417" s="5">
        <f>Final_Table[[#This Row],[Gross Profit]]-Final_Table[[#This Row],[Tax]]</f>
        <v>-2061.3599999999997</v>
      </c>
      <c r="V417" s="12">
        <f>Final_Table[[#This Row],[Net Profit]]/Final_Table[[#This Row],[Gross Revenue]]</f>
        <v>-0.10104705882352939</v>
      </c>
    </row>
    <row r="418" spans="1:22">
      <c r="A418" s="18" t="s">
        <v>69</v>
      </c>
      <c r="B418">
        <v>2013</v>
      </c>
      <c r="C418" t="s">
        <v>121</v>
      </c>
      <c r="D418">
        <v>1</v>
      </c>
      <c r="E418" s="18" t="s">
        <v>29</v>
      </c>
      <c r="F418" s="18" t="s">
        <v>113</v>
      </c>
      <c r="G418" s="18" t="s">
        <v>23</v>
      </c>
      <c r="H418" s="18" t="str">
        <f>Assumptions!$B$2</f>
        <v>Worst</v>
      </c>
      <c r="I418" s="18">
        <f>_xlfn.XLOOKUP(Assumptions!$B$2,Assumptions!$F$4:$H$4,Assumptions!$F$5:$H$5)</f>
        <v>1200</v>
      </c>
      <c r="J418" s="18">
        <f>_xlfn.XLOOKUP(Assumptions!$B$2,Assumptions!$F$4:$H$4,Assumptions!$F$6:$H$6)</f>
        <v>17</v>
      </c>
      <c r="K418" s="12">
        <f>_xlfn.XLOOKUP(Assumptions!$B$2,Assumptions!$F$4:$H$4,Assumptions!$F$8:$H$8)</f>
        <v>0.1</v>
      </c>
      <c r="L418" s="12">
        <f>_xlfn.XLOOKUP(Assumptions!$B$2,Assumptions!$F$4:$H$4,Assumptions!$F$9:$H$9)</f>
        <v>0.18</v>
      </c>
      <c r="M418" s="18">
        <f>_xlfn.XLOOKUP(Assumptions!$B$2,Assumptions!$F$4:$H$4,Assumptions!$F$10:$H$10)</f>
        <v>18000</v>
      </c>
      <c r="N418" s="12">
        <f>_xlfn.XLOOKUP(Assumptions!$B$2,Assumptions!$F$4:$H$4,Assumptions!$F$11:$H$11)</f>
        <v>0.3</v>
      </c>
      <c r="O418" s="14">
        <f>Final_Table[[#This Row],[Units Sold]]*Final_Table[[#This Row],[Sale Price]]</f>
        <v>20400</v>
      </c>
      <c r="P418" s="14">
        <f>Final_Table[[#This Row],[Gross Revenue]]*(1-Final_Table[[#This Row],[Discount %]])</f>
        <v>18360</v>
      </c>
      <c r="Q418">
        <f>Final_Table[[#This Row],[Net Revenue]]*Final_Table[[#This Row],[Variable Cost %]]</f>
        <v>3304.7999999999997</v>
      </c>
      <c r="R418">
        <f>Final_Table[[#This Row],[Variable Cost]]+Final_Table[[#This Row],[Fixed Monthly Cost]]</f>
        <v>21304.799999999999</v>
      </c>
      <c r="S418" s="5">
        <f>Final_Table[[#This Row],[Net Revenue]]-Final_Table[[#This Row],[Total Cost (COGS)]]</f>
        <v>-2944.7999999999993</v>
      </c>
      <c r="T418">
        <f>Final_Table[[#This Row],[Gross Profit]]*Final_Table[[#This Row],[Tax Rate]]</f>
        <v>-883.43999999999971</v>
      </c>
      <c r="U418" s="5">
        <f>Final_Table[[#This Row],[Gross Profit]]-Final_Table[[#This Row],[Tax]]</f>
        <v>-2061.3599999999997</v>
      </c>
      <c r="V418" s="12">
        <f>Final_Table[[#This Row],[Net Profit]]/Final_Table[[#This Row],[Gross Revenue]]</f>
        <v>-0.10104705882352939</v>
      </c>
    </row>
    <row r="419" spans="1:22">
      <c r="A419" s="18" t="s">
        <v>69</v>
      </c>
      <c r="B419">
        <v>2013</v>
      </c>
      <c r="C419" t="s">
        <v>121</v>
      </c>
      <c r="D419">
        <v>1</v>
      </c>
      <c r="E419" s="18" t="s">
        <v>29</v>
      </c>
      <c r="F419" s="18" t="s">
        <v>113</v>
      </c>
      <c r="G419" s="18" t="s">
        <v>21</v>
      </c>
      <c r="H419" s="18" t="str">
        <f>Assumptions!$B$2</f>
        <v>Worst</v>
      </c>
      <c r="I419" s="18">
        <f>_xlfn.XLOOKUP(Assumptions!$B$2,Assumptions!$F$4:$H$4,Assumptions!$F$5:$H$5)</f>
        <v>1200</v>
      </c>
      <c r="J419" s="18">
        <f>_xlfn.XLOOKUP(Assumptions!$B$2,Assumptions!$F$4:$H$4,Assumptions!$F$6:$H$6)</f>
        <v>17</v>
      </c>
      <c r="K419" s="12">
        <f>_xlfn.XLOOKUP(Assumptions!$B$2,Assumptions!$F$4:$H$4,Assumptions!$F$8:$H$8)</f>
        <v>0.1</v>
      </c>
      <c r="L419" s="12">
        <f>_xlfn.XLOOKUP(Assumptions!$B$2,Assumptions!$F$4:$H$4,Assumptions!$F$9:$H$9)</f>
        <v>0.18</v>
      </c>
      <c r="M419" s="18">
        <f>_xlfn.XLOOKUP(Assumptions!$B$2,Assumptions!$F$4:$H$4,Assumptions!$F$10:$H$10)</f>
        <v>18000</v>
      </c>
      <c r="N419" s="12">
        <f>_xlfn.XLOOKUP(Assumptions!$B$2,Assumptions!$F$4:$H$4,Assumptions!$F$11:$H$11)</f>
        <v>0.3</v>
      </c>
      <c r="O419" s="14">
        <f>Final_Table[[#This Row],[Units Sold]]*Final_Table[[#This Row],[Sale Price]]</f>
        <v>20400</v>
      </c>
      <c r="P419" s="14">
        <f>Final_Table[[#This Row],[Gross Revenue]]*(1-Final_Table[[#This Row],[Discount %]])</f>
        <v>18360</v>
      </c>
      <c r="Q419">
        <f>Final_Table[[#This Row],[Net Revenue]]*Final_Table[[#This Row],[Variable Cost %]]</f>
        <v>3304.7999999999997</v>
      </c>
      <c r="R419">
        <f>Final_Table[[#This Row],[Variable Cost]]+Final_Table[[#This Row],[Fixed Monthly Cost]]</f>
        <v>21304.799999999999</v>
      </c>
      <c r="S419" s="5">
        <f>Final_Table[[#This Row],[Net Revenue]]-Final_Table[[#This Row],[Total Cost (COGS)]]</f>
        <v>-2944.7999999999993</v>
      </c>
      <c r="T419">
        <f>Final_Table[[#This Row],[Gross Profit]]*Final_Table[[#This Row],[Tax Rate]]</f>
        <v>-883.43999999999971</v>
      </c>
      <c r="U419" s="5">
        <f>Final_Table[[#This Row],[Gross Profit]]-Final_Table[[#This Row],[Tax]]</f>
        <v>-2061.3599999999997</v>
      </c>
      <c r="V419" s="12">
        <f>Final_Table[[#This Row],[Net Profit]]/Final_Table[[#This Row],[Gross Revenue]]</f>
        <v>-0.10104705882352939</v>
      </c>
    </row>
    <row r="420" spans="1:22">
      <c r="A420" s="18" t="s">
        <v>69</v>
      </c>
      <c r="B420">
        <v>2013</v>
      </c>
      <c r="C420" t="s">
        <v>121</v>
      </c>
      <c r="D420">
        <v>1</v>
      </c>
      <c r="E420" s="18" t="s">
        <v>29</v>
      </c>
      <c r="F420" s="18" t="s">
        <v>113</v>
      </c>
      <c r="G420" s="18" t="s">
        <v>25</v>
      </c>
      <c r="H420" s="18" t="str">
        <f>Assumptions!$B$2</f>
        <v>Worst</v>
      </c>
      <c r="I420" s="18">
        <f>_xlfn.XLOOKUP(Assumptions!$B$2,Assumptions!$F$4:$H$4,Assumptions!$F$5:$H$5)</f>
        <v>1200</v>
      </c>
      <c r="J420" s="18">
        <f>_xlfn.XLOOKUP(Assumptions!$B$2,Assumptions!$F$4:$H$4,Assumptions!$F$6:$H$6)</f>
        <v>17</v>
      </c>
      <c r="K420" s="12">
        <f>_xlfn.XLOOKUP(Assumptions!$B$2,Assumptions!$F$4:$H$4,Assumptions!$F$8:$H$8)</f>
        <v>0.1</v>
      </c>
      <c r="L420" s="12">
        <f>_xlfn.XLOOKUP(Assumptions!$B$2,Assumptions!$F$4:$H$4,Assumptions!$F$9:$H$9)</f>
        <v>0.18</v>
      </c>
      <c r="M420" s="18">
        <f>_xlfn.XLOOKUP(Assumptions!$B$2,Assumptions!$F$4:$H$4,Assumptions!$F$10:$H$10)</f>
        <v>18000</v>
      </c>
      <c r="N420" s="12">
        <f>_xlfn.XLOOKUP(Assumptions!$B$2,Assumptions!$F$4:$H$4,Assumptions!$F$11:$H$11)</f>
        <v>0.3</v>
      </c>
      <c r="O420" s="14">
        <f>Final_Table[[#This Row],[Units Sold]]*Final_Table[[#This Row],[Sale Price]]</f>
        <v>20400</v>
      </c>
      <c r="P420" s="14">
        <f>Final_Table[[#This Row],[Gross Revenue]]*(1-Final_Table[[#This Row],[Discount %]])</f>
        <v>18360</v>
      </c>
      <c r="Q420">
        <f>Final_Table[[#This Row],[Net Revenue]]*Final_Table[[#This Row],[Variable Cost %]]</f>
        <v>3304.7999999999997</v>
      </c>
      <c r="R420">
        <f>Final_Table[[#This Row],[Variable Cost]]+Final_Table[[#This Row],[Fixed Monthly Cost]]</f>
        <v>21304.799999999999</v>
      </c>
      <c r="S420" s="5">
        <f>Final_Table[[#This Row],[Net Revenue]]-Final_Table[[#This Row],[Total Cost (COGS)]]</f>
        <v>-2944.7999999999993</v>
      </c>
      <c r="T420">
        <f>Final_Table[[#This Row],[Gross Profit]]*Final_Table[[#This Row],[Tax Rate]]</f>
        <v>-883.43999999999971</v>
      </c>
      <c r="U420" s="5">
        <f>Final_Table[[#This Row],[Gross Profit]]-Final_Table[[#This Row],[Tax]]</f>
        <v>-2061.3599999999997</v>
      </c>
      <c r="V420" s="12">
        <f>Final_Table[[#This Row],[Net Profit]]/Final_Table[[#This Row],[Gross Revenue]]</f>
        <v>-0.10104705882352939</v>
      </c>
    </row>
    <row r="421" spans="1:22">
      <c r="A421" s="18" t="s">
        <v>69</v>
      </c>
      <c r="B421">
        <v>2013</v>
      </c>
      <c r="C421" t="s">
        <v>121</v>
      </c>
      <c r="D421">
        <v>1</v>
      </c>
      <c r="E421" s="18" t="s">
        <v>29</v>
      </c>
      <c r="F421" s="18" t="s">
        <v>113</v>
      </c>
      <c r="G421" s="18" t="s">
        <v>17</v>
      </c>
      <c r="H421" s="18" t="str">
        <f>Assumptions!$B$2</f>
        <v>Worst</v>
      </c>
      <c r="I421" s="18">
        <f>_xlfn.XLOOKUP(Assumptions!$B$2,Assumptions!$F$4:$H$4,Assumptions!$F$5:$H$5)</f>
        <v>1200</v>
      </c>
      <c r="J421" s="18">
        <f>_xlfn.XLOOKUP(Assumptions!$B$2,Assumptions!$F$4:$H$4,Assumptions!$F$6:$H$6)</f>
        <v>17</v>
      </c>
      <c r="K421" s="12">
        <f>_xlfn.XLOOKUP(Assumptions!$B$2,Assumptions!$F$4:$H$4,Assumptions!$F$8:$H$8)</f>
        <v>0.1</v>
      </c>
      <c r="L421" s="12">
        <f>_xlfn.XLOOKUP(Assumptions!$B$2,Assumptions!$F$4:$H$4,Assumptions!$F$9:$H$9)</f>
        <v>0.18</v>
      </c>
      <c r="M421" s="18">
        <f>_xlfn.XLOOKUP(Assumptions!$B$2,Assumptions!$F$4:$H$4,Assumptions!$F$10:$H$10)</f>
        <v>18000</v>
      </c>
      <c r="N421" s="12">
        <f>_xlfn.XLOOKUP(Assumptions!$B$2,Assumptions!$F$4:$H$4,Assumptions!$F$11:$H$11)</f>
        <v>0.3</v>
      </c>
      <c r="O421" s="14">
        <f>Final_Table[[#This Row],[Units Sold]]*Final_Table[[#This Row],[Sale Price]]</f>
        <v>20400</v>
      </c>
      <c r="P421" s="14">
        <f>Final_Table[[#This Row],[Gross Revenue]]*(1-Final_Table[[#This Row],[Discount %]])</f>
        <v>18360</v>
      </c>
      <c r="Q421">
        <f>Final_Table[[#This Row],[Net Revenue]]*Final_Table[[#This Row],[Variable Cost %]]</f>
        <v>3304.7999999999997</v>
      </c>
      <c r="R421">
        <f>Final_Table[[#This Row],[Variable Cost]]+Final_Table[[#This Row],[Fixed Monthly Cost]]</f>
        <v>21304.799999999999</v>
      </c>
      <c r="S421" s="5">
        <f>Final_Table[[#This Row],[Net Revenue]]-Final_Table[[#This Row],[Total Cost (COGS)]]</f>
        <v>-2944.7999999999993</v>
      </c>
      <c r="T421">
        <f>Final_Table[[#This Row],[Gross Profit]]*Final_Table[[#This Row],[Tax Rate]]</f>
        <v>-883.43999999999971</v>
      </c>
      <c r="U421" s="5">
        <f>Final_Table[[#This Row],[Gross Profit]]-Final_Table[[#This Row],[Tax]]</f>
        <v>-2061.3599999999997</v>
      </c>
      <c r="V421" s="12">
        <f>Final_Table[[#This Row],[Net Profit]]/Final_Table[[#This Row],[Gross Revenue]]</f>
        <v>-0.10104705882352939</v>
      </c>
    </row>
    <row r="422" spans="1:22">
      <c r="A422" s="18" t="s">
        <v>69</v>
      </c>
      <c r="B422">
        <v>2013</v>
      </c>
      <c r="C422" t="s">
        <v>121</v>
      </c>
      <c r="D422">
        <v>1</v>
      </c>
      <c r="E422" s="18" t="s">
        <v>29</v>
      </c>
      <c r="F422" s="18" t="s">
        <v>114</v>
      </c>
      <c r="G422" s="18" t="s">
        <v>36</v>
      </c>
      <c r="H422" s="18" t="str">
        <f>Assumptions!$B$2</f>
        <v>Worst</v>
      </c>
      <c r="I422" s="18">
        <f>_xlfn.XLOOKUP(Assumptions!$B$2,Assumptions!$F$4:$H$4,Assumptions!$F$5:$H$5)</f>
        <v>1200</v>
      </c>
      <c r="J422" s="18">
        <f>_xlfn.XLOOKUP(Assumptions!$B$2,Assumptions!$F$4:$H$4,Assumptions!$F$6:$H$6)</f>
        <v>17</v>
      </c>
      <c r="K422" s="12">
        <f>_xlfn.XLOOKUP(Assumptions!$B$2,Assumptions!$F$4:$H$4,Assumptions!$F$8:$H$8)</f>
        <v>0.1</v>
      </c>
      <c r="L422" s="12">
        <f>_xlfn.XLOOKUP(Assumptions!$B$2,Assumptions!$F$4:$H$4,Assumptions!$F$9:$H$9)</f>
        <v>0.18</v>
      </c>
      <c r="M422" s="18">
        <f>_xlfn.XLOOKUP(Assumptions!$B$2,Assumptions!$F$4:$H$4,Assumptions!$F$10:$H$10)</f>
        <v>18000</v>
      </c>
      <c r="N422" s="12">
        <f>_xlfn.XLOOKUP(Assumptions!$B$2,Assumptions!$F$4:$H$4,Assumptions!$F$11:$H$11)</f>
        <v>0.3</v>
      </c>
      <c r="O422" s="14">
        <f>Final_Table[[#This Row],[Units Sold]]*Final_Table[[#This Row],[Sale Price]]</f>
        <v>20400</v>
      </c>
      <c r="P422" s="14">
        <f>Final_Table[[#This Row],[Gross Revenue]]*(1-Final_Table[[#This Row],[Discount %]])</f>
        <v>18360</v>
      </c>
      <c r="Q422">
        <f>Final_Table[[#This Row],[Net Revenue]]*Final_Table[[#This Row],[Variable Cost %]]</f>
        <v>3304.7999999999997</v>
      </c>
      <c r="R422">
        <f>Final_Table[[#This Row],[Variable Cost]]+Final_Table[[#This Row],[Fixed Monthly Cost]]</f>
        <v>21304.799999999999</v>
      </c>
      <c r="S422" s="5">
        <f>Final_Table[[#This Row],[Net Revenue]]-Final_Table[[#This Row],[Total Cost (COGS)]]</f>
        <v>-2944.7999999999993</v>
      </c>
      <c r="T422">
        <f>Final_Table[[#This Row],[Gross Profit]]*Final_Table[[#This Row],[Tax Rate]]</f>
        <v>-883.43999999999971</v>
      </c>
      <c r="U422" s="5">
        <f>Final_Table[[#This Row],[Gross Profit]]-Final_Table[[#This Row],[Tax]]</f>
        <v>-2061.3599999999997</v>
      </c>
      <c r="V422" s="12">
        <f>Final_Table[[#This Row],[Net Profit]]/Final_Table[[#This Row],[Gross Revenue]]</f>
        <v>-0.10104705882352939</v>
      </c>
    </row>
    <row r="423" spans="1:22">
      <c r="A423" s="18" t="s">
        <v>69</v>
      </c>
      <c r="B423">
        <v>2013</v>
      </c>
      <c r="C423" t="s">
        <v>121</v>
      </c>
      <c r="D423">
        <v>1</v>
      </c>
      <c r="E423" s="18" t="s">
        <v>29</v>
      </c>
      <c r="F423" s="18" t="s">
        <v>114</v>
      </c>
      <c r="G423" s="18" t="s">
        <v>23</v>
      </c>
      <c r="H423" s="18" t="str">
        <f>Assumptions!$B$2</f>
        <v>Worst</v>
      </c>
      <c r="I423" s="18">
        <f>_xlfn.XLOOKUP(Assumptions!$B$2,Assumptions!$F$4:$H$4,Assumptions!$F$5:$H$5)</f>
        <v>1200</v>
      </c>
      <c r="J423" s="18">
        <f>_xlfn.XLOOKUP(Assumptions!$B$2,Assumptions!$F$4:$H$4,Assumptions!$F$6:$H$6)</f>
        <v>17</v>
      </c>
      <c r="K423" s="12">
        <f>_xlfn.XLOOKUP(Assumptions!$B$2,Assumptions!$F$4:$H$4,Assumptions!$F$8:$H$8)</f>
        <v>0.1</v>
      </c>
      <c r="L423" s="12">
        <f>_xlfn.XLOOKUP(Assumptions!$B$2,Assumptions!$F$4:$H$4,Assumptions!$F$9:$H$9)</f>
        <v>0.18</v>
      </c>
      <c r="M423" s="18">
        <f>_xlfn.XLOOKUP(Assumptions!$B$2,Assumptions!$F$4:$H$4,Assumptions!$F$10:$H$10)</f>
        <v>18000</v>
      </c>
      <c r="N423" s="12">
        <f>_xlfn.XLOOKUP(Assumptions!$B$2,Assumptions!$F$4:$H$4,Assumptions!$F$11:$H$11)</f>
        <v>0.3</v>
      </c>
      <c r="O423" s="14">
        <f>Final_Table[[#This Row],[Units Sold]]*Final_Table[[#This Row],[Sale Price]]</f>
        <v>20400</v>
      </c>
      <c r="P423" s="14">
        <f>Final_Table[[#This Row],[Gross Revenue]]*(1-Final_Table[[#This Row],[Discount %]])</f>
        <v>18360</v>
      </c>
      <c r="Q423">
        <f>Final_Table[[#This Row],[Net Revenue]]*Final_Table[[#This Row],[Variable Cost %]]</f>
        <v>3304.7999999999997</v>
      </c>
      <c r="R423">
        <f>Final_Table[[#This Row],[Variable Cost]]+Final_Table[[#This Row],[Fixed Monthly Cost]]</f>
        <v>21304.799999999999</v>
      </c>
      <c r="S423" s="5">
        <f>Final_Table[[#This Row],[Net Revenue]]-Final_Table[[#This Row],[Total Cost (COGS)]]</f>
        <v>-2944.7999999999993</v>
      </c>
      <c r="T423">
        <f>Final_Table[[#This Row],[Gross Profit]]*Final_Table[[#This Row],[Tax Rate]]</f>
        <v>-883.43999999999971</v>
      </c>
      <c r="U423" s="5">
        <f>Final_Table[[#This Row],[Gross Profit]]-Final_Table[[#This Row],[Tax]]</f>
        <v>-2061.3599999999997</v>
      </c>
      <c r="V423" s="12">
        <f>Final_Table[[#This Row],[Net Profit]]/Final_Table[[#This Row],[Gross Revenue]]</f>
        <v>-0.10104705882352939</v>
      </c>
    </row>
    <row r="424" spans="1:22">
      <c r="A424" s="18" t="s">
        <v>69</v>
      </c>
      <c r="B424">
        <v>2013</v>
      </c>
      <c r="C424" t="s">
        <v>121</v>
      </c>
      <c r="D424">
        <v>1</v>
      </c>
      <c r="E424" s="18" t="s">
        <v>29</v>
      </c>
      <c r="F424" s="18" t="s">
        <v>114</v>
      </c>
      <c r="G424" s="18" t="s">
        <v>21</v>
      </c>
      <c r="H424" s="18" t="str">
        <f>Assumptions!$B$2</f>
        <v>Worst</v>
      </c>
      <c r="I424" s="18">
        <f>_xlfn.XLOOKUP(Assumptions!$B$2,Assumptions!$F$4:$H$4,Assumptions!$F$5:$H$5)</f>
        <v>1200</v>
      </c>
      <c r="J424" s="18">
        <f>_xlfn.XLOOKUP(Assumptions!$B$2,Assumptions!$F$4:$H$4,Assumptions!$F$6:$H$6)</f>
        <v>17</v>
      </c>
      <c r="K424" s="12">
        <f>_xlfn.XLOOKUP(Assumptions!$B$2,Assumptions!$F$4:$H$4,Assumptions!$F$8:$H$8)</f>
        <v>0.1</v>
      </c>
      <c r="L424" s="12">
        <f>_xlfn.XLOOKUP(Assumptions!$B$2,Assumptions!$F$4:$H$4,Assumptions!$F$9:$H$9)</f>
        <v>0.18</v>
      </c>
      <c r="M424" s="18">
        <f>_xlfn.XLOOKUP(Assumptions!$B$2,Assumptions!$F$4:$H$4,Assumptions!$F$10:$H$10)</f>
        <v>18000</v>
      </c>
      <c r="N424" s="12">
        <f>_xlfn.XLOOKUP(Assumptions!$B$2,Assumptions!$F$4:$H$4,Assumptions!$F$11:$H$11)</f>
        <v>0.3</v>
      </c>
      <c r="O424" s="14">
        <f>Final_Table[[#This Row],[Units Sold]]*Final_Table[[#This Row],[Sale Price]]</f>
        <v>20400</v>
      </c>
      <c r="P424" s="14">
        <f>Final_Table[[#This Row],[Gross Revenue]]*(1-Final_Table[[#This Row],[Discount %]])</f>
        <v>18360</v>
      </c>
      <c r="Q424">
        <f>Final_Table[[#This Row],[Net Revenue]]*Final_Table[[#This Row],[Variable Cost %]]</f>
        <v>3304.7999999999997</v>
      </c>
      <c r="R424">
        <f>Final_Table[[#This Row],[Variable Cost]]+Final_Table[[#This Row],[Fixed Monthly Cost]]</f>
        <v>21304.799999999999</v>
      </c>
      <c r="S424" s="5">
        <f>Final_Table[[#This Row],[Net Revenue]]-Final_Table[[#This Row],[Total Cost (COGS)]]</f>
        <v>-2944.7999999999993</v>
      </c>
      <c r="T424">
        <f>Final_Table[[#This Row],[Gross Profit]]*Final_Table[[#This Row],[Tax Rate]]</f>
        <v>-883.43999999999971</v>
      </c>
      <c r="U424" s="5">
        <f>Final_Table[[#This Row],[Gross Profit]]-Final_Table[[#This Row],[Tax]]</f>
        <v>-2061.3599999999997</v>
      </c>
      <c r="V424" s="12">
        <f>Final_Table[[#This Row],[Net Profit]]/Final_Table[[#This Row],[Gross Revenue]]</f>
        <v>-0.10104705882352939</v>
      </c>
    </row>
    <row r="425" spans="1:22">
      <c r="A425" s="18" t="s">
        <v>69</v>
      </c>
      <c r="B425">
        <v>2013</v>
      </c>
      <c r="C425" t="s">
        <v>121</v>
      </c>
      <c r="D425">
        <v>1</v>
      </c>
      <c r="E425" s="18" t="s">
        <v>29</v>
      </c>
      <c r="F425" s="18" t="s">
        <v>114</v>
      </c>
      <c r="G425" s="18" t="s">
        <v>25</v>
      </c>
      <c r="H425" s="18" t="str">
        <f>Assumptions!$B$2</f>
        <v>Worst</v>
      </c>
      <c r="I425" s="18">
        <f>_xlfn.XLOOKUP(Assumptions!$B$2,Assumptions!$F$4:$H$4,Assumptions!$F$5:$H$5)</f>
        <v>1200</v>
      </c>
      <c r="J425" s="18">
        <f>_xlfn.XLOOKUP(Assumptions!$B$2,Assumptions!$F$4:$H$4,Assumptions!$F$6:$H$6)</f>
        <v>17</v>
      </c>
      <c r="K425" s="12">
        <f>_xlfn.XLOOKUP(Assumptions!$B$2,Assumptions!$F$4:$H$4,Assumptions!$F$8:$H$8)</f>
        <v>0.1</v>
      </c>
      <c r="L425" s="12">
        <f>_xlfn.XLOOKUP(Assumptions!$B$2,Assumptions!$F$4:$H$4,Assumptions!$F$9:$H$9)</f>
        <v>0.18</v>
      </c>
      <c r="M425" s="18">
        <f>_xlfn.XLOOKUP(Assumptions!$B$2,Assumptions!$F$4:$H$4,Assumptions!$F$10:$H$10)</f>
        <v>18000</v>
      </c>
      <c r="N425" s="12">
        <f>_xlfn.XLOOKUP(Assumptions!$B$2,Assumptions!$F$4:$H$4,Assumptions!$F$11:$H$11)</f>
        <v>0.3</v>
      </c>
      <c r="O425" s="14">
        <f>Final_Table[[#This Row],[Units Sold]]*Final_Table[[#This Row],[Sale Price]]</f>
        <v>20400</v>
      </c>
      <c r="P425" s="14">
        <f>Final_Table[[#This Row],[Gross Revenue]]*(1-Final_Table[[#This Row],[Discount %]])</f>
        <v>18360</v>
      </c>
      <c r="Q425">
        <f>Final_Table[[#This Row],[Net Revenue]]*Final_Table[[#This Row],[Variable Cost %]]</f>
        <v>3304.7999999999997</v>
      </c>
      <c r="R425">
        <f>Final_Table[[#This Row],[Variable Cost]]+Final_Table[[#This Row],[Fixed Monthly Cost]]</f>
        <v>21304.799999999999</v>
      </c>
      <c r="S425" s="5">
        <f>Final_Table[[#This Row],[Net Revenue]]-Final_Table[[#This Row],[Total Cost (COGS)]]</f>
        <v>-2944.7999999999993</v>
      </c>
      <c r="T425">
        <f>Final_Table[[#This Row],[Gross Profit]]*Final_Table[[#This Row],[Tax Rate]]</f>
        <v>-883.43999999999971</v>
      </c>
      <c r="U425" s="5">
        <f>Final_Table[[#This Row],[Gross Profit]]-Final_Table[[#This Row],[Tax]]</f>
        <v>-2061.3599999999997</v>
      </c>
      <c r="V425" s="12">
        <f>Final_Table[[#This Row],[Net Profit]]/Final_Table[[#This Row],[Gross Revenue]]</f>
        <v>-0.10104705882352939</v>
      </c>
    </row>
    <row r="426" spans="1:22">
      <c r="A426" s="18" t="s">
        <v>69</v>
      </c>
      <c r="B426">
        <v>2013</v>
      </c>
      <c r="C426" t="s">
        <v>121</v>
      </c>
      <c r="D426">
        <v>1</v>
      </c>
      <c r="E426" s="18" t="s">
        <v>29</v>
      </c>
      <c r="F426" s="18" t="s">
        <v>114</v>
      </c>
      <c r="G426" s="18" t="s">
        <v>17</v>
      </c>
      <c r="H426" s="18" t="str">
        <f>Assumptions!$B$2</f>
        <v>Worst</v>
      </c>
      <c r="I426" s="18">
        <f>_xlfn.XLOOKUP(Assumptions!$B$2,Assumptions!$F$4:$H$4,Assumptions!$F$5:$H$5)</f>
        <v>1200</v>
      </c>
      <c r="J426" s="18">
        <f>_xlfn.XLOOKUP(Assumptions!$B$2,Assumptions!$F$4:$H$4,Assumptions!$F$6:$H$6)</f>
        <v>17</v>
      </c>
      <c r="K426" s="12">
        <f>_xlfn.XLOOKUP(Assumptions!$B$2,Assumptions!$F$4:$H$4,Assumptions!$F$8:$H$8)</f>
        <v>0.1</v>
      </c>
      <c r="L426" s="12">
        <f>_xlfn.XLOOKUP(Assumptions!$B$2,Assumptions!$F$4:$H$4,Assumptions!$F$9:$H$9)</f>
        <v>0.18</v>
      </c>
      <c r="M426" s="18">
        <f>_xlfn.XLOOKUP(Assumptions!$B$2,Assumptions!$F$4:$H$4,Assumptions!$F$10:$H$10)</f>
        <v>18000</v>
      </c>
      <c r="N426" s="12">
        <f>_xlfn.XLOOKUP(Assumptions!$B$2,Assumptions!$F$4:$H$4,Assumptions!$F$11:$H$11)</f>
        <v>0.3</v>
      </c>
      <c r="O426" s="14">
        <f>Final_Table[[#This Row],[Units Sold]]*Final_Table[[#This Row],[Sale Price]]</f>
        <v>20400</v>
      </c>
      <c r="P426" s="14">
        <f>Final_Table[[#This Row],[Gross Revenue]]*(1-Final_Table[[#This Row],[Discount %]])</f>
        <v>18360</v>
      </c>
      <c r="Q426">
        <f>Final_Table[[#This Row],[Net Revenue]]*Final_Table[[#This Row],[Variable Cost %]]</f>
        <v>3304.7999999999997</v>
      </c>
      <c r="R426">
        <f>Final_Table[[#This Row],[Variable Cost]]+Final_Table[[#This Row],[Fixed Monthly Cost]]</f>
        <v>21304.799999999999</v>
      </c>
      <c r="S426" s="5">
        <f>Final_Table[[#This Row],[Net Revenue]]-Final_Table[[#This Row],[Total Cost (COGS)]]</f>
        <v>-2944.7999999999993</v>
      </c>
      <c r="T426">
        <f>Final_Table[[#This Row],[Gross Profit]]*Final_Table[[#This Row],[Tax Rate]]</f>
        <v>-883.43999999999971</v>
      </c>
      <c r="U426" s="5">
        <f>Final_Table[[#This Row],[Gross Profit]]-Final_Table[[#This Row],[Tax]]</f>
        <v>-2061.3599999999997</v>
      </c>
      <c r="V426" s="12">
        <f>Final_Table[[#This Row],[Net Profit]]/Final_Table[[#This Row],[Gross Revenue]]</f>
        <v>-0.10104705882352939</v>
      </c>
    </row>
    <row r="427" spans="1:22">
      <c r="A427" s="18" t="s">
        <v>69</v>
      </c>
      <c r="B427">
        <v>2013</v>
      </c>
      <c r="C427" t="s">
        <v>121</v>
      </c>
      <c r="D427">
        <v>1</v>
      </c>
      <c r="E427" s="18" t="s">
        <v>22</v>
      </c>
      <c r="F427" s="18" t="s">
        <v>80</v>
      </c>
      <c r="G427" s="18" t="s">
        <v>36</v>
      </c>
      <c r="H427" s="18" t="str">
        <f>Assumptions!$B$2</f>
        <v>Worst</v>
      </c>
      <c r="I427" s="18">
        <f>_xlfn.XLOOKUP(Assumptions!$B$2,Assumptions!$F$4:$H$4,Assumptions!$F$5:$H$5)</f>
        <v>1200</v>
      </c>
      <c r="J427" s="18">
        <f>_xlfn.XLOOKUP(Assumptions!$B$2,Assumptions!$F$4:$H$4,Assumptions!$F$6:$H$6)</f>
        <v>17</v>
      </c>
      <c r="K427" s="12">
        <f>_xlfn.XLOOKUP(Assumptions!$B$2,Assumptions!$F$4:$H$4,Assumptions!$F$8:$H$8)</f>
        <v>0.1</v>
      </c>
      <c r="L427" s="12">
        <f>_xlfn.XLOOKUP(Assumptions!$B$2,Assumptions!$F$4:$H$4,Assumptions!$F$9:$H$9)</f>
        <v>0.18</v>
      </c>
      <c r="M427" s="18">
        <f>_xlfn.XLOOKUP(Assumptions!$B$2,Assumptions!$F$4:$H$4,Assumptions!$F$10:$H$10)</f>
        <v>18000</v>
      </c>
      <c r="N427" s="12">
        <f>_xlfn.XLOOKUP(Assumptions!$B$2,Assumptions!$F$4:$H$4,Assumptions!$F$11:$H$11)</f>
        <v>0.3</v>
      </c>
      <c r="O427" s="14">
        <f>Final_Table[[#This Row],[Units Sold]]*Final_Table[[#This Row],[Sale Price]]</f>
        <v>20400</v>
      </c>
      <c r="P427" s="14">
        <f>Final_Table[[#This Row],[Gross Revenue]]*(1-Final_Table[[#This Row],[Discount %]])</f>
        <v>18360</v>
      </c>
      <c r="Q427">
        <f>Final_Table[[#This Row],[Net Revenue]]*Final_Table[[#This Row],[Variable Cost %]]</f>
        <v>3304.7999999999997</v>
      </c>
      <c r="R427">
        <f>Final_Table[[#This Row],[Variable Cost]]+Final_Table[[#This Row],[Fixed Monthly Cost]]</f>
        <v>21304.799999999999</v>
      </c>
      <c r="S427" s="5">
        <f>Final_Table[[#This Row],[Net Revenue]]-Final_Table[[#This Row],[Total Cost (COGS)]]</f>
        <v>-2944.7999999999993</v>
      </c>
      <c r="T427">
        <f>Final_Table[[#This Row],[Gross Profit]]*Final_Table[[#This Row],[Tax Rate]]</f>
        <v>-883.43999999999971</v>
      </c>
      <c r="U427" s="5">
        <f>Final_Table[[#This Row],[Gross Profit]]-Final_Table[[#This Row],[Tax]]</f>
        <v>-2061.3599999999997</v>
      </c>
      <c r="V427" s="12">
        <f>Final_Table[[#This Row],[Net Profit]]/Final_Table[[#This Row],[Gross Revenue]]</f>
        <v>-0.10104705882352939</v>
      </c>
    </row>
    <row r="428" spans="1:22">
      <c r="A428" s="18" t="s">
        <v>69</v>
      </c>
      <c r="B428">
        <v>2013</v>
      </c>
      <c r="C428" t="s">
        <v>121</v>
      </c>
      <c r="D428">
        <v>1</v>
      </c>
      <c r="E428" s="18" t="s">
        <v>22</v>
      </c>
      <c r="F428" s="18" t="s">
        <v>80</v>
      </c>
      <c r="G428" s="18" t="s">
        <v>23</v>
      </c>
      <c r="H428" s="18" t="str">
        <f>Assumptions!$B$2</f>
        <v>Worst</v>
      </c>
      <c r="I428" s="18">
        <f>_xlfn.XLOOKUP(Assumptions!$B$2,Assumptions!$F$4:$H$4,Assumptions!$F$5:$H$5)</f>
        <v>1200</v>
      </c>
      <c r="J428" s="18">
        <f>_xlfn.XLOOKUP(Assumptions!$B$2,Assumptions!$F$4:$H$4,Assumptions!$F$6:$H$6)</f>
        <v>17</v>
      </c>
      <c r="K428" s="12">
        <f>_xlfn.XLOOKUP(Assumptions!$B$2,Assumptions!$F$4:$H$4,Assumptions!$F$8:$H$8)</f>
        <v>0.1</v>
      </c>
      <c r="L428" s="12">
        <f>_xlfn.XLOOKUP(Assumptions!$B$2,Assumptions!$F$4:$H$4,Assumptions!$F$9:$H$9)</f>
        <v>0.18</v>
      </c>
      <c r="M428" s="18">
        <f>_xlfn.XLOOKUP(Assumptions!$B$2,Assumptions!$F$4:$H$4,Assumptions!$F$10:$H$10)</f>
        <v>18000</v>
      </c>
      <c r="N428" s="12">
        <f>_xlfn.XLOOKUP(Assumptions!$B$2,Assumptions!$F$4:$H$4,Assumptions!$F$11:$H$11)</f>
        <v>0.3</v>
      </c>
      <c r="O428" s="14">
        <f>Final_Table[[#This Row],[Units Sold]]*Final_Table[[#This Row],[Sale Price]]</f>
        <v>20400</v>
      </c>
      <c r="P428" s="14">
        <f>Final_Table[[#This Row],[Gross Revenue]]*(1-Final_Table[[#This Row],[Discount %]])</f>
        <v>18360</v>
      </c>
      <c r="Q428">
        <f>Final_Table[[#This Row],[Net Revenue]]*Final_Table[[#This Row],[Variable Cost %]]</f>
        <v>3304.7999999999997</v>
      </c>
      <c r="R428">
        <f>Final_Table[[#This Row],[Variable Cost]]+Final_Table[[#This Row],[Fixed Monthly Cost]]</f>
        <v>21304.799999999999</v>
      </c>
      <c r="S428" s="5">
        <f>Final_Table[[#This Row],[Net Revenue]]-Final_Table[[#This Row],[Total Cost (COGS)]]</f>
        <v>-2944.7999999999993</v>
      </c>
      <c r="T428">
        <f>Final_Table[[#This Row],[Gross Profit]]*Final_Table[[#This Row],[Tax Rate]]</f>
        <v>-883.43999999999971</v>
      </c>
      <c r="U428" s="5">
        <f>Final_Table[[#This Row],[Gross Profit]]-Final_Table[[#This Row],[Tax]]</f>
        <v>-2061.3599999999997</v>
      </c>
      <c r="V428" s="12">
        <f>Final_Table[[#This Row],[Net Profit]]/Final_Table[[#This Row],[Gross Revenue]]</f>
        <v>-0.10104705882352939</v>
      </c>
    </row>
    <row r="429" spans="1:22">
      <c r="A429" s="18" t="s">
        <v>69</v>
      </c>
      <c r="B429">
        <v>2013</v>
      </c>
      <c r="C429" t="s">
        <v>121</v>
      </c>
      <c r="D429">
        <v>1</v>
      </c>
      <c r="E429" s="18" t="s">
        <v>22</v>
      </c>
      <c r="F429" s="18" t="s">
        <v>80</v>
      </c>
      <c r="G429" s="18" t="s">
        <v>21</v>
      </c>
      <c r="H429" s="18" t="str">
        <f>Assumptions!$B$2</f>
        <v>Worst</v>
      </c>
      <c r="I429" s="18">
        <f>_xlfn.XLOOKUP(Assumptions!$B$2,Assumptions!$F$4:$H$4,Assumptions!$F$5:$H$5)</f>
        <v>1200</v>
      </c>
      <c r="J429" s="18">
        <f>_xlfn.XLOOKUP(Assumptions!$B$2,Assumptions!$F$4:$H$4,Assumptions!$F$6:$H$6)</f>
        <v>17</v>
      </c>
      <c r="K429" s="12">
        <f>_xlfn.XLOOKUP(Assumptions!$B$2,Assumptions!$F$4:$H$4,Assumptions!$F$8:$H$8)</f>
        <v>0.1</v>
      </c>
      <c r="L429" s="12">
        <f>_xlfn.XLOOKUP(Assumptions!$B$2,Assumptions!$F$4:$H$4,Assumptions!$F$9:$H$9)</f>
        <v>0.18</v>
      </c>
      <c r="M429" s="18">
        <f>_xlfn.XLOOKUP(Assumptions!$B$2,Assumptions!$F$4:$H$4,Assumptions!$F$10:$H$10)</f>
        <v>18000</v>
      </c>
      <c r="N429" s="12">
        <f>_xlfn.XLOOKUP(Assumptions!$B$2,Assumptions!$F$4:$H$4,Assumptions!$F$11:$H$11)</f>
        <v>0.3</v>
      </c>
      <c r="O429" s="14">
        <f>Final_Table[[#This Row],[Units Sold]]*Final_Table[[#This Row],[Sale Price]]</f>
        <v>20400</v>
      </c>
      <c r="P429" s="14">
        <f>Final_Table[[#This Row],[Gross Revenue]]*(1-Final_Table[[#This Row],[Discount %]])</f>
        <v>18360</v>
      </c>
      <c r="Q429">
        <f>Final_Table[[#This Row],[Net Revenue]]*Final_Table[[#This Row],[Variable Cost %]]</f>
        <v>3304.7999999999997</v>
      </c>
      <c r="R429">
        <f>Final_Table[[#This Row],[Variable Cost]]+Final_Table[[#This Row],[Fixed Monthly Cost]]</f>
        <v>21304.799999999999</v>
      </c>
      <c r="S429" s="5">
        <f>Final_Table[[#This Row],[Net Revenue]]-Final_Table[[#This Row],[Total Cost (COGS)]]</f>
        <v>-2944.7999999999993</v>
      </c>
      <c r="T429">
        <f>Final_Table[[#This Row],[Gross Profit]]*Final_Table[[#This Row],[Tax Rate]]</f>
        <v>-883.43999999999971</v>
      </c>
      <c r="U429" s="5">
        <f>Final_Table[[#This Row],[Gross Profit]]-Final_Table[[#This Row],[Tax]]</f>
        <v>-2061.3599999999997</v>
      </c>
      <c r="V429" s="12">
        <f>Final_Table[[#This Row],[Net Profit]]/Final_Table[[#This Row],[Gross Revenue]]</f>
        <v>-0.10104705882352939</v>
      </c>
    </row>
    <row r="430" spans="1:22">
      <c r="A430" s="18" t="s">
        <v>69</v>
      </c>
      <c r="B430">
        <v>2013</v>
      </c>
      <c r="C430" t="s">
        <v>121</v>
      </c>
      <c r="D430">
        <v>1</v>
      </c>
      <c r="E430" s="18" t="s">
        <v>22</v>
      </c>
      <c r="F430" s="18" t="s">
        <v>80</v>
      </c>
      <c r="G430" s="18" t="s">
        <v>25</v>
      </c>
      <c r="H430" s="18" t="str">
        <f>Assumptions!$B$2</f>
        <v>Worst</v>
      </c>
      <c r="I430" s="18">
        <f>_xlfn.XLOOKUP(Assumptions!$B$2,Assumptions!$F$4:$H$4,Assumptions!$F$5:$H$5)</f>
        <v>1200</v>
      </c>
      <c r="J430" s="18">
        <f>_xlfn.XLOOKUP(Assumptions!$B$2,Assumptions!$F$4:$H$4,Assumptions!$F$6:$H$6)</f>
        <v>17</v>
      </c>
      <c r="K430" s="12">
        <f>_xlfn.XLOOKUP(Assumptions!$B$2,Assumptions!$F$4:$H$4,Assumptions!$F$8:$H$8)</f>
        <v>0.1</v>
      </c>
      <c r="L430" s="12">
        <f>_xlfn.XLOOKUP(Assumptions!$B$2,Assumptions!$F$4:$H$4,Assumptions!$F$9:$H$9)</f>
        <v>0.18</v>
      </c>
      <c r="M430" s="18">
        <f>_xlfn.XLOOKUP(Assumptions!$B$2,Assumptions!$F$4:$H$4,Assumptions!$F$10:$H$10)</f>
        <v>18000</v>
      </c>
      <c r="N430" s="12">
        <f>_xlfn.XLOOKUP(Assumptions!$B$2,Assumptions!$F$4:$H$4,Assumptions!$F$11:$H$11)</f>
        <v>0.3</v>
      </c>
      <c r="O430" s="14">
        <f>Final_Table[[#This Row],[Units Sold]]*Final_Table[[#This Row],[Sale Price]]</f>
        <v>20400</v>
      </c>
      <c r="P430" s="14">
        <f>Final_Table[[#This Row],[Gross Revenue]]*(1-Final_Table[[#This Row],[Discount %]])</f>
        <v>18360</v>
      </c>
      <c r="Q430">
        <f>Final_Table[[#This Row],[Net Revenue]]*Final_Table[[#This Row],[Variable Cost %]]</f>
        <v>3304.7999999999997</v>
      </c>
      <c r="R430">
        <f>Final_Table[[#This Row],[Variable Cost]]+Final_Table[[#This Row],[Fixed Monthly Cost]]</f>
        <v>21304.799999999999</v>
      </c>
      <c r="S430" s="5">
        <f>Final_Table[[#This Row],[Net Revenue]]-Final_Table[[#This Row],[Total Cost (COGS)]]</f>
        <v>-2944.7999999999993</v>
      </c>
      <c r="T430">
        <f>Final_Table[[#This Row],[Gross Profit]]*Final_Table[[#This Row],[Tax Rate]]</f>
        <v>-883.43999999999971</v>
      </c>
      <c r="U430" s="5">
        <f>Final_Table[[#This Row],[Gross Profit]]-Final_Table[[#This Row],[Tax]]</f>
        <v>-2061.3599999999997</v>
      </c>
      <c r="V430" s="12">
        <f>Final_Table[[#This Row],[Net Profit]]/Final_Table[[#This Row],[Gross Revenue]]</f>
        <v>-0.10104705882352939</v>
      </c>
    </row>
    <row r="431" spans="1:22">
      <c r="A431" s="18" t="s">
        <v>69</v>
      </c>
      <c r="B431">
        <v>2013</v>
      </c>
      <c r="C431" t="s">
        <v>121</v>
      </c>
      <c r="D431">
        <v>1</v>
      </c>
      <c r="E431" s="18" t="s">
        <v>22</v>
      </c>
      <c r="F431" s="18" t="s">
        <v>80</v>
      </c>
      <c r="G431" s="18" t="s">
        <v>17</v>
      </c>
      <c r="H431" s="18" t="str">
        <f>Assumptions!$B$2</f>
        <v>Worst</v>
      </c>
      <c r="I431" s="18">
        <f>_xlfn.XLOOKUP(Assumptions!$B$2,Assumptions!$F$4:$H$4,Assumptions!$F$5:$H$5)</f>
        <v>1200</v>
      </c>
      <c r="J431" s="18">
        <f>_xlfn.XLOOKUP(Assumptions!$B$2,Assumptions!$F$4:$H$4,Assumptions!$F$6:$H$6)</f>
        <v>17</v>
      </c>
      <c r="K431" s="12">
        <f>_xlfn.XLOOKUP(Assumptions!$B$2,Assumptions!$F$4:$H$4,Assumptions!$F$8:$H$8)</f>
        <v>0.1</v>
      </c>
      <c r="L431" s="12">
        <f>_xlfn.XLOOKUP(Assumptions!$B$2,Assumptions!$F$4:$H$4,Assumptions!$F$9:$H$9)</f>
        <v>0.18</v>
      </c>
      <c r="M431" s="18">
        <f>_xlfn.XLOOKUP(Assumptions!$B$2,Assumptions!$F$4:$H$4,Assumptions!$F$10:$H$10)</f>
        <v>18000</v>
      </c>
      <c r="N431" s="12">
        <f>_xlfn.XLOOKUP(Assumptions!$B$2,Assumptions!$F$4:$H$4,Assumptions!$F$11:$H$11)</f>
        <v>0.3</v>
      </c>
      <c r="O431" s="14">
        <f>Final_Table[[#This Row],[Units Sold]]*Final_Table[[#This Row],[Sale Price]]</f>
        <v>20400</v>
      </c>
      <c r="P431" s="14">
        <f>Final_Table[[#This Row],[Gross Revenue]]*(1-Final_Table[[#This Row],[Discount %]])</f>
        <v>18360</v>
      </c>
      <c r="Q431">
        <f>Final_Table[[#This Row],[Net Revenue]]*Final_Table[[#This Row],[Variable Cost %]]</f>
        <v>3304.7999999999997</v>
      </c>
      <c r="R431">
        <f>Final_Table[[#This Row],[Variable Cost]]+Final_Table[[#This Row],[Fixed Monthly Cost]]</f>
        <v>21304.799999999999</v>
      </c>
      <c r="S431" s="5">
        <f>Final_Table[[#This Row],[Net Revenue]]-Final_Table[[#This Row],[Total Cost (COGS)]]</f>
        <v>-2944.7999999999993</v>
      </c>
      <c r="T431">
        <f>Final_Table[[#This Row],[Gross Profit]]*Final_Table[[#This Row],[Tax Rate]]</f>
        <v>-883.43999999999971</v>
      </c>
      <c r="U431" s="5">
        <f>Final_Table[[#This Row],[Gross Profit]]-Final_Table[[#This Row],[Tax]]</f>
        <v>-2061.3599999999997</v>
      </c>
      <c r="V431" s="12">
        <f>Final_Table[[#This Row],[Net Profit]]/Final_Table[[#This Row],[Gross Revenue]]</f>
        <v>-0.10104705882352939</v>
      </c>
    </row>
    <row r="432" spans="1:22">
      <c r="A432" s="18" t="s">
        <v>69</v>
      </c>
      <c r="B432">
        <v>2013</v>
      </c>
      <c r="C432" t="s">
        <v>121</v>
      </c>
      <c r="D432">
        <v>1</v>
      </c>
      <c r="E432" s="18" t="s">
        <v>22</v>
      </c>
      <c r="F432" s="18" t="s">
        <v>108</v>
      </c>
      <c r="G432" s="18" t="s">
        <v>36</v>
      </c>
      <c r="H432" s="18" t="str">
        <f>Assumptions!$B$2</f>
        <v>Worst</v>
      </c>
      <c r="I432" s="18">
        <f>_xlfn.XLOOKUP(Assumptions!$B$2,Assumptions!$F$4:$H$4,Assumptions!$F$5:$H$5)</f>
        <v>1200</v>
      </c>
      <c r="J432" s="18">
        <f>_xlfn.XLOOKUP(Assumptions!$B$2,Assumptions!$F$4:$H$4,Assumptions!$F$6:$H$6)</f>
        <v>17</v>
      </c>
      <c r="K432" s="12">
        <f>_xlfn.XLOOKUP(Assumptions!$B$2,Assumptions!$F$4:$H$4,Assumptions!$F$8:$H$8)</f>
        <v>0.1</v>
      </c>
      <c r="L432" s="12">
        <f>_xlfn.XLOOKUP(Assumptions!$B$2,Assumptions!$F$4:$H$4,Assumptions!$F$9:$H$9)</f>
        <v>0.18</v>
      </c>
      <c r="M432" s="18">
        <f>_xlfn.XLOOKUP(Assumptions!$B$2,Assumptions!$F$4:$H$4,Assumptions!$F$10:$H$10)</f>
        <v>18000</v>
      </c>
      <c r="N432" s="12">
        <f>_xlfn.XLOOKUP(Assumptions!$B$2,Assumptions!$F$4:$H$4,Assumptions!$F$11:$H$11)</f>
        <v>0.3</v>
      </c>
      <c r="O432" s="14">
        <f>Final_Table[[#This Row],[Units Sold]]*Final_Table[[#This Row],[Sale Price]]</f>
        <v>20400</v>
      </c>
      <c r="P432" s="14">
        <f>Final_Table[[#This Row],[Gross Revenue]]*(1-Final_Table[[#This Row],[Discount %]])</f>
        <v>18360</v>
      </c>
      <c r="Q432">
        <f>Final_Table[[#This Row],[Net Revenue]]*Final_Table[[#This Row],[Variable Cost %]]</f>
        <v>3304.7999999999997</v>
      </c>
      <c r="R432">
        <f>Final_Table[[#This Row],[Variable Cost]]+Final_Table[[#This Row],[Fixed Monthly Cost]]</f>
        <v>21304.799999999999</v>
      </c>
      <c r="S432" s="5">
        <f>Final_Table[[#This Row],[Net Revenue]]-Final_Table[[#This Row],[Total Cost (COGS)]]</f>
        <v>-2944.7999999999993</v>
      </c>
      <c r="T432">
        <f>Final_Table[[#This Row],[Gross Profit]]*Final_Table[[#This Row],[Tax Rate]]</f>
        <v>-883.43999999999971</v>
      </c>
      <c r="U432" s="5">
        <f>Final_Table[[#This Row],[Gross Profit]]-Final_Table[[#This Row],[Tax]]</f>
        <v>-2061.3599999999997</v>
      </c>
      <c r="V432" s="12">
        <f>Final_Table[[#This Row],[Net Profit]]/Final_Table[[#This Row],[Gross Revenue]]</f>
        <v>-0.10104705882352939</v>
      </c>
    </row>
    <row r="433" spans="1:22">
      <c r="A433" s="18" t="s">
        <v>69</v>
      </c>
      <c r="B433">
        <v>2013</v>
      </c>
      <c r="C433" t="s">
        <v>121</v>
      </c>
      <c r="D433">
        <v>1</v>
      </c>
      <c r="E433" s="18" t="s">
        <v>22</v>
      </c>
      <c r="F433" s="18" t="s">
        <v>108</v>
      </c>
      <c r="G433" s="18" t="s">
        <v>23</v>
      </c>
      <c r="H433" s="18" t="str">
        <f>Assumptions!$B$2</f>
        <v>Worst</v>
      </c>
      <c r="I433" s="18">
        <f>_xlfn.XLOOKUP(Assumptions!$B$2,Assumptions!$F$4:$H$4,Assumptions!$F$5:$H$5)</f>
        <v>1200</v>
      </c>
      <c r="J433" s="18">
        <f>_xlfn.XLOOKUP(Assumptions!$B$2,Assumptions!$F$4:$H$4,Assumptions!$F$6:$H$6)</f>
        <v>17</v>
      </c>
      <c r="K433" s="12">
        <f>_xlfn.XLOOKUP(Assumptions!$B$2,Assumptions!$F$4:$H$4,Assumptions!$F$8:$H$8)</f>
        <v>0.1</v>
      </c>
      <c r="L433" s="12">
        <f>_xlfn.XLOOKUP(Assumptions!$B$2,Assumptions!$F$4:$H$4,Assumptions!$F$9:$H$9)</f>
        <v>0.18</v>
      </c>
      <c r="M433" s="18">
        <f>_xlfn.XLOOKUP(Assumptions!$B$2,Assumptions!$F$4:$H$4,Assumptions!$F$10:$H$10)</f>
        <v>18000</v>
      </c>
      <c r="N433" s="12">
        <f>_xlfn.XLOOKUP(Assumptions!$B$2,Assumptions!$F$4:$H$4,Assumptions!$F$11:$H$11)</f>
        <v>0.3</v>
      </c>
      <c r="O433" s="14">
        <f>Final_Table[[#This Row],[Units Sold]]*Final_Table[[#This Row],[Sale Price]]</f>
        <v>20400</v>
      </c>
      <c r="P433" s="14">
        <f>Final_Table[[#This Row],[Gross Revenue]]*(1-Final_Table[[#This Row],[Discount %]])</f>
        <v>18360</v>
      </c>
      <c r="Q433">
        <f>Final_Table[[#This Row],[Net Revenue]]*Final_Table[[#This Row],[Variable Cost %]]</f>
        <v>3304.7999999999997</v>
      </c>
      <c r="R433">
        <f>Final_Table[[#This Row],[Variable Cost]]+Final_Table[[#This Row],[Fixed Monthly Cost]]</f>
        <v>21304.799999999999</v>
      </c>
      <c r="S433" s="5">
        <f>Final_Table[[#This Row],[Net Revenue]]-Final_Table[[#This Row],[Total Cost (COGS)]]</f>
        <v>-2944.7999999999993</v>
      </c>
      <c r="T433">
        <f>Final_Table[[#This Row],[Gross Profit]]*Final_Table[[#This Row],[Tax Rate]]</f>
        <v>-883.43999999999971</v>
      </c>
      <c r="U433" s="5">
        <f>Final_Table[[#This Row],[Gross Profit]]-Final_Table[[#This Row],[Tax]]</f>
        <v>-2061.3599999999997</v>
      </c>
      <c r="V433" s="12">
        <f>Final_Table[[#This Row],[Net Profit]]/Final_Table[[#This Row],[Gross Revenue]]</f>
        <v>-0.10104705882352939</v>
      </c>
    </row>
    <row r="434" spans="1:22">
      <c r="A434" s="18" t="s">
        <v>69</v>
      </c>
      <c r="B434">
        <v>2013</v>
      </c>
      <c r="C434" t="s">
        <v>121</v>
      </c>
      <c r="D434">
        <v>1</v>
      </c>
      <c r="E434" s="18" t="s">
        <v>22</v>
      </c>
      <c r="F434" s="18" t="s">
        <v>108</v>
      </c>
      <c r="G434" s="18" t="s">
        <v>21</v>
      </c>
      <c r="H434" s="18" t="str">
        <f>Assumptions!$B$2</f>
        <v>Worst</v>
      </c>
      <c r="I434" s="18">
        <f>_xlfn.XLOOKUP(Assumptions!$B$2,Assumptions!$F$4:$H$4,Assumptions!$F$5:$H$5)</f>
        <v>1200</v>
      </c>
      <c r="J434" s="18">
        <f>_xlfn.XLOOKUP(Assumptions!$B$2,Assumptions!$F$4:$H$4,Assumptions!$F$6:$H$6)</f>
        <v>17</v>
      </c>
      <c r="K434" s="12">
        <f>_xlfn.XLOOKUP(Assumptions!$B$2,Assumptions!$F$4:$H$4,Assumptions!$F$8:$H$8)</f>
        <v>0.1</v>
      </c>
      <c r="L434" s="12">
        <f>_xlfn.XLOOKUP(Assumptions!$B$2,Assumptions!$F$4:$H$4,Assumptions!$F$9:$H$9)</f>
        <v>0.18</v>
      </c>
      <c r="M434" s="18">
        <f>_xlfn.XLOOKUP(Assumptions!$B$2,Assumptions!$F$4:$H$4,Assumptions!$F$10:$H$10)</f>
        <v>18000</v>
      </c>
      <c r="N434" s="12">
        <f>_xlfn.XLOOKUP(Assumptions!$B$2,Assumptions!$F$4:$H$4,Assumptions!$F$11:$H$11)</f>
        <v>0.3</v>
      </c>
      <c r="O434" s="14">
        <f>Final_Table[[#This Row],[Units Sold]]*Final_Table[[#This Row],[Sale Price]]</f>
        <v>20400</v>
      </c>
      <c r="P434" s="14">
        <f>Final_Table[[#This Row],[Gross Revenue]]*(1-Final_Table[[#This Row],[Discount %]])</f>
        <v>18360</v>
      </c>
      <c r="Q434">
        <f>Final_Table[[#This Row],[Net Revenue]]*Final_Table[[#This Row],[Variable Cost %]]</f>
        <v>3304.7999999999997</v>
      </c>
      <c r="R434">
        <f>Final_Table[[#This Row],[Variable Cost]]+Final_Table[[#This Row],[Fixed Monthly Cost]]</f>
        <v>21304.799999999999</v>
      </c>
      <c r="S434" s="5">
        <f>Final_Table[[#This Row],[Net Revenue]]-Final_Table[[#This Row],[Total Cost (COGS)]]</f>
        <v>-2944.7999999999993</v>
      </c>
      <c r="T434">
        <f>Final_Table[[#This Row],[Gross Profit]]*Final_Table[[#This Row],[Tax Rate]]</f>
        <v>-883.43999999999971</v>
      </c>
      <c r="U434" s="5">
        <f>Final_Table[[#This Row],[Gross Profit]]-Final_Table[[#This Row],[Tax]]</f>
        <v>-2061.3599999999997</v>
      </c>
      <c r="V434" s="12">
        <f>Final_Table[[#This Row],[Net Profit]]/Final_Table[[#This Row],[Gross Revenue]]</f>
        <v>-0.10104705882352939</v>
      </c>
    </row>
    <row r="435" spans="1:22">
      <c r="A435" s="18" t="s">
        <v>69</v>
      </c>
      <c r="B435">
        <v>2013</v>
      </c>
      <c r="C435" t="s">
        <v>121</v>
      </c>
      <c r="D435">
        <v>1</v>
      </c>
      <c r="E435" s="18" t="s">
        <v>22</v>
      </c>
      <c r="F435" s="18" t="s">
        <v>108</v>
      </c>
      <c r="G435" s="18" t="s">
        <v>25</v>
      </c>
      <c r="H435" s="18" t="str">
        <f>Assumptions!$B$2</f>
        <v>Worst</v>
      </c>
      <c r="I435" s="18">
        <f>_xlfn.XLOOKUP(Assumptions!$B$2,Assumptions!$F$4:$H$4,Assumptions!$F$5:$H$5)</f>
        <v>1200</v>
      </c>
      <c r="J435" s="18">
        <f>_xlfn.XLOOKUP(Assumptions!$B$2,Assumptions!$F$4:$H$4,Assumptions!$F$6:$H$6)</f>
        <v>17</v>
      </c>
      <c r="K435" s="12">
        <f>_xlfn.XLOOKUP(Assumptions!$B$2,Assumptions!$F$4:$H$4,Assumptions!$F$8:$H$8)</f>
        <v>0.1</v>
      </c>
      <c r="L435" s="12">
        <f>_xlfn.XLOOKUP(Assumptions!$B$2,Assumptions!$F$4:$H$4,Assumptions!$F$9:$H$9)</f>
        <v>0.18</v>
      </c>
      <c r="M435" s="18">
        <f>_xlfn.XLOOKUP(Assumptions!$B$2,Assumptions!$F$4:$H$4,Assumptions!$F$10:$H$10)</f>
        <v>18000</v>
      </c>
      <c r="N435" s="12">
        <f>_xlfn.XLOOKUP(Assumptions!$B$2,Assumptions!$F$4:$H$4,Assumptions!$F$11:$H$11)</f>
        <v>0.3</v>
      </c>
      <c r="O435" s="14">
        <f>Final_Table[[#This Row],[Units Sold]]*Final_Table[[#This Row],[Sale Price]]</f>
        <v>20400</v>
      </c>
      <c r="P435" s="14">
        <f>Final_Table[[#This Row],[Gross Revenue]]*(1-Final_Table[[#This Row],[Discount %]])</f>
        <v>18360</v>
      </c>
      <c r="Q435">
        <f>Final_Table[[#This Row],[Net Revenue]]*Final_Table[[#This Row],[Variable Cost %]]</f>
        <v>3304.7999999999997</v>
      </c>
      <c r="R435">
        <f>Final_Table[[#This Row],[Variable Cost]]+Final_Table[[#This Row],[Fixed Monthly Cost]]</f>
        <v>21304.799999999999</v>
      </c>
      <c r="S435" s="5">
        <f>Final_Table[[#This Row],[Net Revenue]]-Final_Table[[#This Row],[Total Cost (COGS)]]</f>
        <v>-2944.7999999999993</v>
      </c>
      <c r="T435">
        <f>Final_Table[[#This Row],[Gross Profit]]*Final_Table[[#This Row],[Tax Rate]]</f>
        <v>-883.43999999999971</v>
      </c>
      <c r="U435" s="5">
        <f>Final_Table[[#This Row],[Gross Profit]]-Final_Table[[#This Row],[Tax]]</f>
        <v>-2061.3599999999997</v>
      </c>
      <c r="V435" s="12">
        <f>Final_Table[[#This Row],[Net Profit]]/Final_Table[[#This Row],[Gross Revenue]]</f>
        <v>-0.10104705882352939</v>
      </c>
    </row>
    <row r="436" spans="1:22">
      <c r="A436" s="18" t="s">
        <v>69</v>
      </c>
      <c r="B436">
        <v>2013</v>
      </c>
      <c r="C436" t="s">
        <v>121</v>
      </c>
      <c r="D436">
        <v>1</v>
      </c>
      <c r="E436" s="18" t="s">
        <v>22</v>
      </c>
      <c r="F436" s="18" t="s">
        <v>108</v>
      </c>
      <c r="G436" s="18" t="s">
        <v>17</v>
      </c>
      <c r="H436" s="18" t="str">
        <f>Assumptions!$B$2</f>
        <v>Worst</v>
      </c>
      <c r="I436" s="18">
        <f>_xlfn.XLOOKUP(Assumptions!$B$2,Assumptions!$F$4:$H$4,Assumptions!$F$5:$H$5)</f>
        <v>1200</v>
      </c>
      <c r="J436" s="18">
        <f>_xlfn.XLOOKUP(Assumptions!$B$2,Assumptions!$F$4:$H$4,Assumptions!$F$6:$H$6)</f>
        <v>17</v>
      </c>
      <c r="K436" s="12">
        <f>_xlfn.XLOOKUP(Assumptions!$B$2,Assumptions!$F$4:$H$4,Assumptions!$F$8:$H$8)</f>
        <v>0.1</v>
      </c>
      <c r="L436" s="12">
        <f>_xlfn.XLOOKUP(Assumptions!$B$2,Assumptions!$F$4:$H$4,Assumptions!$F$9:$H$9)</f>
        <v>0.18</v>
      </c>
      <c r="M436" s="18">
        <f>_xlfn.XLOOKUP(Assumptions!$B$2,Assumptions!$F$4:$H$4,Assumptions!$F$10:$H$10)</f>
        <v>18000</v>
      </c>
      <c r="N436" s="12">
        <f>_xlfn.XLOOKUP(Assumptions!$B$2,Assumptions!$F$4:$H$4,Assumptions!$F$11:$H$11)</f>
        <v>0.3</v>
      </c>
      <c r="O436" s="14">
        <f>Final_Table[[#This Row],[Units Sold]]*Final_Table[[#This Row],[Sale Price]]</f>
        <v>20400</v>
      </c>
      <c r="P436" s="14">
        <f>Final_Table[[#This Row],[Gross Revenue]]*(1-Final_Table[[#This Row],[Discount %]])</f>
        <v>18360</v>
      </c>
      <c r="Q436">
        <f>Final_Table[[#This Row],[Net Revenue]]*Final_Table[[#This Row],[Variable Cost %]]</f>
        <v>3304.7999999999997</v>
      </c>
      <c r="R436">
        <f>Final_Table[[#This Row],[Variable Cost]]+Final_Table[[#This Row],[Fixed Monthly Cost]]</f>
        <v>21304.799999999999</v>
      </c>
      <c r="S436" s="5">
        <f>Final_Table[[#This Row],[Net Revenue]]-Final_Table[[#This Row],[Total Cost (COGS)]]</f>
        <v>-2944.7999999999993</v>
      </c>
      <c r="T436">
        <f>Final_Table[[#This Row],[Gross Profit]]*Final_Table[[#This Row],[Tax Rate]]</f>
        <v>-883.43999999999971</v>
      </c>
      <c r="U436" s="5">
        <f>Final_Table[[#This Row],[Gross Profit]]-Final_Table[[#This Row],[Tax]]</f>
        <v>-2061.3599999999997</v>
      </c>
      <c r="V436" s="12">
        <f>Final_Table[[#This Row],[Net Profit]]/Final_Table[[#This Row],[Gross Revenue]]</f>
        <v>-0.10104705882352939</v>
      </c>
    </row>
    <row r="437" spans="1:22">
      <c r="A437" s="18" t="s">
        <v>69</v>
      </c>
      <c r="B437">
        <v>2013</v>
      </c>
      <c r="C437" t="s">
        <v>121</v>
      </c>
      <c r="D437">
        <v>1</v>
      </c>
      <c r="E437" s="18" t="s">
        <v>22</v>
      </c>
      <c r="F437" s="18" t="s">
        <v>112</v>
      </c>
      <c r="G437" s="18" t="s">
        <v>36</v>
      </c>
      <c r="H437" s="18" t="str">
        <f>Assumptions!$B$2</f>
        <v>Worst</v>
      </c>
      <c r="I437" s="18">
        <f>_xlfn.XLOOKUP(Assumptions!$B$2,Assumptions!$F$4:$H$4,Assumptions!$F$5:$H$5)</f>
        <v>1200</v>
      </c>
      <c r="J437" s="18">
        <f>_xlfn.XLOOKUP(Assumptions!$B$2,Assumptions!$F$4:$H$4,Assumptions!$F$6:$H$6)</f>
        <v>17</v>
      </c>
      <c r="K437" s="12">
        <f>_xlfn.XLOOKUP(Assumptions!$B$2,Assumptions!$F$4:$H$4,Assumptions!$F$8:$H$8)</f>
        <v>0.1</v>
      </c>
      <c r="L437" s="12">
        <f>_xlfn.XLOOKUP(Assumptions!$B$2,Assumptions!$F$4:$H$4,Assumptions!$F$9:$H$9)</f>
        <v>0.18</v>
      </c>
      <c r="M437" s="18">
        <f>_xlfn.XLOOKUP(Assumptions!$B$2,Assumptions!$F$4:$H$4,Assumptions!$F$10:$H$10)</f>
        <v>18000</v>
      </c>
      <c r="N437" s="12">
        <f>_xlfn.XLOOKUP(Assumptions!$B$2,Assumptions!$F$4:$H$4,Assumptions!$F$11:$H$11)</f>
        <v>0.3</v>
      </c>
      <c r="O437" s="14">
        <f>Final_Table[[#This Row],[Units Sold]]*Final_Table[[#This Row],[Sale Price]]</f>
        <v>20400</v>
      </c>
      <c r="P437" s="14">
        <f>Final_Table[[#This Row],[Gross Revenue]]*(1-Final_Table[[#This Row],[Discount %]])</f>
        <v>18360</v>
      </c>
      <c r="Q437">
        <f>Final_Table[[#This Row],[Net Revenue]]*Final_Table[[#This Row],[Variable Cost %]]</f>
        <v>3304.7999999999997</v>
      </c>
      <c r="R437">
        <f>Final_Table[[#This Row],[Variable Cost]]+Final_Table[[#This Row],[Fixed Monthly Cost]]</f>
        <v>21304.799999999999</v>
      </c>
      <c r="S437" s="5">
        <f>Final_Table[[#This Row],[Net Revenue]]-Final_Table[[#This Row],[Total Cost (COGS)]]</f>
        <v>-2944.7999999999993</v>
      </c>
      <c r="T437">
        <f>Final_Table[[#This Row],[Gross Profit]]*Final_Table[[#This Row],[Tax Rate]]</f>
        <v>-883.43999999999971</v>
      </c>
      <c r="U437" s="5">
        <f>Final_Table[[#This Row],[Gross Profit]]-Final_Table[[#This Row],[Tax]]</f>
        <v>-2061.3599999999997</v>
      </c>
      <c r="V437" s="12">
        <f>Final_Table[[#This Row],[Net Profit]]/Final_Table[[#This Row],[Gross Revenue]]</f>
        <v>-0.10104705882352939</v>
      </c>
    </row>
    <row r="438" spans="1:22">
      <c r="A438" s="18" t="s">
        <v>69</v>
      </c>
      <c r="B438">
        <v>2013</v>
      </c>
      <c r="C438" t="s">
        <v>121</v>
      </c>
      <c r="D438">
        <v>1</v>
      </c>
      <c r="E438" s="18" t="s">
        <v>22</v>
      </c>
      <c r="F438" s="18" t="s">
        <v>112</v>
      </c>
      <c r="G438" s="18" t="s">
        <v>23</v>
      </c>
      <c r="H438" s="18" t="str">
        <f>Assumptions!$B$2</f>
        <v>Worst</v>
      </c>
      <c r="I438" s="18">
        <f>_xlfn.XLOOKUP(Assumptions!$B$2,Assumptions!$F$4:$H$4,Assumptions!$F$5:$H$5)</f>
        <v>1200</v>
      </c>
      <c r="J438" s="18">
        <f>_xlfn.XLOOKUP(Assumptions!$B$2,Assumptions!$F$4:$H$4,Assumptions!$F$6:$H$6)</f>
        <v>17</v>
      </c>
      <c r="K438" s="12">
        <f>_xlfn.XLOOKUP(Assumptions!$B$2,Assumptions!$F$4:$H$4,Assumptions!$F$8:$H$8)</f>
        <v>0.1</v>
      </c>
      <c r="L438" s="12">
        <f>_xlfn.XLOOKUP(Assumptions!$B$2,Assumptions!$F$4:$H$4,Assumptions!$F$9:$H$9)</f>
        <v>0.18</v>
      </c>
      <c r="M438" s="18">
        <f>_xlfn.XLOOKUP(Assumptions!$B$2,Assumptions!$F$4:$H$4,Assumptions!$F$10:$H$10)</f>
        <v>18000</v>
      </c>
      <c r="N438" s="12">
        <f>_xlfn.XLOOKUP(Assumptions!$B$2,Assumptions!$F$4:$H$4,Assumptions!$F$11:$H$11)</f>
        <v>0.3</v>
      </c>
      <c r="O438" s="14">
        <f>Final_Table[[#This Row],[Units Sold]]*Final_Table[[#This Row],[Sale Price]]</f>
        <v>20400</v>
      </c>
      <c r="P438" s="14">
        <f>Final_Table[[#This Row],[Gross Revenue]]*(1-Final_Table[[#This Row],[Discount %]])</f>
        <v>18360</v>
      </c>
      <c r="Q438">
        <f>Final_Table[[#This Row],[Net Revenue]]*Final_Table[[#This Row],[Variable Cost %]]</f>
        <v>3304.7999999999997</v>
      </c>
      <c r="R438">
        <f>Final_Table[[#This Row],[Variable Cost]]+Final_Table[[#This Row],[Fixed Monthly Cost]]</f>
        <v>21304.799999999999</v>
      </c>
      <c r="S438" s="5">
        <f>Final_Table[[#This Row],[Net Revenue]]-Final_Table[[#This Row],[Total Cost (COGS)]]</f>
        <v>-2944.7999999999993</v>
      </c>
      <c r="T438">
        <f>Final_Table[[#This Row],[Gross Profit]]*Final_Table[[#This Row],[Tax Rate]]</f>
        <v>-883.43999999999971</v>
      </c>
      <c r="U438" s="5">
        <f>Final_Table[[#This Row],[Gross Profit]]-Final_Table[[#This Row],[Tax]]</f>
        <v>-2061.3599999999997</v>
      </c>
      <c r="V438" s="12">
        <f>Final_Table[[#This Row],[Net Profit]]/Final_Table[[#This Row],[Gross Revenue]]</f>
        <v>-0.10104705882352939</v>
      </c>
    </row>
    <row r="439" spans="1:22">
      <c r="A439" s="18" t="s">
        <v>69</v>
      </c>
      <c r="B439">
        <v>2013</v>
      </c>
      <c r="C439" t="s">
        <v>121</v>
      </c>
      <c r="D439">
        <v>1</v>
      </c>
      <c r="E439" s="18" t="s">
        <v>22</v>
      </c>
      <c r="F439" s="18" t="s">
        <v>112</v>
      </c>
      <c r="G439" s="18" t="s">
        <v>21</v>
      </c>
      <c r="H439" s="18" t="str">
        <f>Assumptions!$B$2</f>
        <v>Worst</v>
      </c>
      <c r="I439" s="18">
        <f>_xlfn.XLOOKUP(Assumptions!$B$2,Assumptions!$F$4:$H$4,Assumptions!$F$5:$H$5)</f>
        <v>1200</v>
      </c>
      <c r="J439" s="18">
        <f>_xlfn.XLOOKUP(Assumptions!$B$2,Assumptions!$F$4:$H$4,Assumptions!$F$6:$H$6)</f>
        <v>17</v>
      </c>
      <c r="K439" s="12">
        <f>_xlfn.XLOOKUP(Assumptions!$B$2,Assumptions!$F$4:$H$4,Assumptions!$F$8:$H$8)</f>
        <v>0.1</v>
      </c>
      <c r="L439" s="12">
        <f>_xlfn.XLOOKUP(Assumptions!$B$2,Assumptions!$F$4:$H$4,Assumptions!$F$9:$H$9)</f>
        <v>0.18</v>
      </c>
      <c r="M439" s="18">
        <f>_xlfn.XLOOKUP(Assumptions!$B$2,Assumptions!$F$4:$H$4,Assumptions!$F$10:$H$10)</f>
        <v>18000</v>
      </c>
      <c r="N439" s="12">
        <f>_xlfn.XLOOKUP(Assumptions!$B$2,Assumptions!$F$4:$H$4,Assumptions!$F$11:$H$11)</f>
        <v>0.3</v>
      </c>
      <c r="O439" s="14">
        <f>Final_Table[[#This Row],[Units Sold]]*Final_Table[[#This Row],[Sale Price]]</f>
        <v>20400</v>
      </c>
      <c r="P439" s="14">
        <f>Final_Table[[#This Row],[Gross Revenue]]*(1-Final_Table[[#This Row],[Discount %]])</f>
        <v>18360</v>
      </c>
      <c r="Q439">
        <f>Final_Table[[#This Row],[Net Revenue]]*Final_Table[[#This Row],[Variable Cost %]]</f>
        <v>3304.7999999999997</v>
      </c>
      <c r="R439">
        <f>Final_Table[[#This Row],[Variable Cost]]+Final_Table[[#This Row],[Fixed Monthly Cost]]</f>
        <v>21304.799999999999</v>
      </c>
      <c r="S439" s="5">
        <f>Final_Table[[#This Row],[Net Revenue]]-Final_Table[[#This Row],[Total Cost (COGS)]]</f>
        <v>-2944.7999999999993</v>
      </c>
      <c r="T439">
        <f>Final_Table[[#This Row],[Gross Profit]]*Final_Table[[#This Row],[Tax Rate]]</f>
        <v>-883.43999999999971</v>
      </c>
      <c r="U439" s="5">
        <f>Final_Table[[#This Row],[Gross Profit]]-Final_Table[[#This Row],[Tax]]</f>
        <v>-2061.3599999999997</v>
      </c>
      <c r="V439" s="12">
        <f>Final_Table[[#This Row],[Net Profit]]/Final_Table[[#This Row],[Gross Revenue]]</f>
        <v>-0.10104705882352939</v>
      </c>
    </row>
    <row r="440" spans="1:22">
      <c r="A440" s="18" t="s">
        <v>69</v>
      </c>
      <c r="B440">
        <v>2013</v>
      </c>
      <c r="C440" t="s">
        <v>121</v>
      </c>
      <c r="D440">
        <v>1</v>
      </c>
      <c r="E440" s="18" t="s">
        <v>22</v>
      </c>
      <c r="F440" s="18" t="s">
        <v>112</v>
      </c>
      <c r="G440" s="18" t="s">
        <v>25</v>
      </c>
      <c r="H440" s="18" t="str">
        <f>Assumptions!$B$2</f>
        <v>Worst</v>
      </c>
      <c r="I440" s="18">
        <f>_xlfn.XLOOKUP(Assumptions!$B$2,Assumptions!$F$4:$H$4,Assumptions!$F$5:$H$5)</f>
        <v>1200</v>
      </c>
      <c r="J440" s="18">
        <f>_xlfn.XLOOKUP(Assumptions!$B$2,Assumptions!$F$4:$H$4,Assumptions!$F$6:$H$6)</f>
        <v>17</v>
      </c>
      <c r="K440" s="12">
        <f>_xlfn.XLOOKUP(Assumptions!$B$2,Assumptions!$F$4:$H$4,Assumptions!$F$8:$H$8)</f>
        <v>0.1</v>
      </c>
      <c r="L440" s="12">
        <f>_xlfn.XLOOKUP(Assumptions!$B$2,Assumptions!$F$4:$H$4,Assumptions!$F$9:$H$9)</f>
        <v>0.18</v>
      </c>
      <c r="M440" s="18">
        <f>_xlfn.XLOOKUP(Assumptions!$B$2,Assumptions!$F$4:$H$4,Assumptions!$F$10:$H$10)</f>
        <v>18000</v>
      </c>
      <c r="N440" s="12">
        <f>_xlfn.XLOOKUP(Assumptions!$B$2,Assumptions!$F$4:$H$4,Assumptions!$F$11:$H$11)</f>
        <v>0.3</v>
      </c>
      <c r="O440" s="14">
        <f>Final_Table[[#This Row],[Units Sold]]*Final_Table[[#This Row],[Sale Price]]</f>
        <v>20400</v>
      </c>
      <c r="P440" s="14">
        <f>Final_Table[[#This Row],[Gross Revenue]]*(1-Final_Table[[#This Row],[Discount %]])</f>
        <v>18360</v>
      </c>
      <c r="Q440">
        <f>Final_Table[[#This Row],[Net Revenue]]*Final_Table[[#This Row],[Variable Cost %]]</f>
        <v>3304.7999999999997</v>
      </c>
      <c r="R440">
        <f>Final_Table[[#This Row],[Variable Cost]]+Final_Table[[#This Row],[Fixed Monthly Cost]]</f>
        <v>21304.799999999999</v>
      </c>
      <c r="S440" s="5">
        <f>Final_Table[[#This Row],[Net Revenue]]-Final_Table[[#This Row],[Total Cost (COGS)]]</f>
        <v>-2944.7999999999993</v>
      </c>
      <c r="T440">
        <f>Final_Table[[#This Row],[Gross Profit]]*Final_Table[[#This Row],[Tax Rate]]</f>
        <v>-883.43999999999971</v>
      </c>
      <c r="U440" s="5">
        <f>Final_Table[[#This Row],[Gross Profit]]-Final_Table[[#This Row],[Tax]]</f>
        <v>-2061.3599999999997</v>
      </c>
      <c r="V440" s="12">
        <f>Final_Table[[#This Row],[Net Profit]]/Final_Table[[#This Row],[Gross Revenue]]</f>
        <v>-0.10104705882352939</v>
      </c>
    </row>
    <row r="441" spans="1:22">
      <c r="A441" s="18" t="s">
        <v>69</v>
      </c>
      <c r="B441">
        <v>2013</v>
      </c>
      <c r="C441" t="s">
        <v>121</v>
      </c>
      <c r="D441">
        <v>1</v>
      </c>
      <c r="E441" s="18" t="s">
        <v>22</v>
      </c>
      <c r="F441" s="18" t="s">
        <v>112</v>
      </c>
      <c r="G441" s="18" t="s">
        <v>17</v>
      </c>
      <c r="H441" s="18" t="str">
        <f>Assumptions!$B$2</f>
        <v>Worst</v>
      </c>
      <c r="I441" s="18">
        <f>_xlfn.XLOOKUP(Assumptions!$B$2,Assumptions!$F$4:$H$4,Assumptions!$F$5:$H$5)</f>
        <v>1200</v>
      </c>
      <c r="J441" s="18">
        <f>_xlfn.XLOOKUP(Assumptions!$B$2,Assumptions!$F$4:$H$4,Assumptions!$F$6:$H$6)</f>
        <v>17</v>
      </c>
      <c r="K441" s="12">
        <f>_xlfn.XLOOKUP(Assumptions!$B$2,Assumptions!$F$4:$H$4,Assumptions!$F$8:$H$8)</f>
        <v>0.1</v>
      </c>
      <c r="L441" s="12">
        <f>_xlfn.XLOOKUP(Assumptions!$B$2,Assumptions!$F$4:$H$4,Assumptions!$F$9:$H$9)</f>
        <v>0.18</v>
      </c>
      <c r="M441" s="18">
        <f>_xlfn.XLOOKUP(Assumptions!$B$2,Assumptions!$F$4:$H$4,Assumptions!$F$10:$H$10)</f>
        <v>18000</v>
      </c>
      <c r="N441" s="12">
        <f>_xlfn.XLOOKUP(Assumptions!$B$2,Assumptions!$F$4:$H$4,Assumptions!$F$11:$H$11)</f>
        <v>0.3</v>
      </c>
      <c r="O441" s="14">
        <f>Final_Table[[#This Row],[Units Sold]]*Final_Table[[#This Row],[Sale Price]]</f>
        <v>20400</v>
      </c>
      <c r="P441" s="14">
        <f>Final_Table[[#This Row],[Gross Revenue]]*(1-Final_Table[[#This Row],[Discount %]])</f>
        <v>18360</v>
      </c>
      <c r="Q441">
        <f>Final_Table[[#This Row],[Net Revenue]]*Final_Table[[#This Row],[Variable Cost %]]</f>
        <v>3304.7999999999997</v>
      </c>
      <c r="R441">
        <f>Final_Table[[#This Row],[Variable Cost]]+Final_Table[[#This Row],[Fixed Monthly Cost]]</f>
        <v>21304.799999999999</v>
      </c>
      <c r="S441" s="5">
        <f>Final_Table[[#This Row],[Net Revenue]]-Final_Table[[#This Row],[Total Cost (COGS)]]</f>
        <v>-2944.7999999999993</v>
      </c>
      <c r="T441">
        <f>Final_Table[[#This Row],[Gross Profit]]*Final_Table[[#This Row],[Tax Rate]]</f>
        <v>-883.43999999999971</v>
      </c>
      <c r="U441" s="5">
        <f>Final_Table[[#This Row],[Gross Profit]]-Final_Table[[#This Row],[Tax]]</f>
        <v>-2061.3599999999997</v>
      </c>
      <c r="V441" s="12">
        <f>Final_Table[[#This Row],[Net Profit]]/Final_Table[[#This Row],[Gross Revenue]]</f>
        <v>-0.10104705882352939</v>
      </c>
    </row>
    <row r="442" spans="1:22">
      <c r="A442" s="18" t="s">
        <v>69</v>
      </c>
      <c r="B442">
        <v>2013</v>
      </c>
      <c r="C442" t="s">
        <v>121</v>
      </c>
      <c r="D442">
        <v>1</v>
      </c>
      <c r="E442" s="18" t="s">
        <v>22</v>
      </c>
      <c r="F442" s="18" t="s">
        <v>113</v>
      </c>
      <c r="G442" s="18" t="s">
        <v>36</v>
      </c>
      <c r="H442" s="18" t="str">
        <f>Assumptions!$B$2</f>
        <v>Worst</v>
      </c>
      <c r="I442" s="18">
        <f>_xlfn.XLOOKUP(Assumptions!$B$2,Assumptions!$F$4:$H$4,Assumptions!$F$5:$H$5)</f>
        <v>1200</v>
      </c>
      <c r="J442" s="18">
        <f>_xlfn.XLOOKUP(Assumptions!$B$2,Assumptions!$F$4:$H$4,Assumptions!$F$6:$H$6)</f>
        <v>17</v>
      </c>
      <c r="K442" s="12">
        <f>_xlfn.XLOOKUP(Assumptions!$B$2,Assumptions!$F$4:$H$4,Assumptions!$F$8:$H$8)</f>
        <v>0.1</v>
      </c>
      <c r="L442" s="12">
        <f>_xlfn.XLOOKUP(Assumptions!$B$2,Assumptions!$F$4:$H$4,Assumptions!$F$9:$H$9)</f>
        <v>0.18</v>
      </c>
      <c r="M442" s="18">
        <f>_xlfn.XLOOKUP(Assumptions!$B$2,Assumptions!$F$4:$H$4,Assumptions!$F$10:$H$10)</f>
        <v>18000</v>
      </c>
      <c r="N442" s="12">
        <f>_xlfn.XLOOKUP(Assumptions!$B$2,Assumptions!$F$4:$H$4,Assumptions!$F$11:$H$11)</f>
        <v>0.3</v>
      </c>
      <c r="O442" s="14">
        <f>Final_Table[[#This Row],[Units Sold]]*Final_Table[[#This Row],[Sale Price]]</f>
        <v>20400</v>
      </c>
      <c r="P442" s="14">
        <f>Final_Table[[#This Row],[Gross Revenue]]*(1-Final_Table[[#This Row],[Discount %]])</f>
        <v>18360</v>
      </c>
      <c r="Q442">
        <f>Final_Table[[#This Row],[Net Revenue]]*Final_Table[[#This Row],[Variable Cost %]]</f>
        <v>3304.7999999999997</v>
      </c>
      <c r="R442">
        <f>Final_Table[[#This Row],[Variable Cost]]+Final_Table[[#This Row],[Fixed Monthly Cost]]</f>
        <v>21304.799999999999</v>
      </c>
      <c r="S442" s="5">
        <f>Final_Table[[#This Row],[Net Revenue]]-Final_Table[[#This Row],[Total Cost (COGS)]]</f>
        <v>-2944.7999999999993</v>
      </c>
      <c r="T442">
        <f>Final_Table[[#This Row],[Gross Profit]]*Final_Table[[#This Row],[Tax Rate]]</f>
        <v>-883.43999999999971</v>
      </c>
      <c r="U442" s="5">
        <f>Final_Table[[#This Row],[Gross Profit]]-Final_Table[[#This Row],[Tax]]</f>
        <v>-2061.3599999999997</v>
      </c>
      <c r="V442" s="12">
        <f>Final_Table[[#This Row],[Net Profit]]/Final_Table[[#This Row],[Gross Revenue]]</f>
        <v>-0.10104705882352939</v>
      </c>
    </row>
    <row r="443" spans="1:22">
      <c r="A443" s="18" t="s">
        <v>69</v>
      </c>
      <c r="B443">
        <v>2013</v>
      </c>
      <c r="C443" t="s">
        <v>121</v>
      </c>
      <c r="D443">
        <v>1</v>
      </c>
      <c r="E443" s="18" t="s">
        <v>22</v>
      </c>
      <c r="F443" s="18" t="s">
        <v>113</v>
      </c>
      <c r="G443" s="18" t="s">
        <v>23</v>
      </c>
      <c r="H443" s="18" t="str">
        <f>Assumptions!$B$2</f>
        <v>Worst</v>
      </c>
      <c r="I443" s="18">
        <f>_xlfn.XLOOKUP(Assumptions!$B$2,Assumptions!$F$4:$H$4,Assumptions!$F$5:$H$5)</f>
        <v>1200</v>
      </c>
      <c r="J443" s="18">
        <f>_xlfn.XLOOKUP(Assumptions!$B$2,Assumptions!$F$4:$H$4,Assumptions!$F$6:$H$6)</f>
        <v>17</v>
      </c>
      <c r="K443" s="12">
        <f>_xlfn.XLOOKUP(Assumptions!$B$2,Assumptions!$F$4:$H$4,Assumptions!$F$8:$H$8)</f>
        <v>0.1</v>
      </c>
      <c r="L443" s="12">
        <f>_xlfn.XLOOKUP(Assumptions!$B$2,Assumptions!$F$4:$H$4,Assumptions!$F$9:$H$9)</f>
        <v>0.18</v>
      </c>
      <c r="M443" s="18">
        <f>_xlfn.XLOOKUP(Assumptions!$B$2,Assumptions!$F$4:$H$4,Assumptions!$F$10:$H$10)</f>
        <v>18000</v>
      </c>
      <c r="N443" s="12">
        <f>_xlfn.XLOOKUP(Assumptions!$B$2,Assumptions!$F$4:$H$4,Assumptions!$F$11:$H$11)</f>
        <v>0.3</v>
      </c>
      <c r="O443" s="14">
        <f>Final_Table[[#This Row],[Units Sold]]*Final_Table[[#This Row],[Sale Price]]</f>
        <v>20400</v>
      </c>
      <c r="P443" s="14">
        <f>Final_Table[[#This Row],[Gross Revenue]]*(1-Final_Table[[#This Row],[Discount %]])</f>
        <v>18360</v>
      </c>
      <c r="Q443">
        <f>Final_Table[[#This Row],[Net Revenue]]*Final_Table[[#This Row],[Variable Cost %]]</f>
        <v>3304.7999999999997</v>
      </c>
      <c r="R443">
        <f>Final_Table[[#This Row],[Variable Cost]]+Final_Table[[#This Row],[Fixed Monthly Cost]]</f>
        <v>21304.799999999999</v>
      </c>
      <c r="S443" s="5">
        <f>Final_Table[[#This Row],[Net Revenue]]-Final_Table[[#This Row],[Total Cost (COGS)]]</f>
        <v>-2944.7999999999993</v>
      </c>
      <c r="T443">
        <f>Final_Table[[#This Row],[Gross Profit]]*Final_Table[[#This Row],[Tax Rate]]</f>
        <v>-883.43999999999971</v>
      </c>
      <c r="U443" s="5">
        <f>Final_Table[[#This Row],[Gross Profit]]-Final_Table[[#This Row],[Tax]]</f>
        <v>-2061.3599999999997</v>
      </c>
      <c r="V443" s="12">
        <f>Final_Table[[#This Row],[Net Profit]]/Final_Table[[#This Row],[Gross Revenue]]</f>
        <v>-0.10104705882352939</v>
      </c>
    </row>
    <row r="444" spans="1:22">
      <c r="A444" s="18" t="s">
        <v>69</v>
      </c>
      <c r="B444">
        <v>2013</v>
      </c>
      <c r="C444" t="s">
        <v>121</v>
      </c>
      <c r="D444">
        <v>1</v>
      </c>
      <c r="E444" s="18" t="s">
        <v>22</v>
      </c>
      <c r="F444" s="18" t="s">
        <v>113</v>
      </c>
      <c r="G444" s="18" t="s">
        <v>21</v>
      </c>
      <c r="H444" s="18" t="str">
        <f>Assumptions!$B$2</f>
        <v>Worst</v>
      </c>
      <c r="I444" s="18">
        <f>_xlfn.XLOOKUP(Assumptions!$B$2,Assumptions!$F$4:$H$4,Assumptions!$F$5:$H$5)</f>
        <v>1200</v>
      </c>
      <c r="J444" s="18">
        <f>_xlfn.XLOOKUP(Assumptions!$B$2,Assumptions!$F$4:$H$4,Assumptions!$F$6:$H$6)</f>
        <v>17</v>
      </c>
      <c r="K444" s="12">
        <f>_xlfn.XLOOKUP(Assumptions!$B$2,Assumptions!$F$4:$H$4,Assumptions!$F$8:$H$8)</f>
        <v>0.1</v>
      </c>
      <c r="L444" s="12">
        <f>_xlfn.XLOOKUP(Assumptions!$B$2,Assumptions!$F$4:$H$4,Assumptions!$F$9:$H$9)</f>
        <v>0.18</v>
      </c>
      <c r="M444" s="18">
        <f>_xlfn.XLOOKUP(Assumptions!$B$2,Assumptions!$F$4:$H$4,Assumptions!$F$10:$H$10)</f>
        <v>18000</v>
      </c>
      <c r="N444" s="12">
        <f>_xlfn.XLOOKUP(Assumptions!$B$2,Assumptions!$F$4:$H$4,Assumptions!$F$11:$H$11)</f>
        <v>0.3</v>
      </c>
      <c r="O444" s="14">
        <f>Final_Table[[#This Row],[Units Sold]]*Final_Table[[#This Row],[Sale Price]]</f>
        <v>20400</v>
      </c>
      <c r="P444" s="14">
        <f>Final_Table[[#This Row],[Gross Revenue]]*(1-Final_Table[[#This Row],[Discount %]])</f>
        <v>18360</v>
      </c>
      <c r="Q444">
        <f>Final_Table[[#This Row],[Net Revenue]]*Final_Table[[#This Row],[Variable Cost %]]</f>
        <v>3304.7999999999997</v>
      </c>
      <c r="R444">
        <f>Final_Table[[#This Row],[Variable Cost]]+Final_Table[[#This Row],[Fixed Monthly Cost]]</f>
        <v>21304.799999999999</v>
      </c>
      <c r="S444" s="5">
        <f>Final_Table[[#This Row],[Net Revenue]]-Final_Table[[#This Row],[Total Cost (COGS)]]</f>
        <v>-2944.7999999999993</v>
      </c>
      <c r="T444">
        <f>Final_Table[[#This Row],[Gross Profit]]*Final_Table[[#This Row],[Tax Rate]]</f>
        <v>-883.43999999999971</v>
      </c>
      <c r="U444" s="5">
        <f>Final_Table[[#This Row],[Gross Profit]]-Final_Table[[#This Row],[Tax]]</f>
        <v>-2061.3599999999997</v>
      </c>
      <c r="V444" s="12">
        <f>Final_Table[[#This Row],[Net Profit]]/Final_Table[[#This Row],[Gross Revenue]]</f>
        <v>-0.10104705882352939</v>
      </c>
    </row>
    <row r="445" spans="1:22">
      <c r="A445" s="18" t="s">
        <v>69</v>
      </c>
      <c r="B445">
        <v>2013</v>
      </c>
      <c r="C445" t="s">
        <v>121</v>
      </c>
      <c r="D445">
        <v>1</v>
      </c>
      <c r="E445" s="18" t="s">
        <v>22</v>
      </c>
      <c r="F445" s="18" t="s">
        <v>113</v>
      </c>
      <c r="G445" s="18" t="s">
        <v>25</v>
      </c>
      <c r="H445" s="18" t="str">
        <f>Assumptions!$B$2</f>
        <v>Worst</v>
      </c>
      <c r="I445" s="18">
        <f>_xlfn.XLOOKUP(Assumptions!$B$2,Assumptions!$F$4:$H$4,Assumptions!$F$5:$H$5)</f>
        <v>1200</v>
      </c>
      <c r="J445" s="18">
        <f>_xlfn.XLOOKUP(Assumptions!$B$2,Assumptions!$F$4:$H$4,Assumptions!$F$6:$H$6)</f>
        <v>17</v>
      </c>
      <c r="K445" s="12">
        <f>_xlfn.XLOOKUP(Assumptions!$B$2,Assumptions!$F$4:$H$4,Assumptions!$F$8:$H$8)</f>
        <v>0.1</v>
      </c>
      <c r="L445" s="12">
        <f>_xlfn.XLOOKUP(Assumptions!$B$2,Assumptions!$F$4:$H$4,Assumptions!$F$9:$H$9)</f>
        <v>0.18</v>
      </c>
      <c r="M445" s="18">
        <f>_xlfn.XLOOKUP(Assumptions!$B$2,Assumptions!$F$4:$H$4,Assumptions!$F$10:$H$10)</f>
        <v>18000</v>
      </c>
      <c r="N445" s="12">
        <f>_xlfn.XLOOKUP(Assumptions!$B$2,Assumptions!$F$4:$H$4,Assumptions!$F$11:$H$11)</f>
        <v>0.3</v>
      </c>
      <c r="O445" s="14">
        <f>Final_Table[[#This Row],[Units Sold]]*Final_Table[[#This Row],[Sale Price]]</f>
        <v>20400</v>
      </c>
      <c r="P445" s="14">
        <f>Final_Table[[#This Row],[Gross Revenue]]*(1-Final_Table[[#This Row],[Discount %]])</f>
        <v>18360</v>
      </c>
      <c r="Q445">
        <f>Final_Table[[#This Row],[Net Revenue]]*Final_Table[[#This Row],[Variable Cost %]]</f>
        <v>3304.7999999999997</v>
      </c>
      <c r="R445">
        <f>Final_Table[[#This Row],[Variable Cost]]+Final_Table[[#This Row],[Fixed Monthly Cost]]</f>
        <v>21304.799999999999</v>
      </c>
      <c r="S445" s="5">
        <f>Final_Table[[#This Row],[Net Revenue]]-Final_Table[[#This Row],[Total Cost (COGS)]]</f>
        <v>-2944.7999999999993</v>
      </c>
      <c r="T445">
        <f>Final_Table[[#This Row],[Gross Profit]]*Final_Table[[#This Row],[Tax Rate]]</f>
        <v>-883.43999999999971</v>
      </c>
      <c r="U445" s="5">
        <f>Final_Table[[#This Row],[Gross Profit]]-Final_Table[[#This Row],[Tax]]</f>
        <v>-2061.3599999999997</v>
      </c>
      <c r="V445" s="12">
        <f>Final_Table[[#This Row],[Net Profit]]/Final_Table[[#This Row],[Gross Revenue]]</f>
        <v>-0.10104705882352939</v>
      </c>
    </row>
    <row r="446" spans="1:22">
      <c r="A446" s="18" t="s">
        <v>69</v>
      </c>
      <c r="B446">
        <v>2013</v>
      </c>
      <c r="C446" t="s">
        <v>121</v>
      </c>
      <c r="D446">
        <v>1</v>
      </c>
      <c r="E446" s="18" t="s">
        <v>22</v>
      </c>
      <c r="F446" s="18" t="s">
        <v>113</v>
      </c>
      <c r="G446" s="18" t="s">
        <v>17</v>
      </c>
      <c r="H446" s="18" t="str">
        <f>Assumptions!$B$2</f>
        <v>Worst</v>
      </c>
      <c r="I446" s="18">
        <f>_xlfn.XLOOKUP(Assumptions!$B$2,Assumptions!$F$4:$H$4,Assumptions!$F$5:$H$5)</f>
        <v>1200</v>
      </c>
      <c r="J446" s="18">
        <f>_xlfn.XLOOKUP(Assumptions!$B$2,Assumptions!$F$4:$H$4,Assumptions!$F$6:$H$6)</f>
        <v>17</v>
      </c>
      <c r="K446" s="12">
        <f>_xlfn.XLOOKUP(Assumptions!$B$2,Assumptions!$F$4:$H$4,Assumptions!$F$8:$H$8)</f>
        <v>0.1</v>
      </c>
      <c r="L446" s="12">
        <f>_xlfn.XLOOKUP(Assumptions!$B$2,Assumptions!$F$4:$H$4,Assumptions!$F$9:$H$9)</f>
        <v>0.18</v>
      </c>
      <c r="M446" s="18">
        <f>_xlfn.XLOOKUP(Assumptions!$B$2,Assumptions!$F$4:$H$4,Assumptions!$F$10:$H$10)</f>
        <v>18000</v>
      </c>
      <c r="N446" s="12">
        <f>_xlfn.XLOOKUP(Assumptions!$B$2,Assumptions!$F$4:$H$4,Assumptions!$F$11:$H$11)</f>
        <v>0.3</v>
      </c>
      <c r="O446" s="14">
        <f>Final_Table[[#This Row],[Units Sold]]*Final_Table[[#This Row],[Sale Price]]</f>
        <v>20400</v>
      </c>
      <c r="P446" s="14">
        <f>Final_Table[[#This Row],[Gross Revenue]]*(1-Final_Table[[#This Row],[Discount %]])</f>
        <v>18360</v>
      </c>
      <c r="Q446">
        <f>Final_Table[[#This Row],[Net Revenue]]*Final_Table[[#This Row],[Variable Cost %]]</f>
        <v>3304.7999999999997</v>
      </c>
      <c r="R446">
        <f>Final_Table[[#This Row],[Variable Cost]]+Final_Table[[#This Row],[Fixed Monthly Cost]]</f>
        <v>21304.799999999999</v>
      </c>
      <c r="S446" s="5">
        <f>Final_Table[[#This Row],[Net Revenue]]-Final_Table[[#This Row],[Total Cost (COGS)]]</f>
        <v>-2944.7999999999993</v>
      </c>
      <c r="T446">
        <f>Final_Table[[#This Row],[Gross Profit]]*Final_Table[[#This Row],[Tax Rate]]</f>
        <v>-883.43999999999971</v>
      </c>
      <c r="U446" s="5">
        <f>Final_Table[[#This Row],[Gross Profit]]-Final_Table[[#This Row],[Tax]]</f>
        <v>-2061.3599999999997</v>
      </c>
      <c r="V446" s="12">
        <f>Final_Table[[#This Row],[Net Profit]]/Final_Table[[#This Row],[Gross Revenue]]</f>
        <v>-0.10104705882352939</v>
      </c>
    </row>
    <row r="447" spans="1:22">
      <c r="A447" s="18" t="s">
        <v>69</v>
      </c>
      <c r="B447">
        <v>2013</v>
      </c>
      <c r="C447" t="s">
        <v>121</v>
      </c>
      <c r="D447">
        <v>1</v>
      </c>
      <c r="E447" s="18" t="s">
        <v>22</v>
      </c>
      <c r="F447" s="18" t="s">
        <v>114</v>
      </c>
      <c r="G447" s="18" t="s">
        <v>36</v>
      </c>
      <c r="H447" s="18" t="str">
        <f>Assumptions!$B$2</f>
        <v>Worst</v>
      </c>
      <c r="I447" s="18">
        <f>_xlfn.XLOOKUP(Assumptions!$B$2,Assumptions!$F$4:$H$4,Assumptions!$F$5:$H$5)</f>
        <v>1200</v>
      </c>
      <c r="J447" s="18">
        <f>_xlfn.XLOOKUP(Assumptions!$B$2,Assumptions!$F$4:$H$4,Assumptions!$F$6:$H$6)</f>
        <v>17</v>
      </c>
      <c r="K447" s="12">
        <f>_xlfn.XLOOKUP(Assumptions!$B$2,Assumptions!$F$4:$H$4,Assumptions!$F$8:$H$8)</f>
        <v>0.1</v>
      </c>
      <c r="L447" s="12">
        <f>_xlfn.XLOOKUP(Assumptions!$B$2,Assumptions!$F$4:$H$4,Assumptions!$F$9:$H$9)</f>
        <v>0.18</v>
      </c>
      <c r="M447" s="18">
        <f>_xlfn.XLOOKUP(Assumptions!$B$2,Assumptions!$F$4:$H$4,Assumptions!$F$10:$H$10)</f>
        <v>18000</v>
      </c>
      <c r="N447" s="12">
        <f>_xlfn.XLOOKUP(Assumptions!$B$2,Assumptions!$F$4:$H$4,Assumptions!$F$11:$H$11)</f>
        <v>0.3</v>
      </c>
      <c r="O447" s="14">
        <f>Final_Table[[#This Row],[Units Sold]]*Final_Table[[#This Row],[Sale Price]]</f>
        <v>20400</v>
      </c>
      <c r="P447" s="14">
        <f>Final_Table[[#This Row],[Gross Revenue]]*(1-Final_Table[[#This Row],[Discount %]])</f>
        <v>18360</v>
      </c>
      <c r="Q447">
        <f>Final_Table[[#This Row],[Net Revenue]]*Final_Table[[#This Row],[Variable Cost %]]</f>
        <v>3304.7999999999997</v>
      </c>
      <c r="R447">
        <f>Final_Table[[#This Row],[Variable Cost]]+Final_Table[[#This Row],[Fixed Monthly Cost]]</f>
        <v>21304.799999999999</v>
      </c>
      <c r="S447" s="5">
        <f>Final_Table[[#This Row],[Net Revenue]]-Final_Table[[#This Row],[Total Cost (COGS)]]</f>
        <v>-2944.7999999999993</v>
      </c>
      <c r="T447">
        <f>Final_Table[[#This Row],[Gross Profit]]*Final_Table[[#This Row],[Tax Rate]]</f>
        <v>-883.43999999999971</v>
      </c>
      <c r="U447" s="5">
        <f>Final_Table[[#This Row],[Gross Profit]]-Final_Table[[#This Row],[Tax]]</f>
        <v>-2061.3599999999997</v>
      </c>
      <c r="V447" s="12">
        <f>Final_Table[[#This Row],[Net Profit]]/Final_Table[[#This Row],[Gross Revenue]]</f>
        <v>-0.10104705882352939</v>
      </c>
    </row>
    <row r="448" spans="1:22">
      <c r="A448" s="18" t="s">
        <v>69</v>
      </c>
      <c r="B448">
        <v>2013</v>
      </c>
      <c r="C448" t="s">
        <v>121</v>
      </c>
      <c r="D448">
        <v>1</v>
      </c>
      <c r="E448" s="18" t="s">
        <v>22</v>
      </c>
      <c r="F448" s="18" t="s">
        <v>114</v>
      </c>
      <c r="G448" s="18" t="s">
        <v>23</v>
      </c>
      <c r="H448" s="18" t="str">
        <f>Assumptions!$B$2</f>
        <v>Worst</v>
      </c>
      <c r="I448" s="18">
        <f>_xlfn.XLOOKUP(Assumptions!$B$2,Assumptions!$F$4:$H$4,Assumptions!$F$5:$H$5)</f>
        <v>1200</v>
      </c>
      <c r="J448" s="18">
        <f>_xlfn.XLOOKUP(Assumptions!$B$2,Assumptions!$F$4:$H$4,Assumptions!$F$6:$H$6)</f>
        <v>17</v>
      </c>
      <c r="K448" s="12">
        <f>_xlfn.XLOOKUP(Assumptions!$B$2,Assumptions!$F$4:$H$4,Assumptions!$F$8:$H$8)</f>
        <v>0.1</v>
      </c>
      <c r="L448" s="12">
        <f>_xlfn.XLOOKUP(Assumptions!$B$2,Assumptions!$F$4:$H$4,Assumptions!$F$9:$H$9)</f>
        <v>0.18</v>
      </c>
      <c r="M448" s="18">
        <f>_xlfn.XLOOKUP(Assumptions!$B$2,Assumptions!$F$4:$H$4,Assumptions!$F$10:$H$10)</f>
        <v>18000</v>
      </c>
      <c r="N448" s="12">
        <f>_xlfn.XLOOKUP(Assumptions!$B$2,Assumptions!$F$4:$H$4,Assumptions!$F$11:$H$11)</f>
        <v>0.3</v>
      </c>
      <c r="O448" s="14">
        <f>Final_Table[[#This Row],[Units Sold]]*Final_Table[[#This Row],[Sale Price]]</f>
        <v>20400</v>
      </c>
      <c r="P448" s="14">
        <f>Final_Table[[#This Row],[Gross Revenue]]*(1-Final_Table[[#This Row],[Discount %]])</f>
        <v>18360</v>
      </c>
      <c r="Q448">
        <f>Final_Table[[#This Row],[Net Revenue]]*Final_Table[[#This Row],[Variable Cost %]]</f>
        <v>3304.7999999999997</v>
      </c>
      <c r="R448">
        <f>Final_Table[[#This Row],[Variable Cost]]+Final_Table[[#This Row],[Fixed Monthly Cost]]</f>
        <v>21304.799999999999</v>
      </c>
      <c r="S448" s="5">
        <f>Final_Table[[#This Row],[Net Revenue]]-Final_Table[[#This Row],[Total Cost (COGS)]]</f>
        <v>-2944.7999999999993</v>
      </c>
      <c r="T448">
        <f>Final_Table[[#This Row],[Gross Profit]]*Final_Table[[#This Row],[Tax Rate]]</f>
        <v>-883.43999999999971</v>
      </c>
      <c r="U448" s="5">
        <f>Final_Table[[#This Row],[Gross Profit]]-Final_Table[[#This Row],[Tax]]</f>
        <v>-2061.3599999999997</v>
      </c>
      <c r="V448" s="12">
        <f>Final_Table[[#This Row],[Net Profit]]/Final_Table[[#This Row],[Gross Revenue]]</f>
        <v>-0.10104705882352939</v>
      </c>
    </row>
    <row r="449" spans="1:22">
      <c r="A449" s="18" t="s">
        <v>69</v>
      </c>
      <c r="B449">
        <v>2013</v>
      </c>
      <c r="C449" t="s">
        <v>121</v>
      </c>
      <c r="D449">
        <v>1</v>
      </c>
      <c r="E449" s="18" t="s">
        <v>22</v>
      </c>
      <c r="F449" s="18" t="s">
        <v>114</v>
      </c>
      <c r="G449" s="18" t="s">
        <v>21</v>
      </c>
      <c r="H449" s="18" t="str">
        <f>Assumptions!$B$2</f>
        <v>Worst</v>
      </c>
      <c r="I449" s="18">
        <f>_xlfn.XLOOKUP(Assumptions!$B$2,Assumptions!$F$4:$H$4,Assumptions!$F$5:$H$5)</f>
        <v>1200</v>
      </c>
      <c r="J449" s="18">
        <f>_xlfn.XLOOKUP(Assumptions!$B$2,Assumptions!$F$4:$H$4,Assumptions!$F$6:$H$6)</f>
        <v>17</v>
      </c>
      <c r="K449" s="12">
        <f>_xlfn.XLOOKUP(Assumptions!$B$2,Assumptions!$F$4:$H$4,Assumptions!$F$8:$H$8)</f>
        <v>0.1</v>
      </c>
      <c r="L449" s="12">
        <f>_xlfn.XLOOKUP(Assumptions!$B$2,Assumptions!$F$4:$H$4,Assumptions!$F$9:$H$9)</f>
        <v>0.18</v>
      </c>
      <c r="M449" s="18">
        <f>_xlfn.XLOOKUP(Assumptions!$B$2,Assumptions!$F$4:$H$4,Assumptions!$F$10:$H$10)</f>
        <v>18000</v>
      </c>
      <c r="N449" s="12">
        <f>_xlfn.XLOOKUP(Assumptions!$B$2,Assumptions!$F$4:$H$4,Assumptions!$F$11:$H$11)</f>
        <v>0.3</v>
      </c>
      <c r="O449" s="14">
        <f>Final_Table[[#This Row],[Units Sold]]*Final_Table[[#This Row],[Sale Price]]</f>
        <v>20400</v>
      </c>
      <c r="P449" s="14">
        <f>Final_Table[[#This Row],[Gross Revenue]]*(1-Final_Table[[#This Row],[Discount %]])</f>
        <v>18360</v>
      </c>
      <c r="Q449">
        <f>Final_Table[[#This Row],[Net Revenue]]*Final_Table[[#This Row],[Variable Cost %]]</f>
        <v>3304.7999999999997</v>
      </c>
      <c r="R449">
        <f>Final_Table[[#This Row],[Variable Cost]]+Final_Table[[#This Row],[Fixed Monthly Cost]]</f>
        <v>21304.799999999999</v>
      </c>
      <c r="S449" s="5">
        <f>Final_Table[[#This Row],[Net Revenue]]-Final_Table[[#This Row],[Total Cost (COGS)]]</f>
        <v>-2944.7999999999993</v>
      </c>
      <c r="T449">
        <f>Final_Table[[#This Row],[Gross Profit]]*Final_Table[[#This Row],[Tax Rate]]</f>
        <v>-883.43999999999971</v>
      </c>
      <c r="U449" s="5">
        <f>Final_Table[[#This Row],[Gross Profit]]-Final_Table[[#This Row],[Tax]]</f>
        <v>-2061.3599999999997</v>
      </c>
      <c r="V449" s="12">
        <f>Final_Table[[#This Row],[Net Profit]]/Final_Table[[#This Row],[Gross Revenue]]</f>
        <v>-0.10104705882352939</v>
      </c>
    </row>
    <row r="450" spans="1:22">
      <c r="A450" s="18" t="s">
        <v>69</v>
      </c>
      <c r="B450">
        <v>2013</v>
      </c>
      <c r="C450" t="s">
        <v>121</v>
      </c>
      <c r="D450">
        <v>1</v>
      </c>
      <c r="E450" s="18" t="s">
        <v>22</v>
      </c>
      <c r="F450" s="18" t="s">
        <v>114</v>
      </c>
      <c r="G450" s="18" t="s">
        <v>25</v>
      </c>
      <c r="H450" s="18" t="str">
        <f>Assumptions!$B$2</f>
        <v>Worst</v>
      </c>
      <c r="I450" s="18">
        <f>_xlfn.XLOOKUP(Assumptions!$B$2,Assumptions!$F$4:$H$4,Assumptions!$F$5:$H$5)</f>
        <v>1200</v>
      </c>
      <c r="J450" s="18">
        <f>_xlfn.XLOOKUP(Assumptions!$B$2,Assumptions!$F$4:$H$4,Assumptions!$F$6:$H$6)</f>
        <v>17</v>
      </c>
      <c r="K450" s="12">
        <f>_xlfn.XLOOKUP(Assumptions!$B$2,Assumptions!$F$4:$H$4,Assumptions!$F$8:$H$8)</f>
        <v>0.1</v>
      </c>
      <c r="L450" s="12">
        <f>_xlfn.XLOOKUP(Assumptions!$B$2,Assumptions!$F$4:$H$4,Assumptions!$F$9:$H$9)</f>
        <v>0.18</v>
      </c>
      <c r="M450" s="18">
        <f>_xlfn.XLOOKUP(Assumptions!$B$2,Assumptions!$F$4:$H$4,Assumptions!$F$10:$H$10)</f>
        <v>18000</v>
      </c>
      <c r="N450" s="12">
        <f>_xlfn.XLOOKUP(Assumptions!$B$2,Assumptions!$F$4:$H$4,Assumptions!$F$11:$H$11)</f>
        <v>0.3</v>
      </c>
      <c r="O450" s="14">
        <f>Final_Table[[#This Row],[Units Sold]]*Final_Table[[#This Row],[Sale Price]]</f>
        <v>20400</v>
      </c>
      <c r="P450" s="14">
        <f>Final_Table[[#This Row],[Gross Revenue]]*(1-Final_Table[[#This Row],[Discount %]])</f>
        <v>18360</v>
      </c>
      <c r="Q450">
        <f>Final_Table[[#This Row],[Net Revenue]]*Final_Table[[#This Row],[Variable Cost %]]</f>
        <v>3304.7999999999997</v>
      </c>
      <c r="R450">
        <f>Final_Table[[#This Row],[Variable Cost]]+Final_Table[[#This Row],[Fixed Monthly Cost]]</f>
        <v>21304.799999999999</v>
      </c>
      <c r="S450" s="5">
        <f>Final_Table[[#This Row],[Net Revenue]]-Final_Table[[#This Row],[Total Cost (COGS)]]</f>
        <v>-2944.7999999999993</v>
      </c>
      <c r="T450">
        <f>Final_Table[[#This Row],[Gross Profit]]*Final_Table[[#This Row],[Tax Rate]]</f>
        <v>-883.43999999999971</v>
      </c>
      <c r="U450" s="5">
        <f>Final_Table[[#This Row],[Gross Profit]]-Final_Table[[#This Row],[Tax]]</f>
        <v>-2061.3599999999997</v>
      </c>
      <c r="V450" s="12">
        <f>Final_Table[[#This Row],[Net Profit]]/Final_Table[[#This Row],[Gross Revenue]]</f>
        <v>-0.10104705882352939</v>
      </c>
    </row>
    <row r="451" spans="1:22">
      <c r="A451" s="18" t="s">
        <v>69</v>
      </c>
      <c r="B451">
        <v>2013</v>
      </c>
      <c r="C451" t="s">
        <v>121</v>
      </c>
      <c r="D451">
        <v>1</v>
      </c>
      <c r="E451" s="18" t="s">
        <v>22</v>
      </c>
      <c r="F451" s="18" t="s">
        <v>114</v>
      </c>
      <c r="G451" s="18" t="s">
        <v>17</v>
      </c>
      <c r="H451" s="18" t="str">
        <f>Assumptions!$B$2</f>
        <v>Worst</v>
      </c>
      <c r="I451" s="18">
        <f>_xlfn.XLOOKUP(Assumptions!$B$2,Assumptions!$F$4:$H$4,Assumptions!$F$5:$H$5)</f>
        <v>1200</v>
      </c>
      <c r="J451" s="18">
        <f>_xlfn.XLOOKUP(Assumptions!$B$2,Assumptions!$F$4:$H$4,Assumptions!$F$6:$H$6)</f>
        <v>17</v>
      </c>
      <c r="K451" s="12">
        <f>_xlfn.XLOOKUP(Assumptions!$B$2,Assumptions!$F$4:$H$4,Assumptions!$F$8:$H$8)</f>
        <v>0.1</v>
      </c>
      <c r="L451" s="12">
        <f>_xlfn.XLOOKUP(Assumptions!$B$2,Assumptions!$F$4:$H$4,Assumptions!$F$9:$H$9)</f>
        <v>0.18</v>
      </c>
      <c r="M451" s="18">
        <f>_xlfn.XLOOKUP(Assumptions!$B$2,Assumptions!$F$4:$H$4,Assumptions!$F$10:$H$10)</f>
        <v>18000</v>
      </c>
      <c r="N451" s="12">
        <f>_xlfn.XLOOKUP(Assumptions!$B$2,Assumptions!$F$4:$H$4,Assumptions!$F$11:$H$11)</f>
        <v>0.3</v>
      </c>
      <c r="O451" s="14">
        <f>Final_Table[[#This Row],[Units Sold]]*Final_Table[[#This Row],[Sale Price]]</f>
        <v>20400</v>
      </c>
      <c r="P451" s="14">
        <f>Final_Table[[#This Row],[Gross Revenue]]*(1-Final_Table[[#This Row],[Discount %]])</f>
        <v>18360</v>
      </c>
      <c r="Q451">
        <f>Final_Table[[#This Row],[Net Revenue]]*Final_Table[[#This Row],[Variable Cost %]]</f>
        <v>3304.7999999999997</v>
      </c>
      <c r="R451">
        <f>Final_Table[[#This Row],[Variable Cost]]+Final_Table[[#This Row],[Fixed Monthly Cost]]</f>
        <v>21304.799999999999</v>
      </c>
      <c r="S451" s="5">
        <f>Final_Table[[#This Row],[Net Revenue]]-Final_Table[[#This Row],[Total Cost (COGS)]]</f>
        <v>-2944.7999999999993</v>
      </c>
      <c r="T451">
        <f>Final_Table[[#This Row],[Gross Profit]]*Final_Table[[#This Row],[Tax Rate]]</f>
        <v>-883.43999999999971</v>
      </c>
      <c r="U451" s="5">
        <f>Final_Table[[#This Row],[Gross Profit]]-Final_Table[[#This Row],[Tax]]</f>
        <v>-2061.3599999999997</v>
      </c>
      <c r="V451" s="12">
        <f>Final_Table[[#This Row],[Net Profit]]/Final_Table[[#This Row],[Gross Revenue]]</f>
        <v>-0.10104705882352939</v>
      </c>
    </row>
    <row r="452" spans="1:22">
      <c r="A452" s="18" t="s">
        <v>69</v>
      </c>
      <c r="B452">
        <v>2013</v>
      </c>
      <c r="C452" t="s">
        <v>121</v>
      </c>
      <c r="D452">
        <v>1</v>
      </c>
      <c r="E452" s="18" t="s">
        <v>16</v>
      </c>
      <c r="F452" s="18" t="s">
        <v>80</v>
      </c>
      <c r="G452" s="18" t="s">
        <v>36</v>
      </c>
      <c r="H452" s="18" t="str">
        <f>Assumptions!$B$2</f>
        <v>Worst</v>
      </c>
      <c r="I452" s="18">
        <f>_xlfn.XLOOKUP(Assumptions!$B$2,Assumptions!$F$4:$H$4,Assumptions!$F$5:$H$5)</f>
        <v>1200</v>
      </c>
      <c r="J452" s="18">
        <f>_xlfn.XLOOKUP(Assumptions!$B$2,Assumptions!$F$4:$H$4,Assumptions!$F$6:$H$6)</f>
        <v>17</v>
      </c>
      <c r="K452" s="12">
        <f>_xlfn.XLOOKUP(Assumptions!$B$2,Assumptions!$F$4:$H$4,Assumptions!$F$8:$H$8)</f>
        <v>0.1</v>
      </c>
      <c r="L452" s="12">
        <f>_xlfn.XLOOKUP(Assumptions!$B$2,Assumptions!$F$4:$H$4,Assumptions!$F$9:$H$9)</f>
        <v>0.18</v>
      </c>
      <c r="M452" s="18">
        <f>_xlfn.XLOOKUP(Assumptions!$B$2,Assumptions!$F$4:$H$4,Assumptions!$F$10:$H$10)</f>
        <v>18000</v>
      </c>
      <c r="N452" s="12">
        <f>_xlfn.XLOOKUP(Assumptions!$B$2,Assumptions!$F$4:$H$4,Assumptions!$F$11:$H$11)</f>
        <v>0.3</v>
      </c>
      <c r="O452" s="14">
        <f>Final_Table[[#This Row],[Units Sold]]*Final_Table[[#This Row],[Sale Price]]</f>
        <v>20400</v>
      </c>
      <c r="P452" s="14">
        <f>Final_Table[[#This Row],[Gross Revenue]]*(1-Final_Table[[#This Row],[Discount %]])</f>
        <v>18360</v>
      </c>
      <c r="Q452">
        <f>Final_Table[[#This Row],[Net Revenue]]*Final_Table[[#This Row],[Variable Cost %]]</f>
        <v>3304.7999999999997</v>
      </c>
      <c r="R452">
        <f>Final_Table[[#This Row],[Variable Cost]]+Final_Table[[#This Row],[Fixed Monthly Cost]]</f>
        <v>21304.799999999999</v>
      </c>
      <c r="S452" s="5">
        <f>Final_Table[[#This Row],[Net Revenue]]-Final_Table[[#This Row],[Total Cost (COGS)]]</f>
        <v>-2944.7999999999993</v>
      </c>
      <c r="T452">
        <f>Final_Table[[#This Row],[Gross Profit]]*Final_Table[[#This Row],[Tax Rate]]</f>
        <v>-883.43999999999971</v>
      </c>
      <c r="U452" s="5">
        <f>Final_Table[[#This Row],[Gross Profit]]-Final_Table[[#This Row],[Tax]]</f>
        <v>-2061.3599999999997</v>
      </c>
      <c r="V452" s="12">
        <f>Final_Table[[#This Row],[Net Profit]]/Final_Table[[#This Row],[Gross Revenue]]</f>
        <v>-0.10104705882352939</v>
      </c>
    </row>
    <row r="453" spans="1:22">
      <c r="A453" s="18" t="s">
        <v>69</v>
      </c>
      <c r="B453">
        <v>2013</v>
      </c>
      <c r="C453" t="s">
        <v>121</v>
      </c>
      <c r="D453">
        <v>1</v>
      </c>
      <c r="E453" s="18" t="s">
        <v>16</v>
      </c>
      <c r="F453" s="18" t="s">
        <v>80</v>
      </c>
      <c r="G453" s="18" t="s">
        <v>23</v>
      </c>
      <c r="H453" s="18" t="str">
        <f>Assumptions!$B$2</f>
        <v>Worst</v>
      </c>
      <c r="I453" s="18">
        <f>_xlfn.XLOOKUP(Assumptions!$B$2,Assumptions!$F$4:$H$4,Assumptions!$F$5:$H$5)</f>
        <v>1200</v>
      </c>
      <c r="J453" s="18">
        <f>_xlfn.XLOOKUP(Assumptions!$B$2,Assumptions!$F$4:$H$4,Assumptions!$F$6:$H$6)</f>
        <v>17</v>
      </c>
      <c r="K453" s="12">
        <f>_xlfn.XLOOKUP(Assumptions!$B$2,Assumptions!$F$4:$H$4,Assumptions!$F$8:$H$8)</f>
        <v>0.1</v>
      </c>
      <c r="L453" s="12">
        <f>_xlfn.XLOOKUP(Assumptions!$B$2,Assumptions!$F$4:$H$4,Assumptions!$F$9:$H$9)</f>
        <v>0.18</v>
      </c>
      <c r="M453" s="18">
        <f>_xlfn.XLOOKUP(Assumptions!$B$2,Assumptions!$F$4:$H$4,Assumptions!$F$10:$H$10)</f>
        <v>18000</v>
      </c>
      <c r="N453" s="12">
        <f>_xlfn.XLOOKUP(Assumptions!$B$2,Assumptions!$F$4:$H$4,Assumptions!$F$11:$H$11)</f>
        <v>0.3</v>
      </c>
      <c r="O453" s="14">
        <f>Final_Table[[#This Row],[Units Sold]]*Final_Table[[#This Row],[Sale Price]]</f>
        <v>20400</v>
      </c>
      <c r="P453" s="14">
        <f>Final_Table[[#This Row],[Gross Revenue]]*(1-Final_Table[[#This Row],[Discount %]])</f>
        <v>18360</v>
      </c>
      <c r="Q453">
        <f>Final_Table[[#This Row],[Net Revenue]]*Final_Table[[#This Row],[Variable Cost %]]</f>
        <v>3304.7999999999997</v>
      </c>
      <c r="R453">
        <f>Final_Table[[#This Row],[Variable Cost]]+Final_Table[[#This Row],[Fixed Monthly Cost]]</f>
        <v>21304.799999999999</v>
      </c>
      <c r="S453" s="5">
        <f>Final_Table[[#This Row],[Net Revenue]]-Final_Table[[#This Row],[Total Cost (COGS)]]</f>
        <v>-2944.7999999999993</v>
      </c>
      <c r="T453">
        <f>Final_Table[[#This Row],[Gross Profit]]*Final_Table[[#This Row],[Tax Rate]]</f>
        <v>-883.43999999999971</v>
      </c>
      <c r="U453" s="5">
        <f>Final_Table[[#This Row],[Gross Profit]]-Final_Table[[#This Row],[Tax]]</f>
        <v>-2061.3599999999997</v>
      </c>
      <c r="V453" s="12">
        <f>Final_Table[[#This Row],[Net Profit]]/Final_Table[[#This Row],[Gross Revenue]]</f>
        <v>-0.10104705882352939</v>
      </c>
    </row>
    <row r="454" spans="1:22">
      <c r="A454" s="18" t="s">
        <v>69</v>
      </c>
      <c r="B454">
        <v>2013</v>
      </c>
      <c r="C454" t="s">
        <v>121</v>
      </c>
      <c r="D454">
        <v>1</v>
      </c>
      <c r="E454" s="18" t="s">
        <v>16</v>
      </c>
      <c r="F454" s="18" t="s">
        <v>80</v>
      </c>
      <c r="G454" s="18" t="s">
        <v>21</v>
      </c>
      <c r="H454" s="18" t="str">
        <f>Assumptions!$B$2</f>
        <v>Worst</v>
      </c>
      <c r="I454" s="18">
        <f>_xlfn.XLOOKUP(Assumptions!$B$2,Assumptions!$F$4:$H$4,Assumptions!$F$5:$H$5)</f>
        <v>1200</v>
      </c>
      <c r="J454" s="18">
        <f>_xlfn.XLOOKUP(Assumptions!$B$2,Assumptions!$F$4:$H$4,Assumptions!$F$6:$H$6)</f>
        <v>17</v>
      </c>
      <c r="K454" s="12">
        <f>_xlfn.XLOOKUP(Assumptions!$B$2,Assumptions!$F$4:$H$4,Assumptions!$F$8:$H$8)</f>
        <v>0.1</v>
      </c>
      <c r="L454" s="12">
        <f>_xlfn.XLOOKUP(Assumptions!$B$2,Assumptions!$F$4:$H$4,Assumptions!$F$9:$H$9)</f>
        <v>0.18</v>
      </c>
      <c r="M454" s="18">
        <f>_xlfn.XLOOKUP(Assumptions!$B$2,Assumptions!$F$4:$H$4,Assumptions!$F$10:$H$10)</f>
        <v>18000</v>
      </c>
      <c r="N454" s="12">
        <f>_xlfn.XLOOKUP(Assumptions!$B$2,Assumptions!$F$4:$H$4,Assumptions!$F$11:$H$11)</f>
        <v>0.3</v>
      </c>
      <c r="O454" s="14">
        <f>Final_Table[[#This Row],[Units Sold]]*Final_Table[[#This Row],[Sale Price]]</f>
        <v>20400</v>
      </c>
      <c r="P454" s="14">
        <f>Final_Table[[#This Row],[Gross Revenue]]*(1-Final_Table[[#This Row],[Discount %]])</f>
        <v>18360</v>
      </c>
      <c r="Q454">
        <f>Final_Table[[#This Row],[Net Revenue]]*Final_Table[[#This Row],[Variable Cost %]]</f>
        <v>3304.7999999999997</v>
      </c>
      <c r="R454">
        <f>Final_Table[[#This Row],[Variable Cost]]+Final_Table[[#This Row],[Fixed Monthly Cost]]</f>
        <v>21304.799999999999</v>
      </c>
      <c r="S454" s="5">
        <f>Final_Table[[#This Row],[Net Revenue]]-Final_Table[[#This Row],[Total Cost (COGS)]]</f>
        <v>-2944.7999999999993</v>
      </c>
      <c r="T454">
        <f>Final_Table[[#This Row],[Gross Profit]]*Final_Table[[#This Row],[Tax Rate]]</f>
        <v>-883.43999999999971</v>
      </c>
      <c r="U454" s="5">
        <f>Final_Table[[#This Row],[Gross Profit]]-Final_Table[[#This Row],[Tax]]</f>
        <v>-2061.3599999999997</v>
      </c>
      <c r="V454" s="12">
        <f>Final_Table[[#This Row],[Net Profit]]/Final_Table[[#This Row],[Gross Revenue]]</f>
        <v>-0.10104705882352939</v>
      </c>
    </row>
    <row r="455" spans="1:22">
      <c r="A455" s="18" t="s">
        <v>69</v>
      </c>
      <c r="B455">
        <v>2013</v>
      </c>
      <c r="C455" t="s">
        <v>121</v>
      </c>
      <c r="D455">
        <v>1</v>
      </c>
      <c r="E455" s="18" t="s">
        <v>16</v>
      </c>
      <c r="F455" s="18" t="s">
        <v>80</v>
      </c>
      <c r="G455" s="18" t="s">
        <v>25</v>
      </c>
      <c r="H455" s="18" t="str">
        <f>Assumptions!$B$2</f>
        <v>Worst</v>
      </c>
      <c r="I455" s="18">
        <f>_xlfn.XLOOKUP(Assumptions!$B$2,Assumptions!$F$4:$H$4,Assumptions!$F$5:$H$5)</f>
        <v>1200</v>
      </c>
      <c r="J455" s="18">
        <f>_xlfn.XLOOKUP(Assumptions!$B$2,Assumptions!$F$4:$H$4,Assumptions!$F$6:$H$6)</f>
        <v>17</v>
      </c>
      <c r="K455" s="12">
        <f>_xlfn.XLOOKUP(Assumptions!$B$2,Assumptions!$F$4:$H$4,Assumptions!$F$8:$H$8)</f>
        <v>0.1</v>
      </c>
      <c r="L455" s="12">
        <f>_xlfn.XLOOKUP(Assumptions!$B$2,Assumptions!$F$4:$H$4,Assumptions!$F$9:$H$9)</f>
        <v>0.18</v>
      </c>
      <c r="M455" s="18">
        <f>_xlfn.XLOOKUP(Assumptions!$B$2,Assumptions!$F$4:$H$4,Assumptions!$F$10:$H$10)</f>
        <v>18000</v>
      </c>
      <c r="N455" s="12">
        <f>_xlfn.XLOOKUP(Assumptions!$B$2,Assumptions!$F$4:$H$4,Assumptions!$F$11:$H$11)</f>
        <v>0.3</v>
      </c>
      <c r="O455" s="14">
        <f>Final_Table[[#This Row],[Units Sold]]*Final_Table[[#This Row],[Sale Price]]</f>
        <v>20400</v>
      </c>
      <c r="P455" s="14">
        <f>Final_Table[[#This Row],[Gross Revenue]]*(1-Final_Table[[#This Row],[Discount %]])</f>
        <v>18360</v>
      </c>
      <c r="Q455">
        <f>Final_Table[[#This Row],[Net Revenue]]*Final_Table[[#This Row],[Variable Cost %]]</f>
        <v>3304.7999999999997</v>
      </c>
      <c r="R455">
        <f>Final_Table[[#This Row],[Variable Cost]]+Final_Table[[#This Row],[Fixed Monthly Cost]]</f>
        <v>21304.799999999999</v>
      </c>
      <c r="S455" s="5">
        <f>Final_Table[[#This Row],[Net Revenue]]-Final_Table[[#This Row],[Total Cost (COGS)]]</f>
        <v>-2944.7999999999993</v>
      </c>
      <c r="T455">
        <f>Final_Table[[#This Row],[Gross Profit]]*Final_Table[[#This Row],[Tax Rate]]</f>
        <v>-883.43999999999971</v>
      </c>
      <c r="U455" s="5">
        <f>Final_Table[[#This Row],[Gross Profit]]-Final_Table[[#This Row],[Tax]]</f>
        <v>-2061.3599999999997</v>
      </c>
      <c r="V455" s="12">
        <f>Final_Table[[#This Row],[Net Profit]]/Final_Table[[#This Row],[Gross Revenue]]</f>
        <v>-0.10104705882352939</v>
      </c>
    </row>
    <row r="456" spans="1:22">
      <c r="A456" s="18" t="s">
        <v>69</v>
      </c>
      <c r="B456">
        <v>2013</v>
      </c>
      <c r="C456" t="s">
        <v>121</v>
      </c>
      <c r="D456">
        <v>1</v>
      </c>
      <c r="E456" s="18" t="s">
        <v>16</v>
      </c>
      <c r="F456" s="18" t="s">
        <v>80</v>
      </c>
      <c r="G456" s="18" t="s">
        <v>17</v>
      </c>
      <c r="H456" s="18" t="str">
        <f>Assumptions!$B$2</f>
        <v>Worst</v>
      </c>
      <c r="I456" s="18">
        <f>_xlfn.XLOOKUP(Assumptions!$B$2,Assumptions!$F$4:$H$4,Assumptions!$F$5:$H$5)</f>
        <v>1200</v>
      </c>
      <c r="J456" s="18">
        <f>_xlfn.XLOOKUP(Assumptions!$B$2,Assumptions!$F$4:$H$4,Assumptions!$F$6:$H$6)</f>
        <v>17</v>
      </c>
      <c r="K456" s="12">
        <f>_xlfn.XLOOKUP(Assumptions!$B$2,Assumptions!$F$4:$H$4,Assumptions!$F$8:$H$8)</f>
        <v>0.1</v>
      </c>
      <c r="L456" s="12">
        <f>_xlfn.XLOOKUP(Assumptions!$B$2,Assumptions!$F$4:$H$4,Assumptions!$F$9:$H$9)</f>
        <v>0.18</v>
      </c>
      <c r="M456" s="18">
        <f>_xlfn.XLOOKUP(Assumptions!$B$2,Assumptions!$F$4:$H$4,Assumptions!$F$10:$H$10)</f>
        <v>18000</v>
      </c>
      <c r="N456" s="12">
        <f>_xlfn.XLOOKUP(Assumptions!$B$2,Assumptions!$F$4:$H$4,Assumptions!$F$11:$H$11)</f>
        <v>0.3</v>
      </c>
      <c r="O456" s="14">
        <f>Final_Table[[#This Row],[Units Sold]]*Final_Table[[#This Row],[Sale Price]]</f>
        <v>20400</v>
      </c>
      <c r="P456" s="14">
        <f>Final_Table[[#This Row],[Gross Revenue]]*(1-Final_Table[[#This Row],[Discount %]])</f>
        <v>18360</v>
      </c>
      <c r="Q456">
        <f>Final_Table[[#This Row],[Net Revenue]]*Final_Table[[#This Row],[Variable Cost %]]</f>
        <v>3304.7999999999997</v>
      </c>
      <c r="R456">
        <f>Final_Table[[#This Row],[Variable Cost]]+Final_Table[[#This Row],[Fixed Monthly Cost]]</f>
        <v>21304.799999999999</v>
      </c>
      <c r="S456" s="5">
        <f>Final_Table[[#This Row],[Net Revenue]]-Final_Table[[#This Row],[Total Cost (COGS)]]</f>
        <v>-2944.7999999999993</v>
      </c>
      <c r="T456">
        <f>Final_Table[[#This Row],[Gross Profit]]*Final_Table[[#This Row],[Tax Rate]]</f>
        <v>-883.43999999999971</v>
      </c>
      <c r="U456" s="5">
        <f>Final_Table[[#This Row],[Gross Profit]]-Final_Table[[#This Row],[Tax]]</f>
        <v>-2061.3599999999997</v>
      </c>
      <c r="V456" s="12">
        <f>Final_Table[[#This Row],[Net Profit]]/Final_Table[[#This Row],[Gross Revenue]]</f>
        <v>-0.10104705882352939</v>
      </c>
    </row>
    <row r="457" spans="1:22">
      <c r="A457" s="18" t="s">
        <v>69</v>
      </c>
      <c r="B457">
        <v>2013</v>
      </c>
      <c r="C457" t="s">
        <v>121</v>
      </c>
      <c r="D457">
        <v>1</v>
      </c>
      <c r="E457" s="18" t="s">
        <v>16</v>
      </c>
      <c r="F457" s="18" t="s">
        <v>108</v>
      </c>
      <c r="G457" s="18" t="s">
        <v>36</v>
      </c>
      <c r="H457" s="18" t="str">
        <f>Assumptions!$B$2</f>
        <v>Worst</v>
      </c>
      <c r="I457" s="18">
        <f>_xlfn.XLOOKUP(Assumptions!$B$2,Assumptions!$F$4:$H$4,Assumptions!$F$5:$H$5)</f>
        <v>1200</v>
      </c>
      <c r="J457" s="18">
        <f>_xlfn.XLOOKUP(Assumptions!$B$2,Assumptions!$F$4:$H$4,Assumptions!$F$6:$H$6)</f>
        <v>17</v>
      </c>
      <c r="K457" s="12">
        <f>_xlfn.XLOOKUP(Assumptions!$B$2,Assumptions!$F$4:$H$4,Assumptions!$F$8:$H$8)</f>
        <v>0.1</v>
      </c>
      <c r="L457" s="12">
        <f>_xlfn.XLOOKUP(Assumptions!$B$2,Assumptions!$F$4:$H$4,Assumptions!$F$9:$H$9)</f>
        <v>0.18</v>
      </c>
      <c r="M457" s="18">
        <f>_xlfn.XLOOKUP(Assumptions!$B$2,Assumptions!$F$4:$H$4,Assumptions!$F$10:$H$10)</f>
        <v>18000</v>
      </c>
      <c r="N457" s="12">
        <f>_xlfn.XLOOKUP(Assumptions!$B$2,Assumptions!$F$4:$H$4,Assumptions!$F$11:$H$11)</f>
        <v>0.3</v>
      </c>
      <c r="O457" s="14">
        <f>Final_Table[[#This Row],[Units Sold]]*Final_Table[[#This Row],[Sale Price]]</f>
        <v>20400</v>
      </c>
      <c r="P457" s="14">
        <f>Final_Table[[#This Row],[Gross Revenue]]*(1-Final_Table[[#This Row],[Discount %]])</f>
        <v>18360</v>
      </c>
      <c r="Q457">
        <f>Final_Table[[#This Row],[Net Revenue]]*Final_Table[[#This Row],[Variable Cost %]]</f>
        <v>3304.7999999999997</v>
      </c>
      <c r="R457">
        <f>Final_Table[[#This Row],[Variable Cost]]+Final_Table[[#This Row],[Fixed Monthly Cost]]</f>
        <v>21304.799999999999</v>
      </c>
      <c r="S457" s="5">
        <f>Final_Table[[#This Row],[Net Revenue]]-Final_Table[[#This Row],[Total Cost (COGS)]]</f>
        <v>-2944.7999999999993</v>
      </c>
      <c r="T457">
        <f>Final_Table[[#This Row],[Gross Profit]]*Final_Table[[#This Row],[Tax Rate]]</f>
        <v>-883.43999999999971</v>
      </c>
      <c r="U457" s="5">
        <f>Final_Table[[#This Row],[Gross Profit]]-Final_Table[[#This Row],[Tax]]</f>
        <v>-2061.3599999999997</v>
      </c>
      <c r="V457" s="12">
        <f>Final_Table[[#This Row],[Net Profit]]/Final_Table[[#This Row],[Gross Revenue]]</f>
        <v>-0.10104705882352939</v>
      </c>
    </row>
    <row r="458" spans="1:22">
      <c r="A458" s="18" t="s">
        <v>69</v>
      </c>
      <c r="B458">
        <v>2013</v>
      </c>
      <c r="C458" t="s">
        <v>121</v>
      </c>
      <c r="D458">
        <v>1</v>
      </c>
      <c r="E458" s="18" t="s">
        <v>16</v>
      </c>
      <c r="F458" s="18" t="s">
        <v>108</v>
      </c>
      <c r="G458" s="18" t="s">
        <v>23</v>
      </c>
      <c r="H458" s="18" t="str">
        <f>Assumptions!$B$2</f>
        <v>Worst</v>
      </c>
      <c r="I458" s="18">
        <f>_xlfn.XLOOKUP(Assumptions!$B$2,Assumptions!$F$4:$H$4,Assumptions!$F$5:$H$5)</f>
        <v>1200</v>
      </c>
      <c r="J458" s="18">
        <f>_xlfn.XLOOKUP(Assumptions!$B$2,Assumptions!$F$4:$H$4,Assumptions!$F$6:$H$6)</f>
        <v>17</v>
      </c>
      <c r="K458" s="12">
        <f>_xlfn.XLOOKUP(Assumptions!$B$2,Assumptions!$F$4:$H$4,Assumptions!$F$8:$H$8)</f>
        <v>0.1</v>
      </c>
      <c r="L458" s="12">
        <f>_xlfn.XLOOKUP(Assumptions!$B$2,Assumptions!$F$4:$H$4,Assumptions!$F$9:$H$9)</f>
        <v>0.18</v>
      </c>
      <c r="M458" s="18">
        <f>_xlfn.XLOOKUP(Assumptions!$B$2,Assumptions!$F$4:$H$4,Assumptions!$F$10:$H$10)</f>
        <v>18000</v>
      </c>
      <c r="N458" s="12">
        <f>_xlfn.XLOOKUP(Assumptions!$B$2,Assumptions!$F$4:$H$4,Assumptions!$F$11:$H$11)</f>
        <v>0.3</v>
      </c>
      <c r="O458" s="14">
        <f>Final_Table[[#This Row],[Units Sold]]*Final_Table[[#This Row],[Sale Price]]</f>
        <v>20400</v>
      </c>
      <c r="P458" s="14">
        <f>Final_Table[[#This Row],[Gross Revenue]]*(1-Final_Table[[#This Row],[Discount %]])</f>
        <v>18360</v>
      </c>
      <c r="Q458">
        <f>Final_Table[[#This Row],[Net Revenue]]*Final_Table[[#This Row],[Variable Cost %]]</f>
        <v>3304.7999999999997</v>
      </c>
      <c r="R458">
        <f>Final_Table[[#This Row],[Variable Cost]]+Final_Table[[#This Row],[Fixed Monthly Cost]]</f>
        <v>21304.799999999999</v>
      </c>
      <c r="S458" s="5">
        <f>Final_Table[[#This Row],[Net Revenue]]-Final_Table[[#This Row],[Total Cost (COGS)]]</f>
        <v>-2944.7999999999993</v>
      </c>
      <c r="T458">
        <f>Final_Table[[#This Row],[Gross Profit]]*Final_Table[[#This Row],[Tax Rate]]</f>
        <v>-883.43999999999971</v>
      </c>
      <c r="U458" s="5">
        <f>Final_Table[[#This Row],[Gross Profit]]-Final_Table[[#This Row],[Tax]]</f>
        <v>-2061.3599999999997</v>
      </c>
      <c r="V458" s="12">
        <f>Final_Table[[#This Row],[Net Profit]]/Final_Table[[#This Row],[Gross Revenue]]</f>
        <v>-0.10104705882352939</v>
      </c>
    </row>
    <row r="459" spans="1:22">
      <c r="A459" s="18" t="s">
        <v>69</v>
      </c>
      <c r="B459">
        <v>2013</v>
      </c>
      <c r="C459" t="s">
        <v>121</v>
      </c>
      <c r="D459">
        <v>1</v>
      </c>
      <c r="E459" s="18" t="s">
        <v>16</v>
      </c>
      <c r="F459" s="18" t="s">
        <v>108</v>
      </c>
      <c r="G459" s="18" t="s">
        <v>21</v>
      </c>
      <c r="H459" s="18" t="str">
        <f>Assumptions!$B$2</f>
        <v>Worst</v>
      </c>
      <c r="I459" s="18">
        <f>_xlfn.XLOOKUP(Assumptions!$B$2,Assumptions!$F$4:$H$4,Assumptions!$F$5:$H$5)</f>
        <v>1200</v>
      </c>
      <c r="J459" s="18">
        <f>_xlfn.XLOOKUP(Assumptions!$B$2,Assumptions!$F$4:$H$4,Assumptions!$F$6:$H$6)</f>
        <v>17</v>
      </c>
      <c r="K459" s="12">
        <f>_xlfn.XLOOKUP(Assumptions!$B$2,Assumptions!$F$4:$H$4,Assumptions!$F$8:$H$8)</f>
        <v>0.1</v>
      </c>
      <c r="L459" s="12">
        <f>_xlfn.XLOOKUP(Assumptions!$B$2,Assumptions!$F$4:$H$4,Assumptions!$F$9:$H$9)</f>
        <v>0.18</v>
      </c>
      <c r="M459" s="18">
        <f>_xlfn.XLOOKUP(Assumptions!$B$2,Assumptions!$F$4:$H$4,Assumptions!$F$10:$H$10)</f>
        <v>18000</v>
      </c>
      <c r="N459" s="12">
        <f>_xlfn.XLOOKUP(Assumptions!$B$2,Assumptions!$F$4:$H$4,Assumptions!$F$11:$H$11)</f>
        <v>0.3</v>
      </c>
      <c r="O459" s="14">
        <f>Final_Table[[#This Row],[Units Sold]]*Final_Table[[#This Row],[Sale Price]]</f>
        <v>20400</v>
      </c>
      <c r="P459" s="14">
        <f>Final_Table[[#This Row],[Gross Revenue]]*(1-Final_Table[[#This Row],[Discount %]])</f>
        <v>18360</v>
      </c>
      <c r="Q459">
        <f>Final_Table[[#This Row],[Net Revenue]]*Final_Table[[#This Row],[Variable Cost %]]</f>
        <v>3304.7999999999997</v>
      </c>
      <c r="R459">
        <f>Final_Table[[#This Row],[Variable Cost]]+Final_Table[[#This Row],[Fixed Monthly Cost]]</f>
        <v>21304.799999999999</v>
      </c>
      <c r="S459" s="5">
        <f>Final_Table[[#This Row],[Net Revenue]]-Final_Table[[#This Row],[Total Cost (COGS)]]</f>
        <v>-2944.7999999999993</v>
      </c>
      <c r="T459">
        <f>Final_Table[[#This Row],[Gross Profit]]*Final_Table[[#This Row],[Tax Rate]]</f>
        <v>-883.43999999999971</v>
      </c>
      <c r="U459" s="5">
        <f>Final_Table[[#This Row],[Gross Profit]]-Final_Table[[#This Row],[Tax]]</f>
        <v>-2061.3599999999997</v>
      </c>
      <c r="V459" s="12">
        <f>Final_Table[[#This Row],[Net Profit]]/Final_Table[[#This Row],[Gross Revenue]]</f>
        <v>-0.10104705882352939</v>
      </c>
    </row>
    <row r="460" spans="1:22">
      <c r="A460" s="18" t="s">
        <v>69</v>
      </c>
      <c r="B460">
        <v>2013</v>
      </c>
      <c r="C460" t="s">
        <v>121</v>
      </c>
      <c r="D460">
        <v>1</v>
      </c>
      <c r="E460" s="18" t="s">
        <v>16</v>
      </c>
      <c r="F460" s="18" t="s">
        <v>108</v>
      </c>
      <c r="G460" s="18" t="s">
        <v>25</v>
      </c>
      <c r="H460" s="18" t="str">
        <f>Assumptions!$B$2</f>
        <v>Worst</v>
      </c>
      <c r="I460" s="18">
        <f>_xlfn.XLOOKUP(Assumptions!$B$2,Assumptions!$F$4:$H$4,Assumptions!$F$5:$H$5)</f>
        <v>1200</v>
      </c>
      <c r="J460" s="18">
        <f>_xlfn.XLOOKUP(Assumptions!$B$2,Assumptions!$F$4:$H$4,Assumptions!$F$6:$H$6)</f>
        <v>17</v>
      </c>
      <c r="K460" s="12">
        <f>_xlfn.XLOOKUP(Assumptions!$B$2,Assumptions!$F$4:$H$4,Assumptions!$F$8:$H$8)</f>
        <v>0.1</v>
      </c>
      <c r="L460" s="12">
        <f>_xlfn.XLOOKUP(Assumptions!$B$2,Assumptions!$F$4:$H$4,Assumptions!$F$9:$H$9)</f>
        <v>0.18</v>
      </c>
      <c r="M460" s="18">
        <f>_xlfn.XLOOKUP(Assumptions!$B$2,Assumptions!$F$4:$H$4,Assumptions!$F$10:$H$10)</f>
        <v>18000</v>
      </c>
      <c r="N460" s="12">
        <f>_xlfn.XLOOKUP(Assumptions!$B$2,Assumptions!$F$4:$H$4,Assumptions!$F$11:$H$11)</f>
        <v>0.3</v>
      </c>
      <c r="O460" s="14">
        <f>Final_Table[[#This Row],[Units Sold]]*Final_Table[[#This Row],[Sale Price]]</f>
        <v>20400</v>
      </c>
      <c r="P460" s="14">
        <f>Final_Table[[#This Row],[Gross Revenue]]*(1-Final_Table[[#This Row],[Discount %]])</f>
        <v>18360</v>
      </c>
      <c r="Q460">
        <f>Final_Table[[#This Row],[Net Revenue]]*Final_Table[[#This Row],[Variable Cost %]]</f>
        <v>3304.7999999999997</v>
      </c>
      <c r="R460">
        <f>Final_Table[[#This Row],[Variable Cost]]+Final_Table[[#This Row],[Fixed Monthly Cost]]</f>
        <v>21304.799999999999</v>
      </c>
      <c r="S460" s="5">
        <f>Final_Table[[#This Row],[Net Revenue]]-Final_Table[[#This Row],[Total Cost (COGS)]]</f>
        <v>-2944.7999999999993</v>
      </c>
      <c r="T460">
        <f>Final_Table[[#This Row],[Gross Profit]]*Final_Table[[#This Row],[Tax Rate]]</f>
        <v>-883.43999999999971</v>
      </c>
      <c r="U460" s="5">
        <f>Final_Table[[#This Row],[Gross Profit]]-Final_Table[[#This Row],[Tax]]</f>
        <v>-2061.3599999999997</v>
      </c>
      <c r="V460" s="12">
        <f>Final_Table[[#This Row],[Net Profit]]/Final_Table[[#This Row],[Gross Revenue]]</f>
        <v>-0.10104705882352939</v>
      </c>
    </row>
    <row r="461" spans="1:22">
      <c r="A461" s="18" t="s">
        <v>69</v>
      </c>
      <c r="B461">
        <v>2013</v>
      </c>
      <c r="C461" t="s">
        <v>121</v>
      </c>
      <c r="D461">
        <v>1</v>
      </c>
      <c r="E461" s="18" t="s">
        <v>16</v>
      </c>
      <c r="F461" s="18" t="s">
        <v>108</v>
      </c>
      <c r="G461" s="18" t="s">
        <v>17</v>
      </c>
      <c r="H461" s="18" t="str">
        <f>Assumptions!$B$2</f>
        <v>Worst</v>
      </c>
      <c r="I461" s="18">
        <f>_xlfn.XLOOKUP(Assumptions!$B$2,Assumptions!$F$4:$H$4,Assumptions!$F$5:$H$5)</f>
        <v>1200</v>
      </c>
      <c r="J461" s="18">
        <f>_xlfn.XLOOKUP(Assumptions!$B$2,Assumptions!$F$4:$H$4,Assumptions!$F$6:$H$6)</f>
        <v>17</v>
      </c>
      <c r="K461" s="12">
        <f>_xlfn.XLOOKUP(Assumptions!$B$2,Assumptions!$F$4:$H$4,Assumptions!$F$8:$H$8)</f>
        <v>0.1</v>
      </c>
      <c r="L461" s="12">
        <f>_xlfn.XLOOKUP(Assumptions!$B$2,Assumptions!$F$4:$H$4,Assumptions!$F$9:$H$9)</f>
        <v>0.18</v>
      </c>
      <c r="M461" s="18">
        <f>_xlfn.XLOOKUP(Assumptions!$B$2,Assumptions!$F$4:$H$4,Assumptions!$F$10:$H$10)</f>
        <v>18000</v>
      </c>
      <c r="N461" s="12">
        <f>_xlfn.XLOOKUP(Assumptions!$B$2,Assumptions!$F$4:$H$4,Assumptions!$F$11:$H$11)</f>
        <v>0.3</v>
      </c>
      <c r="O461" s="14">
        <f>Final_Table[[#This Row],[Units Sold]]*Final_Table[[#This Row],[Sale Price]]</f>
        <v>20400</v>
      </c>
      <c r="P461" s="14">
        <f>Final_Table[[#This Row],[Gross Revenue]]*(1-Final_Table[[#This Row],[Discount %]])</f>
        <v>18360</v>
      </c>
      <c r="Q461">
        <f>Final_Table[[#This Row],[Net Revenue]]*Final_Table[[#This Row],[Variable Cost %]]</f>
        <v>3304.7999999999997</v>
      </c>
      <c r="R461">
        <f>Final_Table[[#This Row],[Variable Cost]]+Final_Table[[#This Row],[Fixed Monthly Cost]]</f>
        <v>21304.799999999999</v>
      </c>
      <c r="S461" s="5">
        <f>Final_Table[[#This Row],[Net Revenue]]-Final_Table[[#This Row],[Total Cost (COGS)]]</f>
        <v>-2944.7999999999993</v>
      </c>
      <c r="T461">
        <f>Final_Table[[#This Row],[Gross Profit]]*Final_Table[[#This Row],[Tax Rate]]</f>
        <v>-883.43999999999971</v>
      </c>
      <c r="U461" s="5">
        <f>Final_Table[[#This Row],[Gross Profit]]-Final_Table[[#This Row],[Tax]]</f>
        <v>-2061.3599999999997</v>
      </c>
      <c r="V461" s="12">
        <f>Final_Table[[#This Row],[Net Profit]]/Final_Table[[#This Row],[Gross Revenue]]</f>
        <v>-0.10104705882352939</v>
      </c>
    </row>
    <row r="462" spans="1:22">
      <c r="A462" s="18" t="s">
        <v>69</v>
      </c>
      <c r="B462">
        <v>2013</v>
      </c>
      <c r="C462" t="s">
        <v>121</v>
      </c>
      <c r="D462">
        <v>1</v>
      </c>
      <c r="E462" s="18" t="s">
        <v>16</v>
      </c>
      <c r="F462" s="18" t="s">
        <v>112</v>
      </c>
      <c r="G462" s="18" t="s">
        <v>36</v>
      </c>
      <c r="H462" s="18" t="str">
        <f>Assumptions!$B$2</f>
        <v>Worst</v>
      </c>
      <c r="I462" s="18">
        <f>_xlfn.XLOOKUP(Assumptions!$B$2,Assumptions!$F$4:$H$4,Assumptions!$F$5:$H$5)</f>
        <v>1200</v>
      </c>
      <c r="J462" s="18">
        <f>_xlfn.XLOOKUP(Assumptions!$B$2,Assumptions!$F$4:$H$4,Assumptions!$F$6:$H$6)</f>
        <v>17</v>
      </c>
      <c r="K462" s="12">
        <f>_xlfn.XLOOKUP(Assumptions!$B$2,Assumptions!$F$4:$H$4,Assumptions!$F$8:$H$8)</f>
        <v>0.1</v>
      </c>
      <c r="L462" s="12">
        <f>_xlfn.XLOOKUP(Assumptions!$B$2,Assumptions!$F$4:$H$4,Assumptions!$F$9:$H$9)</f>
        <v>0.18</v>
      </c>
      <c r="M462" s="18">
        <f>_xlfn.XLOOKUP(Assumptions!$B$2,Assumptions!$F$4:$H$4,Assumptions!$F$10:$H$10)</f>
        <v>18000</v>
      </c>
      <c r="N462" s="12">
        <f>_xlfn.XLOOKUP(Assumptions!$B$2,Assumptions!$F$4:$H$4,Assumptions!$F$11:$H$11)</f>
        <v>0.3</v>
      </c>
      <c r="O462" s="14">
        <f>Final_Table[[#This Row],[Units Sold]]*Final_Table[[#This Row],[Sale Price]]</f>
        <v>20400</v>
      </c>
      <c r="P462" s="14">
        <f>Final_Table[[#This Row],[Gross Revenue]]*(1-Final_Table[[#This Row],[Discount %]])</f>
        <v>18360</v>
      </c>
      <c r="Q462">
        <f>Final_Table[[#This Row],[Net Revenue]]*Final_Table[[#This Row],[Variable Cost %]]</f>
        <v>3304.7999999999997</v>
      </c>
      <c r="R462">
        <f>Final_Table[[#This Row],[Variable Cost]]+Final_Table[[#This Row],[Fixed Monthly Cost]]</f>
        <v>21304.799999999999</v>
      </c>
      <c r="S462" s="5">
        <f>Final_Table[[#This Row],[Net Revenue]]-Final_Table[[#This Row],[Total Cost (COGS)]]</f>
        <v>-2944.7999999999993</v>
      </c>
      <c r="T462">
        <f>Final_Table[[#This Row],[Gross Profit]]*Final_Table[[#This Row],[Tax Rate]]</f>
        <v>-883.43999999999971</v>
      </c>
      <c r="U462" s="5">
        <f>Final_Table[[#This Row],[Gross Profit]]-Final_Table[[#This Row],[Tax]]</f>
        <v>-2061.3599999999997</v>
      </c>
      <c r="V462" s="12">
        <f>Final_Table[[#This Row],[Net Profit]]/Final_Table[[#This Row],[Gross Revenue]]</f>
        <v>-0.10104705882352939</v>
      </c>
    </row>
    <row r="463" spans="1:22">
      <c r="A463" s="18" t="s">
        <v>69</v>
      </c>
      <c r="B463">
        <v>2013</v>
      </c>
      <c r="C463" t="s">
        <v>121</v>
      </c>
      <c r="D463">
        <v>1</v>
      </c>
      <c r="E463" s="18" t="s">
        <v>16</v>
      </c>
      <c r="F463" s="18" t="s">
        <v>112</v>
      </c>
      <c r="G463" s="18" t="s">
        <v>23</v>
      </c>
      <c r="H463" s="18" t="str">
        <f>Assumptions!$B$2</f>
        <v>Worst</v>
      </c>
      <c r="I463" s="18">
        <f>_xlfn.XLOOKUP(Assumptions!$B$2,Assumptions!$F$4:$H$4,Assumptions!$F$5:$H$5)</f>
        <v>1200</v>
      </c>
      <c r="J463" s="18">
        <f>_xlfn.XLOOKUP(Assumptions!$B$2,Assumptions!$F$4:$H$4,Assumptions!$F$6:$H$6)</f>
        <v>17</v>
      </c>
      <c r="K463" s="12">
        <f>_xlfn.XLOOKUP(Assumptions!$B$2,Assumptions!$F$4:$H$4,Assumptions!$F$8:$H$8)</f>
        <v>0.1</v>
      </c>
      <c r="L463" s="12">
        <f>_xlfn.XLOOKUP(Assumptions!$B$2,Assumptions!$F$4:$H$4,Assumptions!$F$9:$H$9)</f>
        <v>0.18</v>
      </c>
      <c r="M463" s="18">
        <f>_xlfn.XLOOKUP(Assumptions!$B$2,Assumptions!$F$4:$H$4,Assumptions!$F$10:$H$10)</f>
        <v>18000</v>
      </c>
      <c r="N463" s="12">
        <f>_xlfn.XLOOKUP(Assumptions!$B$2,Assumptions!$F$4:$H$4,Assumptions!$F$11:$H$11)</f>
        <v>0.3</v>
      </c>
      <c r="O463" s="14">
        <f>Final_Table[[#This Row],[Units Sold]]*Final_Table[[#This Row],[Sale Price]]</f>
        <v>20400</v>
      </c>
      <c r="P463" s="14">
        <f>Final_Table[[#This Row],[Gross Revenue]]*(1-Final_Table[[#This Row],[Discount %]])</f>
        <v>18360</v>
      </c>
      <c r="Q463">
        <f>Final_Table[[#This Row],[Net Revenue]]*Final_Table[[#This Row],[Variable Cost %]]</f>
        <v>3304.7999999999997</v>
      </c>
      <c r="R463">
        <f>Final_Table[[#This Row],[Variable Cost]]+Final_Table[[#This Row],[Fixed Monthly Cost]]</f>
        <v>21304.799999999999</v>
      </c>
      <c r="S463" s="5">
        <f>Final_Table[[#This Row],[Net Revenue]]-Final_Table[[#This Row],[Total Cost (COGS)]]</f>
        <v>-2944.7999999999993</v>
      </c>
      <c r="T463">
        <f>Final_Table[[#This Row],[Gross Profit]]*Final_Table[[#This Row],[Tax Rate]]</f>
        <v>-883.43999999999971</v>
      </c>
      <c r="U463" s="5">
        <f>Final_Table[[#This Row],[Gross Profit]]-Final_Table[[#This Row],[Tax]]</f>
        <v>-2061.3599999999997</v>
      </c>
      <c r="V463" s="12">
        <f>Final_Table[[#This Row],[Net Profit]]/Final_Table[[#This Row],[Gross Revenue]]</f>
        <v>-0.10104705882352939</v>
      </c>
    </row>
    <row r="464" spans="1:22">
      <c r="A464" s="18" t="s">
        <v>69</v>
      </c>
      <c r="B464">
        <v>2013</v>
      </c>
      <c r="C464" t="s">
        <v>121</v>
      </c>
      <c r="D464">
        <v>1</v>
      </c>
      <c r="E464" s="18" t="s">
        <v>16</v>
      </c>
      <c r="F464" s="18" t="s">
        <v>112</v>
      </c>
      <c r="G464" s="18" t="s">
        <v>21</v>
      </c>
      <c r="H464" s="18" t="str">
        <f>Assumptions!$B$2</f>
        <v>Worst</v>
      </c>
      <c r="I464" s="18">
        <f>_xlfn.XLOOKUP(Assumptions!$B$2,Assumptions!$F$4:$H$4,Assumptions!$F$5:$H$5)</f>
        <v>1200</v>
      </c>
      <c r="J464" s="18">
        <f>_xlfn.XLOOKUP(Assumptions!$B$2,Assumptions!$F$4:$H$4,Assumptions!$F$6:$H$6)</f>
        <v>17</v>
      </c>
      <c r="K464" s="12">
        <f>_xlfn.XLOOKUP(Assumptions!$B$2,Assumptions!$F$4:$H$4,Assumptions!$F$8:$H$8)</f>
        <v>0.1</v>
      </c>
      <c r="L464" s="12">
        <f>_xlfn.XLOOKUP(Assumptions!$B$2,Assumptions!$F$4:$H$4,Assumptions!$F$9:$H$9)</f>
        <v>0.18</v>
      </c>
      <c r="M464" s="18">
        <f>_xlfn.XLOOKUP(Assumptions!$B$2,Assumptions!$F$4:$H$4,Assumptions!$F$10:$H$10)</f>
        <v>18000</v>
      </c>
      <c r="N464" s="12">
        <f>_xlfn.XLOOKUP(Assumptions!$B$2,Assumptions!$F$4:$H$4,Assumptions!$F$11:$H$11)</f>
        <v>0.3</v>
      </c>
      <c r="O464" s="14">
        <f>Final_Table[[#This Row],[Units Sold]]*Final_Table[[#This Row],[Sale Price]]</f>
        <v>20400</v>
      </c>
      <c r="P464" s="14">
        <f>Final_Table[[#This Row],[Gross Revenue]]*(1-Final_Table[[#This Row],[Discount %]])</f>
        <v>18360</v>
      </c>
      <c r="Q464">
        <f>Final_Table[[#This Row],[Net Revenue]]*Final_Table[[#This Row],[Variable Cost %]]</f>
        <v>3304.7999999999997</v>
      </c>
      <c r="R464">
        <f>Final_Table[[#This Row],[Variable Cost]]+Final_Table[[#This Row],[Fixed Monthly Cost]]</f>
        <v>21304.799999999999</v>
      </c>
      <c r="S464" s="5">
        <f>Final_Table[[#This Row],[Net Revenue]]-Final_Table[[#This Row],[Total Cost (COGS)]]</f>
        <v>-2944.7999999999993</v>
      </c>
      <c r="T464">
        <f>Final_Table[[#This Row],[Gross Profit]]*Final_Table[[#This Row],[Tax Rate]]</f>
        <v>-883.43999999999971</v>
      </c>
      <c r="U464" s="5">
        <f>Final_Table[[#This Row],[Gross Profit]]-Final_Table[[#This Row],[Tax]]</f>
        <v>-2061.3599999999997</v>
      </c>
      <c r="V464" s="12">
        <f>Final_Table[[#This Row],[Net Profit]]/Final_Table[[#This Row],[Gross Revenue]]</f>
        <v>-0.10104705882352939</v>
      </c>
    </row>
    <row r="465" spans="1:22">
      <c r="A465" s="18" t="s">
        <v>69</v>
      </c>
      <c r="B465">
        <v>2013</v>
      </c>
      <c r="C465" t="s">
        <v>121</v>
      </c>
      <c r="D465">
        <v>1</v>
      </c>
      <c r="E465" s="18" t="s">
        <v>16</v>
      </c>
      <c r="F465" s="18" t="s">
        <v>112</v>
      </c>
      <c r="G465" s="18" t="s">
        <v>25</v>
      </c>
      <c r="H465" s="18" t="str">
        <f>Assumptions!$B$2</f>
        <v>Worst</v>
      </c>
      <c r="I465" s="18">
        <f>_xlfn.XLOOKUP(Assumptions!$B$2,Assumptions!$F$4:$H$4,Assumptions!$F$5:$H$5)</f>
        <v>1200</v>
      </c>
      <c r="J465" s="18">
        <f>_xlfn.XLOOKUP(Assumptions!$B$2,Assumptions!$F$4:$H$4,Assumptions!$F$6:$H$6)</f>
        <v>17</v>
      </c>
      <c r="K465" s="12">
        <f>_xlfn.XLOOKUP(Assumptions!$B$2,Assumptions!$F$4:$H$4,Assumptions!$F$8:$H$8)</f>
        <v>0.1</v>
      </c>
      <c r="L465" s="12">
        <f>_xlfn.XLOOKUP(Assumptions!$B$2,Assumptions!$F$4:$H$4,Assumptions!$F$9:$H$9)</f>
        <v>0.18</v>
      </c>
      <c r="M465" s="18">
        <f>_xlfn.XLOOKUP(Assumptions!$B$2,Assumptions!$F$4:$H$4,Assumptions!$F$10:$H$10)</f>
        <v>18000</v>
      </c>
      <c r="N465" s="12">
        <f>_xlfn.XLOOKUP(Assumptions!$B$2,Assumptions!$F$4:$H$4,Assumptions!$F$11:$H$11)</f>
        <v>0.3</v>
      </c>
      <c r="O465" s="14">
        <f>Final_Table[[#This Row],[Units Sold]]*Final_Table[[#This Row],[Sale Price]]</f>
        <v>20400</v>
      </c>
      <c r="P465" s="14">
        <f>Final_Table[[#This Row],[Gross Revenue]]*(1-Final_Table[[#This Row],[Discount %]])</f>
        <v>18360</v>
      </c>
      <c r="Q465">
        <f>Final_Table[[#This Row],[Net Revenue]]*Final_Table[[#This Row],[Variable Cost %]]</f>
        <v>3304.7999999999997</v>
      </c>
      <c r="R465">
        <f>Final_Table[[#This Row],[Variable Cost]]+Final_Table[[#This Row],[Fixed Monthly Cost]]</f>
        <v>21304.799999999999</v>
      </c>
      <c r="S465" s="5">
        <f>Final_Table[[#This Row],[Net Revenue]]-Final_Table[[#This Row],[Total Cost (COGS)]]</f>
        <v>-2944.7999999999993</v>
      </c>
      <c r="T465">
        <f>Final_Table[[#This Row],[Gross Profit]]*Final_Table[[#This Row],[Tax Rate]]</f>
        <v>-883.43999999999971</v>
      </c>
      <c r="U465" s="5">
        <f>Final_Table[[#This Row],[Gross Profit]]-Final_Table[[#This Row],[Tax]]</f>
        <v>-2061.3599999999997</v>
      </c>
      <c r="V465" s="12">
        <f>Final_Table[[#This Row],[Net Profit]]/Final_Table[[#This Row],[Gross Revenue]]</f>
        <v>-0.10104705882352939</v>
      </c>
    </row>
    <row r="466" spans="1:22">
      <c r="A466" s="18" t="s">
        <v>69</v>
      </c>
      <c r="B466">
        <v>2013</v>
      </c>
      <c r="C466" t="s">
        <v>121</v>
      </c>
      <c r="D466">
        <v>1</v>
      </c>
      <c r="E466" s="18" t="s">
        <v>16</v>
      </c>
      <c r="F466" s="18" t="s">
        <v>112</v>
      </c>
      <c r="G466" s="18" t="s">
        <v>17</v>
      </c>
      <c r="H466" s="18" t="str">
        <f>Assumptions!$B$2</f>
        <v>Worst</v>
      </c>
      <c r="I466" s="18">
        <f>_xlfn.XLOOKUP(Assumptions!$B$2,Assumptions!$F$4:$H$4,Assumptions!$F$5:$H$5)</f>
        <v>1200</v>
      </c>
      <c r="J466" s="18">
        <f>_xlfn.XLOOKUP(Assumptions!$B$2,Assumptions!$F$4:$H$4,Assumptions!$F$6:$H$6)</f>
        <v>17</v>
      </c>
      <c r="K466" s="12">
        <f>_xlfn.XLOOKUP(Assumptions!$B$2,Assumptions!$F$4:$H$4,Assumptions!$F$8:$H$8)</f>
        <v>0.1</v>
      </c>
      <c r="L466" s="12">
        <f>_xlfn.XLOOKUP(Assumptions!$B$2,Assumptions!$F$4:$H$4,Assumptions!$F$9:$H$9)</f>
        <v>0.18</v>
      </c>
      <c r="M466" s="18">
        <f>_xlfn.XLOOKUP(Assumptions!$B$2,Assumptions!$F$4:$H$4,Assumptions!$F$10:$H$10)</f>
        <v>18000</v>
      </c>
      <c r="N466" s="12">
        <f>_xlfn.XLOOKUP(Assumptions!$B$2,Assumptions!$F$4:$H$4,Assumptions!$F$11:$H$11)</f>
        <v>0.3</v>
      </c>
      <c r="O466" s="14">
        <f>Final_Table[[#This Row],[Units Sold]]*Final_Table[[#This Row],[Sale Price]]</f>
        <v>20400</v>
      </c>
      <c r="P466" s="14">
        <f>Final_Table[[#This Row],[Gross Revenue]]*(1-Final_Table[[#This Row],[Discount %]])</f>
        <v>18360</v>
      </c>
      <c r="Q466">
        <f>Final_Table[[#This Row],[Net Revenue]]*Final_Table[[#This Row],[Variable Cost %]]</f>
        <v>3304.7999999999997</v>
      </c>
      <c r="R466">
        <f>Final_Table[[#This Row],[Variable Cost]]+Final_Table[[#This Row],[Fixed Monthly Cost]]</f>
        <v>21304.799999999999</v>
      </c>
      <c r="S466" s="5">
        <f>Final_Table[[#This Row],[Net Revenue]]-Final_Table[[#This Row],[Total Cost (COGS)]]</f>
        <v>-2944.7999999999993</v>
      </c>
      <c r="T466">
        <f>Final_Table[[#This Row],[Gross Profit]]*Final_Table[[#This Row],[Tax Rate]]</f>
        <v>-883.43999999999971</v>
      </c>
      <c r="U466" s="5">
        <f>Final_Table[[#This Row],[Gross Profit]]-Final_Table[[#This Row],[Tax]]</f>
        <v>-2061.3599999999997</v>
      </c>
      <c r="V466" s="12">
        <f>Final_Table[[#This Row],[Net Profit]]/Final_Table[[#This Row],[Gross Revenue]]</f>
        <v>-0.10104705882352939</v>
      </c>
    </row>
    <row r="467" spans="1:22">
      <c r="A467" s="18" t="s">
        <v>69</v>
      </c>
      <c r="B467">
        <v>2013</v>
      </c>
      <c r="C467" t="s">
        <v>121</v>
      </c>
      <c r="D467">
        <v>1</v>
      </c>
      <c r="E467" s="18" t="s">
        <v>16</v>
      </c>
      <c r="F467" s="18" t="s">
        <v>113</v>
      </c>
      <c r="G467" s="18" t="s">
        <v>36</v>
      </c>
      <c r="H467" s="18" t="str">
        <f>Assumptions!$B$2</f>
        <v>Worst</v>
      </c>
      <c r="I467" s="18">
        <f>_xlfn.XLOOKUP(Assumptions!$B$2,Assumptions!$F$4:$H$4,Assumptions!$F$5:$H$5)</f>
        <v>1200</v>
      </c>
      <c r="J467" s="18">
        <f>_xlfn.XLOOKUP(Assumptions!$B$2,Assumptions!$F$4:$H$4,Assumptions!$F$6:$H$6)</f>
        <v>17</v>
      </c>
      <c r="K467" s="12">
        <f>_xlfn.XLOOKUP(Assumptions!$B$2,Assumptions!$F$4:$H$4,Assumptions!$F$8:$H$8)</f>
        <v>0.1</v>
      </c>
      <c r="L467" s="12">
        <f>_xlfn.XLOOKUP(Assumptions!$B$2,Assumptions!$F$4:$H$4,Assumptions!$F$9:$H$9)</f>
        <v>0.18</v>
      </c>
      <c r="M467" s="18">
        <f>_xlfn.XLOOKUP(Assumptions!$B$2,Assumptions!$F$4:$H$4,Assumptions!$F$10:$H$10)</f>
        <v>18000</v>
      </c>
      <c r="N467" s="12">
        <f>_xlfn.XLOOKUP(Assumptions!$B$2,Assumptions!$F$4:$H$4,Assumptions!$F$11:$H$11)</f>
        <v>0.3</v>
      </c>
      <c r="O467" s="14">
        <f>Final_Table[[#This Row],[Units Sold]]*Final_Table[[#This Row],[Sale Price]]</f>
        <v>20400</v>
      </c>
      <c r="P467" s="14">
        <f>Final_Table[[#This Row],[Gross Revenue]]*(1-Final_Table[[#This Row],[Discount %]])</f>
        <v>18360</v>
      </c>
      <c r="Q467">
        <f>Final_Table[[#This Row],[Net Revenue]]*Final_Table[[#This Row],[Variable Cost %]]</f>
        <v>3304.7999999999997</v>
      </c>
      <c r="R467">
        <f>Final_Table[[#This Row],[Variable Cost]]+Final_Table[[#This Row],[Fixed Monthly Cost]]</f>
        <v>21304.799999999999</v>
      </c>
      <c r="S467" s="5">
        <f>Final_Table[[#This Row],[Net Revenue]]-Final_Table[[#This Row],[Total Cost (COGS)]]</f>
        <v>-2944.7999999999993</v>
      </c>
      <c r="T467">
        <f>Final_Table[[#This Row],[Gross Profit]]*Final_Table[[#This Row],[Tax Rate]]</f>
        <v>-883.43999999999971</v>
      </c>
      <c r="U467" s="5">
        <f>Final_Table[[#This Row],[Gross Profit]]-Final_Table[[#This Row],[Tax]]</f>
        <v>-2061.3599999999997</v>
      </c>
      <c r="V467" s="12">
        <f>Final_Table[[#This Row],[Net Profit]]/Final_Table[[#This Row],[Gross Revenue]]</f>
        <v>-0.10104705882352939</v>
      </c>
    </row>
    <row r="468" spans="1:22">
      <c r="A468" s="18" t="s">
        <v>69</v>
      </c>
      <c r="B468">
        <v>2013</v>
      </c>
      <c r="C468" t="s">
        <v>121</v>
      </c>
      <c r="D468">
        <v>1</v>
      </c>
      <c r="E468" s="18" t="s">
        <v>16</v>
      </c>
      <c r="F468" s="18" t="s">
        <v>113</v>
      </c>
      <c r="G468" s="18" t="s">
        <v>23</v>
      </c>
      <c r="H468" s="18" t="str">
        <f>Assumptions!$B$2</f>
        <v>Worst</v>
      </c>
      <c r="I468" s="18">
        <f>_xlfn.XLOOKUP(Assumptions!$B$2,Assumptions!$F$4:$H$4,Assumptions!$F$5:$H$5)</f>
        <v>1200</v>
      </c>
      <c r="J468" s="18">
        <f>_xlfn.XLOOKUP(Assumptions!$B$2,Assumptions!$F$4:$H$4,Assumptions!$F$6:$H$6)</f>
        <v>17</v>
      </c>
      <c r="K468" s="12">
        <f>_xlfn.XLOOKUP(Assumptions!$B$2,Assumptions!$F$4:$H$4,Assumptions!$F$8:$H$8)</f>
        <v>0.1</v>
      </c>
      <c r="L468" s="12">
        <f>_xlfn.XLOOKUP(Assumptions!$B$2,Assumptions!$F$4:$H$4,Assumptions!$F$9:$H$9)</f>
        <v>0.18</v>
      </c>
      <c r="M468" s="18">
        <f>_xlfn.XLOOKUP(Assumptions!$B$2,Assumptions!$F$4:$H$4,Assumptions!$F$10:$H$10)</f>
        <v>18000</v>
      </c>
      <c r="N468" s="12">
        <f>_xlfn.XLOOKUP(Assumptions!$B$2,Assumptions!$F$4:$H$4,Assumptions!$F$11:$H$11)</f>
        <v>0.3</v>
      </c>
      <c r="O468" s="14">
        <f>Final_Table[[#This Row],[Units Sold]]*Final_Table[[#This Row],[Sale Price]]</f>
        <v>20400</v>
      </c>
      <c r="P468" s="14">
        <f>Final_Table[[#This Row],[Gross Revenue]]*(1-Final_Table[[#This Row],[Discount %]])</f>
        <v>18360</v>
      </c>
      <c r="Q468">
        <f>Final_Table[[#This Row],[Net Revenue]]*Final_Table[[#This Row],[Variable Cost %]]</f>
        <v>3304.7999999999997</v>
      </c>
      <c r="R468">
        <f>Final_Table[[#This Row],[Variable Cost]]+Final_Table[[#This Row],[Fixed Monthly Cost]]</f>
        <v>21304.799999999999</v>
      </c>
      <c r="S468" s="5">
        <f>Final_Table[[#This Row],[Net Revenue]]-Final_Table[[#This Row],[Total Cost (COGS)]]</f>
        <v>-2944.7999999999993</v>
      </c>
      <c r="T468">
        <f>Final_Table[[#This Row],[Gross Profit]]*Final_Table[[#This Row],[Tax Rate]]</f>
        <v>-883.43999999999971</v>
      </c>
      <c r="U468" s="5">
        <f>Final_Table[[#This Row],[Gross Profit]]-Final_Table[[#This Row],[Tax]]</f>
        <v>-2061.3599999999997</v>
      </c>
      <c r="V468" s="12">
        <f>Final_Table[[#This Row],[Net Profit]]/Final_Table[[#This Row],[Gross Revenue]]</f>
        <v>-0.10104705882352939</v>
      </c>
    </row>
    <row r="469" spans="1:22">
      <c r="A469" s="18" t="s">
        <v>69</v>
      </c>
      <c r="B469">
        <v>2013</v>
      </c>
      <c r="C469" t="s">
        <v>121</v>
      </c>
      <c r="D469">
        <v>1</v>
      </c>
      <c r="E469" s="18" t="s">
        <v>16</v>
      </c>
      <c r="F469" s="18" t="s">
        <v>113</v>
      </c>
      <c r="G469" s="18" t="s">
        <v>21</v>
      </c>
      <c r="H469" s="18" t="str">
        <f>Assumptions!$B$2</f>
        <v>Worst</v>
      </c>
      <c r="I469" s="18">
        <f>_xlfn.XLOOKUP(Assumptions!$B$2,Assumptions!$F$4:$H$4,Assumptions!$F$5:$H$5)</f>
        <v>1200</v>
      </c>
      <c r="J469" s="18">
        <f>_xlfn.XLOOKUP(Assumptions!$B$2,Assumptions!$F$4:$H$4,Assumptions!$F$6:$H$6)</f>
        <v>17</v>
      </c>
      <c r="K469" s="12">
        <f>_xlfn.XLOOKUP(Assumptions!$B$2,Assumptions!$F$4:$H$4,Assumptions!$F$8:$H$8)</f>
        <v>0.1</v>
      </c>
      <c r="L469" s="12">
        <f>_xlfn.XLOOKUP(Assumptions!$B$2,Assumptions!$F$4:$H$4,Assumptions!$F$9:$H$9)</f>
        <v>0.18</v>
      </c>
      <c r="M469" s="18">
        <f>_xlfn.XLOOKUP(Assumptions!$B$2,Assumptions!$F$4:$H$4,Assumptions!$F$10:$H$10)</f>
        <v>18000</v>
      </c>
      <c r="N469" s="12">
        <f>_xlfn.XLOOKUP(Assumptions!$B$2,Assumptions!$F$4:$H$4,Assumptions!$F$11:$H$11)</f>
        <v>0.3</v>
      </c>
      <c r="O469" s="14">
        <f>Final_Table[[#This Row],[Units Sold]]*Final_Table[[#This Row],[Sale Price]]</f>
        <v>20400</v>
      </c>
      <c r="P469" s="14">
        <f>Final_Table[[#This Row],[Gross Revenue]]*(1-Final_Table[[#This Row],[Discount %]])</f>
        <v>18360</v>
      </c>
      <c r="Q469">
        <f>Final_Table[[#This Row],[Net Revenue]]*Final_Table[[#This Row],[Variable Cost %]]</f>
        <v>3304.7999999999997</v>
      </c>
      <c r="R469">
        <f>Final_Table[[#This Row],[Variable Cost]]+Final_Table[[#This Row],[Fixed Monthly Cost]]</f>
        <v>21304.799999999999</v>
      </c>
      <c r="S469" s="5">
        <f>Final_Table[[#This Row],[Net Revenue]]-Final_Table[[#This Row],[Total Cost (COGS)]]</f>
        <v>-2944.7999999999993</v>
      </c>
      <c r="T469">
        <f>Final_Table[[#This Row],[Gross Profit]]*Final_Table[[#This Row],[Tax Rate]]</f>
        <v>-883.43999999999971</v>
      </c>
      <c r="U469" s="5">
        <f>Final_Table[[#This Row],[Gross Profit]]-Final_Table[[#This Row],[Tax]]</f>
        <v>-2061.3599999999997</v>
      </c>
      <c r="V469" s="12">
        <f>Final_Table[[#This Row],[Net Profit]]/Final_Table[[#This Row],[Gross Revenue]]</f>
        <v>-0.10104705882352939</v>
      </c>
    </row>
    <row r="470" spans="1:22">
      <c r="A470" s="18" t="s">
        <v>69</v>
      </c>
      <c r="B470">
        <v>2013</v>
      </c>
      <c r="C470" t="s">
        <v>121</v>
      </c>
      <c r="D470">
        <v>1</v>
      </c>
      <c r="E470" s="18" t="s">
        <v>16</v>
      </c>
      <c r="F470" s="18" t="s">
        <v>113</v>
      </c>
      <c r="G470" s="18" t="s">
        <v>25</v>
      </c>
      <c r="H470" s="18" t="str">
        <f>Assumptions!$B$2</f>
        <v>Worst</v>
      </c>
      <c r="I470" s="18">
        <f>_xlfn.XLOOKUP(Assumptions!$B$2,Assumptions!$F$4:$H$4,Assumptions!$F$5:$H$5)</f>
        <v>1200</v>
      </c>
      <c r="J470" s="18">
        <f>_xlfn.XLOOKUP(Assumptions!$B$2,Assumptions!$F$4:$H$4,Assumptions!$F$6:$H$6)</f>
        <v>17</v>
      </c>
      <c r="K470" s="12">
        <f>_xlfn.XLOOKUP(Assumptions!$B$2,Assumptions!$F$4:$H$4,Assumptions!$F$8:$H$8)</f>
        <v>0.1</v>
      </c>
      <c r="L470" s="12">
        <f>_xlfn.XLOOKUP(Assumptions!$B$2,Assumptions!$F$4:$H$4,Assumptions!$F$9:$H$9)</f>
        <v>0.18</v>
      </c>
      <c r="M470" s="18">
        <f>_xlfn.XLOOKUP(Assumptions!$B$2,Assumptions!$F$4:$H$4,Assumptions!$F$10:$H$10)</f>
        <v>18000</v>
      </c>
      <c r="N470" s="12">
        <f>_xlfn.XLOOKUP(Assumptions!$B$2,Assumptions!$F$4:$H$4,Assumptions!$F$11:$H$11)</f>
        <v>0.3</v>
      </c>
      <c r="O470" s="14">
        <f>Final_Table[[#This Row],[Units Sold]]*Final_Table[[#This Row],[Sale Price]]</f>
        <v>20400</v>
      </c>
      <c r="P470" s="14">
        <f>Final_Table[[#This Row],[Gross Revenue]]*(1-Final_Table[[#This Row],[Discount %]])</f>
        <v>18360</v>
      </c>
      <c r="Q470">
        <f>Final_Table[[#This Row],[Net Revenue]]*Final_Table[[#This Row],[Variable Cost %]]</f>
        <v>3304.7999999999997</v>
      </c>
      <c r="R470">
        <f>Final_Table[[#This Row],[Variable Cost]]+Final_Table[[#This Row],[Fixed Monthly Cost]]</f>
        <v>21304.799999999999</v>
      </c>
      <c r="S470" s="5">
        <f>Final_Table[[#This Row],[Net Revenue]]-Final_Table[[#This Row],[Total Cost (COGS)]]</f>
        <v>-2944.7999999999993</v>
      </c>
      <c r="T470">
        <f>Final_Table[[#This Row],[Gross Profit]]*Final_Table[[#This Row],[Tax Rate]]</f>
        <v>-883.43999999999971</v>
      </c>
      <c r="U470" s="5">
        <f>Final_Table[[#This Row],[Gross Profit]]-Final_Table[[#This Row],[Tax]]</f>
        <v>-2061.3599999999997</v>
      </c>
      <c r="V470" s="12">
        <f>Final_Table[[#This Row],[Net Profit]]/Final_Table[[#This Row],[Gross Revenue]]</f>
        <v>-0.10104705882352939</v>
      </c>
    </row>
    <row r="471" spans="1:22">
      <c r="A471" s="18" t="s">
        <v>69</v>
      </c>
      <c r="B471">
        <v>2013</v>
      </c>
      <c r="C471" t="s">
        <v>121</v>
      </c>
      <c r="D471">
        <v>1</v>
      </c>
      <c r="E471" s="18" t="s">
        <v>16</v>
      </c>
      <c r="F471" s="18" t="s">
        <v>113</v>
      </c>
      <c r="G471" s="18" t="s">
        <v>17</v>
      </c>
      <c r="H471" s="18" t="str">
        <f>Assumptions!$B$2</f>
        <v>Worst</v>
      </c>
      <c r="I471" s="18">
        <f>_xlfn.XLOOKUP(Assumptions!$B$2,Assumptions!$F$4:$H$4,Assumptions!$F$5:$H$5)</f>
        <v>1200</v>
      </c>
      <c r="J471" s="18">
        <f>_xlfn.XLOOKUP(Assumptions!$B$2,Assumptions!$F$4:$H$4,Assumptions!$F$6:$H$6)</f>
        <v>17</v>
      </c>
      <c r="K471" s="12">
        <f>_xlfn.XLOOKUP(Assumptions!$B$2,Assumptions!$F$4:$H$4,Assumptions!$F$8:$H$8)</f>
        <v>0.1</v>
      </c>
      <c r="L471" s="12">
        <f>_xlfn.XLOOKUP(Assumptions!$B$2,Assumptions!$F$4:$H$4,Assumptions!$F$9:$H$9)</f>
        <v>0.18</v>
      </c>
      <c r="M471" s="18">
        <f>_xlfn.XLOOKUP(Assumptions!$B$2,Assumptions!$F$4:$H$4,Assumptions!$F$10:$H$10)</f>
        <v>18000</v>
      </c>
      <c r="N471" s="12">
        <f>_xlfn.XLOOKUP(Assumptions!$B$2,Assumptions!$F$4:$H$4,Assumptions!$F$11:$H$11)</f>
        <v>0.3</v>
      </c>
      <c r="O471" s="14">
        <f>Final_Table[[#This Row],[Units Sold]]*Final_Table[[#This Row],[Sale Price]]</f>
        <v>20400</v>
      </c>
      <c r="P471" s="14">
        <f>Final_Table[[#This Row],[Gross Revenue]]*(1-Final_Table[[#This Row],[Discount %]])</f>
        <v>18360</v>
      </c>
      <c r="Q471">
        <f>Final_Table[[#This Row],[Net Revenue]]*Final_Table[[#This Row],[Variable Cost %]]</f>
        <v>3304.7999999999997</v>
      </c>
      <c r="R471">
        <f>Final_Table[[#This Row],[Variable Cost]]+Final_Table[[#This Row],[Fixed Monthly Cost]]</f>
        <v>21304.799999999999</v>
      </c>
      <c r="S471" s="5">
        <f>Final_Table[[#This Row],[Net Revenue]]-Final_Table[[#This Row],[Total Cost (COGS)]]</f>
        <v>-2944.7999999999993</v>
      </c>
      <c r="T471">
        <f>Final_Table[[#This Row],[Gross Profit]]*Final_Table[[#This Row],[Tax Rate]]</f>
        <v>-883.43999999999971</v>
      </c>
      <c r="U471" s="5">
        <f>Final_Table[[#This Row],[Gross Profit]]-Final_Table[[#This Row],[Tax]]</f>
        <v>-2061.3599999999997</v>
      </c>
      <c r="V471" s="12">
        <f>Final_Table[[#This Row],[Net Profit]]/Final_Table[[#This Row],[Gross Revenue]]</f>
        <v>-0.10104705882352939</v>
      </c>
    </row>
    <row r="472" spans="1:22">
      <c r="A472" s="18" t="s">
        <v>69</v>
      </c>
      <c r="B472">
        <v>2013</v>
      </c>
      <c r="C472" t="s">
        <v>121</v>
      </c>
      <c r="D472">
        <v>1</v>
      </c>
      <c r="E472" s="18" t="s">
        <v>16</v>
      </c>
      <c r="F472" s="18" t="s">
        <v>114</v>
      </c>
      <c r="G472" s="18" t="s">
        <v>36</v>
      </c>
      <c r="H472" s="18" t="str">
        <f>Assumptions!$B$2</f>
        <v>Worst</v>
      </c>
      <c r="I472" s="18">
        <f>_xlfn.XLOOKUP(Assumptions!$B$2,Assumptions!$F$4:$H$4,Assumptions!$F$5:$H$5)</f>
        <v>1200</v>
      </c>
      <c r="J472" s="18">
        <f>_xlfn.XLOOKUP(Assumptions!$B$2,Assumptions!$F$4:$H$4,Assumptions!$F$6:$H$6)</f>
        <v>17</v>
      </c>
      <c r="K472" s="12">
        <f>_xlfn.XLOOKUP(Assumptions!$B$2,Assumptions!$F$4:$H$4,Assumptions!$F$8:$H$8)</f>
        <v>0.1</v>
      </c>
      <c r="L472" s="12">
        <f>_xlfn.XLOOKUP(Assumptions!$B$2,Assumptions!$F$4:$H$4,Assumptions!$F$9:$H$9)</f>
        <v>0.18</v>
      </c>
      <c r="M472" s="18">
        <f>_xlfn.XLOOKUP(Assumptions!$B$2,Assumptions!$F$4:$H$4,Assumptions!$F$10:$H$10)</f>
        <v>18000</v>
      </c>
      <c r="N472" s="12">
        <f>_xlfn.XLOOKUP(Assumptions!$B$2,Assumptions!$F$4:$H$4,Assumptions!$F$11:$H$11)</f>
        <v>0.3</v>
      </c>
      <c r="O472" s="14">
        <f>Final_Table[[#This Row],[Units Sold]]*Final_Table[[#This Row],[Sale Price]]</f>
        <v>20400</v>
      </c>
      <c r="P472" s="14">
        <f>Final_Table[[#This Row],[Gross Revenue]]*(1-Final_Table[[#This Row],[Discount %]])</f>
        <v>18360</v>
      </c>
      <c r="Q472">
        <f>Final_Table[[#This Row],[Net Revenue]]*Final_Table[[#This Row],[Variable Cost %]]</f>
        <v>3304.7999999999997</v>
      </c>
      <c r="R472">
        <f>Final_Table[[#This Row],[Variable Cost]]+Final_Table[[#This Row],[Fixed Monthly Cost]]</f>
        <v>21304.799999999999</v>
      </c>
      <c r="S472" s="5">
        <f>Final_Table[[#This Row],[Net Revenue]]-Final_Table[[#This Row],[Total Cost (COGS)]]</f>
        <v>-2944.7999999999993</v>
      </c>
      <c r="T472">
        <f>Final_Table[[#This Row],[Gross Profit]]*Final_Table[[#This Row],[Tax Rate]]</f>
        <v>-883.43999999999971</v>
      </c>
      <c r="U472" s="5">
        <f>Final_Table[[#This Row],[Gross Profit]]-Final_Table[[#This Row],[Tax]]</f>
        <v>-2061.3599999999997</v>
      </c>
      <c r="V472" s="12">
        <f>Final_Table[[#This Row],[Net Profit]]/Final_Table[[#This Row],[Gross Revenue]]</f>
        <v>-0.10104705882352939</v>
      </c>
    </row>
    <row r="473" spans="1:22">
      <c r="A473" s="18" t="s">
        <v>69</v>
      </c>
      <c r="B473">
        <v>2013</v>
      </c>
      <c r="C473" t="s">
        <v>121</v>
      </c>
      <c r="D473">
        <v>1</v>
      </c>
      <c r="E473" s="18" t="s">
        <v>16</v>
      </c>
      <c r="F473" s="18" t="s">
        <v>114</v>
      </c>
      <c r="G473" s="18" t="s">
        <v>23</v>
      </c>
      <c r="H473" s="18" t="str">
        <f>Assumptions!$B$2</f>
        <v>Worst</v>
      </c>
      <c r="I473" s="18">
        <f>_xlfn.XLOOKUP(Assumptions!$B$2,Assumptions!$F$4:$H$4,Assumptions!$F$5:$H$5)</f>
        <v>1200</v>
      </c>
      <c r="J473" s="18">
        <f>_xlfn.XLOOKUP(Assumptions!$B$2,Assumptions!$F$4:$H$4,Assumptions!$F$6:$H$6)</f>
        <v>17</v>
      </c>
      <c r="K473" s="12">
        <f>_xlfn.XLOOKUP(Assumptions!$B$2,Assumptions!$F$4:$H$4,Assumptions!$F$8:$H$8)</f>
        <v>0.1</v>
      </c>
      <c r="L473" s="12">
        <f>_xlfn.XLOOKUP(Assumptions!$B$2,Assumptions!$F$4:$H$4,Assumptions!$F$9:$H$9)</f>
        <v>0.18</v>
      </c>
      <c r="M473" s="18">
        <f>_xlfn.XLOOKUP(Assumptions!$B$2,Assumptions!$F$4:$H$4,Assumptions!$F$10:$H$10)</f>
        <v>18000</v>
      </c>
      <c r="N473" s="12">
        <f>_xlfn.XLOOKUP(Assumptions!$B$2,Assumptions!$F$4:$H$4,Assumptions!$F$11:$H$11)</f>
        <v>0.3</v>
      </c>
      <c r="O473" s="14">
        <f>Final_Table[[#This Row],[Units Sold]]*Final_Table[[#This Row],[Sale Price]]</f>
        <v>20400</v>
      </c>
      <c r="P473" s="14">
        <f>Final_Table[[#This Row],[Gross Revenue]]*(1-Final_Table[[#This Row],[Discount %]])</f>
        <v>18360</v>
      </c>
      <c r="Q473">
        <f>Final_Table[[#This Row],[Net Revenue]]*Final_Table[[#This Row],[Variable Cost %]]</f>
        <v>3304.7999999999997</v>
      </c>
      <c r="R473">
        <f>Final_Table[[#This Row],[Variable Cost]]+Final_Table[[#This Row],[Fixed Monthly Cost]]</f>
        <v>21304.799999999999</v>
      </c>
      <c r="S473" s="5">
        <f>Final_Table[[#This Row],[Net Revenue]]-Final_Table[[#This Row],[Total Cost (COGS)]]</f>
        <v>-2944.7999999999993</v>
      </c>
      <c r="T473">
        <f>Final_Table[[#This Row],[Gross Profit]]*Final_Table[[#This Row],[Tax Rate]]</f>
        <v>-883.43999999999971</v>
      </c>
      <c r="U473" s="5">
        <f>Final_Table[[#This Row],[Gross Profit]]-Final_Table[[#This Row],[Tax]]</f>
        <v>-2061.3599999999997</v>
      </c>
      <c r="V473" s="12">
        <f>Final_Table[[#This Row],[Net Profit]]/Final_Table[[#This Row],[Gross Revenue]]</f>
        <v>-0.10104705882352939</v>
      </c>
    </row>
    <row r="474" spans="1:22">
      <c r="A474" s="18" t="s">
        <v>69</v>
      </c>
      <c r="B474">
        <v>2013</v>
      </c>
      <c r="C474" t="s">
        <v>121</v>
      </c>
      <c r="D474">
        <v>1</v>
      </c>
      <c r="E474" s="18" t="s">
        <v>16</v>
      </c>
      <c r="F474" s="18" t="s">
        <v>114</v>
      </c>
      <c r="G474" s="18" t="s">
        <v>21</v>
      </c>
      <c r="H474" s="18" t="str">
        <f>Assumptions!$B$2</f>
        <v>Worst</v>
      </c>
      <c r="I474" s="18">
        <f>_xlfn.XLOOKUP(Assumptions!$B$2,Assumptions!$F$4:$H$4,Assumptions!$F$5:$H$5)</f>
        <v>1200</v>
      </c>
      <c r="J474" s="18">
        <f>_xlfn.XLOOKUP(Assumptions!$B$2,Assumptions!$F$4:$H$4,Assumptions!$F$6:$H$6)</f>
        <v>17</v>
      </c>
      <c r="K474" s="12">
        <f>_xlfn.XLOOKUP(Assumptions!$B$2,Assumptions!$F$4:$H$4,Assumptions!$F$8:$H$8)</f>
        <v>0.1</v>
      </c>
      <c r="L474" s="12">
        <f>_xlfn.XLOOKUP(Assumptions!$B$2,Assumptions!$F$4:$H$4,Assumptions!$F$9:$H$9)</f>
        <v>0.18</v>
      </c>
      <c r="M474" s="18">
        <f>_xlfn.XLOOKUP(Assumptions!$B$2,Assumptions!$F$4:$H$4,Assumptions!$F$10:$H$10)</f>
        <v>18000</v>
      </c>
      <c r="N474" s="12">
        <f>_xlfn.XLOOKUP(Assumptions!$B$2,Assumptions!$F$4:$H$4,Assumptions!$F$11:$H$11)</f>
        <v>0.3</v>
      </c>
      <c r="O474" s="14">
        <f>Final_Table[[#This Row],[Units Sold]]*Final_Table[[#This Row],[Sale Price]]</f>
        <v>20400</v>
      </c>
      <c r="P474" s="14">
        <f>Final_Table[[#This Row],[Gross Revenue]]*(1-Final_Table[[#This Row],[Discount %]])</f>
        <v>18360</v>
      </c>
      <c r="Q474">
        <f>Final_Table[[#This Row],[Net Revenue]]*Final_Table[[#This Row],[Variable Cost %]]</f>
        <v>3304.7999999999997</v>
      </c>
      <c r="R474">
        <f>Final_Table[[#This Row],[Variable Cost]]+Final_Table[[#This Row],[Fixed Monthly Cost]]</f>
        <v>21304.799999999999</v>
      </c>
      <c r="S474" s="5">
        <f>Final_Table[[#This Row],[Net Revenue]]-Final_Table[[#This Row],[Total Cost (COGS)]]</f>
        <v>-2944.7999999999993</v>
      </c>
      <c r="T474">
        <f>Final_Table[[#This Row],[Gross Profit]]*Final_Table[[#This Row],[Tax Rate]]</f>
        <v>-883.43999999999971</v>
      </c>
      <c r="U474" s="5">
        <f>Final_Table[[#This Row],[Gross Profit]]-Final_Table[[#This Row],[Tax]]</f>
        <v>-2061.3599999999997</v>
      </c>
      <c r="V474" s="12">
        <f>Final_Table[[#This Row],[Net Profit]]/Final_Table[[#This Row],[Gross Revenue]]</f>
        <v>-0.10104705882352939</v>
      </c>
    </row>
    <row r="475" spans="1:22">
      <c r="A475" s="18" t="s">
        <v>69</v>
      </c>
      <c r="B475">
        <v>2013</v>
      </c>
      <c r="C475" t="s">
        <v>121</v>
      </c>
      <c r="D475">
        <v>1</v>
      </c>
      <c r="E475" s="18" t="s">
        <v>16</v>
      </c>
      <c r="F475" s="18" t="s">
        <v>114</v>
      </c>
      <c r="G475" s="18" t="s">
        <v>25</v>
      </c>
      <c r="H475" s="18" t="str">
        <f>Assumptions!$B$2</f>
        <v>Worst</v>
      </c>
      <c r="I475" s="18">
        <f>_xlfn.XLOOKUP(Assumptions!$B$2,Assumptions!$F$4:$H$4,Assumptions!$F$5:$H$5)</f>
        <v>1200</v>
      </c>
      <c r="J475" s="18">
        <f>_xlfn.XLOOKUP(Assumptions!$B$2,Assumptions!$F$4:$H$4,Assumptions!$F$6:$H$6)</f>
        <v>17</v>
      </c>
      <c r="K475" s="12">
        <f>_xlfn.XLOOKUP(Assumptions!$B$2,Assumptions!$F$4:$H$4,Assumptions!$F$8:$H$8)</f>
        <v>0.1</v>
      </c>
      <c r="L475" s="12">
        <f>_xlfn.XLOOKUP(Assumptions!$B$2,Assumptions!$F$4:$H$4,Assumptions!$F$9:$H$9)</f>
        <v>0.18</v>
      </c>
      <c r="M475" s="18">
        <f>_xlfn.XLOOKUP(Assumptions!$B$2,Assumptions!$F$4:$H$4,Assumptions!$F$10:$H$10)</f>
        <v>18000</v>
      </c>
      <c r="N475" s="12">
        <f>_xlfn.XLOOKUP(Assumptions!$B$2,Assumptions!$F$4:$H$4,Assumptions!$F$11:$H$11)</f>
        <v>0.3</v>
      </c>
      <c r="O475" s="14">
        <f>Final_Table[[#This Row],[Units Sold]]*Final_Table[[#This Row],[Sale Price]]</f>
        <v>20400</v>
      </c>
      <c r="P475" s="14">
        <f>Final_Table[[#This Row],[Gross Revenue]]*(1-Final_Table[[#This Row],[Discount %]])</f>
        <v>18360</v>
      </c>
      <c r="Q475">
        <f>Final_Table[[#This Row],[Net Revenue]]*Final_Table[[#This Row],[Variable Cost %]]</f>
        <v>3304.7999999999997</v>
      </c>
      <c r="R475">
        <f>Final_Table[[#This Row],[Variable Cost]]+Final_Table[[#This Row],[Fixed Monthly Cost]]</f>
        <v>21304.799999999999</v>
      </c>
      <c r="S475" s="5">
        <f>Final_Table[[#This Row],[Net Revenue]]-Final_Table[[#This Row],[Total Cost (COGS)]]</f>
        <v>-2944.7999999999993</v>
      </c>
      <c r="T475">
        <f>Final_Table[[#This Row],[Gross Profit]]*Final_Table[[#This Row],[Tax Rate]]</f>
        <v>-883.43999999999971</v>
      </c>
      <c r="U475" s="5">
        <f>Final_Table[[#This Row],[Gross Profit]]-Final_Table[[#This Row],[Tax]]</f>
        <v>-2061.3599999999997</v>
      </c>
      <c r="V475" s="12">
        <f>Final_Table[[#This Row],[Net Profit]]/Final_Table[[#This Row],[Gross Revenue]]</f>
        <v>-0.10104705882352939</v>
      </c>
    </row>
    <row r="476" spans="1:22">
      <c r="A476" s="18" t="s">
        <v>69</v>
      </c>
      <c r="B476">
        <v>2013</v>
      </c>
      <c r="C476" t="s">
        <v>121</v>
      </c>
      <c r="D476">
        <v>1</v>
      </c>
      <c r="E476" s="18" t="s">
        <v>16</v>
      </c>
      <c r="F476" s="18" t="s">
        <v>114</v>
      </c>
      <c r="G476" s="18" t="s">
        <v>17</v>
      </c>
      <c r="H476" s="18" t="str">
        <f>Assumptions!$B$2</f>
        <v>Worst</v>
      </c>
      <c r="I476" s="18">
        <f>_xlfn.XLOOKUP(Assumptions!$B$2,Assumptions!$F$4:$H$4,Assumptions!$F$5:$H$5)</f>
        <v>1200</v>
      </c>
      <c r="J476" s="18">
        <f>_xlfn.XLOOKUP(Assumptions!$B$2,Assumptions!$F$4:$H$4,Assumptions!$F$6:$H$6)</f>
        <v>17</v>
      </c>
      <c r="K476" s="12">
        <f>_xlfn.XLOOKUP(Assumptions!$B$2,Assumptions!$F$4:$H$4,Assumptions!$F$8:$H$8)</f>
        <v>0.1</v>
      </c>
      <c r="L476" s="12">
        <f>_xlfn.XLOOKUP(Assumptions!$B$2,Assumptions!$F$4:$H$4,Assumptions!$F$9:$H$9)</f>
        <v>0.18</v>
      </c>
      <c r="M476" s="18">
        <f>_xlfn.XLOOKUP(Assumptions!$B$2,Assumptions!$F$4:$H$4,Assumptions!$F$10:$H$10)</f>
        <v>18000</v>
      </c>
      <c r="N476" s="12">
        <f>_xlfn.XLOOKUP(Assumptions!$B$2,Assumptions!$F$4:$H$4,Assumptions!$F$11:$H$11)</f>
        <v>0.3</v>
      </c>
      <c r="O476" s="14">
        <f>Final_Table[[#This Row],[Units Sold]]*Final_Table[[#This Row],[Sale Price]]</f>
        <v>20400</v>
      </c>
      <c r="P476" s="14">
        <f>Final_Table[[#This Row],[Gross Revenue]]*(1-Final_Table[[#This Row],[Discount %]])</f>
        <v>18360</v>
      </c>
      <c r="Q476">
        <f>Final_Table[[#This Row],[Net Revenue]]*Final_Table[[#This Row],[Variable Cost %]]</f>
        <v>3304.7999999999997</v>
      </c>
      <c r="R476">
        <f>Final_Table[[#This Row],[Variable Cost]]+Final_Table[[#This Row],[Fixed Monthly Cost]]</f>
        <v>21304.799999999999</v>
      </c>
      <c r="S476" s="5">
        <f>Final_Table[[#This Row],[Net Revenue]]-Final_Table[[#This Row],[Total Cost (COGS)]]</f>
        <v>-2944.7999999999993</v>
      </c>
      <c r="T476">
        <f>Final_Table[[#This Row],[Gross Profit]]*Final_Table[[#This Row],[Tax Rate]]</f>
        <v>-883.43999999999971</v>
      </c>
      <c r="U476" s="5">
        <f>Final_Table[[#This Row],[Gross Profit]]-Final_Table[[#This Row],[Tax]]</f>
        <v>-2061.3599999999997</v>
      </c>
      <c r="V476" s="12">
        <f>Final_Table[[#This Row],[Net Profit]]/Final_Table[[#This Row],[Gross Revenue]]</f>
        <v>-0.10104705882352939</v>
      </c>
    </row>
    <row r="477" spans="1:22">
      <c r="A477" s="18" t="s">
        <v>69</v>
      </c>
      <c r="B477">
        <v>2013</v>
      </c>
      <c r="C477" t="s">
        <v>121</v>
      </c>
      <c r="D477">
        <v>1</v>
      </c>
      <c r="E477" s="18" t="s">
        <v>32</v>
      </c>
      <c r="F477" s="18" t="s">
        <v>80</v>
      </c>
      <c r="G477" s="18" t="s">
        <v>36</v>
      </c>
      <c r="H477" s="18" t="str">
        <f>Assumptions!$B$2</f>
        <v>Worst</v>
      </c>
      <c r="I477" s="18">
        <f>_xlfn.XLOOKUP(Assumptions!$B$2,Assumptions!$F$4:$H$4,Assumptions!$F$5:$H$5)</f>
        <v>1200</v>
      </c>
      <c r="J477" s="18">
        <f>_xlfn.XLOOKUP(Assumptions!$B$2,Assumptions!$F$4:$H$4,Assumptions!$F$6:$H$6)</f>
        <v>17</v>
      </c>
      <c r="K477" s="12">
        <f>_xlfn.XLOOKUP(Assumptions!$B$2,Assumptions!$F$4:$H$4,Assumptions!$F$8:$H$8)</f>
        <v>0.1</v>
      </c>
      <c r="L477" s="12">
        <f>_xlfn.XLOOKUP(Assumptions!$B$2,Assumptions!$F$4:$H$4,Assumptions!$F$9:$H$9)</f>
        <v>0.18</v>
      </c>
      <c r="M477" s="18">
        <f>_xlfn.XLOOKUP(Assumptions!$B$2,Assumptions!$F$4:$H$4,Assumptions!$F$10:$H$10)</f>
        <v>18000</v>
      </c>
      <c r="N477" s="12">
        <f>_xlfn.XLOOKUP(Assumptions!$B$2,Assumptions!$F$4:$H$4,Assumptions!$F$11:$H$11)</f>
        <v>0.3</v>
      </c>
      <c r="O477" s="14">
        <f>Final_Table[[#This Row],[Units Sold]]*Final_Table[[#This Row],[Sale Price]]</f>
        <v>20400</v>
      </c>
      <c r="P477" s="14">
        <f>Final_Table[[#This Row],[Gross Revenue]]*(1-Final_Table[[#This Row],[Discount %]])</f>
        <v>18360</v>
      </c>
      <c r="Q477">
        <f>Final_Table[[#This Row],[Net Revenue]]*Final_Table[[#This Row],[Variable Cost %]]</f>
        <v>3304.7999999999997</v>
      </c>
      <c r="R477">
        <f>Final_Table[[#This Row],[Variable Cost]]+Final_Table[[#This Row],[Fixed Monthly Cost]]</f>
        <v>21304.799999999999</v>
      </c>
      <c r="S477" s="5">
        <f>Final_Table[[#This Row],[Net Revenue]]-Final_Table[[#This Row],[Total Cost (COGS)]]</f>
        <v>-2944.7999999999993</v>
      </c>
      <c r="T477">
        <f>Final_Table[[#This Row],[Gross Profit]]*Final_Table[[#This Row],[Tax Rate]]</f>
        <v>-883.43999999999971</v>
      </c>
      <c r="U477" s="5">
        <f>Final_Table[[#This Row],[Gross Profit]]-Final_Table[[#This Row],[Tax]]</f>
        <v>-2061.3599999999997</v>
      </c>
      <c r="V477" s="12">
        <f>Final_Table[[#This Row],[Net Profit]]/Final_Table[[#This Row],[Gross Revenue]]</f>
        <v>-0.10104705882352939</v>
      </c>
    </row>
    <row r="478" spans="1:22">
      <c r="A478" s="18" t="s">
        <v>69</v>
      </c>
      <c r="B478">
        <v>2013</v>
      </c>
      <c r="C478" t="s">
        <v>121</v>
      </c>
      <c r="D478">
        <v>1</v>
      </c>
      <c r="E478" s="18" t="s">
        <v>32</v>
      </c>
      <c r="F478" s="18" t="s">
        <v>80</v>
      </c>
      <c r="G478" s="18" t="s">
        <v>23</v>
      </c>
      <c r="H478" s="18" t="str">
        <f>Assumptions!$B$2</f>
        <v>Worst</v>
      </c>
      <c r="I478" s="18">
        <f>_xlfn.XLOOKUP(Assumptions!$B$2,Assumptions!$F$4:$H$4,Assumptions!$F$5:$H$5)</f>
        <v>1200</v>
      </c>
      <c r="J478" s="18">
        <f>_xlfn.XLOOKUP(Assumptions!$B$2,Assumptions!$F$4:$H$4,Assumptions!$F$6:$H$6)</f>
        <v>17</v>
      </c>
      <c r="K478" s="12">
        <f>_xlfn.XLOOKUP(Assumptions!$B$2,Assumptions!$F$4:$H$4,Assumptions!$F$8:$H$8)</f>
        <v>0.1</v>
      </c>
      <c r="L478" s="12">
        <f>_xlfn.XLOOKUP(Assumptions!$B$2,Assumptions!$F$4:$H$4,Assumptions!$F$9:$H$9)</f>
        <v>0.18</v>
      </c>
      <c r="M478" s="18">
        <f>_xlfn.XLOOKUP(Assumptions!$B$2,Assumptions!$F$4:$H$4,Assumptions!$F$10:$H$10)</f>
        <v>18000</v>
      </c>
      <c r="N478" s="12">
        <f>_xlfn.XLOOKUP(Assumptions!$B$2,Assumptions!$F$4:$H$4,Assumptions!$F$11:$H$11)</f>
        <v>0.3</v>
      </c>
      <c r="O478" s="14">
        <f>Final_Table[[#This Row],[Units Sold]]*Final_Table[[#This Row],[Sale Price]]</f>
        <v>20400</v>
      </c>
      <c r="P478" s="14">
        <f>Final_Table[[#This Row],[Gross Revenue]]*(1-Final_Table[[#This Row],[Discount %]])</f>
        <v>18360</v>
      </c>
      <c r="Q478">
        <f>Final_Table[[#This Row],[Net Revenue]]*Final_Table[[#This Row],[Variable Cost %]]</f>
        <v>3304.7999999999997</v>
      </c>
      <c r="R478">
        <f>Final_Table[[#This Row],[Variable Cost]]+Final_Table[[#This Row],[Fixed Monthly Cost]]</f>
        <v>21304.799999999999</v>
      </c>
      <c r="S478" s="5">
        <f>Final_Table[[#This Row],[Net Revenue]]-Final_Table[[#This Row],[Total Cost (COGS)]]</f>
        <v>-2944.7999999999993</v>
      </c>
      <c r="T478">
        <f>Final_Table[[#This Row],[Gross Profit]]*Final_Table[[#This Row],[Tax Rate]]</f>
        <v>-883.43999999999971</v>
      </c>
      <c r="U478" s="5">
        <f>Final_Table[[#This Row],[Gross Profit]]-Final_Table[[#This Row],[Tax]]</f>
        <v>-2061.3599999999997</v>
      </c>
      <c r="V478" s="12">
        <f>Final_Table[[#This Row],[Net Profit]]/Final_Table[[#This Row],[Gross Revenue]]</f>
        <v>-0.10104705882352939</v>
      </c>
    </row>
    <row r="479" spans="1:22">
      <c r="A479" s="18" t="s">
        <v>69</v>
      </c>
      <c r="B479">
        <v>2013</v>
      </c>
      <c r="C479" t="s">
        <v>121</v>
      </c>
      <c r="D479">
        <v>1</v>
      </c>
      <c r="E479" s="18" t="s">
        <v>32</v>
      </c>
      <c r="F479" s="18" t="s">
        <v>80</v>
      </c>
      <c r="G479" s="18" t="s">
        <v>21</v>
      </c>
      <c r="H479" s="18" t="str">
        <f>Assumptions!$B$2</f>
        <v>Worst</v>
      </c>
      <c r="I479" s="18">
        <f>_xlfn.XLOOKUP(Assumptions!$B$2,Assumptions!$F$4:$H$4,Assumptions!$F$5:$H$5)</f>
        <v>1200</v>
      </c>
      <c r="J479" s="18">
        <f>_xlfn.XLOOKUP(Assumptions!$B$2,Assumptions!$F$4:$H$4,Assumptions!$F$6:$H$6)</f>
        <v>17</v>
      </c>
      <c r="K479" s="12">
        <f>_xlfn.XLOOKUP(Assumptions!$B$2,Assumptions!$F$4:$H$4,Assumptions!$F$8:$H$8)</f>
        <v>0.1</v>
      </c>
      <c r="L479" s="12">
        <f>_xlfn.XLOOKUP(Assumptions!$B$2,Assumptions!$F$4:$H$4,Assumptions!$F$9:$H$9)</f>
        <v>0.18</v>
      </c>
      <c r="M479" s="18">
        <f>_xlfn.XLOOKUP(Assumptions!$B$2,Assumptions!$F$4:$H$4,Assumptions!$F$10:$H$10)</f>
        <v>18000</v>
      </c>
      <c r="N479" s="12">
        <f>_xlfn.XLOOKUP(Assumptions!$B$2,Assumptions!$F$4:$H$4,Assumptions!$F$11:$H$11)</f>
        <v>0.3</v>
      </c>
      <c r="O479" s="14">
        <f>Final_Table[[#This Row],[Units Sold]]*Final_Table[[#This Row],[Sale Price]]</f>
        <v>20400</v>
      </c>
      <c r="P479" s="14">
        <f>Final_Table[[#This Row],[Gross Revenue]]*(1-Final_Table[[#This Row],[Discount %]])</f>
        <v>18360</v>
      </c>
      <c r="Q479">
        <f>Final_Table[[#This Row],[Net Revenue]]*Final_Table[[#This Row],[Variable Cost %]]</f>
        <v>3304.7999999999997</v>
      </c>
      <c r="R479">
        <f>Final_Table[[#This Row],[Variable Cost]]+Final_Table[[#This Row],[Fixed Monthly Cost]]</f>
        <v>21304.799999999999</v>
      </c>
      <c r="S479" s="5">
        <f>Final_Table[[#This Row],[Net Revenue]]-Final_Table[[#This Row],[Total Cost (COGS)]]</f>
        <v>-2944.7999999999993</v>
      </c>
      <c r="T479">
        <f>Final_Table[[#This Row],[Gross Profit]]*Final_Table[[#This Row],[Tax Rate]]</f>
        <v>-883.43999999999971</v>
      </c>
      <c r="U479" s="5">
        <f>Final_Table[[#This Row],[Gross Profit]]-Final_Table[[#This Row],[Tax]]</f>
        <v>-2061.3599999999997</v>
      </c>
      <c r="V479" s="12">
        <f>Final_Table[[#This Row],[Net Profit]]/Final_Table[[#This Row],[Gross Revenue]]</f>
        <v>-0.10104705882352939</v>
      </c>
    </row>
    <row r="480" spans="1:22">
      <c r="A480" s="18" t="s">
        <v>69</v>
      </c>
      <c r="B480">
        <v>2013</v>
      </c>
      <c r="C480" t="s">
        <v>121</v>
      </c>
      <c r="D480">
        <v>1</v>
      </c>
      <c r="E480" s="18" t="s">
        <v>32</v>
      </c>
      <c r="F480" s="18" t="s">
        <v>80</v>
      </c>
      <c r="G480" s="18" t="s">
        <v>25</v>
      </c>
      <c r="H480" s="18" t="str">
        <f>Assumptions!$B$2</f>
        <v>Worst</v>
      </c>
      <c r="I480" s="18">
        <f>_xlfn.XLOOKUP(Assumptions!$B$2,Assumptions!$F$4:$H$4,Assumptions!$F$5:$H$5)</f>
        <v>1200</v>
      </c>
      <c r="J480" s="18">
        <f>_xlfn.XLOOKUP(Assumptions!$B$2,Assumptions!$F$4:$H$4,Assumptions!$F$6:$H$6)</f>
        <v>17</v>
      </c>
      <c r="K480" s="12">
        <f>_xlfn.XLOOKUP(Assumptions!$B$2,Assumptions!$F$4:$H$4,Assumptions!$F$8:$H$8)</f>
        <v>0.1</v>
      </c>
      <c r="L480" s="12">
        <f>_xlfn.XLOOKUP(Assumptions!$B$2,Assumptions!$F$4:$H$4,Assumptions!$F$9:$H$9)</f>
        <v>0.18</v>
      </c>
      <c r="M480" s="18">
        <f>_xlfn.XLOOKUP(Assumptions!$B$2,Assumptions!$F$4:$H$4,Assumptions!$F$10:$H$10)</f>
        <v>18000</v>
      </c>
      <c r="N480" s="12">
        <f>_xlfn.XLOOKUP(Assumptions!$B$2,Assumptions!$F$4:$H$4,Assumptions!$F$11:$H$11)</f>
        <v>0.3</v>
      </c>
      <c r="O480" s="14">
        <f>Final_Table[[#This Row],[Units Sold]]*Final_Table[[#This Row],[Sale Price]]</f>
        <v>20400</v>
      </c>
      <c r="P480" s="14">
        <f>Final_Table[[#This Row],[Gross Revenue]]*(1-Final_Table[[#This Row],[Discount %]])</f>
        <v>18360</v>
      </c>
      <c r="Q480">
        <f>Final_Table[[#This Row],[Net Revenue]]*Final_Table[[#This Row],[Variable Cost %]]</f>
        <v>3304.7999999999997</v>
      </c>
      <c r="R480">
        <f>Final_Table[[#This Row],[Variable Cost]]+Final_Table[[#This Row],[Fixed Monthly Cost]]</f>
        <v>21304.799999999999</v>
      </c>
      <c r="S480" s="5">
        <f>Final_Table[[#This Row],[Net Revenue]]-Final_Table[[#This Row],[Total Cost (COGS)]]</f>
        <v>-2944.7999999999993</v>
      </c>
      <c r="T480">
        <f>Final_Table[[#This Row],[Gross Profit]]*Final_Table[[#This Row],[Tax Rate]]</f>
        <v>-883.43999999999971</v>
      </c>
      <c r="U480" s="5">
        <f>Final_Table[[#This Row],[Gross Profit]]-Final_Table[[#This Row],[Tax]]</f>
        <v>-2061.3599999999997</v>
      </c>
      <c r="V480" s="12">
        <f>Final_Table[[#This Row],[Net Profit]]/Final_Table[[#This Row],[Gross Revenue]]</f>
        <v>-0.10104705882352939</v>
      </c>
    </row>
    <row r="481" spans="1:22">
      <c r="A481" s="18" t="s">
        <v>69</v>
      </c>
      <c r="B481">
        <v>2013</v>
      </c>
      <c r="C481" t="s">
        <v>121</v>
      </c>
      <c r="D481">
        <v>1</v>
      </c>
      <c r="E481" s="18" t="s">
        <v>32</v>
      </c>
      <c r="F481" s="18" t="s">
        <v>80</v>
      </c>
      <c r="G481" s="18" t="s">
        <v>17</v>
      </c>
      <c r="H481" s="18" t="str">
        <f>Assumptions!$B$2</f>
        <v>Worst</v>
      </c>
      <c r="I481" s="18">
        <f>_xlfn.XLOOKUP(Assumptions!$B$2,Assumptions!$F$4:$H$4,Assumptions!$F$5:$H$5)</f>
        <v>1200</v>
      </c>
      <c r="J481" s="18">
        <f>_xlfn.XLOOKUP(Assumptions!$B$2,Assumptions!$F$4:$H$4,Assumptions!$F$6:$H$6)</f>
        <v>17</v>
      </c>
      <c r="K481" s="12">
        <f>_xlfn.XLOOKUP(Assumptions!$B$2,Assumptions!$F$4:$H$4,Assumptions!$F$8:$H$8)</f>
        <v>0.1</v>
      </c>
      <c r="L481" s="12">
        <f>_xlfn.XLOOKUP(Assumptions!$B$2,Assumptions!$F$4:$H$4,Assumptions!$F$9:$H$9)</f>
        <v>0.18</v>
      </c>
      <c r="M481" s="18">
        <f>_xlfn.XLOOKUP(Assumptions!$B$2,Assumptions!$F$4:$H$4,Assumptions!$F$10:$H$10)</f>
        <v>18000</v>
      </c>
      <c r="N481" s="12">
        <f>_xlfn.XLOOKUP(Assumptions!$B$2,Assumptions!$F$4:$H$4,Assumptions!$F$11:$H$11)</f>
        <v>0.3</v>
      </c>
      <c r="O481" s="14">
        <f>Final_Table[[#This Row],[Units Sold]]*Final_Table[[#This Row],[Sale Price]]</f>
        <v>20400</v>
      </c>
      <c r="P481" s="14">
        <f>Final_Table[[#This Row],[Gross Revenue]]*(1-Final_Table[[#This Row],[Discount %]])</f>
        <v>18360</v>
      </c>
      <c r="Q481">
        <f>Final_Table[[#This Row],[Net Revenue]]*Final_Table[[#This Row],[Variable Cost %]]</f>
        <v>3304.7999999999997</v>
      </c>
      <c r="R481">
        <f>Final_Table[[#This Row],[Variable Cost]]+Final_Table[[#This Row],[Fixed Monthly Cost]]</f>
        <v>21304.799999999999</v>
      </c>
      <c r="S481" s="5">
        <f>Final_Table[[#This Row],[Net Revenue]]-Final_Table[[#This Row],[Total Cost (COGS)]]</f>
        <v>-2944.7999999999993</v>
      </c>
      <c r="T481">
        <f>Final_Table[[#This Row],[Gross Profit]]*Final_Table[[#This Row],[Tax Rate]]</f>
        <v>-883.43999999999971</v>
      </c>
      <c r="U481" s="5">
        <f>Final_Table[[#This Row],[Gross Profit]]-Final_Table[[#This Row],[Tax]]</f>
        <v>-2061.3599999999997</v>
      </c>
      <c r="V481" s="12">
        <f>Final_Table[[#This Row],[Net Profit]]/Final_Table[[#This Row],[Gross Revenue]]</f>
        <v>-0.10104705882352939</v>
      </c>
    </row>
    <row r="482" spans="1:22">
      <c r="A482" s="18" t="s">
        <v>69</v>
      </c>
      <c r="B482">
        <v>2013</v>
      </c>
      <c r="C482" t="s">
        <v>121</v>
      </c>
      <c r="D482">
        <v>1</v>
      </c>
      <c r="E482" s="18" t="s">
        <v>32</v>
      </c>
      <c r="F482" s="18" t="s">
        <v>108</v>
      </c>
      <c r="G482" s="18" t="s">
        <v>36</v>
      </c>
      <c r="H482" s="18" t="str">
        <f>Assumptions!$B$2</f>
        <v>Worst</v>
      </c>
      <c r="I482" s="18">
        <f>_xlfn.XLOOKUP(Assumptions!$B$2,Assumptions!$F$4:$H$4,Assumptions!$F$5:$H$5)</f>
        <v>1200</v>
      </c>
      <c r="J482" s="18">
        <f>_xlfn.XLOOKUP(Assumptions!$B$2,Assumptions!$F$4:$H$4,Assumptions!$F$6:$H$6)</f>
        <v>17</v>
      </c>
      <c r="K482" s="12">
        <f>_xlfn.XLOOKUP(Assumptions!$B$2,Assumptions!$F$4:$H$4,Assumptions!$F$8:$H$8)</f>
        <v>0.1</v>
      </c>
      <c r="L482" s="12">
        <f>_xlfn.XLOOKUP(Assumptions!$B$2,Assumptions!$F$4:$H$4,Assumptions!$F$9:$H$9)</f>
        <v>0.18</v>
      </c>
      <c r="M482" s="18">
        <f>_xlfn.XLOOKUP(Assumptions!$B$2,Assumptions!$F$4:$H$4,Assumptions!$F$10:$H$10)</f>
        <v>18000</v>
      </c>
      <c r="N482" s="12">
        <f>_xlfn.XLOOKUP(Assumptions!$B$2,Assumptions!$F$4:$H$4,Assumptions!$F$11:$H$11)</f>
        <v>0.3</v>
      </c>
      <c r="O482" s="14">
        <f>Final_Table[[#This Row],[Units Sold]]*Final_Table[[#This Row],[Sale Price]]</f>
        <v>20400</v>
      </c>
      <c r="P482" s="14">
        <f>Final_Table[[#This Row],[Gross Revenue]]*(1-Final_Table[[#This Row],[Discount %]])</f>
        <v>18360</v>
      </c>
      <c r="Q482">
        <f>Final_Table[[#This Row],[Net Revenue]]*Final_Table[[#This Row],[Variable Cost %]]</f>
        <v>3304.7999999999997</v>
      </c>
      <c r="R482">
        <f>Final_Table[[#This Row],[Variable Cost]]+Final_Table[[#This Row],[Fixed Monthly Cost]]</f>
        <v>21304.799999999999</v>
      </c>
      <c r="S482" s="5">
        <f>Final_Table[[#This Row],[Net Revenue]]-Final_Table[[#This Row],[Total Cost (COGS)]]</f>
        <v>-2944.7999999999993</v>
      </c>
      <c r="T482">
        <f>Final_Table[[#This Row],[Gross Profit]]*Final_Table[[#This Row],[Tax Rate]]</f>
        <v>-883.43999999999971</v>
      </c>
      <c r="U482" s="5">
        <f>Final_Table[[#This Row],[Gross Profit]]-Final_Table[[#This Row],[Tax]]</f>
        <v>-2061.3599999999997</v>
      </c>
      <c r="V482" s="12">
        <f>Final_Table[[#This Row],[Net Profit]]/Final_Table[[#This Row],[Gross Revenue]]</f>
        <v>-0.10104705882352939</v>
      </c>
    </row>
    <row r="483" spans="1:22">
      <c r="A483" s="18" t="s">
        <v>69</v>
      </c>
      <c r="B483">
        <v>2013</v>
      </c>
      <c r="C483" t="s">
        <v>121</v>
      </c>
      <c r="D483">
        <v>1</v>
      </c>
      <c r="E483" s="18" t="s">
        <v>32</v>
      </c>
      <c r="F483" s="18" t="s">
        <v>108</v>
      </c>
      <c r="G483" s="18" t="s">
        <v>23</v>
      </c>
      <c r="H483" s="18" t="str">
        <f>Assumptions!$B$2</f>
        <v>Worst</v>
      </c>
      <c r="I483" s="18">
        <f>_xlfn.XLOOKUP(Assumptions!$B$2,Assumptions!$F$4:$H$4,Assumptions!$F$5:$H$5)</f>
        <v>1200</v>
      </c>
      <c r="J483" s="18">
        <f>_xlfn.XLOOKUP(Assumptions!$B$2,Assumptions!$F$4:$H$4,Assumptions!$F$6:$H$6)</f>
        <v>17</v>
      </c>
      <c r="K483" s="12">
        <f>_xlfn.XLOOKUP(Assumptions!$B$2,Assumptions!$F$4:$H$4,Assumptions!$F$8:$H$8)</f>
        <v>0.1</v>
      </c>
      <c r="L483" s="12">
        <f>_xlfn.XLOOKUP(Assumptions!$B$2,Assumptions!$F$4:$H$4,Assumptions!$F$9:$H$9)</f>
        <v>0.18</v>
      </c>
      <c r="M483" s="18">
        <f>_xlfn.XLOOKUP(Assumptions!$B$2,Assumptions!$F$4:$H$4,Assumptions!$F$10:$H$10)</f>
        <v>18000</v>
      </c>
      <c r="N483" s="12">
        <f>_xlfn.XLOOKUP(Assumptions!$B$2,Assumptions!$F$4:$H$4,Assumptions!$F$11:$H$11)</f>
        <v>0.3</v>
      </c>
      <c r="O483" s="14">
        <f>Final_Table[[#This Row],[Units Sold]]*Final_Table[[#This Row],[Sale Price]]</f>
        <v>20400</v>
      </c>
      <c r="P483" s="14">
        <f>Final_Table[[#This Row],[Gross Revenue]]*(1-Final_Table[[#This Row],[Discount %]])</f>
        <v>18360</v>
      </c>
      <c r="Q483">
        <f>Final_Table[[#This Row],[Net Revenue]]*Final_Table[[#This Row],[Variable Cost %]]</f>
        <v>3304.7999999999997</v>
      </c>
      <c r="R483">
        <f>Final_Table[[#This Row],[Variable Cost]]+Final_Table[[#This Row],[Fixed Monthly Cost]]</f>
        <v>21304.799999999999</v>
      </c>
      <c r="S483" s="5">
        <f>Final_Table[[#This Row],[Net Revenue]]-Final_Table[[#This Row],[Total Cost (COGS)]]</f>
        <v>-2944.7999999999993</v>
      </c>
      <c r="T483">
        <f>Final_Table[[#This Row],[Gross Profit]]*Final_Table[[#This Row],[Tax Rate]]</f>
        <v>-883.43999999999971</v>
      </c>
      <c r="U483" s="5">
        <f>Final_Table[[#This Row],[Gross Profit]]-Final_Table[[#This Row],[Tax]]</f>
        <v>-2061.3599999999997</v>
      </c>
      <c r="V483" s="12">
        <f>Final_Table[[#This Row],[Net Profit]]/Final_Table[[#This Row],[Gross Revenue]]</f>
        <v>-0.10104705882352939</v>
      </c>
    </row>
    <row r="484" spans="1:22">
      <c r="A484" s="18" t="s">
        <v>69</v>
      </c>
      <c r="B484">
        <v>2013</v>
      </c>
      <c r="C484" t="s">
        <v>121</v>
      </c>
      <c r="D484">
        <v>1</v>
      </c>
      <c r="E484" s="18" t="s">
        <v>32</v>
      </c>
      <c r="F484" s="18" t="s">
        <v>108</v>
      </c>
      <c r="G484" s="18" t="s">
        <v>21</v>
      </c>
      <c r="H484" s="18" t="str">
        <f>Assumptions!$B$2</f>
        <v>Worst</v>
      </c>
      <c r="I484" s="18">
        <f>_xlfn.XLOOKUP(Assumptions!$B$2,Assumptions!$F$4:$H$4,Assumptions!$F$5:$H$5)</f>
        <v>1200</v>
      </c>
      <c r="J484" s="18">
        <f>_xlfn.XLOOKUP(Assumptions!$B$2,Assumptions!$F$4:$H$4,Assumptions!$F$6:$H$6)</f>
        <v>17</v>
      </c>
      <c r="K484" s="12">
        <f>_xlfn.XLOOKUP(Assumptions!$B$2,Assumptions!$F$4:$H$4,Assumptions!$F$8:$H$8)</f>
        <v>0.1</v>
      </c>
      <c r="L484" s="12">
        <f>_xlfn.XLOOKUP(Assumptions!$B$2,Assumptions!$F$4:$H$4,Assumptions!$F$9:$H$9)</f>
        <v>0.18</v>
      </c>
      <c r="M484" s="18">
        <f>_xlfn.XLOOKUP(Assumptions!$B$2,Assumptions!$F$4:$H$4,Assumptions!$F$10:$H$10)</f>
        <v>18000</v>
      </c>
      <c r="N484" s="12">
        <f>_xlfn.XLOOKUP(Assumptions!$B$2,Assumptions!$F$4:$H$4,Assumptions!$F$11:$H$11)</f>
        <v>0.3</v>
      </c>
      <c r="O484" s="14">
        <f>Final_Table[[#This Row],[Units Sold]]*Final_Table[[#This Row],[Sale Price]]</f>
        <v>20400</v>
      </c>
      <c r="P484" s="14">
        <f>Final_Table[[#This Row],[Gross Revenue]]*(1-Final_Table[[#This Row],[Discount %]])</f>
        <v>18360</v>
      </c>
      <c r="Q484">
        <f>Final_Table[[#This Row],[Net Revenue]]*Final_Table[[#This Row],[Variable Cost %]]</f>
        <v>3304.7999999999997</v>
      </c>
      <c r="R484">
        <f>Final_Table[[#This Row],[Variable Cost]]+Final_Table[[#This Row],[Fixed Monthly Cost]]</f>
        <v>21304.799999999999</v>
      </c>
      <c r="S484" s="5">
        <f>Final_Table[[#This Row],[Net Revenue]]-Final_Table[[#This Row],[Total Cost (COGS)]]</f>
        <v>-2944.7999999999993</v>
      </c>
      <c r="T484">
        <f>Final_Table[[#This Row],[Gross Profit]]*Final_Table[[#This Row],[Tax Rate]]</f>
        <v>-883.43999999999971</v>
      </c>
      <c r="U484" s="5">
        <f>Final_Table[[#This Row],[Gross Profit]]-Final_Table[[#This Row],[Tax]]</f>
        <v>-2061.3599999999997</v>
      </c>
      <c r="V484" s="12">
        <f>Final_Table[[#This Row],[Net Profit]]/Final_Table[[#This Row],[Gross Revenue]]</f>
        <v>-0.10104705882352939</v>
      </c>
    </row>
    <row r="485" spans="1:22">
      <c r="A485" s="18" t="s">
        <v>69</v>
      </c>
      <c r="B485">
        <v>2013</v>
      </c>
      <c r="C485" t="s">
        <v>121</v>
      </c>
      <c r="D485">
        <v>1</v>
      </c>
      <c r="E485" s="18" t="s">
        <v>32</v>
      </c>
      <c r="F485" s="18" t="s">
        <v>108</v>
      </c>
      <c r="G485" s="18" t="s">
        <v>25</v>
      </c>
      <c r="H485" s="18" t="str">
        <f>Assumptions!$B$2</f>
        <v>Worst</v>
      </c>
      <c r="I485" s="18">
        <f>_xlfn.XLOOKUP(Assumptions!$B$2,Assumptions!$F$4:$H$4,Assumptions!$F$5:$H$5)</f>
        <v>1200</v>
      </c>
      <c r="J485" s="18">
        <f>_xlfn.XLOOKUP(Assumptions!$B$2,Assumptions!$F$4:$H$4,Assumptions!$F$6:$H$6)</f>
        <v>17</v>
      </c>
      <c r="K485" s="12">
        <f>_xlfn.XLOOKUP(Assumptions!$B$2,Assumptions!$F$4:$H$4,Assumptions!$F$8:$H$8)</f>
        <v>0.1</v>
      </c>
      <c r="L485" s="12">
        <f>_xlfn.XLOOKUP(Assumptions!$B$2,Assumptions!$F$4:$H$4,Assumptions!$F$9:$H$9)</f>
        <v>0.18</v>
      </c>
      <c r="M485" s="18">
        <f>_xlfn.XLOOKUP(Assumptions!$B$2,Assumptions!$F$4:$H$4,Assumptions!$F$10:$H$10)</f>
        <v>18000</v>
      </c>
      <c r="N485" s="12">
        <f>_xlfn.XLOOKUP(Assumptions!$B$2,Assumptions!$F$4:$H$4,Assumptions!$F$11:$H$11)</f>
        <v>0.3</v>
      </c>
      <c r="O485" s="14">
        <f>Final_Table[[#This Row],[Units Sold]]*Final_Table[[#This Row],[Sale Price]]</f>
        <v>20400</v>
      </c>
      <c r="P485" s="14">
        <f>Final_Table[[#This Row],[Gross Revenue]]*(1-Final_Table[[#This Row],[Discount %]])</f>
        <v>18360</v>
      </c>
      <c r="Q485">
        <f>Final_Table[[#This Row],[Net Revenue]]*Final_Table[[#This Row],[Variable Cost %]]</f>
        <v>3304.7999999999997</v>
      </c>
      <c r="R485">
        <f>Final_Table[[#This Row],[Variable Cost]]+Final_Table[[#This Row],[Fixed Monthly Cost]]</f>
        <v>21304.799999999999</v>
      </c>
      <c r="S485" s="5">
        <f>Final_Table[[#This Row],[Net Revenue]]-Final_Table[[#This Row],[Total Cost (COGS)]]</f>
        <v>-2944.7999999999993</v>
      </c>
      <c r="T485">
        <f>Final_Table[[#This Row],[Gross Profit]]*Final_Table[[#This Row],[Tax Rate]]</f>
        <v>-883.43999999999971</v>
      </c>
      <c r="U485" s="5">
        <f>Final_Table[[#This Row],[Gross Profit]]-Final_Table[[#This Row],[Tax]]</f>
        <v>-2061.3599999999997</v>
      </c>
      <c r="V485" s="12">
        <f>Final_Table[[#This Row],[Net Profit]]/Final_Table[[#This Row],[Gross Revenue]]</f>
        <v>-0.10104705882352939</v>
      </c>
    </row>
    <row r="486" spans="1:22">
      <c r="A486" s="18" t="s">
        <v>69</v>
      </c>
      <c r="B486">
        <v>2013</v>
      </c>
      <c r="C486" t="s">
        <v>121</v>
      </c>
      <c r="D486">
        <v>1</v>
      </c>
      <c r="E486" s="18" t="s">
        <v>32</v>
      </c>
      <c r="F486" s="18" t="s">
        <v>108</v>
      </c>
      <c r="G486" s="18" t="s">
        <v>17</v>
      </c>
      <c r="H486" s="18" t="str">
        <f>Assumptions!$B$2</f>
        <v>Worst</v>
      </c>
      <c r="I486" s="18">
        <f>_xlfn.XLOOKUP(Assumptions!$B$2,Assumptions!$F$4:$H$4,Assumptions!$F$5:$H$5)</f>
        <v>1200</v>
      </c>
      <c r="J486" s="18">
        <f>_xlfn.XLOOKUP(Assumptions!$B$2,Assumptions!$F$4:$H$4,Assumptions!$F$6:$H$6)</f>
        <v>17</v>
      </c>
      <c r="K486" s="12">
        <f>_xlfn.XLOOKUP(Assumptions!$B$2,Assumptions!$F$4:$H$4,Assumptions!$F$8:$H$8)</f>
        <v>0.1</v>
      </c>
      <c r="L486" s="12">
        <f>_xlfn.XLOOKUP(Assumptions!$B$2,Assumptions!$F$4:$H$4,Assumptions!$F$9:$H$9)</f>
        <v>0.18</v>
      </c>
      <c r="M486" s="18">
        <f>_xlfn.XLOOKUP(Assumptions!$B$2,Assumptions!$F$4:$H$4,Assumptions!$F$10:$H$10)</f>
        <v>18000</v>
      </c>
      <c r="N486" s="12">
        <f>_xlfn.XLOOKUP(Assumptions!$B$2,Assumptions!$F$4:$H$4,Assumptions!$F$11:$H$11)</f>
        <v>0.3</v>
      </c>
      <c r="O486" s="14">
        <f>Final_Table[[#This Row],[Units Sold]]*Final_Table[[#This Row],[Sale Price]]</f>
        <v>20400</v>
      </c>
      <c r="P486" s="14">
        <f>Final_Table[[#This Row],[Gross Revenue]]*(1-Final_Table[[#This Row],[Discount %]])</f>
        <v>18360</v>
      </c>
      <c r="Q486">
        <f>Final_Table[[#This Row],[Net Revenue]]*Final_Table[[#This Row],[Variable Cost %]]</f>
        <v>3304.7999999999997</v>
      </c>
      <c r="R486">
        <f>Final_Table[[#This Row],[Variable Cost]]+Final_Table[[#This Row],[Fixed Monthly Cost]]</f>
        <v>21304.799999999999</v>
      </c>
      <c r="S486" s="5">
        <f>Final_Table[[#This Row],[Net Revenue]]-Final_Table[[#This Row],[Total Cost (COGS)]]</f>
        <v>-2944.7999999999993</v>
      </c>
      <c r="T486">
        <f>Final_Table[[#This Row],[Gross Profit]]*Final_Table[[#This Row],[Tax Rate]]</f>
        <v>-883.43999999999971</v>
      </c>
      <c r="U486" s="5">
        <f>Final_Table[[#This Row],[Gross Profit]]-Final_Table[[#This Row],[Tax]]</f>
        <v>-2061.3599999999997</v>
      </c>
      <c r="V486" s="12">
        <f>Final_Table[[#This Row],[Net Profit]]/Final_Table[[#This Row],[Gross Revenue]]</f>
        <v>-0.10104705882352939</v>
      </c>
    </row>
    <row r="487" spans="1:22">
      <c r="A487" s="18" t="s">
        <v>69</v>
      </c>
      <c r="B487">
        <v>2013</v>
      </c>
      <c r="C487" t="s">
        <v>121</v>
      </c>
      <c r="D487">
        <v>1</v>
      </c>
      <c r="E487" s="18" t="s">
        <v>32</v>
      </c>
      <c r="F487" s="18" t="s">
        <v>112</v>
      </c>
      <c r="G487" s="18" t="s">
        <v>36</v>
      </c>
      <c r="H487" s="18" t="str">
        <f>Assumptions!$B$2</f>
        <v>Worst</v>
      </c>
      <c r="I487" s="18">
        <f>_xlfn.XLOOKUP(Assumptions!$B$2,Assumptions!$F$4:$H$4,Assumptions!$F$5:$H$5)</f>
        <v>1200</v>
      </c>
      <c r="J487" s="18">
        <f>_xlfn.XLOOKUP(Assumptions!$B$2,Assumptions!$F$4:$H$4,Assumptions!$F$6:$H$6)</f>
        <v>17</v>
      </c>
      <c r="K487" s="12">
        <f>_xlfn.XLOOKUP(Assumptions!$B$2,Assumptions!$F$4:$H$4,Assumptions!$F$8:$H$8)</f>
        <v>0.1</v>
      </c>
      <c r="L487" s="12">
        <f>_xlfn.XLOOKUP(Assumptions!$B$2,Assumptions!$F$4:$H$4,Assumptions!$F$9:$H$9)</f>
        <v>0.18</v>
      </c>
      <c r="M487" s="18">
        <f>_xlfn.XLOOKUP(Assumptions!$B$2,Assumptions!$F$4:$H$4,Assumptions!$F$10:$H$10)</f>
        <v>18000</v>
      </c>
      <c r="N487" s="12">
        <f>_xlfn.XLOOKUP(Assumptions!$B$2,Assumptions!$F$4:$H$4,Assumptions!$F$11:$H$11)</f>
        <v>0.3</v>
      </c>
      <c r="O487" s="14">
        <f>Final_Table[[#This Row],[Units Sold]]*Final_Table[[#This Row],[Sale Price]]</f>
        <v>20400</v>
      </c>
      <c r="P487" s="14">
        <f>Final_Table[[#This Row],[Gross Revenue]]*(1-Final_Table[[#This Row],[Discount %]])</f>
        <v>18360</v>
      </c>
      <c r="Q487">
        <f>Final_Table[[#This Row],[Net Revenue]]*Final_Table[[#This Row],[Variable Cost %]]</f>
        <v>3304.7999999999997</v>
      </c>
      <c r="R487">
        <f>Final_Table[[#This Row],[Variable Cost]]+Final_Table[[#This Row],[Fixed Monthly Cost]]</f>
        <v>21304.799999999999</v>
      </c>
      <c r="S487" s="5">
        <f>Final_Table[[#This Row],[Net Revenue]]-Final_Table[[#This Row],[Total Cost (COGS)]]</f>
        <v>-2944.7999999999993</v>
      </c>
      <c r="T487">
        <f>Final_Table[[#This Row],[Gross Profit]]*Final_Table[[#This Row],[Tax Rate]]</f>
        <v>-883.43999999999971</v>
      </c>
      <c r="U487" s="5">
        <f>Final_Table[[#This Row],[Gross Profit]]-Final_Table[[#This Row],[Tax]]</f>
        <v>-2061.3599999999997</v>
      </c>
      <c r="V487" s="12">
        <f>Final_Table[[#This Row],[Net Profit]]/Final_Table[[#This Row],[Gross Revenue]]</f>
        <v>-0.10104705882352939</v>
      </c>
    </row>
    <row r="488" spans="1:22">
      <c r="A488" s="18" t="s">
        <v>69</v>
      </c>
      <c r="B488">
        <v>2013</v>
      </c>
      <c r="C488" t="s">
        <v>121</v>
      </c>
      <c r="D488">
        <v>1</v>
      </c>
      <c r="E488" s="18" t="s">
        <v>32</v>
      </c>
      <c r="F488" s="18" t="s">
        <v>112</v>
      </c>
      <c r="G488" s="18" t="s">
        <v>23</v>
      </c>
      <c r="H488" s="18" t="str">
        <f>Assumptions!$B$2</f>
        <v>Worst</v>
      </c>
      <c r="I488" s="18">
        <f>_xlfn.XLOOKUP(Assumptions!$B$2,Assumptions!$F$4:$H$4,Assumptions!$F$5:$H$5)</f>
        <v>1200</v>
      </c>
      <c r="J488" s="18">
        <f>_xlfn.XLOOKUP(Assumptions!$B$2,Assumptions!$F$4:$H$4,Assumptions!$F$6:$H$6)</f>
        <v>17</v>
      </c>
      <c r="K488" s="12">
        <f>_xlfn.XLOOKUP(Assumptions!$B$2,Assumptions!$F$4:$H$4,Assumptions!$F$8:$H$8)</f>
        <v>0.1</v>
      </c>
      <c r="L488" s="12">
        <f>_xlfn.XLOOKUP(Assumptions!$B$2,Assumptions!$F$4:$H$4,Assumptions!$F$9:$H$9)</f>
        <v>0.18</v>
      </c>
      <c r="M488" s="18">
        <f>_xlfn.XLOOKUP(Assumptions!$B$2,Assumptions!$F$4:$H$4,Assumptions!$F$10:$H$10)</f>
        <v>18000</v>
      </c>
      <c r="N488" s="12">
        <f>_xlfn.XLOOKUP(Assumptions!$B$2,Assumptions!$F$4:$H$4,Assumptions!$F$11:$H$11)</f>
        <v>0.3</v>
      </c>
      <c r="O488" s="14">
        <f>Final_Table[[#This Row],[Units Sold]]*Final_Table[[#This Row],[Sale Price]]</f>
        <v>20400</v>
      </c>
      <c r="P488" s="14">
        <f>Final_Table[[#This Row],[Gross Revenue]]*(1-Final_Table[[#This Row],[Discount %]])</f>
        <v>18360</v>
      </c>
      <c r="Q488">
        <f>Final_Table[[#This Row],[Net Revenue]]*Final_Table[[#This Row],[Variable Cost %]]</f>
        <v>3304.7999999999997</v>
      </c>
      <c r="R488">
        <f>Final_Table[[#This Row],[Variable Cost]]+Final_Table[[#This Row],[Fixed Monthly Cost]]</f>
        <v>21304.799999999999</v>
      </c>
      <c r="S488" s="5">
        <f>Final_Table[[#This Row],[Net Revenue]]-Final_Table[[#This Row],[Total Cost (COGS)]]</f>
        <v>-2944.7999999999993</v>
      </c>
      <c r="T488">
        <f>Final_Table[[#This Row],[Gross Profit]]*Final_Table[[#This Row],[Tax Rate]]</f>
        <v>-883.43999999999971</v>
      </c>
      <c r="U488" s="5">
        <f>Final_Table[[#This Row],[Gross Profit]]-Final_Table[[#This Row],[Tax]]</f>
        <v>-2061.3599999999997</v>
      </c>
      <c r="V488" s="12">
        <f>Final_Table[[#This Row],[Net Profit]]/Final_Table[[#This Row],[Gross Revenue]]</f>
        <v>-0.10104705882352939</v>
      </c>
    </row>
    <row r="489" spans="1:22">
      <c r="A489" s="18" t="s">
        <v>69</v>
      </c>
      <c r="B489">
        <v>2013</v>
      </c>
      <c r="C489" t="s">
        <v>121</v>
      </c>
      <c r="D489">
        <v>1</v>
      </c>
      <c r="E489" s="18" t="s">
        <v>32</v>
      </c>
      <c r="F489" s="18" t="s">
        <v>112</v>
      </c>
      <c r="G489" s="18" t="s">
        <v>21</v>
      </c>
      <c r="H489" s="18" t="str">
        <f>Assumptions!$B$2</f>
        <v>Worst</v>
      </c>
      <c r="I489" s="18">
        <f>_xlfn.XLOOKUP(Assumptions!$B$2,Assumptions!$F$4:$H$4,Assumptions!$F$5:$H$5)</f>
        <v>1200</v>
      </c>
      <c r="J489" s="18">
        <f>_xlfn.XLOOKUP(Assumptions!$B$2,Assumptions!$F$4:$H$4,Assumptions!$F$6:$H$6)</f>
        <v>17</v>
      </c>
      <c r="K489" s="12">
        <f>_xlfn.XLOOKUP(Assumptions!$B$2,Assumptions!$F$4:$H$4,Assumptions!$F$8:$H$8)</f>
        <v>0.1</v>
      </c>
      <c r="L489" s="12">
        <f>_xlfn.XLOOKUP(Assumptions!$B$2,Assumptions!$F$4:$H$4,Assumptions!$F$9:$H$9)</f>
        <v>0.18</v>
      </c>
      <c r="M489" s="18">
        <f>_xlfn.XLOOKUP(Assumptions!$B$2,Assumptions!$F$4:$H$4,Assumptions!$F$10:$H$10)</f>
        <v>18000</v>
      </c>
      <c r="N489" s="12">
        <f>_xlfn.XLOOKUP(Assumptions!$B$2,Assumptions!$F$4:$H$4,Assumptions!$F$11:$H$11)</f>
        <v>0.3</v>
      </c>
      <c r="O489" s="14">
        <f>Final_Table[[#This Row],[Units Sold]]*Final_Table[[#This Row],[Sale Price]]</f>
        <v>20400</v>
      </c>
      <c r="P489" s="14">
        <f>Final_Table[[#This Row],[Gross Revenue]]*(1-Final_Table[[#This Row],[Discount %]])</f>
        <v>18360</v>
      </c>
      <c r="Q489">
        <f>Final_Table[[#This Row],[Net Revenue]]*Final_Table[[#This Row],[Variable Cost %]]</f>
        <v>3304.7999999999997</v>
      </c>
      <c r="R489">
        <f>Final_Table[[#This Row],[Variable Cost]]+Final_Table[[#This Row],[Fixed Monthly Cost]]</f>
        <v>21304.799999999999</v>
      </c>
      <c r="S489" s="5">
        <f>Final_Table[[#This Row],[Net Revenue]]-Final_Table[[#This Row],[Total Cost (COGS)]]</f>
        <v>-2944.7999999999993</v>
      </c>
      <c r="T489">
        <f>Final_Table[[#This Row],[Gross Profit]]*Final_Table[[#This Row],[Tax Rate]]</f>
        <v>-883.43999999999971</v>
      </c>
      <c r="U489" s="5">
        <f>Final_Table[[#This Row],[Gross Profit]]-Final_Table[[#This Row],[Tax]]</f>
        <v>-2061.3599999999997</v>
      </c>
      <c r="V489" s="12">
        <f>Final_Table[[#This Row],[Net Profit]]/Final_Table[[#This Row],[Gross Revenue]]</f>
        <v>-0.10104705882352939</v>
      </c>
    </row>
    <row r="490" spans="1:22">
      <c r="A490" s="18" t="s">
        <v>69</v>
      </c>
      <c r="B490">
        <v>2013</v>
      </c>
      <c r="C490" t="s">
        <v>121</v>
      </c>
      <c r="D490">
        <v>1</v>
      </c>
      <c r="E490" s="18" t="s">
        <v>32</v>
      </c>
      <c r="F490" s="18" t="s">
        <v>112</v>
      </c>
      <c r="G490" s="18" t="s">
        <v>25</v>
      </c>
      <c r="H490" s="18" t="str">
        <f>Assumptions!$B$2</f>
        <v>Worst</v>
      </c>
      <c r="I490" s="18">
        <f>_xlfn.XLOOKUP(Assumptions!$B$2,Assumptions!$F$4:$H$4,Assumptions!$F$5:$H$5)</f>
        <v>1200</v>
      </c>
      <c r="J490" s="18">
        <f>_xlfn.XLOOKUP(Assumptions!$B$2,Assumptions!$F$4:$H$4,Assumptions!$F$6:$H$6)</f>
        <v>17</v>
      </c>
      <c r="K490" s="12">
        <f>_xlfn.XLOOKUP(Assumptions!$B$2,Assumptions!$F$4:$H$4,Assumptions!$F$8:$H$8)</f>
        <v>0.1</v>
      </c>
      <c r="L490" s="12">
        <f>_xlfn.XLOOKUP(Assumptions!$B$2,Assumptions!$F$4:$H$4,Assumptions!$F$9:$H$9)</f>
        <v>0.18</v>
      </c>
      <c r="M490" s="18">
        <f>_xlfn.XLOOKUP(Assumptions!$B$2,Assumptions!$F$4:$H$4,Assumptions!$F$10:$H$10)</f>
        <v>18000</v>
      </c>
      <c r="N490" s="12">
        <f>_xlfn.XLOOKUP(Assumptions!$B$2,Assumptions!$F$4:$H$4,Assumptions!$F$11:$H$11)</f>
        <v>0.3</v>
      </c>
      <c r="O490" s="14">
        <f>Final_Table[[#This Row],[Units Sold]]*Final_Table[[#This Row],[Sale Price]]</f>
        <v>20400</v>
      </c>
      <c r="P490" s="14">
        <f>Final_Table[[#This Row],[Gross Revenue]]*(1-Final_Table[[#This Row],[Discount %]])</f>
        <v>18360</v>
      </c>
      <c r="Q490">
        <f>Final_Table[[#This Row],[Net Revenue]]*Final_Table[[#This Row],[Variable Cost %]]</f>
        <v>3304.7999999999997</v>
      </c>
      <c r="R490">
        <f>Final_Table[[#This Row],[Variable Cost]]+Final_Table[[#This Row],[Fixed Monthly Cost]]</f>
        <v>21304.799999999999</v>
      </c>
      <c r="S490" s="5">
        <f>Final_Table[[#This Row],[Net Revenue]]-Final_Table[[#This Row],[Total Cost (COGS)]]</f>
        <v>-2944.7999999999993</v>
      </c>
      <c r="T490">
        <f>Final_Table[[#This Row],[Gross Profit]]*Final_Table[[#This Row],[Tax Rate]]</f>
        <v>-883.43999999999971</v>
      </c>
      <c r="U490" s="5">
        <f>Final_Table[[#This Row],[Gross Profit]]-Final_Table[[#This Row],[Tax]]</f>
        <v>-2061.3599999999997</v>
      </c>
      <c r="V490" s="12">
        <f>Final_Table[[#This Row],[Net Profit]]/Final_Table[[#This Row],[Gross Revenue]]</f>
        <v>-0.10104705882352939</v>
      </c>
    </row>
    <row r="491" spans="1:22">
      <c r="A491" s="18" t="s">
        <v>69</v>
      </c>
      <c r="B491">
        <v>2013</v>
      </c>
      <c r="C491" t="s">
        <v>121</v>
      </c>
      <c r="D491">
        <v>1</v>
      </c>
      <c r="E491" s="18" t="s">
        <v>32</v>
      </c>
      <c r="F491" s="18" t="s">
        <v>112</v>
      </c>
      <c r="G491" s="18" t="s">
        <v>17</v>
      </c>
      <c r="H491" s="18" t="str">
        <f>Assumptions!$B$2</f>
        <v>Worst</v>
      </c>
      <c r="I491" s="18">
        <f>_xlfn.XLOOKUP(Assumptions!$B$2,Assumptions!$F$4:$H$4,Assumptions!$F$5:$H$5)</f>
        <v>1200</v>
      </c>
      <c r="J491" s="18">
        <f>_xlfn.XLOOKUP(Assumptions!$B$2,Assumptions!$F$4:$H$4,Assumptions!$F$6:$H$6)</f>
        <v>17</v>
      </c>
      <c r="K491" s="12">
        <f>_xlfn.XLOOKUP(Assumptions!$B$2,Assumptions!$F$4:$H$4,Assumptions!$F$8:$H$8)</f>
        <v>0.1</v>
      </c>
      <c r="L491" s="12">
        <f>_xlfn.XLOOKUP(Assumptions!$B$2,Assumptions!$F$4:$H$4,Assumptions!$F$9:$H$9)</f>
        <v>0.18</v>
      </c>
      <c r="M491" s="18">
        <f>_xlfn.XLOOKUP(Assumptions!$B$2,Assumptions!$F$4:$H$4,Assumptions!$F$10:$H$10)</f>
        <v>18000</v>
      </c>
      <c r="N491" s="12">
        <f>_xlfn.XLOOKUP(Assumptions!$B$2,Assumptions!$F$4:$H$4,Assumptions!$F$11:$H$11)</f>
        <v>0.3</v>
      </c>
      <c r="O491" s="14">
        <f>Final_Table[[#This Row],[Units Sold]]*Final_Table[[#This Row],[Sale Price]]</f>
        <v>20400</v>
      </c>
      <c r="P491" s="14">
        <f>Final_Table[[#This Row],[Gross Revenue]]*(1-Final_Table[[#This Row],[Discount %]])</f>
        <v>18360</v>
      </c>
      <c r="Q491">
        <f>Final_Table[[#This Row],[Net Revenue]]*Final_Table[[#This Row],[Variable Cost %]]</f>
        <v>3304.7999999999997</v>
      </c>
      <c r="R491">
        <f>Final_Table[[#This Row],[Variable Cost]]+Final_Table[[#This Row],[Fixed Monthly Cost]]</f>
        <v>21304.799999999999</v>
      </c>
      <c r="S491" s="5">
        <f>Final_Table[[#This Row],[Net Revenue]]-Final_Table[[#This Row],[Total Cost (COGS)]]</f>
        <v>-2944.7999999999993</v>
      </c>
      <c r="T491">
        <f>Final_Table[[#This Row],[Gross Profit]]*Final_Table[[#This Row],[Tax Rate]]</f>
        <v>-883.43999999999971</v>
      </c>
      <c r="U491" s="5">
        <f>Final_Table[[#This Row],[Gross Profit]]-Final_Table[[#This Row],[Tax]]</f>
        <v>-2061.3599999999997</v>
      </c>
      <c r="V491" s="12">
        <f>Final_Table[[#This Row],[Net Profit]]/Final_Table[[#This Row],[Gross Revenue]]</f>
        <v>-0.10104705882352939</v>
      </c>
    </row>
    <row r="492" spans="1:22">
      <c r="A492" s="18" t="s">
        <v>69</v>
      </c>
      <c r="B492">
        <v>2013</v>
      </c>
      <c r="C492" t="s">
        <v>121</v>
      </c>
      <c r="D492">
        <v>1</v>
      </c>
      <c r="E492" s="18" t="s">
        <v>32</v>
      </c>
      <c r="F492" s="18" t="s">
        <v>113</v>
      </c>
      <c r="G492" s="18" t="s">
        <v>36</v>
      </c>
      <c r="H492" s="18" t="str">
        <f>Assumptions!$B$2</f>
        <v>Worst</v>
      </c>
      <c r="I492" s="18">
        <f>_xlfn.XLOOKUP(Assumptions!$B$2,Assumptions!$F$4:$H$4,Assumptions!$F$5:$H$5)</f>
        <v>1200</v>
      </c>
      <c r="J492" s="18">
        <f>_xlfn.XLOOKUP(Assumptions!$B$2,Assumptions!$F$4:$H$4,Assumptions!$F$6:$H$6)</f>
        <v>17</v>
      </c>
      <c r="K492" s="12">
        <f>_xlfn.XLOOKUP(Assumptions!$B$2,Assumptions!$F$4:$H$4,Assumptions!$F$8:$H$8)</f>
        <v>0.1</v>
      </c>
      <c r="L492" s="12">
        <f>_xlfn.XLOOKUP(Assumptions!$B$2,Assumptions!$F$4:$H$4,Assumptions!$F$9:$H$9)</f>
        <v>0.18</v>
      </c>
      <c r="M492" s="18">
        <f>_xlfn.XLOOKUP(Assumptions!$B$2,Assumptions!$F$4:$H$4,Assumptions!$F$10:$H$10)</f>
        <v>18000</v>
      </c>
      <c r="N492" s="12">
        <f>_xlfn.XLOOKUP(Assumptions!$B$2,Assumptions!$F$4:$H$4,Assumptions!$F$11:$H$11)</f>
        <v>0.3</v>
      </c>
      <c r="O492" s="14">
        <f>Final_Table[[#This Row],[Units Sold]]*Final_Table[[#This Row],[Sale Price]]</f>
        <v>20400</v>
      </c>
      <c r="P492" s="14">
        <f>Final_Table[[#This Row],[Gross Revenue]]*(1-Final_Table[[#This Row],[Discount %]])</f>
        <v>18360</v>
      </c>
      <c r="Q492">
        <f>Final_Table[[#This Row],[Net Revenue]]*Final_Table[[#This Row],[Variable Cost %]]</f>
        <v>3304.7999999999997</v>
      </c>
      <c r="R492">
        <f>Final_Table[[#This Row],[Variable Cost]]+Final_Table[[#This Row],[Fixed Monthly Cost]]</f>
        <v>21304.799999999999</v>
      </c>
      <c r="S492" s="5">
        <f>Final_Table[[#This Row],[Net Revenue]]-Final_Table[[#This Row],[Total Cost (COGS)]]</f>
        <v>-2944.7999999999993</v>
      </c>
      <c r="T492">
        <f>Final_Table[[#This Row],[Gross Profit]]*Final_Table[[#This Row],[Tax Rate]]</f>
        <v>-883.43999999999971</v>
      </c>
      <c r="U492" s="5">
        <f>Final_Table[[#This Row],[Gross Profit]]-Final_Table[[#This Row],[Tax]]</f>
        <v>-2061.3599999999997</v>
      </c>
      <c r="V492" s="12">
        <f>Final_Table[[#This Row],[Net Profit]]/Final_Table[[#This Row],[Gross Revenue]]</f>
        <v>-0.10104705882352939</v>
      </c>
    </row>
    <row r="493" spans="1:22">
      <c r="A493" s="18" t="s">
        <v>69</v>
      </c>
      <c r="B493">
        <v>2013</v>
      </c>
      <c r="C493" t="s">
        <v>121</v>
      </c>
      <c r="D493">
        <v>1</v>
      </c>
      <c r="E493" s="18" t="s">
        <v>32</v>
      </c>
      <c r="F493" s="18" t="s">
        <v>113</v>
      </c>
      <c r="G493" s="18" t="s">
        <v>23</v>
      </c>
      <c r="H493" s="18" t="str">
        <f>Assumptions!$B$2</f>
        <v>Worst</v>
      </c>
      <c r="I493" s="18">
        <f>_xlfn.XLOOKUP(Assumptions!$B$2,Assumptions!$F$4:$H$4,Assumptions!$F$5:$H$5)</f>
        <v>1200</v>
      </c>
      <c r="J493" s="18">
        <f>_xlfn.XLOOKUP(Assumptions!$B$2,Assumptions!$F$4:$H$4,Assumptions!$F$6:$H$6)</f>
        <v>17</v>
      </c>
      <c r="K493" s="12">
        <f>_xlfn.XLOOKUP(Assumptions!$B$2,Assumptions!$F$4:$H$4,Assumptions!$F$8:$H$8)</f>
        <v>0.1</v>
      </c>
      <c r="L493" s="12">
        <f>_xlfn.XLOOKUP(Assumptions!$B$2,Assumptions!$F$4:$H$4,Assumptions!$F$9:$H$9)</f>
        <v>0.18</v>
      </c>
      <c r="M493" s="18">
        <f>_xlfn.XLOOKUP(Assumptions!$B$2,Assumptions!$F$4:$H$4,Assumptions!$F$10:$H$10)</f>
        <v>18000</v>
      </c>
      <c r="N493" s="12">
        <f>_xlfn.XLOOKUP(Assumptions!$B$2,Assumptions!$F$4:$H$4,Assumptions!$F$11:$H$11)</f>
        <v>0.3</v>
      </c>
      <c r="O493" s="14">
        <f>Final_Table[[#This Row],[Units Sold]]*Final_Table[[#This Row],[Sale Price]]</f>
        <v>20400</v>
      </c>
      <c r="P493" s="14">
        <f>Final_Table[[#This Row],[Gross Revenue]]*(1-Final_Table[[#This Row],[Discount %]])</f>
        <v>18360</v>
      </c>
      <c r="Q493">
        <f>Final_Table[[#This Row],[Net Revenue]]*Final_Table[[#This Row],[Variable Cost %]]</f>
        <v>3304.7999999999997</v>
      </c>
      <c r="R493">
        <f>Final_Table[[#This Row],[Variable Cost]]+Final_Table[[#This Row],[Fixed Monthly Cost]]</f>
        <v>21304.799999999999</v>
      </c>
      <c r="S493" s="5">
        <f>Final_Table[[#This Row],[Net Revenue]]-Final_Table[[#This Row],[Total Cost (COGS)]]</f>
        <v>-2944.7999999999993</v>
      </c>
      <c r="T493">
        <f>Final_Table[[#This Row],[Gross Profit]]*Final_Table[[#This Row],[Tax Rate]]</f>
        <v>-883.43999999999971</v>
      </c>
      <c r="U493" s="5">
        <f>Final_Table[[#This Row],[Gross Profit]]-Final_Table[[#This Row],[Tax]]</f>
        <v>-2061.3599999999997</v>
      </c>
      <c r="V493" s="12">
        <f>Final_Table[[#This Row],[Net Profit]]/Final_Table[[#This Row],[Gross Revenue]]</f>
        <v>-0.10104705882352939</v>
      </c>
    </row>
    <row r="494" spans="1:22">
      <c r="A494" s="18" t="s">
        <v>69</v>
      </c>
      <c r="B494">
        <v>2013</v>
      </c>
      <c r="C494" t="s">
        <v>121</v>
      </c>
      <c r="D494">
        <v>1</v>
      </c>
      <c r="E494" s="18" t="s">
        <v>32</v>
      </c>
      <c r="F494" s="18" t="s">
        <v>113</v>
      </c>
      <c r="G494" s="18" t="s">
        <v>21</v>
      </c>
      <c r="H494" s="18" t="str">
        <f>Assumptions!$B$2</f>
        <v>Worst</v>
      </c>
      <c r="I494" s="18">
        <f>_xlfn.XLOOKUP(Assumptions!$B$2,Assumptions!$F$4:$H$4,Assumptions!$F$5:$H$5)</f>
        <v>1200</v>
      </c>
      <c r="J494" s="18">
        <f>_xlfn.XLOOKUP(Assumptions!$B$2,Assumptions!$F$4:$H$4,Assumptions!$F$6:$H$6)</f>
        <v>17</v>
      </c>
      <c r="K494" s="12">
        <f>_xlfn.XLOOKUP(Assumptions!$B$2,Assumptions!$F$4:$H$4,Assumptions!$F$8:$H$8)</f>
        <v>0.1</v>
      </c>
      <c r="L494" s="12">
        <f>_xlfn.XLOOKUP(Assumptions!$B$2,Assumptions!$F$4:$H$4,Assumptions!$F$9:$H$9)</f>
        <v>0.18</v>
      </c>
      <c r="M494" s="18">
        <f>_xlfn.XLOOKUP(Assumptions!$B$2,Assumptions!$F$4:$H$4,Assumptions!$F$10:$H$10)</f>
        <v>18000</v>
      </c>
      <c r="N494" s="12">
        <f>_xlfn.XLOOKUP(Assumptions!$B$2,Assumptions!$F$4:$H$4,Assumptions!$F$11:$H$11)</f>
        <v>0.3</v>
      </c>
      <c r="O494" s="14">
        <f>Final_Table[[#This Row],[Units Sold]]*Final_Table[[#This Row],[Sale Price]]</f>
        <v>20400</v>
      </c>
      <c r="P494" s="14">
        <f>Final_Table[[#This Row],[Gross Revenue]]*(1-Final_Table[[#This Row],[Discount %]])</f>
        <v>18360</v>
      </c>
      <c r="Q494">
        <f>Final_Table[[#This Row],[Net Revenue]]*Final_Table[[#This Row],[Variable Cost %]]</f>
        <v>3304.7999999999997</v>
      </c>
      <c r="R494">
        <f>Final_Table[[#This Row],[Variable Cost]]+Final_Table[[#This Row],[Fixed Monthly Cost]]</f>
        <v>21304.799999999999</v>
      </c>
      <c r="S494" s="5">
        <f>Final_Table[[#This Row],[Net Revenue]]-Final_Table[[#This Row],[Total Cost (COGS)]]</f>
        <v>-2944.7999999999993</v>
      </c>
      <c r="T494">
        <f>Final_Table[[#This Row],[Gross Profit]]*Final_Table[[#This Row],[Tax Rate]]</f>
        <v>-883.43999999999971</v>
      </c>
      <c r="U494" s="5">
        <f>Final_Table[[#This Row],[Gross Profit]]-Final_Table[[#This Row],[Tax]]</f>
        <v>-2061.3599999999997</v>
      </c>
      <c r="V494" s="12">
        <f>Final_Table[[#This Row],[Net Profit]]/Final_Table[[#This Row],[Gross Revenue]]</f>
        <v>-0.10104705882352939</v>
      </c>
    </row>
    <row r="495" spans="1:22">
      <c r="A495" s="18" t="s">
        <v>69</v>
      </c>
      <c r="B495">
        <v>2013</v>
      </c>
      <c r="C495" t="s">
        <v>121</v>
      </c>
      <c r="D495">
        <v>1</v>
      </c>
      <c r="E495" s="18" t="s">
        <v>32</v>
      </c>
      <c r="F495" s="18" t="s">
        <v>113</v>
      </c>
      <c r="G495" s="18" t="s">
        <v>25</v>
      </c>
      <c r="H495" s="18" t="str">
        <f>Assumptions!$B$2</f>
        <v>Worst</v>
      </c>
      <c r="I495" s="18">
        <f>_xlfn.XLOOKUP(Assumptions!$B$2,Assumptions!$F$4:$H$4,Assumptions!$F$5:$H$5)</f>
        <v>1200</v>
      </c>
      <c r="J495" s="18">
        <f>_xlfn.XLOOKUP(Assumptions!$B$2,Assumptions!$F$4:$H$4,Assumptions!$F$6:$H$6)</f>
        <v>17</v>
      </c>
      <c r="K495" s="12">
        <f>_xlfn.XLOOKUP(Assumptions!$B$2,Assumptions!$F$4:$H$4,Assumptions!$F$8:$H$8)</f>
        <v>0.1</v>
      </c>
      <c r="L495" s="12">
        <f>_xlfn.XLOOKUP(Assumptions!$B$2,Assumptions!$F$4:$H$4,Assumptions!$F$9:$H$9)</f>
        <v>0.18</v>
      </c>
      <c r="M495" s="18">
        <f>_xlfn.XLOOKUP(Assumptions!$B$2,Assumptions!$F$4:$H$4,Assumptions!$F$10:$H$10)</f>
        <v>18000</v>
      </c>
      <c r="N495" s="12">
        <f>_xlfn.XLOOKUP(Assumptions!$B$2,Assumptions!$F$4:$H$4,Assumptions!$F$11:$H$11)</f>
        <v>0.3</v>
      </c>
      <c r="O495" s="14">
        <f>Final_Table[[#This Row],[Units Sold]]*Final_Table[[#This Row],[Sale Price]]</f>
        <v>20400</v>
      </c>
      <c r="P495" s="14">
        <f>Final_Table[[#This Row],[Gross Revenue]]*(1-Final_Table[[#This Row],[Discount %]])</f>
        <v>18360</v>
      </c>
      <c r="Q495">
        <f>Final_Table[[#This Row],[Net Revenue]]*Final_Table[[#This Row],[Variable Cost %]]</f>
        <v>3304.7999999999997</v>
      </c>
      <c r="R495">
        <f>Final_Table[[#This Row],[Variable Cost]]+Final_Table[[#This Row],[Fixed Monthly Cost]]</f>
        <v>21304.799999999999</v>
      </c>
      <c r="S495" s="5">
        <f>Final_Table[[#This Row],[Net Revenue]]-Final_Table[[#This Row],[Total Cost (COGS)]]</f>
        <v>-2944.7999999999993</v>
      </c>
      <c r="T495">
        <f>Final_Table[[#This Row],[Gross Profit]]*Final_Table[[#This Row],[Tax Rate]]</f>
        <v>-883.43999999999971</v>
      </c>
      <c r="U495" s="5">
        <f>Final_Table[[#This Row],[Gross Profit]]-Final_Table[[#This Row],[Tax]]</f>
        <v>-2061.3599999999997</v>
      </c>
      <c r="V495" s="12">
        <f>Final_Table[[#This Row],[Net Profit]]/Final_Table[[#This Row],[Gross Revenue]]</f>
        <v>-0.10104705882352939</v>
      </c>
    </row>
    <row r="496" spans="1:22">
      <c r="A496" s="18" t="s">
        <v>69</v>
      </c>
      <c r="B496">
        <v>2013</v>
      </c>
      <c r="C496" t="s">
        <v>121</v>
      </c>
      <c r="D496">
        <v>1</v>
      </c>
      <c r="E496" s="18" t="s">
        <v>32</v>
      </c>
      <c r="F496" s="18" t="s">
        <v>113</v>
      </c>
      <c r="G496" s="18" t="s">
        <v>17</v>
      </c>
      <c r="H496" s="18" t="str">
        <f>Assumptions!$B$2</f>
        <v>Worst</v>
      </c>
      <c r="I496" s="18">
        <f>_xlfn.XLOOKUP(Assumptions!$B$2,Assumptions!$F$4:$H$4,Assumptions!$F$5:$H$5)</f>
        <v>1200</v>
      </c>
      <c r="J496" s="18">
        <f>_xlfn.XLOOKUP(Assumptions!$B$2,Assumptions!$F$4:$H$4,Assumptions!$F$6:$H$6)</f>
        <v>17</v>
      </c>
      <c r="K496" s="12">
        <f>_xlfn.XLOOKUP(Assumptions!$B$2,Assumptions!$F$4:$H$4,Assumptions!$F$8:$H$8)</f>
        <v>0.1</v>
      </c>
      <c r="L496" s="12">
        <f>_xlfn.XLOOKUP(Assumptions!$B$2,Assumptions!$F$4:$H$4,Assumptions!$F$9:$H$9)</f>
        <v>0.18</v>
      </c>
      <c r="M496" s="18">
        <f>_xlfn.XLOOKUP(Assumptions!$B$2,Assumptions!$F$4:$H$4,Assumptions!$F$10:$H$10)</f>
        <v>18000</v>
      </c>
      <c r="N496" s="12">
        <f>_xlfn.XLOOKUP(Assumptions!$B$2,Assumptions!$F$4:$H$4,Assumptions!$F$11:$H$11)</f>
        <v>0.3</v>
      </c>
      <c r="O496" s="14">
        <f>Final_Table[[#This Row],[Units Sold]]*Final_Table[[#This Row],[Sale Price]]</f>
        <v>20400</v>
      </c>
      <c r="P496" s="14">
        <f>Final_Table[[#This Row],[Gross Revenue]]*(1-Final_Table[[#This Row],[Discount %]])</f>
        <v>18360</v>
      </c>
      <c r="Q496">
        <f>Final_Table[[#This Row],[Net Revenue]]*Final_Table[[#This Row],[Variable Cost %]]</f>
        <v>3304.7999999999997</v>
      </c>
      <c r="R496">
        <f>Final_Table[[#This Row],[Variable Cost]]+Final_Table[[#This Row],[Fixed Monthly Cost]]</f>
        <v>21304.799999999999</v>
      </c>
      <c r="S496" s="5">
        <f>Final_Table[[#This Row],[Net Revenue]]-Final_Table[[#This Row],[Total Cost (COGS)]]</f>
        <v>-2944.7999999999993</v>
      </c>
      <c r="T496">
        <f>Final_Table[[#This Row],[Gross Profit]]*Final_Table[[#This Row],[Tax Rate]]</f>
        <v>-883.43999999999971</v>
      </c>
      <c r="U496" s="5">
        <f>Final_Table[[#This Row],[Gross Profit]]-Final_Table[[#This Row],[Tax]]</f>
        <v>-2061.3599999999997</v>
      </c>
      <c r="V496" s="12">
        <f>Final_Table[[#This Row],[Net Profit]]/Final_Table[[#This Row],[Gross Revenue]]</f>
        <v>-0.10104705882352939</v>
      </c>
    </row>
    <row r="497" spans="1:22">
      <c r="A497" s="18" t="s">
        <v>69</v>
      </c>
      <c r="B497">
        <v>2013</v>
      </c>
      <c r="C497" t="s">
        <v>121</v>
      </c>
      <c r="D497">
        <v>1</v>
      </c>
      <c r="E497" s="18" t="s">
        <v>32</v>
      </c>
      <c r="F497" s="18" t="s">
        <v>114</v>
      </c>
      <c r="G497" s="18" t="s">
        <v>36</v>
      </c>
      <c r="H497" s="18" t="str">
        <f>Assumptions!$B$2</f>
        <v>Worst</v>
      </c>
      <c r="I497" s="18">
        <f>_xlfn.XLOOKUP(Assumptions!$B$2,Assumptions!$F$4:$H$4,Assumptions!$F$5:$H$5)</f>
        <v>1200</v>
      </c>
      <c r="J497" s="18">
        <f>_xlfn.XLOOKUP(Assumptions!$B$2,Assumptions!$F$4:$H$4,Assumptions!$F$6:$H$6)</f>
        <v>17</v>
      </c>
      <c r="K497" s="12">
        <f>_xlfn.XLOOKUP(Assumptions!$B$2,Assumptions!$F$4:$H$4,Assumptions!$F$8:$H$8)</f>
        <v>0.1</v>
      </c>
      <c r="L497" s="12">
        <f>_xlfn.XLOOKUP(Assumptions!$B$2,Assumptions!$F$4:$H$4,Assumptions!$F$9:$H$9)</f>
        <v>0.18</v>
      </c>
      <c r="M497" s="18">
        <f>_xlfn.XLOOKUP(Assumptions!$B$2,Assumptions!$F$4:$H$4,Assumptions!$F$10:$H$10)</f>
        <v>18000</v>
      </c>
      <c r="N497" s="12">
        <f>_xlfn.XLOOKUP(Assumptions!$B$2,Assumptions!$F$4:$H$4,Assumptions!$F$11:$H$11)</f>
        <v>0.3</v>
      </c>
      <c r="O497" s="14">
        <f>Final_Table[[#This Row],[Units Sold]]*Final_Table[[#This Row],[Sale Price]]</f>
        <v>20400</v>
      </c>
      <c r="P497" s="14">
        <f>Final_Table[[#This Row],[Gross Revenue]]*(1-Final_Table[[#This Row],[Discount %]])</f>
        <v>18360</v>
      </c>
      <c r="Q497">
        <f>Final_Table[[#This Row],[Net Revenue]]*Final_Table[[#This Row],[Variable Cost %]]</f>
        <v>3304.7999999999997</v>
      </c>
      <c r="R497">
        <f>Final_Table[[#This Row],[Variable Cost]]+Final_Table[[#This Row],[Fixed Monthly Cost]]</f>
        <v>21304.799999999999</v>
      </c>
      <c r="S497" s="5">
        <f>Final_Table[[#This Row],[Net Revenue]]-Final_Table[[#This Row],[Total Cost (COGS)]]</f>
        <v>-2944.7999999999993</v>
      </c>
      <c r="T497">
        <f>Final_Table[[#This Row],[Gross Profit]]*Final_Table[[#This Row],[Tax Rate]]</f>
        <v>-883.43999999999971</v>
      </c>
      <c r="U497" s="5">
        <f>Final_Table[[#This Row],[Gross Profit]]-Final_Table[[#This Row],[Tax]]</f>
        <v>-2061.3599999999997</v>
      </c>
      <c r="V497" s="12">
        <f>Final_Table[[#This Row],[Net Profit]]/Final_Table[[#This Row],[Gross Revenue]]</f>
        <v>-0.10104705882352939</v>
      </c>
    </row>
    <row r="498" spans="1:22">
      <c r="A498" s="18" t="s">
        <v>69</v>
      </c>
      <c r="B498">
        <v>2013</v>
      </c>
      <c r="C498" t="s">
        <v>121</v>
      </c>
      <c r="D498">
        <v>1</v>
      </c>
      <c r="E498" s="18" t="s">
        <v>32</v>
      </c>
      <c r="F498" s="18" t="s">
        <v>114</v>
      </c>
      <c r="G498" s="18" t="s">
        <v>23</v>
      </c>
      <c r="H498" s="18" t="str">
        <f>Assumptions!$B$2</f>
        <v>Worst</v>
      </c>
      <c r="I498" s="18">
        <f>_xlfn.XLOOKUP(Assumptions!$B$2,Assumptions!$F$4:$H$4,Assumptions!$F$5:$H$5)</f>
        <v>1200</v>
      </c>
      <c r="J498" s="18">
        <f>_xlfn.XLOOKUP(Assumptions!$B$2,Assumptions!$F$4:$H$4,Assumptions!$F$6:$H$6)</f>
        <v>17</v>
      </c>
      <c r="K498" s="12">
        <f>_xlfn.XLOOKUP(Assumptions!$B$2,Assumptions!$F$4:$H$4,Assumptions!$F$8:$H$8)</f>
        <v>0.1</v>
      </c>
      <c r="L498" s="12">
        <f>_xlfn.XLOOKUP(Assumptions!$B$2,Assumptions!$F$4:$H$4,Assumptions!$F$9:$H$9)</f>
        <v>0.18</v>
      </c>
      <c r="M498" s="18">
        <f>_xlfn.XLOOKUP(Assumptions!$B$2,Assumptions!$F$4:$H$4,Assumptions!$F$10:$H$10)</f>
        <v>18000</v>
      </c>
      <c r="N498" s="12">
        <f>_xlfn.XLOOKUP(Assumptions!$B$2,Assumptions!$F$4:$H$4,Assumptions!$F$11:$H$11)</f>
        <v>0.3</v>
      </c>
      <c r="O498" s="14">
        <f>Final_Table[[#This Row],[Units Sold]]*Final_Table[[#This Row],[Sale Price]]</f>
        <v>20400</v>
      </c>
      <c r="P498" s="14">
        <f>Final_Table[[#This Row],[Gross Revenue]]*(1-Final_Table[[#This Row],[Discount %]])</f>
        <v>18360</v>
      </c>
      <c r="Q498">
        <f>Final_Table[[#This Row],[Net Revenue]]*Final_Table[[#This Row],[Variable Cost %]]</f>
        <v>3304.7999999999997</v>
      </c>
      <c r="R498">
        <f>Final_Table[[#This Row],[Variable Cost]]+Final_Table[[#This Row],[Fixed Monthly Cost]]</f>
        <v>21304.799999999999</v>
      </c>
      <c r="S498" s="5">
        <f>Final_Table[[#This Row],[Net Revenue]]-Final_Table[[#This Row],[Total Cost (COGS)]]</f>
        <v>-2944.7999999999993</v>
      </c>
      <c r="T498">
        <f>Final_Table[[#This Row],[Gross Profit]]*Final_Table[[#This Row],[Tax Rate]]</f>
        <v>-883.43999999999971</v>
      </c>
      <c r="U498" s="5">
        <f>Final_Table[[#This Row],[Gross Profit]]-Final_Table[[#This Row],[Tax]]</f>
        <v>-2061.3599999999997</v>
      </c>
      <c r="V498" s="12">
        <f>Final_Table[[#This Row],[Net Profit]]/Final_Table[[#This Row],[Gross Revenue]]</f>
        <v>-0.10104705882352939</v>
      </c>
    </row>
    <row r="499" spans="1:22">
      <c r="A499" s="18" t="s">
        <v>69</v>
      </c>
      <c r="B499">
        <v>2013</v>
      </c>
      <c r="C499" t="s">
        <v>121</v>
      </c>
      <c r="D499">
        <v>1</v>
      </c>
      <c r="E499" s="18" t="s">
        <v>32</v>
      </c>
      <c r="F499" s="18" t="s">
        <v>114</v>
      </c>
      <c r="G499" s="18" t="s">
        <v>21</v>
      </c>
      <c r="H499" s="18" t="str">
        <f>Assumptions!$B$2</f>
        <v>Worst</v>
      </c>
      <c r="I499" s="18">
        <f>_xlfn.XLOOKUP(Assumptions!$B$2,Assumptions!$F$4:$H$4,Assumptions!$F$5:$H$5)</f>
        <v>1200</v>
      </c>
      <c r="J499" s="18">
        <f>_xlfn.XLOOKUP(Assumptions!$B$2,Assumptions!$F$4:$H$4,Assumptions!$F$6:$H$6)</f>
        <v>17</v>
      </c>
      <c r="K499" s="12">
        <f>_xlfn.XLOOKUP(Assumptions!$B$2,Assumptions!$F$4:$H$4,Assumptions!$F$8:$H$8)</f>
        <v>0.1</v>
      </c>
      <c r="L499" s="12">
        <f>_xlfn.XLOOKUP(Assumptions!$B$2,Assumptions!$F$4:$H$4,Assumptions!$F$9:$H$9)</f>
        <v>0.18</v>
      </c>
      <c r="M499" s="18">
        <f>_xlfn.XLOOKUP(Assumptions!$B$2,Assumptions!$F$4:$H$4,Assumptions!$F$10:$H$10)</f>
        <v>18000</v>
      </c>
      <c r="N499" s="12">
        <f>_xlfn.XLOOKUP(Assumptions!$B$2,Assumptions!$F$4:$H$4,Assumptions!$F$11:$H$11)</f>
        <v>0.3</v>
      </c>
      <c r="O499" s="14">
        <f>Final_Table[[#This Row],[Units Sold]]*Final_Table[[#This Row],[Sale Price]]</f>
        <v>20400</v>
      </c>
      <c r="P499" s="14">
        <f>Final_Table[[#This Row],[Gross Revenue]]*(1-Final_Table[[#This Row],[Discount %]])</f>
        <v>18360</v>
      </c>
      <c r="Q499">
        <f>Final_Table[[#This Row],[Net Revenue]]*Final_Table[[#This Row],[Variable Cost %]]</f>
        <v>3304.7999999999997</v>
      </c>
      <c r="R499">
        <f>Final_Table[[#This Row],[Variable Cost]]+Final_Table[[#This Row],[Fixed Monthly Cost]]</f>
        <v>21304.799999999999</v>
      </c>
      <c r="S499" s="5">
        <f>Final_Table[[#This Row],[Net Revenue]]-Final_Table[[#This Row],[Total Cost (COGS)]]</f>
        <v>-2944.7999999999993</v>
      </c>
      <c r="T499">
        <f>Final_Table[[#This Row],[Gross Profit]]*Final_Table[[#This Row],[Tax Rate]]</f>
        <v>-883.43999999999971</v>
      </c>
      <c r="U499" s="5">
        <f>Final_Table[[#This Row],[Gross Profit]]-Final_Table[[#This Row],[Tax]]</f>
        <v>-2061.3599999999997</v>
      </c>
      <c r="V499" s="12">
        <f>Final_Table[[#This Row],[Net Profit]]/Final_Table[[#This Row],[Gross Revenue]]</f>
        <v>-0.10104705882352939</v>
      </c>
    </row>
    <row r="500" spans="1:22">
      <c r="A500" s="18" t="s">
        <v>69</v>
      </c>
      <c r="B500">
        <v>2013</v>
      </c>
      <c r="C500" t="s">
        <v>121</v>
      </c>
      <c r="D500">
        <v>1</v>
      </c>
      <c r="E500" s="18" t="s">
        <v>32</v>
      </c>
      <c r="F500" s="18" t="s">
        <v>114</v>
      </c>
      <c r="G500" s="18" t="s">
        <v>25</v>
      </c>
      <c r="H500" s="18" t="str">
        <f>Assumptions!$B$2</f>
        <v>Worst</v>
      </c>
      <c r="I500" s="18">
        <f>_xlfn.XLOOKUP(Assumptions!$B$2,Assumptions!$F$4:$H$4,Assumptions!$F$5:$H$5)</f>
        <v>1200</v>
      </c>
      <c r="J500" s="18">
        <f>_xlfn.XLOOKUP(Assumptions!$B$2,Assumptions!$F$4:$H$4,Assumptions!$F$6:$H$6)</f>
        <v>17</v>
      </c>
      <c r="K500" s="12">
        <f>_xlfn.XLOOKUP(Assumptions!$B$2,Assumptions!$F$4:$H$4,Assumptions!$F$8:$H$8)</f>
        <v>0.1</v>
      </c>
      <c r="L500" s="12">
        <f>_xlfn.XLOOKUP(Assumptions!$B$2,Assumptions!$F$4:$H$4,Assumptions!$F$9:$H$9)</f>
        <v>0.18</v>
      </c>
      <c r="M500" s="18">
        <f>_xlfn.XLOOKUP(Assumptions!$B$2,Assumptions!$F$4:$H$4,Assumptions!$F$10:$H$10)</f>
        <v>18000</v>
      </c>
      <c r="N500" s="12">
        <f>_xlfn.XLOOKUP(Assumptions!$B$2,Assumptions!$F$4:$H$4,Assumptions!$F$11:$H$11)</f>
        <v>0.3</v>
      </c>
      <c r="O500" s="14">
        <f>Final_Table[[#This Row],[Units Sold]]*Final_Table[[#This Row],[Sale Price]]</f>
        <v>20400</v>
      </c>
      <c r="P500" s="14">
        <f>Final_Table[[#This Row],[Gross Revenue]]*(1-Final_Table[[#This Row],[Discount %]])</f>
        <v>18360</v>
      </c>
      <c r="Q500">
        <f>Final_Table[[#This Row],[Net Revenue]]*Final_Table[[#This Row],[Variable Cost %]]</f>
        <v>3304.7999999999997</v>
      </c>
      <c r="R500">
        <f>Final_Table[[#This Row],[Variable Cost]]+Final_Table[[#This Row],[Fixed Monthly Cost]]</f>
        <v>21304.799999999999</v>
      </c>
      <c r="S500" s="5">
        <f>Final_Table[[#This Row],[Net Revenue]]-Final_Table[[#This Row],[Total Cost (COGS)]]</f>
        <v>-2944.7999999999993</v>
      </c>
      <c r="T500">
        <f>Final_Table[[#This Row],[Gross Profit]]*Final_Table[[#This Row],[Tax Rate]]</f>
        <v>-883.43999999999971</v>
      </c>
      <c r="U500" s="5">
        <f>Final_Table[[#This Row],[Gross Profit]]-Final_Table[[#This Row],[Tax]]</f>
        <v>-2061.3599999999997</v>
      </c>
      <c r="V500" s="12">
        <f>Final_Table[[#This Row],[Net Profit]]/Final_Table[[#This Row],[Gross Revenue]]</f>
        <v>-0.10104705882352939</v>
      </c>
    </row>
    <row r="501" spans="1:22">
      <c r="A501" s="18" t="s">
        <v>69</v>
      </c>
      <c r="B501">
        <v>2013</v>
      </c>
      <c r="C501" t="s">
        <v>121</v>
      </c>
      <c r="D501">
        <v>1</v>
      </c>
      <c r="E501" s="18" t="s">
        <v>32</v>
      </c>
      <c r="F501" s="18" t="s">
        <v>114</v>
      </c>
      <c r="G501" s="18" t="s">
        <v>17</v>
      </c>
      <c r="H501" s="18" t="str">
        <f>Assumptions!$B$2</f>
        <v>Worst</v>
      </c>
      <c r="I501" s="18">
        <f>_xlfn.XLOOKUP(Assumptions!$B$2,Assumptions!$F$4:$H$4,Assumptions!$F$5:$H$5)</f>
        <v>1200</v>
      </c>
      <c r="J501" s="18">
        <f>_xlfn.XLOOKUP(Assumptions!$B$2,Assumptions!$F$4:$H$4,Assumptions!$F$6:$H$6)</f>
        <v>17</v>
      </c>
      <c r="K501" s="12">
        <f>_xlfn.XLOOKUP(Assumptions!$B$2,Assumptions!$F$4:$H$4,Assumptions!$F$8:$H$8)</f>
        <v>0.1</v>
      </c>
      <c r="L501" s="12">
        <f>_xlfn.XLOOKUP(Assumptions!$B$2,Assumptions!$F$4:$H$4,Assumptions!$F$9:$H$9)</f>
        <v>0.18</v>
      </c>
      <c r="M501" s="18">
        <f>_xlfn.XLOOKUP(Assumptions!$B$2,Assumptions!$F$4:$H$4,Assumptions!$F$10:$H$10)</f>
        <v>18000</v>
      </c>
      <c r="N501" s="12">
        <f>_xlfn.XLOOKUP(Assumptions!$B$2,Assumptions!$F$4:$H$4,Assumptions!$F$11:$H$11)</f>
        <v>0.3</v>
      </c>
      <c r="O501" s="14">
        <f>Final_Table[[#This Row],[Units Sold]]*Final_Table[[#This Row],[Sale Price]]</f>
        <v>20400</v>
      </c>
      <c r="P501" s="14">
        <f>Final_Table[[#This Row],[Gross Revenue]]*(1-Final_Table[[#This Row],[Discount %]])</f>
        <v>18360</v>
      </c>
      <c r="Q501">
        <f>Final_Table[[#This Row],[Net Revenue]]*Final_Table[[#This Row],[Variable Cost %]]</f>
        <v>3304.7999999999997</v>
      </c>
      <c r="R501">
        <f>Final_Table[[#This Row],[Variable Cost]]+Final_Table[[#This Row],[Fixed Monthly Cost]]</f>
        <v>21304.799999999999</v>
      </c>
      <c r="S501" s="5">
        <f>Final_Table[[#This Row],[Net Revenue]]-Final_Table[[#This Row],[Total Cost (COGS)]]</f>
        <v>-2944.7999999999993</v>
      </c>
      <c r="T501">
        <f>Final_Table[[#This Row],[Gross Profit]]*Final_Table[[#This Row],[Tax Rate]]</f>
        <v>-883.43999999999971</v>
      </c>
      <c r="U501" s="5">
        <f>Final_Table[[#This Row],[Gross Profit]]-Final_Table[[#This Row],[Tax]]</f>
        <v>-2061.3599999999997</v>
      </c>
      <c r="V501" s="12">
        <f>Final_Table[[#This Row],[Net Profit]]/Final_Table[[#This Row],[Gross Revenue]]</f>
        <v>-0.10104705882352939</v>
      </c>
    </row>
    <row r="502" spans="1:22">
      <c r="A502" s="18" t="s">
        <v>71</v>
      </c>
      <c r="B502">
        <v>2014</v>
      </c>
      <c r="C502" t="s">
        <v>122</v>
      </c>
      <c r="D502">
        <v>1</v>
      </c>
      <c r="E502" s="18" t="s">
        <v>30</v>
      </c>
      <c r="F502" s="18" t="s">
        <v>80</v>
      </c>
      <c r="G502" s="18" t="s">
        <v>36</v>
      </c>
      <c r="H502" s="18" t="str">
        <f>Assumptions!$B$2</f>
        <v>Worst</v>
      </c>
      <c r="I502" s="18">
        <f>_xlfn.XLOOKUP(Assumptions!$B$2,Assumptions!$F$4:$H$4,Assumptions!$F$5:$H$5)</f>
        <v>1200</v>
      </c>
      <c r="J502" s="18">
        <f>_xlfn.XLOOKUP(Assumptions!$B$2,Assumptions!$F$4:$H$4,Assumptions!$F$6:$H$6)</f>
        <v>17</v>
      </c>
      <c r="K502" s="12">
        <f>_xlfn.XLOOKUP(Assumptions!$B$2,Assumptions!$F$4:$H$4,Assumptions!$F$8:$H$8)</f>
        <v>0.1</v>
      </c>
      <c r="L502" s="12">
        <f>_xlfn.XLOOKUP(Assumptions!$B$2,Assumptions!$F$4:$H$4,Assumptions!$F$9:$H$9)</f>
        <v>0.18</v>
      </c>
      <c r="M502" s="18">
        <f>_xlfn.XLOOKUP(Assumptions!$B$2,Assumptions!$F$4:$H$4,Assumptions!$F$10:$H$10)</f>
        <v>18000</v>
      </c>
      <c r="N502" s="12">
        <f>_xlfn.XLOOKUP(Assumptions!$B$2,Assumptions!$F$4:$H$4,Assumptions!$F$11:$H$11)</f>
        <v>0.3</v>
      </c>
      <c r="O502" s="14">
        <f>Final_Table[[#This Row],[Units Sold]]*Final_Table[[#This Row],[Sale Price]]</f>
        <v>20400</v>
      </c>
      <c r="P502" s="14">
        <f>Final_Table[[#This Row],[Gross Revenue]]*(1-Final_Table[[#This Row],[Discount %]])</f>
        <v>18360</v>
      </c>
      <c r="Q502">
        <f>Final_Table[[#This Row],[Net Revenue]]*Final_Table[[#This Row],[Variable Cost %]]</f>
        <v>3304.7999999999997</v>
      </c>
      <c r="R502">
        <f>Final_Table[[#This Row],[Variable Cost]]+Final_Table[[#This Row],[Fixed Monthly Cost]]</f>
        <v>21304.799999999999</v>
      </c>
      <c r="S502" s="5">
        <f>Final_Table[[#This Row],[Net Revenue]]-Final_Table[[#This Row],[Total Cost (COGS)]]</f>
        <v>-2944.7999999999993</v>
      </c>
      <c r="T502">
        <f>Final_Table[[#This Row],[Gross Profit]]*Final_Table[[#This Row],[Tax Rate]]</f>
        <v>-883.43999999999971</v>
      </c>
      <c r="U502" s="5">
        <f>Final_Table[[#This Row],[Gross Profit]]-Final_Table[[#This Row],[Tax]]</f>
        <v>-2061.3599999999997</v>
      </c>
      <c r="V502" s="12">
        <f>Final_Table[[#This Row],[Net Profit]]/Final_Table[[#This Row],[Gross Revenue]]</f>
        <v>-0.10104705882352939</v>
      </c>
    </row>
    <row r="503" spans="1:22">
      <c r="A503" s="18" t="s">
        <v>71</v>
      </c>
      <c r="B503">
        <v>2014</v>
      </c>
      <c r="C503" t="s">
        <v>122</v>
      </c>
      <c r="D503">
        <v>1</v>
      </c>
      <c r="E503" s="18" t="s">
        <v>30</v>
      </c>
      <c r="F503" s="18" t="s">
        <v>80</v>
      </c>
      <c r="G503" s="18" t="s">
        <v>23</v>
      </c>
      <c r="H503" s="18" t="str">
        <f>Assumptions!$B$2</f>
        <v>Worst</v>
      </c>
      <c r="I503" s="18">
        <f>_xlfn.XLOOKUP(Assumptions!$B$2,Assumptions!$F$4:$H$4,Assumptions!$F$5:$H$5)</f>
        <v>1200</v>
      </c>
      <c r="J503" s="18">
        <f>_xlfn.XLOOKUP(Assumptions!$B$2,Assumptions!$F$4:$H$4,Assumptions!$F$6:$H$6)</f>
        <v>17</v>
      </c>
      <c r="K503" s="12">
        <f>_xlfn.XLOOKUP(Assumptions!$B$2,Assumptions!$F$4:$H$4,Assumptions!$F$8:$H$8)</f>
        <v>0.1</v>
      </c>
      <c r="L503" s="12">
        <f>_xlfn.XLOOKUP(Assumptions!$B$2,Assumptions!$F$4:$H$4,Assumptions!$F$9:$H$9)</f>
        <v>0.18</v>
      </c>
      <c r="M503" s="18">
        <f>_xlfn.XLOOKUP(Assumptions!$B$2,Assumptions!$F$4:$H$4,Assumptions!$F$10:$H$10)</f>
        <v>18000</v>
      </c>
      <c r="N503" s="12">
        <f>_xlfn.XLOOKUP(Assumptions!$B$2,Assumptions!$F$4:$H$4,Assumptions!$F$11:$H$11)</f>
        <v>0.3</v>
      </c>
      <c r="O503" s="14">
        <f>Final_Table[[#This Row],[Units Sold]]*Final_Table[[#This Row],[Sale Price]]</f>
        <v>20400</v>
      </c>
      <c r="P503" s="14">
        <f>Final_Table[[#This Row],[Gross Revenue]]*(1-Final_Table[[#This Row],[Discount %]])</f>
        <v>18360</v>
      </c>
      <c r="Q503">
        <f>Final_Table[[#This Row],[Net Revenue]]*Final_Table[[#This Row],[Variable Cost %]]</f>
        <v>3304.7999999999997</v>
      </c>
      <c r="R503">
        <f>Final_Table[[#This Row],[Variable Cost]]+Final_Table[[#This Row],[Fixed Monthly Cost]]</f>
        <v>21304.799999999999</v>
      </c>
      <c r="S503" s="5">
        <f>Final_Table[[#This Row],[Net Revenue]]-Final_Table[[#This Row],[Total Cost (COGS)]]</f>
        <v>-2944.7999999999993</v>
      </c>
      <c r="T503">
        <f>Final_Table[[#This Row],[Gross Profit]]*Final_Table[[#This Row],[Tax Rate]]</f>
        <v>-883.43999999999971</v>
      </c>
      <c r="U503" s="5">
        <f>Final_Table[[#This Row],[Gross Profit]]-Final_Table[[#This Row],[Tax]]</f>
        <v>-2061.3599999999997</v>
      </c>
      <c r="V503" s="12">
        <f>Final_Table[[#This Row],[Net Profit]]/Final_Table[[#This Row],[Gross Revenue]]</f>
        <v>-0.10104705882352939</v>
      </c>
    </row>
    <row r="504" spans="1:22">
      <c r="A504" s="18" t="s">
        <v>71</v>
      </c>
      <c r="B504">
        <v>2014</v>
      </c>
      <c r="C504" t="s">
        <v>122</v>
      </c>
      <c r="D504">
        <v>1</v>
      </c>
      <c r="E504" s="18" t="s">
        <v>30</v>
      </c>
      <c r="F504" s="18" t="s">
        <v>80</v>
      </c>
      <c r="G504" s="18" t="s">
        <v>21</v>
      </c>
      <c r="H504" s="18" t="str">
        <f>Assumptions!$B$2</f>
        <v>Worst</v>
      </c>
      <c r="I504" s="18">
        <f>_xlfn.XLOOKUP(Assumptions!$B$2,Assumptions!$F$4:$H$4,Assumptions!$F$5:$H$5)</f>
        <v>1200</v>
      </c>
      <c r="J504" s="18">
        <f>_xlfn.XLOOKUP(Assumptions!$B$2,Assumptions!$F$4:$H$4,Assumptions!$F$6:$H$6)</f>
        <v>17</v>
      </c>
      <c r="K504" s="12">
        <f>_xlfn.XLOOKUP(Assumptions!$B$2,Assumptions!$F$4:$H$4,Assumptions!$F$8:$H$8)</f>
        <v>0.1</v>
      </c>
      <c r="L504" s="12">
        <f>_xlfn.XLOOKUP(Assumptions!$B$2,Assumptions!$F$4:$H$4,Assumptions!$F$9:$H$9)</f>
        <v>0.18</v>
      </c>
      <c r="M504" s="18">
        <f>_xlfn.XLOOKUP(Assumptions!$B$2,Assumptions!$F$4:$H$4,Assumptions!$F$10:$H$10)</f>
        <v>18000</v>
      </c>
      <c r="N504" s="12">
        <f>_xlfn.XLOOKUP(Assumptions!$B$2,Assumptions!$F$4:$H$4,Assumptions!$F$11:$H$11)</f>
        <v>0.3</v>
      </c>
      <c r="O504" s="14">
        <f>Final_Table[[#This Row],[Units Sold]]*Final_Table[[#This Row],[Sale Price]]</f>
        <v>20400</v>
      </c>
      <c r="P504" s="14">
        <f>Final_Table[[#This Row],[Gross Revenue]]*(1-Final_Table[[#This Row],[Discount %]])</f>
        <v>18360</v>
      </c>
      <c r="Q504">
        <f>Final_Table[[#This Row],[Net Revenue]]*Final_Table[[#This Row],[Variable Cost %]]</f>
        <v>3304.7999999999997</v>
      </c>
      <c r="R504">
        <f>Final_Table[[#This Row],[Variable Cost]]+Final_Table[[#This Row],[Fixed Monthly Cost]]</f>
        <v>21304.799999999999</v>
      </c>
      <c r="S504" s="5">
        <f>Final_Table[[#This Row],[Net Revenue]]-Final_Table[[#This Row],[Total Cost (COGS)]]</f>
        <v>-2944.7999999999993</v>
      </c>
      <c r="T504">
        <f>Final_Table[[#This Row],[Gross Profit]]*Final_Table[[#This Row],[Tax Rate]]</f>
        <v>-883.43999999999971</v>
      </c>
      <c r="U504" s="5">
        <f>Final_Table[[#This Row],[Gross Profit]]-Final_Table[[#This Row],[Tax]]</f>
        <v>-2061.3599999999997</v>
      </c>
      <c r="V504" s="12">
        <f>Final_Table[[#This Row],[Net Profit]]/Final_Table[[#This Row],[Gross Revenue]]</f>
        <v>-0.10104705882352939</v>
      </c>
    </row>
    <row r="505" spans="1:22">
      <c r="A505" s="18" t="s">
        <v>71</v>
      </c>
      <c r="B505">
        <v>2014</v>
      </c>
      <c r="C505" t="s">
        <v>122</v>
      </c>
      <c r="D505">
        <v>1</v>
      </c>
      <c r="E505" s="18" t="s">
        <v>30</v>
      </c>
      <c r="F505" s="18" t="s">
        <v>80</v>
      </c>
      <c r="G505" s="18" t="s">
        <v>25</v>
      </c>
      <c r="H505" s="18" t="str">
        <f>Assumptions!$B$2</f>
        <v>Worst</v>
      </c>
      <c r="I505" s="18">
        <f>_xlfn.XLOOKUP(Assumptions!$B$2,Assumptions!$F$4:$H$4,Assumptions!$F$5:$H$5)</f>
        <v>1200</v>
      </c>
      <c r="J505" s="18">
        <f>_xlfn.XLOOKUP(Assumptions!$B$2,Assumptions!$F$4:$H$4,Assumptions!$F$6:$H$6)</f>
        <v>17</v>
      </c>
      <c r="K505" s="12">
        <f>_xlfn.XLOOKUP(Assumptions!$B$2,Assumptions!$F$4:$H$4,Assumptions!$F$8:$H$8)</f>
        <v>0.1</v>
      </c>
      <c r="L505" s="12">
        <f>_xlfn.XLOOKUP(Assumptions!$B$2,Assumptions!$F$4:$H$4,Assumptions!$F$9:$H$9)</f>
        <v>0.18</v>
      </c>
      <c r="M505" s="18">
        <f>_xlfn.XLOOKUP(Assumptions!$B$2,Assumptions!$F$4:$H$4,Assumptions!$F$10:$H$10)</f>
        <v>18000</v>
      </c>
      <c r="N505" s="12">
        <f>_xlfn.XLOOKUP(Assumptions!$B$2,Assumptions!$F$4:$H$4,Assumptions!$F$11:$H$11)</f>
        <v>0.3</v>
      </c>
      <c r="O505" s="14">
        <f>Final_Table[[#This Row],[Units Sold]]*Final_Table[[#This Row],[Sale Price]]</f>
        <v>20400</v>
      </c>
      <c r="P505" s="14">
        <f>Final_Table[[#This Row],[Gross Revenue]]*(1-Final_Table[[#This Row],[Discount %]])</f>
        <v>18360</v>
      </c>
      <c r="Q505">
        <f>Final_Table[[#This Row],[Net Revenue]]*Final_Table[[#This Row],[Variable Cost %]]</f>
        <v>3304.7999999999997</v>
      </c>
      <c r="R505">
        <f>Final_Table[[#This Row],[Variable Cost]]+Final_Table[[#This Row],[Fixed Monthly Cost]]</f>
        <v>21304.799999999999</v>
      </c>
      <c r="S505" s="5">
        <f>Final_Table[[#This Row],[Net Revenue]]-Final_Table[[#This Row],[Total Cost (COGS)]]</f>
        <v>-2944.7999999999993</v>
      </c>
      <c r="T505">
        <f>Final_Table[[#This Row],[Gross Profit]]*Final_Table[[#This Row],[Tax Rate]]</f>
        <v>-883.43999999999971</v>
      </c>
      <c r="U505" s="5">
        <f>Final_Table[[#This Row],[Gross Profit]]-Final_Table[[#This Row],[Tax]]</f>
        <v>-2061.3599999999997</v>
      </c>
      <c r="V505" s="12">
        <f>Final_Table[[#This Row],[Net Profit]]/Final_Table[[#This Row],[Gross Revenue]]</f>
        <v>-0.10104705882352939</v>
      </c>
    </row>
    <row r="506" spans="1:22">
      <c r="A506" s="18" t="s">
        <v>71</v>
      </c>
      <c r="B506">
        <v>2014</v>
      </c>
      <c r="C506" t="s">
        <v>122</v>
      </c>
      <c r="D506">
        <v>1</v>
      </c>
      <c r="E506" s="18" t="s">
        <v>30</v>
      </c>
      <c r="F506" s="18" t="s">
        <v>80</v>
      </c>
      <c r="G506" s="18" t="s">
        <v>17</v>
      </c>
      <c r="H506" s="18" t="str">
        <f>Assumptions!$B$2</f>
        <v>Worst</v>
      </c>
      <c r="I506" s="18">
        <f>_xlfn.XLOOKUP(Assumptions!$B$2,Assumptions!$F$4:$H$4,Assumptions!$F$5:$H$5)</f>
        <v>1200</v>
      </c>
      <c r="J506" s="18">
        <f>_xlfn.XLOOKUP(Assumptions!$B$2,Assumptions!$F$4:$H$4,Assumptions!$F$6:$H$6)</f>
        <v>17</v>
      </c>
      <c r="K506" s="12">
        <f>_xlfn.XLOOKUP(Assumptions!$B$2,Assumptions!$F$4:$H$4,Assumptions!$F$8:$H$8)</f>
        <v>0.1</v>
      </c>
      <c r="L506" s="12">
        <f>_xlfn.XLOOKUP(Assumptions!$B$2,Assumptions!$F$4:$H$4,Assumptions!$F$9:$H$9)</f>
        <v>0.18</v>
      </c>
      <c r="M506" s="18">
        <f>_xlfn.XLOOKUP(Assumptions!$B$2,Assumptions!$F$4:$H$4,Assumptions!$F$10:$H$10)</f>
        <v>18000</v>
      </c>
      <c r="N506" s="12">
        <f>_xlfn.XLOOKUP(Assumptions!$B$2,Assumptions!$F$4:$H$4,Assumptions!$F$11:$H$11)</f>
        <v>0.3</v>
      </c>
      <c r="O506" s="14">
        <f>Final_Table[[#This Row],[Units Sold]]*Final_Table[[#This Row],[Sale Price]]</f>
        <v>20400</v>
      </c>
      <c r="P506" s="14">
        <f>Final_Table[[#This Row],[Gross Revenue]]*(1-Final_Table[[#This Row],[Discount %]])</f>
        <v>18360</v>
      </c>
      <c r="Q506">
        <f>Final_Table[[#This Row],[Net Revenue]]*Final_Table[[#This Row],[Variable Cost %]]</f>
        <v>3304.7999999999997</v>
      </c>
      <c r="R506">
        <f>Final_Table[[#This Row],[Variable Cost]]+Final_Table[[#This Row],[Fixed Monthly Cost]]</f>
        <v>21304.799999999999</v>
      </c>
      <c r="S506" s="5">
        <f>Final_Table[[#This Row],[Net Revenue]]-Final_Table[[#This Row],[Total Cost (COGS)]]</f>
        <v>-2944.7999999999993</v>
      </c>
      <c r="T506">
        <f>Final_Table[[#This Row],[Gross Profit]]*Final_Table[[#This Row],[Tax Rate]]</f>
        <v>-883.43999999999971</v>
      </c>
      <c r="U506" s="5">
        <f>Final_Table[[#This Row],[Gross Profit]]-Final_Table[[#This Row],[Tax]]</f>
        <v>-2061.3599999999997</v>
      </c>
      <c r="V506" s="12">
        <f>Final_Table[[#This Row],[Net Profit]]/Final_Table[[#This Row],[Gross Revenue]]</f>
        <v>-0.10104705882352939</v>
      </c>
    </row>
    <row r="507" spans="1:22">
      <c r="A507" s="18" t="s">
        <v>71</v>
      </c>
      <c r="B507">
        <v>2014</v>
      </c>
      <c r="C507" t="s">
        <v>122</v>
      </c>
      <c r="D507">
        <v>1</v>
      </c>
      <c r="E507" s="18" t="s">
        <v>30</v>
      </c>
      <c r="F507" s="18" t="s">
        <v>108</v>
      </c>
      <c r="G507" s="18" t="s">
        <v>36</v>
      </c>
      <c r="H507" s="18" t="str">
        <f>Assumptions!$B$2</f>
        <v>Worst</v>
      </c>
      <c r="I507" s="18">
        <f>_xlfn.XLOOKUP(Assumptions!$B$2,Assumptions!$F$4:$H$4,Assumptions!$F$5:$H$5)</f>
        <v>1200</v>
      </c>
      <c r="J507" s="18">
        <f>_xlfn.XLOOKUP(Assumptions!$B$2,Assumptions!$F$4:$H$4,Assumptions!$F$6:$H$6)</f>
        <v>17</v>
      </c>
      <c r="K507" s="12">
        <f>_xlfn.XLOOKUP(Assumptions!$B$2,Assumptions!$F$4:$H$4,Assumptions!$F$8:$H$8)</f>
        <v>0.1</v>
      </c>
      <c r="L507" s="12">
        <f>_xlfn.XLOOKUP(Assumptions!$B$2,Assumptions!$F$4:$H$4,Assumptions!$F$9:$H$9)</f>
        <v>0.18</v>
      </c>
      <c r="M507" s="18">
        <f>_xlfn.XLOOKUP(Assumptions!$B$2,Assumptions!$F$4:$H$4,Assumptions!$F$10:$H$10)</f>
        <v>18000</v>
      </c>
      <c r="N507" s="12">
        <f>_xlfn.XLOOKUP(Assumptions!$B$2,Assumptions!$F$4:$H$4,Assumptions!$F$11:$H$11)</f>
        <v>0.3</v>
      </c>
      <c r="O507" s="14">
        <f>Final_Table[[#This Row],[Units Sold]]*Final_Table[[#This Row],[Sale Price]]</f>
        <v>20400</v>
      </c>
      <c r="P507" s="14">
        <f>Final_Table[[#This Row],[Gross Revenue]]*(1-Final_Table[[#This Row],[Discount %]])</f>
        <v>18360</v>
      </c>
      <c r="Q507">
        <f>Final_Table[[#This Row],[Net Revenue]]*Final_Table[[#This Row],[Variable Cost %]]</f>
        <v>3304.7999999999997</v>
      </c>
      <c r="R507">
        <f>Final_Table[[#This Row],[Variable Cost]]+Final_Table[[#This Row],[Fixed Monthly Cost]]</f>
        <v>21304.799999999999</v>
      </c>
      <c r="S507" s="5">
        <f>Final_Table[[#This Row],[Net Revenue]]-Final_Table[[#This Row],[Total Cost (COGS)]]</f>
        <v>-2944.7999999999993</v>
      </c>
      <c r="T507">
        <f>Final_Table[[#This Row],[Gross Profit]]*Final_Table[[#This Row],[Tax Rate]]</f>
        <v>-883.43999999999971</v>
      </c>
      <c r="U507" s="5">
        <f>Final_Table[[#This Row],[Gross Profit]]-Final_Table[[#This Row],[Tax]]</f>
        <v>-2061.3599999999997</v>
      </c>
      <c r="V507" s="12">
        <f>Final_Table[[#This Row],[Net Profit]]/Final_Table[[#This Row],[Gross Revenue]]</f>
        <v>-0.10104705882352939</v>
      </c>
    </row>
    <row r="508" spans="1:22">
      <c r="A508" s="18" t="s">
        <v>71</v>
      </c>
      <c r="B508">
        <v>2014</v>
      </c>
      <c r="C508" t="s">
        <v>122</v>
      </c>
      <c r="D508">
        <v>1</v>
      </c>
      <c r="E508" s="18" t="s">
        <v>30</v>
      </c>
      <c r="F508" s="18" t="s">
        <v>108</v>
      </c>
      <c r="G508" s="18" t="s">
        <v>23</v>
      </c>
      <c r="H508" s="18" t="str">
        <f>Assumptions!$B$2</f>
        <v>Worst</v>
      </c>
      <c r="I508" s="18">
        <f>_xlfn.XLOOKUP(Assumptions!$B$2,Assumptions!$F$4:$H$4,Assumptions!$F$5:$H$5)</f>
        <v>1200</v>
      </c>
      <c r="J508" s="18">
        <f>_xlfn.XLOOKUP(Assumptions!$B$2,Assumptions!$F$4:$H$4,Assumptions!$F$6:$H$6)</f>
        <v>17</v>
      </c>
      <c r="K508" s="12">
        <f>_xlfn.XLOOKUP(Assumptions!$B$2,Assumptions!$F$4:$H$4,Assumptions!$F$8:$H$8)</f>
        <v>0.1</v>
      </c>
      <c r="L508" s="12">
        <f>_xlfn.XLOOKUP(Assumptions!$B$2,Assumptions!$F$4:$H$4,Assumptions!$F$9:$H$9)</f>
        <v>0.18</v>
      </c>
      <c r="M508" s="18">
        <f>_xlfn.XLOOKUP(Assumptions!$B$2,Assumptions!$F$4:$H$4,Assumptions!$F$10:$H$10)</f>
        <v>18000</v>
      </c>
      <c r="N508" s="12">
        <f>_xlfn.XLOOKUP(Assumptions!$B$2,Assumptions!$F$4:$H$4,Assumptions!$F$11:$H$11)</f>
        <v>0.3</v>
      </c>
      <c r="O508" s="14">
        <f>Final_Table[[#This Row],[Units Sold]]*Final_Table[[#This Row],[Sale Price]]</f>
        <v>20400</v>
      </c>
      <c r="P508" s="14">
        <f>Final_Table[[#This Row],[Gross Revenue]]*(1-Final_Table[[#This Row],[Discount %]])</f>
        <v>18360</v>
      </c>
      <c r="Q508">
        <f>Final_Table[[#This Row],[Net Revenue]]*Final_Table[[#This Row],[Variable Cost %]]</f>
        <v>3304.7999999999997</v>
      </c>
      <c r="R508">
        <f>Final_Table[[#This Row],[Variable Cost]]+Final_Table[[#This Row],[Fixed Monthly Cost]]</f>
        <v>21304.799999999999</v>
      </c>
      <c r="S508" s="5">
        <f>Final_Table[[#This Row],[Net Revenue]]-Final_Table[[#This Row],[Total Cost (COGS)]]</f>
        <v>-2944.7999999999993</v>
      </c>
      <c r="T508">
        <f>Final_Table[[#This Row],[Gross Profit]]*Final_Table[[#This Row],[Tax Rate]]</f>
        <v>-883.43999999999971</v>
      </c>
      <c r="U508" s="5">
        <f>Final_Table[[#This Row],[Gross Profit]]-Final_Table[[#This Row],[Tax]]</f>
        <v>-2061.3599999999997</v>
      </c>
      <c r="V508" s="12">
        <f>Final_Table[[#This Row],[Net Profit]]/Final_Table[[#This Row],[Gross Revenue]]</f>
        <v>-0.10104705882352939</v>
      </c>
    </row>
    <row r="509" spans="1:22">
      <c r="A509" s="18" t="s">
        <v>71</v>
      </c>
      <c r="B509">
        <v>2014</v>
      </c>
      <c r="C509" t="s">
        <v>122</v>
      </c>
      <c r="D509">
        <v>1</v>
      </c>
      <c r="E509" s="18" t="s">
        <v>30</v>
      </c>
      <c r="F509" s="18" t="s">
        <v>108</v>
      </c>
      <c r="G509" s="18" t="s">
        <v>21</v>
      </c>
      <c r="H509" s="18" t="str">
        <f>Assumptions!$B$2</f>
        <v>Worst</v>
      </c>
      <c r="I509" s="18">
        <f>_xlfn.XLOOKUP(Assumptions!$B$2,Assumptions!$F$4:$H$4,Assumptions!$F$5:$H$5)</f>
        <v>1200</v>
      </c>
      <c r="J509" s="18">
        <f>_xlfn.XLOOKUP(Assumptions!$B$2,Assumptions!$F$4:$H$4,Assumptions!$F$6:$H$6)</f>
        <v>17</v>
      </c>
      <c r="K509" s="12">
        <f>_xlfn.XLOOKUP(Assumptions!$B$2,Assumptions!$F$4:$H$4,Assumptions!$F$8:$H$8)</f>
        <v>0.1</v>
      </c>
      <c r="L509" s="12">
        <f>_xlfn.XLOOKUP(Assumptions!$B$2,Assumptions!$F$4:$H$4,Assumptions!$F$9:$H$9)</f>
        <v>0.18</v>
      </c>
      <c r="M509" s="18">
        <f>_xlfn.XLOOKUP(Assumptions!$B$2,Assumptions!$F$4:$H$4,Assumptions!$F$10:$H$10)</f>
        <v>18000</v>
      </c>
      <c r="N509" s="12">
        <f>_xlfn.XLOOKUP(Assumptions!$B$2,Assumptions!$F$4:$H$4,Assumptions!$F$11:$H$11)</f>
        <v>0.3</v>
      </c>
      <c r="O509" s="14">
        <f>Final_Table[[#This Row],[Units Sold]]*Final_Table[[#This Row],[Sale Price]]</f>
        <v>20400</v>
      </c>
      <c r="P509" s="14">
        <f>Final_Table[[#This Row],[Gross Revenue]]*(1-Final_Table[[#This Row],[Discount %]])</f>
        <v>18360</v>
      </c>
      <c r="Q509">
        <f>Final_Table[[#This Row],[Net Revenue]]*Final_Table[[#This Row],[Variable Cost %]]</f>
        <v>3304.7999999999997</v>
      </c>
      <c r="R509">
        <f>Final_Table[[#This Row],[Variable Cost]]+Final_Table[[#This Row],[Fixed Monthly Cost]]</f>
        <v>21304.799999999999</v>
      </c>
      <c r="S509" s="5">
        <f>Final_Table[[#This Row],[Net Revenue]]-Final_Table[[#This Row],[Total Cost (COGS)]]</f>
        <v>-2944.7999999999993</v>
      </c>
      <c r="T509">
        <f>Final_Table[[#This Row],[Gross Profit]]*Final_Table[[#This Row],[Tax Rate]]</f>
        <v>-883.43999999999971</v>
      </c>
      <c r="U509" s="5">
        <f>Final_Table[[#This Row],[Gross Profit]]-Final_Table[[#This Row],[Tax]]</f>
        <v>-2061.3599999999997</v>
      </c>
      <c r="V509" s="12">
        <f>Final_Table[[#This Row],[Net Profit]]/Final_Table[[#This Row],[Gross Revenue]]</f>
        <v>-0.10104705882352939</v>
      </c>
    </row>
    <row r="510" spans="1:22">
      <c r="A510" s="18" t="s">
        <v>71</v>
      </c>
      <c r="B510">
        <v>2014</v>
      </c>
      <c r="C510" t="s">
        <v>122</v>
      </c>
      <c r="D510">
        <v>1</v>
      </c>
      <c r="E510" s="18" t="s">
        <v>30</v>
      </c>
      <c r="F510" s="18" t="s">
        <v>108</v>
      </c>
      <c r="G510" s="18" t="s">
        <v>25</v>
      </c>
      <c r="H510" s="18" t="str">
        <f>Assumptions!$B$2</f>
        <v>Worst</v>
      </c>
      <c r="I510" s="18">
        <f>_xlfn.XLOOKUP(Assumptions!$B$2,Assumptions!$F$4:$H$4,Assumptions!$F$5:$H$5)</f>
        <v>1200</v>
      </c>
      <c r="J510" s="18">
        <f>_xlfn.XLOOKUP(Assumptions!$B$2,Assumptions!$F$4:$H$4,Assumptions!$F$6:$H$6)</f>
        <v>17</v>
      </c>
      <c r="K510" s="12">
        <f>_xlfn.XLOOKUP(Assumptions!$B$2,Assumptions!$F$4:$H$4,Assumptions!$F$8:$H$8)</f>
        <v>0.1</v>
      </c>
      <c r="L510" s="12">
        <f>_xlfn.XLOOKUP(Assumptions!$B$2,Assumptions!$F$4:$H$4,Assumptions!$F$9:$H$9)</f>
        <v>0.18</v>
      </c>
      <c r="M510" s="18">
        <f>_xlfn.XLOOKUP(Assumptions!$B$2,Assumptions!$F$4:$H$4,Assumptions!$F$10:$H$10)</f>
        <v>18000</v>
      </c>
      <c r="N510" s="12">
        <f>_xlfn.XLOOKUP(Assumptions!$B$2,Assumptions!$F$4:$H$4,Assumptions!$F$11:$H$11)</f>
        <v>0.3</v>
      </c>
      <c r="O510" s="14">
        <f>Final_Table[[#This Row],[Units Sold]]*Final_Table[[#This Row],[Sale Price]]</f>
        <v>20400</v>
      </c>
      <c r="P510" s="14">
        <f>Final_Table[[#This Row],[Gross Revenue]]*(1-Final_Table[[#This Row],[Discount %]])</f>
        <v>18360</v>
      </c>
      <c r="Q510">
        <f>Final_Table[[#This Row],[Net Revenue]]*Final_Table[[#This Row],[Variable Cost %]]</f>
        <v>3304.7999999999997</v>
      </c>
      <c r="R510">
        <f>Final_Table[[#This Row],[Variable Cost]]+Final_Table[[#This Row],[Fixed Monthly Cost]]</f>
        <v>21304.799999999999</v>
      </c>
      <c r="S510" s="5">
        <f>Final_Table[[#This Row],[Net Revenue]]-Final_Table[[#This Row],[Total Cost (COGS)]]</f>
        <v>-2944.7999999999993</v>
      </c>
      <c r="T510">
        <f>Final_Table[[#This Row],[Gross Profit]]*Final_Table[[#This Row],[Tax Rate]]</f>
        <v>-883.43999999999971</v>
      </c>
      <c r="U510" s="5">
        <f>Final_Table[[#This Row],[Gross Profit]]-Final_Table[[#This Row],[Tax]]</f>
        <v>-2061.3599999999997</v>
      </c>
      <c r="V510" s="12">
        <f>Final_Table[[#This Row],[Net Profit]]/Final_Table[[#This Row],[Gross Revenue]]</f>
        <v>-0.10104705882352939</v>
      </c>
    </row>
    <row r="511" spans="1:22">
      <c r="A511" s="18" t="s">
        <v>71</v>
      </c>
      <c r="B511">
        <v>2014</v>
      </c>
      <c r="C511" t="s">
        <v>122</v>
      </c>
      <c r="D511">
        <v>1</v>
      </c>
      <c r="E511" s="18" t="s">
        <v>30</v>
      </c>
      <c r="F511" s="18" t="s">
        <v>108</v>
      </c>
      <c r="G511" s="18" t="s">
        <v>17</v>
      </c>
      <c r="H511" s="18" t="str">
        <f>Assumptions!$B$2</f>
        <v>Worst</v>
      </c>
      <c r="I511" s="18">
        <f>_xlfn.XLOOKUP(Assumptions!$B$2,Assumptions!$F$4:$H$4,Assumptions!$F$5:$H$5)</f>
        <v>1200</v>
      </c>
      <c r="J511" s="18">
        <f>_xlfn.XLOOKUP(Assumptions!$B$2,Assumptions!$F$4:$H$4,Assumptions!$F$6:$H$6)</f>
        <v>17</v>
      </c>
      <c r="K511" s="12">
        <f>_xlfn.XLOOKUP(Assumptions!$B$2,Assumptions!$F$4:$H$4,Assumptions!$F$8:$H$8)</f>
        <v>0.1</v>
      </c>
      <c r="L511" s="12">
        <f>_xlfn.XLOOKUP(Assumptions!$B$2,Assumptions!$F$4:$H$4,Assumptions!$F$9:$H$9)</f>
        <v>0.18</v>
      </c>
      <c r="M511" s="18">
        <f>_xlfn.XLOOKUP(Assumptions!$B$2,Assumptions!$F$4:$H$4,Assumptions!$F$10:$H$10)</f>
        <v>18000</v>
      </c>
      <c r="N511" s="12">
        <f>_xlfn.XLOOKUP(Assumptions!$B$2,Assumptions!$F$4:$H$4,Assumptions!$F$11:$H$11)</f>
        <v>0.3</v>
      </c>
      <c r="O511" s="14">
        <f>Final_Table[[#This Row],[Units Sold]]*Final_Table[[#This Row],[Sale Price]]</f>
        <v>20400</v>
      </c>
      <c r="P511" s="14">
        <f>Final_Table[[#This Row],[Gross Revenue]]*(1-Final_Table[[#This Row],[Discount %]])</f>
        <v>18360</v>
      </c>
      <c r="Q511">
        <f>Final_Table[[#This Row],[Net Revenue]]*Final_Table[[#This Row],[Variable Cost %]]</f>
        <v>3304.7999999999997</v>
      </c>
      <c r="R511">
        <f>Final_Table[[#This Row],[Variable Cost]]+Final_Table[[#This Row],[Fixed Monthly Cost]]</f>
        <v>21304.799999999999</v>
      </c>
      <c r="S511" s="5">
        <f>Final_Table[[#This Row],[Net Revenue]]-Final_Table[[#This Row],[Total Cost (COGS)]]</f>
        <v>-2944.7999999999993</v>
      </c>
      <c r="T511">
        <f>Final_Table[[#This Row],[Gross Profit]]*Final_Table[[#This Row],[Tax Rate]]</f>
        <v>-883.43999999999971</v>
      </c>
      <c r="U511" s="5">
        <f>Final_Table[[#This Row],[Gross Profit]]-Final_Table[[#This Row],[Tax]]</f>
        <v>-2061.3599999999997</v>
      </c>
      <c r="V511" s="12">
        <f>Final_Table[[#This Row],[Net Profit]]/Final_Table[[#This Row],[Gross Revenue]]</f>
        <v>-0.10104705882352939</v>
      </c>
    </row>
    <row r="512" spans="1:22">
      <c r="A512" s="18" t="s">
        <v>71</v>
      </c>
      <c r="B512">
        <v>2014</v>
      </c>
      <c r="C512" t="s">
        <v>122</v>
      </c>
      <c r="D512">
        <v>1</v>
      </c>
      <c r="E512" s="18" t="s">
        <v>30</v>
      </c>
      <c r="F512" s="18" t="s">
        <v>112</v>
      </c>
      <c r="G512" s="18" t="s">
        <v>36</v>
      </c>
      <c r="H512" s="18" t="str">
        <f>Assumptions!$B$2</f>
        <v>Worst</v>
      </c>
      <c r="I512" s="18">
        <f>_xlfn.XLOOKUP(Assumptions!$B$2,Assumptions!$F$4:$H$4,Assumptions!$F$5:$H$5)</f>
        <v>1200</v>
      </c>
      <c r="J512" s="18">
        <f>_xlfn.XLOOKUP(Assumptions!$B$2,Assumptions!$F$4:$H$4,Assumptions!$F$6:$H$6)</f>
        <v>17</v>
      </c>
      <c r="K512" s="12">
        <f>_xlfn.XLOOKUP(Assumptions!$B$2,Assumptions!$F$4:$H$4,Assumptions!$F$8:$H$8)</f>
        <v>0.1</v>
      </c>
      <c r="L512" s="12">
        <f>_xlfn.XLOOKUP(Assumptions!$B$2,Assumptions!$F$4:$H$4,Assumptions!$F$9:$H$9)</f>
        <v>0.18</v>
      </c>
      <c r="M512" s="18">
        <f>_xlfn.XLOOKUP(Assumptions!$B$2,Assumptions!$F$4:$H$4,Assumptions!$F$10:$H$10)</f>
        <v>18000</v>
      </c>
      <c r="N512" s="12">
        <f>_xlfn.XLOOKUP(Assumptions!$B$2,Assumptions!$F$4:$H$4,Assumptions!$F$11:$H$11)</f>
        <v>0.3</v>
      </c>
      <c r="O512" s="14">
        <f>Final_Table[[#This Row],[Units Sold]]*Final_Table[[#This Row],[Sale Price]]</f>
        <v>20400</v>
      </c>
      <c r="P512" s="14">
        <f>Final_Table[[#This Row],[Gross Revenue]]*(1-Final_Table[[#This Row],[Discount %]])</f>
        <v>18360</v>
      </c>
      <c r="Q512">
        <f>Final_Table[[#This Row],[Net Revenue]]*Final_Table[[#This Row],[Variable Cost %]]</f>
        <v>3304.7999999999997</v>
      </c>
      <c r="R512">
        <f>Final_Table[[#This Row],[Variable Cost]]+Final_Table[[#This Row],[Fixed Monthly Cost]]</f>
        <v>21304.799999999999</v>
      </c>
      <c r="S512" s="5">
        <f>Final_Table[[#This Row],[Net Revenue]]-Final_Table[[#This Row],[Total Cost (COGS)]]</f>
        <v>-2944.7999999999993</v>
      </c>
      <c r="T512">
        <f>Final_Table[[#This Row],[Gross Profit]]*Final_Table[[#This Row],[Tax Rate]]</f>
        <v>-883.43999999999971</v>
      </c>
      <c r="U512" s="5">
        <f>Final_Table[[#This Row],[Gross Profit]]-Final_Table[[#This Row],[Tax]]</f>
        <v>-2061.3599999999997</v>
      </c>
      <c r="V512" s="12">
        <f>Final_Table[[#This Row],[Net Profit]]/Final_Table[[#This Row],[Gross Revenue]]</f>
        <v>-0.10104705882352939</v>
      </c>
    </row>
    <row r="513" spans="1:22">
      <c r="A513" s="18" t="s">
        <v>71</v>
      </c>
      <c r="B513">
        <v>2014</v>
      </c>
      <c r="C513" t="s">
        <v>122</v>
      </c>
      <c r="D513">
        <v>1</v>
      </c>
      <c r="E513" s="18" t="s">
        <v>30</v>
      </c>
      <c r="F513" s="18" t="s">
        <v>112</v>
      </c>
      <c r="G513" s="18" t="s">
        <v>23</v>
      </c>
      <c r="H513" s="18" t="str">
        <f>Assumptions!$B$2</f>
        <v>Worst</v>
      </c>
      <c r="I513" s="18">
        <f>_xlfn.XLOOKUP(Assumptions!$B$2,Assumptions!$F$4:$H$4,Assumptions!$F$5:$H$5)</f>
        <v>1200</v>
      </c>
      <c r="J513" s="18">
        <f>_xlfn.XLOOKUP(Assumptions!$B$2,Assumptions!$F$4:$H$4,Assumptions!$F$6:$H$6)</f>
        <v>17</v>
      </c>
      <c r="K513" s="12">
        <f>_xlfn.XLOOKUP(Assumptions!$B$2,Assumptions!$F$4:$H$4,Assumptions!$F$8:$H$8)</f>
        <v>0.1</v>
      </c>
      <c r="L513" s="12">
        <f>_xlfn.XLOOKUP(Assumptions!$B$2,Assumptions!$F$4:$H$4,Assumptions!$F$9:$H$9)</f>
        <v>0.18</v>
      </c>
      <c r="M513" s="18">
        <f>_xlfn.XLOOKUP(Assumptions!$B$2,Assumptions!$F$4:$H$4,Assumptions!$F$10:$H$10)</f>
        <v>18000</v>
      </c>
      <c r="N513" s="12">
        <f>_xlfn.XLOOKUP(Assumptions!$B$2,Assumptions!$F$4:$H$4,Assumptions!$F$11:$H$11)</f>
        <v>0.3</v>
      </c>
      <c r="O513" s="14">
        <f>Final_Table[[#This Row],[Units Sold]]*Final_Table[[#This Row],[Sale Price]]</f>
        <v>20400</v>
      </c>
      <c r="P513" s="14">
        <f>Final_Table[[#This Row],[Gross Revenue]]*(1-Final_Table[[#This Row],[Discount %]])</f>
        <v>18360</v>
      </c>
      <c r="Q513">
        <f>Final_Table[[#This Row],[Net Revenue]]*Final_Table[[#This Row],[Variable Cost %]]</f>
        <v>3304.7999999999997</v>
      </c>
      <c r="R513">
        <f>Final_Table[[#This Row],[Variable Cost]]+Final_Table[[#This Row],[Fixed Monthly Cost]]</f>
        <v>21304.799999999999</v>
      </c>
      <c r="S513" s="5">
        <f>Final_Table[[#This Row],[Net Revenue]]-Final_Table[[#This Row],[Total Cost (COGS)]]</f>
        <v>-2944.7999999999993</v>
      </c>
      <c r="T513">
        <f>Final_Table[[#This Row],[Gross Profit]]*Final_Table[[#This Row],[Tax Rate]]</f>
        <v>-883.43999999999971</v>
      </c>
      <c r="U513" s="5">
        <f>Final_Table[[#This Row],[Gross Profit]]-Final_Table[[#This Row],[Tax]]</f>
        <v>-2061.3599999999997</v>
      </c>
      <c r="V513" s="12">
        <f>Final_Table[[#This Row],[Net Profit]]/Final_Table[[#This Row],[Gross Revenue]]</f>
        <v>-0.10104705882352939</v>
      </c>
    </row>
    <row r="514" spans="1:22">
      <c r="A514" s="18" t="s">
        <v>71</v>
      </c>
      <c r="B514">
        <v>2014</v>
      </c>
      <c r="C514" t="s">
        <v>122</v>
      </c>
      <c r="D514">
        <v>1</v>
      </c>
      <c r="E514" s="18" t="s">
        <v>30</v>
      </c>
      <c r="F514" s="18" t="s">
        <v>112</v>
      </c>
      <c r="G514" s="18" t="s">
        <v>21</v>
      </c>
      <c r="H514" s="18" t="str">
        <f>Assumptions!$B$2</f>
        <v>Worst</v>
      </c>
      <c r="I514" s="18">
        <f>_xlfn.XLOOKUP(Assumptions!$B$2,Assumptions!$F$4:$H$4,Assumptions!$F$5:$H$5)</f>
        <v>1200</v>
      </c>
      <c r="J514" s="18">
        <f>_xlfn.XLOOKUP(Assumptions!$B$2,Assumptions!$F$4:$H$4,Assumptions!$F$6:$H$6)</f>
        <v>17</v>
      </c>
      <c r="K514" s="12">
        <f>_xlfn.XLOOKUP(Assumptions!$B$2,Assumptions!$F$4:$H$4,Assumptions!$F$8:$H$8)</f>
        <v>0.1</v>
      </c>
      <c r="L514" s="12">
        <f>_xlfn.XLOOKUP(Assumptions!$B$2,Assumptions!$F$4:$H$4,Assumptions!$F$9:$H$9)</f>
        <v>0.18</v>
      </c>
      <c r="M514" s="18">
        <f>_xlfn.XLOOKUP(Assumptions!$B$2,Assumptions!$F$4:$H$4,Assumptions!$F$10:$H$10)</f>
        <v>18000</v>
      </c>
      <c r="N514" s="12">
        <f>_xlfn.XLOOKUP(Assumptions!$B$2,Assumptions!$F$4:$H$4,Assumptions!$F$11:$H$11)</f>
        <v>0.3</v>
      </c>
      <c r="O514" s="14">
        <f>Final_Table[[#This Row],[Units Sold]]*Final_Table[[#This Row],[Sale Price]]</f>
        <v>20400</v>
      </c>
      <c r="P514" s="14">
        <f>Final_Table[[#This Row],[Gross Revenue]]*(1-Final_Table[[#This Row],[Discount %]])</f>
        <v>18360</v>
      </c>
      <c r="Q514">
        <f>Final_Table[[#This Row],[Net Revenue]]*Final_Table[[#This Row],[Variable Cost %]]</f>
        <v>3304.7999999999997</v>
      </c>
      <c r="R514">
        <f>Final_Table[[#This Row],[Variable Cost]]+Final_Table[[#This Row],[Fixed Monthly Cost]]</f>
        <v>21304.799999999999</v>
      </c>
      <c r="S514" s="5">
        <f>Final_Table[[#This Row],[Net Revenue]]-Final_Table[[#This Row],[Total Cost (COGS)]]</f>
        <v>-2944.7999999999993</v>
      </c>
      <c r="T514">
        <f>Final_Table[[#This Row],[Gross Profit]]*Final_Table[[#This Row],[Tax Rate]]</f>
        <v>-883.43999999999971</v>
      </c>
      <c r="U514" s="5">
        <f>Final_Table[[#This Row],[Gross Profit]]-Final_Table[[#This Row],[Tax]]</f>
        <v>-2061.3599999999997</v>
      </c>
      <c r="V514" s="12">
        <f>Final_Table[[#This Row],[Net Profit]]/Final_Table[[#This Row],[Gross Revenue]]</f>
        <v>-0.10104705882352939</v>
      </c>
    </row>
    <row r="515" spans="1:22">
      <c r="A515" s="18" t="s">
        <v>71</v>
      </c>
      <c r="B515">
        <v>2014</v>
      </c>
      <c r="C515" t="s">
        <v>122</v>
      </c>
      <c r="D515">
        <v>1</v>
      </c>
      <c r="E515" s="18" t="s">
        <v>30</v>
      </c>
      <c r="F515" s="18" t="s">
        <v>112</v>
      </c>
      <c r="G515" s="18" t="s">
        <v>25</v>
      </c>
      <c r="H515" s="18" t="str">
        <f>Assumptions!$B$2</f>
        <v>Worst</v>
      </c>
      <c r="I515" s="18">
        <f>_xlfn.XLOOKUP(Assumptions!$B$2,Assumptions!$F$4:$H$4,Assumptions!$F$5:$H$5)</f>
        <v>1200</v>
      </c>
      <c r="J515" s="18">
        <f>_xlfn.XLOOKUP(Assumptions!$B$2,Assumptions!$F$4:$H$4,Assumptions!$F$6:$H$6)</f>
        <v>17</v>
      </c>
      <c r="K515" s="12">
        <f>_xlfn.XLOOKUP(Assumptions!$B$2,Assumptions!$F$4:$H$4,Assumptions!$F$8:$H$8)</f>
        <v>0.1</v>
      </c>
      <c r="L515" s="12">
        <f>_xlfn.XLOOKUP(Assumptions!$B$2,Assumptions!$F$4:$H$4,Assumptions!$F$9:$H$9)</f>
        <v>0.18</v>
      </c>
      <c r="M515" s="18">
        <f>_xlfn.XLOOKUP(Assumptions!$B$2,Assumptions!$F$4:$H$4,Assumptions!$F$10:$H$10)</f>
        <v>18000</v>
      </c>
      <c r="N515" s="12">
        <f>_xlfn.XLOOKUP(Assumptions!$B$2,Assumptions!$F$4:$H$4,Assumptions!$F$11:$H$11)</f>
        <v>0.3</v>
      </c>
      <c r="O515" s="14">
        <f>Final_Table[[#This Row],[Units Sold]]*Final_Table[[#This Row],[Sale Price]]</f>
        <v>20400</v>
      </c>
      <c r="P515" s="14">
        <f>Final_Table[[#This Row],[Gross Revenue]]*(1-Final_Table[[#This Row],[Discount %]])</f>
        <v>18360</v>
      </c>
      <c r="Q515">
        <f>Final_Table[[#This Row],[Net Revenue]]*Final_Table[[#This Row],[Variable Cost %]]</f>
        <v>3304.7999999999997</v>
      </c>
      <c r="R515">
        <f>Final_Table[[#This Row],[Variable Cost]]+Final_Table[[#This Row],[Fixed Monthly Cost]]</f>
        <v>21304.799999999999</v>
      </c>
      <c r="S515" s="5">
        <f>Final_Table[[#This Row],[Net Revenue]]-Final_Table[[#This Row],[Total Cost (COGS)]]</f>
        <v>-2944.7999999999993</v>
      </c>
      <c r="T515">
        <f>Final_Table[[#This Row],[Gross Profit]]*Final_Table[[#This Row],[Tax Rate]]</f>
        <v>-883.43999999999971</v>
      </c>
      <c r="U515" s="5">
        <f>Final_Table[[#This Row],[Gross Profit]]-Final_Table[[#This Row],[Tax]]</f>
        <v>-2061.3599999999997</v>
      </c>
      <c r="V515" s="12">
        <f>Final_Table[[#This Row],[Net Profit]]/Final_Table[[#This Row],[Gross Revenue]]</f>
        <v>-0.10104705882352939</v>
      </c>
    </row>
    <row r="516" spans="1:22">
      <c r="A516" s="18" t="s">
        <v>71</v>
      </c>
      <c r="B516">
        <v>2014</v>
      </c>
      <c r="C516" t="s">
        <v>122</v>
      </c>
      <c r="D516">
        <v>1</v>
      </c>
      <c r="E516" s="18" t="s">
        <v>30</v>
      </c>
      <c r="F516" s="18" t="s">
        <v>112</v>
      </c>
      <c r="G516" s="18" t="s">
        <v>17</v>
      </c>
      <c r="H516" s="18" t="str">
        <f>Assumptions!$B$2</f>
        <v>Worst</v>
      </c>
      <c r="I516" s="18">
        <f>_xlfn.XLOOKUP(Assumptions!$B$2,Assumptions!$F$4:$H$4,Assumptions!$F$5:$H$5)</f>
        <v>1200</v>
      </c>
      <c r="J516" s="18">
        <f>_xlfn.XLOOKUP(Assumptions!$B$2,Assumptions!$F$4:$H$4,Assumptions!$F$6:$H$6)</f>
        <v>17</v>
      </c>
      <c r="K516" s="12">
        <f>_xlfn.XLOOKUP(Assumptions!$B$2,Assumptions!$F$4:$H$4,Assumptions!$F$8:$H$8)</f>
        <v>0.1</v>
      </c>
      <c r="L516" s="12">
        <f>_xlfn.XLOOKUP(Assumptions!$B$2,Assumptions!$F$4:$H$4,Assumptions!$F$9:$H$9)</f>
        <v>0.18</v>
      </c>
      <c r="M516" s="18">
        <f>_xlfn.XLOOKUP(Assumptions!$B$2,Assumptions!$F$4:$H$4,Assumptions!$F$10:$H$10)</f>
        <v>18000</v>
      </c>
      <c r="N516" s="12">
        <f>_xlfn.XLOOKUP(Assumptions!$B$2,Assumptions!$F$4:$H$4,Assumptions!$F$11:$H$11)</f>
        <v>0.3</v>
      </c>
      <c r="O516" s="14">
        <f>Final_Table[[#This Row],[Units Sold]]*Final_Table[[#This Row],[Sale Price]]</f>
        <v>20400</v>
      </c>
      <c r="P516" s="14">
        <f>Final_Table[[#This Row],[Gross Revenue]]*(1-Final_Table[[#This Row],[Discount %]])</f>
        <v>18360</v>
      </c>
      <c r="Q516">
        <f>Final_Table[[#This Row],[Net Revenue]]*Final_Table[[#This Row],[Variable Cost %]]</f>
        <v>3304.7999999999997</v>
      </c>
      <c r="R516">
        <f>Final_Table[[#This Row],[Variable Cost]]+Final_Table[[#This Row],[Fixed Monthly Cost]]</f>
        <v>21304.799999999999</v>
      </c>
      <c r="S516" s="5">
        <f>Final_Table[[#This Row],[Net Revenue]]-Final_Table[[#This Row],[Total Cost (COGS)]]</f>
        <v>-2944.7999999999993</v>
      </c>
      <c r="T516">
        <f>Final_Table[[#This Row],[Gross Profit]]*Final_Table[[#This Row],[Tax Rate]]</f>
        <v>-883.43999999999971</v>
      </c>
      <c r="U516" s="5">
        <f>Final_Table[[#This Row],[Gross Profit]]-Final_Table[[#This Row],[Tax]]</f>
        <v>-2061.3599999999997</v>
      </c>
      <c r="V516" s="12">
        <f>Final_Table[[#This Row],[Net Profit]]/Final_Table[[#This Row],[Gross Revenue]]</f>
        <v>-0.10104705882352939</v>
      </c>
    </row>
    <row r="517" spans="1:22">
      <c r="A517" s="18" t="s">
        <v>71</v>
      </c>
      <c r="B517">
        <v>2014</v>
      </c>
      <c r="C517" t="s">
        <v>122</v>
      </c>
      <c r="D517">
        <v>1</v>
      </c>
      <c r="E517" s="18" t="s">
        <v>30</v>
      </c>
      <c r="F517" s="18" t="s">
        <v>113</v>
      </c>
      <c r="G517" s="18" t="s">
        <v>36</v>
      </c>
      <c r="H517" s="18" t="str">
        <f>Assumptions!$B$2</f>
        <v>Worst</v>
      </c>
      <c r="I517" s="18">
        <f>_xlfn.XLOOKUP(Assumptions!$B$2,Assumptions!$F$4:$H$4,Assumptions!$F$5:$H$5)</f>
        <v>1200</v>
      </c>
      <c r="J517" s="18">
        <f>_xlfn.XLOOKUP(Assumptions!$B$2,Assumptions!$F$4:$H$4,Assumptions!$F$6:$H$6)</f>
        <v>17</v>
      </c>
      <c r="K517" s="12">
        <f>_xlfn.XLOOKUP(Assumptions!$B$2,Assumptions!$F$4:$H$4,Assumptions!$F$8:$H$8)</f>
        <v>0.1</v>
      </c>
      <c r="L517" s="12">
        <f>_xlfn.XLOOKUP(Assumptions!$B$2,Assumptions!$F$4:$H$4,Assumptions!$F$9:$H$9)</f>
        <v>0.18</v>
      </c>
      <c r="M517" s="18">
        <f>_xlfn.XLOOKUP(Assumptions!$B$2,Assumptions!$F$4:$H$4,Assumptions!$F$10:$H$10)</f>
        <v>18000</v>
      </c>
      <c r="N517" s="12">
        <f>_xlfn.XLOOKUP(Assumptions!$B$2,Assumptions!$F$4:$H$4,Assumptions!$F$11:$H$11)</f>
        <v>0.3</v>
      </c>
      <c r="O517" s="14">
        <f>Final_Table[[#This Row],[Units Sold]]*Final_Table[[#This Row],[Sale Price]]</f>
        <v>20400</v>
      </c>
      <c r="P517" s="14">
        <f>Final_Table[[#This Row],[Gross Revenue]]*(1-Final_Table[[#This Row],[Discount %]])</f>
        <v>18360</v>
      </c>
      <c r="Q517">
        <f>Final_Table[[#This Row],[Net Revenue]]*Final_Table[[#This Row],[Variable Cost %]]</f>
        <v>3304.7999999999997</v>
      </c>
      <c r="R517">
        <f>Final_Table[[#This Row],[Variable Cost]]+Final_Table[[#This Row],[Fixed Monthly Cost]]</f>
        <v>21304.799999999999</v>
      </c>
      <c r="S517" s="5">
        <f>Final_Table[[#This Row],[Net Revenue]]-Final_Table[[#This Row],[Total Cost (COGS)]]</f>
        <v>-2944.7999999999993</v>
      </c>
      <c r="T517">
        <f>Final_Table[[#This Row],[Gross Profit]]*Final_Table[[#This Row],[Tax Rate]]</f>
        <v>-883.43999999999971</v>
      </c>
      <c r="U517" s="5">
        <f>Final_Table[[#This Row],[Gross Profit]]-Final_Table[[#This Row],[Tax]]</f>
        <v>-2061.3599999999997</v>
      </c>
      <c r="V517" s="12">
        <f>Final_Table[[#This Row],[Net Profit]]/Final_Table[[#This Row],[Gross Revenue]]</f>
        <v>-0.10104705882352939</v>
      </c>
    </row>
    <row r="518" spans="1:22">
      <c r="A518" s="18" t="s">
        <v>71</v>
      </c>
      <c r="B518">
        <v>2014</v>
      </c>
      <c r="C518" t="s">
        <v>122</v>
      </c>
      <c r="D518">
        <v>1</v>
      </c>
      <c r="E518" s="18" t="s">
        <v>30</v>
      </c>
      <c r="F518" s="18" t="s">
        <v>113</v>
      </c>
      <c r="G518" s="18" t="s">
        <v>23</v>
      </c>
      <c r="H518" s="18" t="str">
        <f>Assumptions!$B$2</f>
        <v>Worst</v>
      </c>
      <c r="I518" s="18">
        <f>_xlfn.XLOOKUP(Assumptions!$B$2,Assumptions!$F$4:$H$4,Assumptions!$F$5:$H$5)</f>
        <v>1200</v>
      </c>
      <c r="J518" s="18">
        <f>_xlfn.XLOOKUP(Assumptions!$B$2,Assumptions!$F$4:$H$4,Assumptions!$F$6:$H$6)</f>
        <v>17</v>
      </c>
      <c r="K518" s="12">
        <f>_xlfn.XLOOKUP(Assumptions!$B$2,Assumptions!$F$4:$H$4,Assumptions!$F$8:$H$8)</f>
        <v>0.1</v>
      </c>
      <c r="L518" s="12">
        <f>_xlfn.XLOOKUP(Assumptions!$B$2,Assumptions!$F$4:$H$4,Assumptions!$F$9:$H$9)</f>
        <v>0.18</v>
      </c>
      <c r="M518" s="18">
        <f>_xlfn.XLOOKUP(Assumptions!$B$2,Assumptions!$F$4:$H$4,Assumptions!$F$10:$H$10)</f>
        <v>18000</v>
      </c>
      <c r="N518" s="12">
        <f>_xlfn.XLOOKUP(Assumptions!$B$2,Assumptions!$F$4:$H$4,Assumptions!$F$11:$H$11)</f>
        <v>0.3</v>
      </c>
      <c r="O518" s="14">
        <f>Final_Table[[#This Row],[Units Sold]]*Final_Table[[#This Row],[Sale Price]]</f>
        <v>20400</v>
      </c>
      <c r="P518" s="14">
        <f>Final_Table[[#This Row],[Gross Revenue]]*(1-Final_Table[[#This Row],[Discount %]])</f>
        <v>18360</v>
      </c>
      <c r="Q518">
        <f>Final_Table[[#This Row],[Net Revenue]]*Final_Table[[#This Row],[Variable Cost %]]</f>
        <v>3304.7999999999997</v>
      </c>
      <c r="R518">
        <f>Final_Table[[#This Row],[Variable Cost]]+Final_Table[[#This Row],[Fixed Monthly Cost]]</f>
        <v>21304.799999999999</v>
      </c>
      <c r="S518" s="5">
        <f>Final_Table[[#This Row],[Net Revenue]]-Final_Table[[#This Row],[Total Cost (COGS)]]</f>
        <v>-2944.7999999999993</v>
      </c>
      <c r="T518">
        <f>Final_Table[[#This Row],[Gross Profit]]*Final_Table[[#This Row],[Tax Rate]]</f>
        <v>-883.43999999999971</v>
      </c>
      <c r="U518" s="5">
        <f>Final_Table[[#This Row],[Gross Profit]]-Final_Table[[#This Row],[Tax]]</f>
        <v>-2061.3599999999997</v>
      </c>
      <c r="V518" s="12">
        <f>Final_Table[[#This Row],[Net Profit]]/Final_Table[[#This Row],[Gross Revenue]]</f>
        <v>-0.10104705882352939</v>
      </c>
    </row>
    <row r="519" spans="1:22">
      <c r="A519" s="18" t="s">
        <v>71</v>
      </c>
      <c r="B519">
        <v>2014</v>
      </c>
      <c r="C519" t="s">
        <v>122</v>
      </c>
      <c r="D519">
        <v>1</v>
      </c>
      <c r="E519" s="18" t="s">
        <v>30</v>
      </c>
      <c r="F519" s="18" t="s">
        <v>113</v>
      </c>
      <c r="G519" s="18" t="s">
        <v>21</v>
      </c>
      <c r="H519" s="18" t="str">
        <f>Assumptions!$B$2</f>
        <v>Worst</v>
      </c>
      <c r="I519" s="18">
        <f>_xlfn.XLOOKUP(Assumptions!$B$2,Assumptions!$F$4:$H$4,Assumptions!$F$5:$H$5)</f>
        <v>1200</v>
      </c>
      <c r="J519" s="18">
        <f>_xlfn.XLOOKUP(Assumptions!$B$2,Assumptions!$F$4:$H$4,Assumptions!$F$6:$H$6)</f>
        <v>17</v>
      </c>
      <c r="K519" s="12">
        <f>_xlfn.XLOOKUP(Assumptions!$B$2,Assumptions!$F$4:$H$4,Assumptions!$F$8:$H$8)</f>
        <v>0.1</v>
      </c>
      <c r="L519" s="12">
        <f>_xlfn.XLOOKUP(Assumptions!$B$2,Assumptions!$F$4:$H$4,Assumptions!$F$9:$H$9)</f>
        <v>0.18</v>
      </c>
      <c r="M519" s="18">
        <f>_xlfn.XLOOKUP(Assumptions!$B$2,Assumptions!$F$4:$H$4,Assumptions!$F$10:$H$10)</f>
        <v>18000</v>
      </c>
      <c r="N519" s="12">
        <f>_xlfn.XLOOKUP(Assumptions!$B$2,Assumptions!$F$4:$H$4,Assumptions!$F$11:$H$11)</f>
        <v>0.3</v>
      </c>
      <c r="O519" s="14">
        <f>Final_Table[[#This Row],[Units Sold]]*Final_Table[[#This Row],[Sale Price]]</f>
        <v>20400</v>
      </c>
      <c r="P519" s="14">
        <f>Final_Table[[#This Row],[Gross Revenue]]*(1-Final_Table[[#This Row],[Discount %]])</f>
        <v>18360</v>
      </c>
      <c r="Q519">
        <f>Final_Table[[#This Row],[Net Revenue]]*Final_Table[[#This Row],[Variable Cost %]]</f>
        <v>3304.7999999999997</v>
      </c>
      <c r="R519">
        <f>Final_Table[[#This Row],[Variable Cost]]+Final_Table[[#This Row],[Fixed Monthly Cost]]</f>
        <v>21304.799999999999</v>
      </c>
      <c r="S519" s="5">
        <f>Final_Table[[#This Row],[Net Revenue]]-Final_Table[[#This Row],[Total Cost (COGS)]]</f>
        <v>-2944.7999999999993</v>
      </c>
      <c r="T519">
        <f>Final_Table[[#This Row],[Gross Profit]]*Final_Table[[#This Row],[Tax Rate]]</f>
        <v>-883.43999999999971</v>
      </c>
      <c r="U519" s="5">
        <f>Final_Table[[#This Row],[Gross Profit]]-Final_Table[[#This Row],[Tax]]</f>
        <v>-2061.3599999999997</v>
      </c>
      <c r="V519" s="12">
        <f>Final_Table[[#This Row],[Net Profit]]/Final_Table[[#This Row],[Gross Revenue]]</f>
        <v>-0.10104705882352939</v>
      </c>
    </row>
    <row r="520" spans="1:22">
      <c r="A520" s="18" t="s">
        <v>71</v>
      </c>
      <c r="B520">
        <v>2014</v>
      </c>
      <c r="C520" t="s">
        <v>122</v>
      </c>
      <c r="D520">
        <v>1</v>
      </c>
      <c r="E520" s="18" t="s">
        <v>30</v>
      </c>
      <c r="F520" s="18" t="s">
        <v>113</v>
      </c>
      <c r="G520" s="18" t="s">
        <v>25</v>
      </c>
      <c r="H520" s="18" t="str">
        <f>Assumptions!$B$2</f>
        <v>Worst</v>
      </c>
      <c r="I520" s="18">
        <f>_xlfn.XLOOKUP(Assumptions!$B$2,Assumptions!$F$4:$H$4,Assumptions!$F$5:$H$5)</f>
        <v>1200</v>
      </c>
      <c r="J520" s="18">
        <f>_xlfn.XLOOKUP(Assumptions!$B$2,Assumptions!$F$4:$H$4,Assumptions!$F$6:$H$6)</f>
        <v>17</v>
      </c>
      <c r="K520" s="12">
        <f>_xlfn.XLOOKUP(Assumptions!$B$2,Assumptions!$F$4:$H$4,Assumptions!$F$8:$H$8)</f>
        <v>0.1</v>
      </c>
      <c r="L520" s="12">
        <f>_xlfn.XLOOKUP(Assumptions!$B$2,Assumptions!$F$4:$H$4,Assumptions!$F$9:$H$9)</f>
        <v>0.18</v>
      </c>
      <c r="M520" s="18">
        <f>_xlfn.XLOOKUP(Assumptions!$B$2,Assumptions!$F$4:$H$4,Assumptions!$F$10:$H$10)</f>
        <v>18000</v>
      </c>
      <c r="N520" s="12">
        <f>_xlfn.XLOOKUP(Assumptions!$B$2,Assumptions!$F$4:$H$4,Assumptions!$F$11:$H$11)</f>
        <v>0.3</v>
      </c>
      <c r="O520" s="14">
        <f>Final_Table[[#This Row],[Units Sold]]*Final_Table[[#This Row],[Sale Price]]</f>
        <v>20400</v>
      </c>
      <c r="P520" s="14">
        <f>Final_Table[[#This Row],[Gross Revenue]]*(1-Final_Table[[#This Row],[Discount %]])</f>
        <v>18360</v>
      </c>
      <c r="Q520">
        <f>Final_Table[[#This Row],[Net Revenue]]*Final_Table[[#This Row],[Variable Cost %]]</f>
        <v>3304.7999999999997</v>
      </c>
      <c r="R520">
        <f>Final_Table[[#This Row],[Variable Cost]]+Final_Table[[#This Row],[Fixed Monthly Cost]]</f>
        <v>21304.799999999999</v>
      </c>
      <c r="S520" s="5">
        <f>Final_Table[[#This Row],[Net Revenue]]-Final_Table[[#This Row],[Total Cost (COGS)]]</f>
        <v>-2944.7999999999993</v>
      </c>
      <c r="T520">
        <f>Final_Table[[#This Row],[Gross Profit]]*Final_Table[[#This Row],[Tax Rate]]</f>
        <v>-883.43999999999971</v>
      </c>
      <c r="U520" s="5">
        <f>Final_Table[[#This Row],[Gross Profit]]-Final_Table[[#This Row],[Tax]]</f>
        <v>-2061.3599999999997</v>
      </c>
      <c r="V520" s="12">
        <f>Final_Table[[#This Row],[Net Profit]]/Final_Table[[#This Row],[Gross Revenue]]</f>
        <v>-0.10104705882352939</v>
      </c>
    </row>
    <row r="521" spans="1:22">
      <c r="A521" s="18" t="s">
        <v>71</v>
      </c>
      <c r="B521">
        <v>2014</v>
      </c>
      <c r="C521" t="s">
        <v>122</v>
      </c>
      <c r="D521">
        <v>1</v>
      </c>
      <c r="E521" s="18" t="s">
        <v>30</v>
      </c>
      <c r="F521" s="18" t="s">
        <v>113</v>
      </c>
      <c r="G521" s="18" t="s">
        <v>17</v>
      </c>
      <c r="H521" s="18" t="str">
        <f>Assumptions!$B$2</f>
        <v>Worst</v>
      </c>
      <c r="I521" s="18">
        <f>_xlfn.XLOOKUP(Assumptions!$B$2,Assumptions!$F$4:$H$4,Assumptions!$F$5:$H$5)</f>
        <v>1200</v>
      </c>
      <c r="J521" s="18">
        <f>_xlfn.XLOOKUP(Assumptions!$B$2,Assumptions!$F$4:$H$4,Assumptions!$F$6:$H$6)</f>
        <v>17</v>
      </c>
      <c r="K521" s="12">
        <f>_xlfn.XLOOKUP(Assumptions!$B$2,Assumptions!$F$4:$H$4,Assumptions!$F$8:$H$8)</f>
        <v>0.1</v>
      </c>
      <c r="L521" s="12">
        <f>_xlfn.XLOOKUP(Assumptions!$B$2,Assumptions!$F$4:$H$4,Assumptions!$F$9:$H$9)</f>
        <v>0.18</v>
      </c>
      <c r="M521" s="18">
        <f>_xlfn.XLOOKUP(Assumptions!$B$2,Assumptions!$F$4:$H$4,Assumptions!$F$10:$H$10)</f>
        <v>18000</v>
      </c>
      <c r="N521" s="12">
        <f>_xlfn.XLOOKUP(Assumptions!$B$2,Assumptions!$F$4:$H$4,Assumptions!$F$11:$H$11)</f>
        <v>0.3</v>
      </c>
      <c r="O521" s="14">
        <f>Final_Table[[#This Row],[Units Sold]]*Final_Table[[#This Row],[Sale Price]]</f>
        <v>20400</v>
      </c>
      <c r="P521" s="14">
        <f>Final_Table[[#This Row],[Gross Revenue]]*(1-Final_Table[[#This Row],[Discount %]])</f>
        <v>18360</v>
      </c>
      <c r="Q521">
        <f>Final_Table[[#This Row],[Net Revenue]]*Final_Table[[#This Row],[Variable Cost %]]</f>
        <v>3304.7999999999997</v>
      </c>
      <c r="R521">
        <f>Final_Table[[#This Row],[Variable Cost]]+Final_Table[[#This Row],[Fixed Monthly Cost]]</f>
        <v>21304.799999999999</v>
      </c>
      <c r="S521" s="5">
        <f>Final_Table[[#This Row],[Net Revenue]]-Final_Table[[#This Row],[Total Cost (COGS)]]</f>
        <v>-2944.7999999999993</v>
      </c>
      <c r="T521">
        <f>Final_Table[[#This Row],[Gross Profit]]*Final_Table[[#This Row],[Tax Rate]]</f>
        <v>-883.43999999999971</v>
      </c>
      <c r="U521" s="5">
        <f>Final_Table[[#This Row],[Gross Profit]]-Final_Table[[#This Row],[Tax]]</f>
        <v>-2061.3599999999997</v>
      </c>
      <c r="V521" s="12">
        <f>Final_Table[[#This Row],[Net Profit]]/Final_Table[[#This Row],[Gross Revenue]]</f>
        <v>-0.10104705882352939</v>
      </c>
    </row>
    <row r="522" spans="1:22">
      <c r="A522" s="18" t="s">
        <v>71</v>
      </c>
      <c r="B522">
        <v>2014</v>
      </c>
      <c r="C522" t="s">
        <v>122</v>
      </c>
      <c r="D522">
        <v>1</v>
      </c>
      <c r="E522" s="18" t="s">
        <v>30</v>
      </c>
      <c r="F522" s="18" t="s">
        <v>114</v>
      </c>
      <c r="G522" s="18" t="s">
        <v>36</v>
      </c>
      <c r="H522" s="18" t="str">
        <f>Assumptions!$B$2</f>
        <v>Worst</v>
      </c>
      <c r="I522" s="18">
        <f>_xlfn.XLOOKUP(Assumptions!$B$2,Assumptions!$F$4:$H$4,Assumptions!$F$5:$H$5)</f>
        <v>1200</v>
      </c>
      <c r="J522" s="18">
        <f>_xlfn.XLOOKUP(Assumptions!$B$2,Assumptions!$F$4:$H$4,Assumptions!$F$6:$H$6)</f>
        <v>17</v>
      </c>
      <c r="K522" s="12">
        <f>_xlfn.XLOOKUP(Assumptions!$B$2,Assumptions!$F$4:$H$4,Assumptions!$F$8:$H$8)</f>
        <v>0.1</v>
      </c>
      <c r="L522" s="12">
        <f>_xlfn.XLOOKUP(Assumptions!$B$2,Assumptions!$F$4:$H$4,Assumptions!$F$9:$H$9)</f>
        <v>0.18</v>
      </c>
      <c r="M522" s="18">
        <f>_xlfn.XLOOKUP(Assumptions!$B$2,Assumptions!$F$4:$H$4,Assumptions!$F$10:$H$10)</f>
        <v>18000</v>
      </c>
      <c r="N522" s="12">
        <f>_xlfn.XLOOKUP(Assumptions!$B$2,Assumptions!$F$4:$H$4,Assumptions!$F$11:$H$11)</f>
        <v>0.3</v>
      </c>
      <c r="O522" s="14">
        <f>Final_Table[[#This Row],[Units Sold]]*Final_Table[[#This Row],[Sale Price]]</f>
        <v>20400</v>
      </c>
      <c r="P522" s="14">
        <f>Final_Table[[#This Row],[Gross Revenue]]*(1-Final_Table[[#This Row],[Discount %]])</f>
        <v>18360</v>
      </c>
      <c r="Q522">
        <f>Final_Table[[#This Row],[Net Revenue]]*Final_Table[[#This Row],[Variable Cost %]]</f>
        <v>3304.7999999999997</v>
      </c>
      <c r="R522">
        <f>Final_Table[[#This Row],[Variable Cost]]+Final_Table[[#This Row],[Fixed Monthly Cost]]</f>
        <v>21304.799999999999</v>
      </c>
      <c r="S522" s="5">
        <f>Final_Table[[#This Row],[Net Revenue]]-Final_Table[[#This Row],[Total Cost (COGS)]]</f>
        <v>-2944.7999999999993</v>
      </c>
      <c r="T522">
        <f>Final_Table[[#This Row],[Gross Profit]]*Final_Table[[#This Row],[Tax Rate]]</f>
        <v>-883.43999999999971</v>
      </c>
      <c r="U522" s="5">
        <f>Final_Table[[#This Row],[Gross Profit]]-Final_Table[[#This Row],[Tax]]</f>
        <v>-2061.3599999999997</v>
      </c>
      <c r="V522" s="12">
        <f>Final_Table[[#This Row],[Net Profit]]/Final_Table[[#This Row],[Gross Revenue]]</f>
        <v>-0.10104705882352939</v>
      </c>
    </row>
    <row r="523" spans="1:22">
      <c r="A523" s="18" t="s">
        <v>71</v>
      </c>
      <c r="B523">
        <v>2014</v>
      </c>
      <c r="C523" t="s">
        <v>122</v>
      </c>
      <c r="D523">
        <v>1</v>
      </c>
      <c r="E523" s="18" t="s">
        <v>30</v>
      </c>
      <c r="F523" s="18" t="s">
        <v>114</v>
      </c>
      <c r="G523" s="18" t="s">
        <v>23</v>
      </c>
      <c r="H523" s="18" t="str">
        <f>Assumptions!$B$2</f>
        <v>Worst</v>
      </c>
      <c r="I523" s="18">
        <f>_xlfn.XLOOKUP(Assumptions!$B$2,Assumptions!$F$4:$H$4,Assumptions!$F$5:$H$5)</f>
        <v>1200</v>
      </c>
      <c r="J523" s="18">
        <f>_xlfn.XLOOKUP(Assumptions!$B$2,Assumptions!$F$4:$H$4,Assumptions!$F$6:$H$6)</f>
        <v>17</v>
      </c>
      <c r="K523" s="12">
        <f>_xlfn.XLOOKUP(Assumptions!$B$2,Assumptions!$F$4:$H$4,Assumptions!$F$8:$H$8)</f>
        <v>0.1</v>
      </c>
      <c r="L523" s="12">
        <f>_xlfn.XLOOKUP(Assumptions!$B$2,Assumptions!$F$4:$H$4,Assumptions!$F$9:$H$9)</f>
        <v>0.18</v>
      </c>
      <c r="M523" s="18">
        <f>_xlfn.XLOOKUP(Assumptions!$B$2,Assumptions!$F$4:$H$4,Assumptions!$F$10:$H$10)</f>
        <v>18000</v>
      </c>
      <c r="N523" s="12">
        <f>_xlfn.XLOOKUP(Assumptions!$B$2,Assumptions!$F$4:$H$4,Assumptions!$F$11:$H$11)</f>
        <v>0.3</v>
      </c>
      <c r="O523" s="14">
        <f>Final_Table[[#This Row],[Units Sold]]*Final_Table[[#This Row],[Sale Price]]</f>
        <v>20400</v>
      </c>
      <c r="P523" s="14">
        <f>Final_Table[[#This Row],[Gross Revenue]]*(1-Final_Table[[#This Row],[Discount %]])</f>
        <v>18360</v>
      </c>
      <c r="Q523">
        <f>Final_Table[[#This Row],[Net Revenue]]*Final_Table[[#This Row],[Variable Cost %]]</f>
        <v>3304.7999999999997</v>
      </c>
      <c r="R523">
        <f>Final_Table[[#This Row],[Variable Cost]]+Final_Table[[#This Row],[Fixed Monthly Cost]]</f>
        <v>21304.799999999999</v>
      </c>
      <c r="S523" s="5">
        <f>Final_Table[[#This Row],[Net Revenue]]-Final_Table[[#This Row],[Total Cost (COGS)]]</f>
        <v>-2944.7999999999993</v>
      </c>
      <c r="T523">
        <f>Final_Table[[#This Row],[Gross Profit]]*Final_Table[[#This Row],[Tax Rate]]</f>
        <v>-883.43999999999971</v>
      </c>
      <c r="U523" s="5">
        <f>Final_Table[[#This Row],[Gross Profit]]-Final_Table[[#This Row],[Tax]]</f>
        <v>-2061.3599999999997</v>
      </c>
      <c r="V523" s="12">
        <f>Final_Table[[#This Row],[Net Profit]]/Final_Table[[#This Row],[Gross Revenue]]</f>
        <v>-0.10104705882352939</v>
      </c>
    </row>
    <row r="524" spans="1:22">
      <c r="A524" s="18" t="s">
        <v>71</v>
      </c>
      <c r="B524">
        <v>2014</v>
      </c>
      <c r="C524" t="s">
        <v>122</v>
      </c>
      <c r="D524">
        <v>1</v>
      </c>
      <c r="E524" s="18" t="s">
        <v>30</v>
      </c>
      <c r="F524" s="18" t="s">
        <v>114</v>
      </c>
      <c r="G524" s="18" t="s">
        <v>21</v>
      </c>
      <c r="H524" s="18" t="str">
        <f>Assumptions!$B$2</f>
        <v>Worst</v>
      </c>
      <c r="I524" s="18">
        <f>_xlfn.XLOOKUP(Assumptions!$B$2,Assumptions!$F$4:$H$4,Assumptions!$F$5:$H$5)</f>
        <v>1200</v>
      </c>
      <c r="J524" s="18">
        <f>_xlfn.XLOOKUP(Assumptions!$B$2,Assumptions!$F$4:$H$4,Assumptions!$F$6:$H$6)</f>
        <v>17</v>
      </c>
      <c r="K524" s="12">
        <f>_xlfn.XLOOKUP(Assumptions!$B$2,Assumptions!$F$4:$H$4,Assumptions!$F$8:$H$8)</f>
        <v>0.1</v>
      </c>
      <c r="L524" s="12">
        <f>_xlfn.XLOOKUP(Assumptions!$B$2,Assumptions!$F$4:$H$4,Assumptions!$F$9:$H$9)</f>
        <v>0.18</v>
      </c>
      <c r="M524" s="18">
        <f>_xlfn.XLOOKUP(Assumptions!$B$2,Assumptions!$F$4:$H$4,Assumptions!$F$10:$H$10)</f>
        <v>18000</v>
      </c>
      <c r="N524" s="12">
        <f>_xlfn.XLOOKUP(Assumptions!$B$2,Assumptions!$F$4:$H$4,Assumptions!$F$11:$H$11)</f>
        <v>0.3</v>
      </c>
      <c r="O524" s="14">
        <f>Final_Table[[#This Row],[Units Sold]]*Final_Table[[#This Row],[Sale Price]]</f>
        <v>20400</v>
      </c>
      <c r="P524" s="14">
        <f>Final_Table[[#This Row],[Gross Revenue]]*(1-Final_Table[[#This Row],[Discount %]])</f>
        <v>18360</v>
      </c>
      <c r="Q524">
        <f>Final_Table[[#This Row],[Net Revenue]]*Final_Table[[#This Row],[Variable Cost %]]</f>
        <v>3304.7999999999997</v>
      </c>
      <c r="R524">
        <f>Final_Table[[#This Row],[Variable Cost]]+Final_Table[[#This Row],[Fixed Monthly Cost]]</f>
        <v>21304.799999999999</v>
      </c>
      <c r="S524" s="5">
        <f>Final_Table[[#This Row],[Net Revenue]]-Final_Table[[#This Row],[Total Cost (COGS)]]</f>
        <v>-2944.7999999999993</v>
      </c>
      <c r="T524">
        <f>Final_Table[[#This Row],[Gross Profit]]*Final_Table[[#This Row],[Tax Rate]]</f>
        <v>-883.43999999999971</v>
      </c>
      <c r="U524" s="5">
        <f>Final_Table[[#This Row],[Gross Profit]]-Final_Table[[#This Row],[Tax]]</f>
        <v>-2061.3599999999997</v>
      </c>
      <c r="V524" s="12">
        <f>Final_Table[[#This Row],[Net Profit]]/Final_Table[[#This Row],[Gross Revenue]]</f>
        <v>-0.10104705882352939</v>
      </c>
    </row>
    <row r="525" spans="1:22">
      <c r="A525" s="18" t="s">
        <v>71</v>
      </c>
      <c r="B525">
        <v>2014</v>
      </c>
      <c r="C525" t="s">
        <v>122</v>
      </c>
      <c r="D525">
        <v>1</v>
      </c>
      <c r="E525" s="18" t="s">
        <v>30</v>
      </c>
      <c r="F525" s="18" t="s">
        <v>114</v>
      </c>
      <c r="G525" s="18" t="s">
        <v>25</v>
      </c>
      <c r="H525" s="18" t="str">
        <f>Assumptions!$B$2</f>
        <v>Worst</v>
      </c>
      <c r="I525" s="18">
        <f>_xlfn.XLOOKUP(Assumptions!$B$2,Assumptions!$F$4:$H$4,Assumptions!$F$5:$H$5)</f>
        <v>1200</v>
      </c>
      <c r="J525" s="18">
        <f>_xlfn.XLOOKUP(Assumptions!$B$2,Assumptions!$F$4:$H$4,Assumptions!$F$6:$H$6)</f>
        <v>17</v>
      </c>
      <c r="K525" s="12">
        <f>_xlfn.XLOOKUP(Assumptions!$B$2,Assumptions!$F$4:$H$4,Assumptions!$F$8:$H$8)</f>
        <v>0.1</v>
      </c>
      <c r="L525" s="12">
        <f>_xlfn.XLOOKUP(Assumptions!$B$2,Assumptions!$F$4:$H$4,Assumptions!$F$9:$H$9)</f>
        <v>0.18</v>
      </c>
      <c r="M525" s="18">
        <f>_xlfn.XLOOKUP(Assumptions!$B$2,Assumptions!$F$4:$H$4,Assumptions!$F$10:$H$10)</f>
        <v>18000</v>
      </c>
      <c r="N525" s="12">
        <f>_xlfn.XLOOKUP(Assumptions!$B$2,Assumptions!$F$4:$H$4,Assumptions!$F$11:$H$11)</f>
        <v>0.3</v>
      </c>
      <c r="O525" s="14">
        <f>Final_Table[[#This Row],[Units Sold]]*Final_Table[[#This Row],[Sale Price]]</f>
        <v>20400</v>
      </c>
      <c r="P525" s="14">
        <f>Final_Table[[#This Row],[Gross Revenue]]*(1-Final_Table[[#This Row],[Discount %]])</f>
        <v>18360</v>
      </c>
      <c r="Q525">
        <f>Final_Table[[#This Row],[Net Revenue]]*Final_Table[[#This Row],[Variable Cost %]]</f>
        <v>3304.7999999999997</v>
      </c>
      <c r="R525">
        <f>Final_Table[[#This Row],[Variable Cost]]+Final_Table[[#This Row],[Fixed Monthly Cost]]</f>
        <v>21304.799999999999</v>
      </c>
      <c r="S525" s="5">
        <f>Final_Table[[#This Row],[Net Revenue]]-Final_Table[[#This Row],[Total Cost (COGS)]]</f>
        <v>-2944.7999999999993</v>
      </c>
      <c r="T525">
        <f>Final_Table[[#This Row],[Gross Profit]]*Final_Table[[#This Row],[Tax Rate]]</f>
        <v>-883.43999999999971</v>
      </c>
      <c r="U525" s="5">
        <f>Final_Table[[#This Row],[Gross Profit]]-Final_Table[[#This Row],[Tax]]</f>
        <v>-2061.3599999999997</v>
      </c>
      <c r="V525" s="12">
        <f>Final_Table[[#This Row],[Net Profit]]/Final_Table[[#This Row],[Gross Revenue]]</f>
        <v>-0.10104705882352939</v>
      </c>
    </row>
    <row r="526" spans="1:22">
      <c r="A526" s="18" t="s">
        <v>71</v>
      </c>
      <c r="B526">
        <v>2014</v>
      </c>
      <c r="C526" t="s">
        <v>122</v>
      </c>
      <c r="D526">
        <v>1</v>
      </c>
      <c r="E526" s="18" t="s">
        <v>30</v>
      </c>
      <c r="F526" s="18" t="s">
        <v>114</v>
      </c>
      <c r="G526" s="18" t="s">
        <v>17</v>
      </c>
      <c r="H526" s="18" t="str">
        <f>Assumptions!$B$2</f>
        <v>Worst</v>
      </c>
      <c r="I526" s="18">
        <f>_xlfn.XLOOKUP(Assumptions!$B$2,Assumptions!$F$4:$H$4,Assumptions!$F$5:$H$5)</f>
        <v>1200</v>
      </c>
      <c r="J526" s="18">
        <f>_xlfn.XLOOKUP(Assumptions!$B$2,Assumptions!$F$4:$H$4,Assumptions!$F$6:$H$6)</f>
        <v>17</v>
      </c>
      <c r="K526" s="12">
        <f>_xlfn.XLOOKUP(Assumptions!$B$2,Assumptions!$F$4:$H$4,Assumptions!$F$8:$H$8)</f>
        <v>0.1</v>
      </c>
      <c r="L526" s="12">
        <f>_xlfn.XLOOKUP(Assumptions!$B$2,Assumptions!$F$4:$H$4,Assumptions!$F$9:$H$9)</f>
        <v>0.18</v>
      </c>
      <c r="M526" s="18">
        <f>_xlfn.XLOOKUP(Assumptions!$B$2,Assumptions!$F$4:$H$4,Assumptions!$F$10:$H$10)</f>
        <v>18000</v>
      </c>
      <c r="N526" s="12">
        <f>_xlfn.XLOOKUP(Assumptions!$B$2,Assumptions!$F$4:$H$4,Assumptions!$F$11:$H$11)</f>
        <v>0.3</v>
      </c>
      <c r="O526" s="14">
        <f>Final_Table[[#This Row],[Units Sold]]*Final_Table[[#This Row],[Sale Price]]</f>
        <v>20400</v>
      </c>
      <c r="P526" s="14">
        <f>Final_Table[[#This Row],[Gross Revenue]]*(1-Final_Table[[#This Row],[Discount %]])</f>
        <v>18360</v>
      </c>
      <c r="Q526">
        <f>Final_Table[[#This Row],[Net Revenue]]*Final_Table[[#This Row],[Variable Cost %]]</f>
        <v>3304.7999999999997</v>
      </c>
      <c r="R526">
        <f>Final_Table[[#This Row],[Variable Cost]]+Final_Table[[#This Row],[Fixed Monthly Cost]]</f>
        <v>21304.799999999999</v>
      </c>
      <c r="S526" s="5">
        <f>Final_Table[[#This Row],[Net Revenue]]-Final_Table[[#This Row],[Total Cost (COGS)]]</f>
        <v>-2944.7999999999993</v>
      </c>
      <c r="T526">
        <f>Final_Table[[#This Row],[Gross Profit]]*Final_Table[[#This Row],[Tax Rate]]</f>
        <v>-883.43999999999971</v>
      </c>
      <c r="U526" s="5">
        <f>Final_Table[[#This Row],[Gross Profit]]-Final_Table[[#This Row],[Tax]]</f>
        <v>-2061.3599999999997</v>
      </c>
      <c r="V526" s="12">
        <f>Final_Table[[#This Row],[Net Profit]]/Final_Table[[#This Row],[Gross Revenue]]</f>
        <v>-0.10104705882352939</v>
      </c>
    </row>
    <row r="527" spans="1:22">
      <c r="A527" s="18" t="s">
        <v>71</v>
      </c>
      <c r="B527">
        <v>2014</v>
      </c>
      <c r="C527" t="s">
        <v>122</v>
      </c>
      <c r="D527">
        <v>1</v>
      </c>
      <c r="E527" s="18" t="s">
        <v>29</v>
      </c>
      <c r="F527" s="18" t="s">
        <v>80</v>
      </c>
      <c r="G527" s="18" t="s">
        <v>36</v>
      </c>
      <c r="H527" s="18" t="str">
        <f>Assumptions!$B$2</f>
        <v>Worst</v>
      </c>
      <c r="I527" s="18">
        <f>_xlfn.XLOOKUP(Assumptions!$B$2,Assumptions!$F$4:$H$4,Assumptions!$F$5:$H$5)</f>
        <v>1200</v>
      </c>
      <c r="J527" s="18">
        <f>_xlfn.XLOOKUP(Assumptions!$B$2,Assumptions!$F$4:$H$4,Assumptions!$F$6:$H$6)</f>
        <v>17</v>
      </c>
      <c r="K527" s="12">
        <f>_xlfn.XLOOKUP(Assumptions!$B$2,Assumptions!$F$4:$H$4,Assumptions!$F$8:$H$8)</f>
        <v>0.1</v>
      </c>
      <c r="L527" s="12">
        <f>_xlfn.XLOOKUP(Assumptions!$B$2,Assumptions!$F$4:$H$4,Assumptions!$F$9:$H$9)</f>
        <v>0.18</v>
      </c>
      <c r="M527" s="18">
        <f>_xlfn.XLOOKUP(Assumptions!$B$2,Assumptions!$F$4:$H$4,Assumptions!$F$10:$H$10)</f>
        <v>18000</v>
      </c>
      <c r="N527" s="12">
        <f>_xlfn.XLOOKUP(Assumptions!$B$2,Assumptions!$F$4:$H$4,Assumptions!$F$11:$H$11)</f>
        <v>0.3</v>
      </c>
      <c r="O527" s="14">
        <f>Final_Table[[#This Row],[Units Sold]]*Final_Table[[#This Row],[Sale Price]]</f>
        <v>20400</v>
      </c>
      <c r="P527" s="14">
        <f>Final_Table[[#This Row],[Gross Revenue]]*(1-Final_Table[[#This Row],[Discount %]])</f>
        <v>18360</v>
      </c>
      <c r="Q527">
        <f>Final_Table[[#This Row],[Net Revenue]]*Final_Table[[#This Row],[Variable Cost %]]</f>
        <v>3304.7999999999997</v>
      </c>
      <c r="R527">
        <f>Final_Table[[#This Row],[Variable Cost]]+Final_Table[[#This Row],[Fixed Monthly Cost]]</f>
        <v>21304.799999999999</v>
      </c>
      <c r="S527" s="5">
        <f>Final_Table[[#This Row],[Net Revenue]]-Final_Table[[#This Row],[Total Cost (COGS)]]</f>
        <v>-2944.7999999999993</v>
      </c>
      <c r="T527">
        <f>Final_Table[[#This Row],[Gross Profit]]*Final_Table[[#This Row],[Tax Rate]]</f>
        <v>-883.43999999999971</v>
      </c>
      <c r="U527" s="5">
        <f>Final_Table[[#This Row],[Gross Profit]]-Final_Table[[#This Row],[Tax]]</f>
        <v>-2061.3599999999997</v>
      </c>
      <c r="V527" s="12">
        <f>Final_Table[[#This Row],[Net Profit]]/Final_Table[[#This Row],[Gross Revenue]]</f>
        <v>-0.10104705882352939</v>
      </c>
    </row>
    <row r="528" spans="1:22">
      <c r="A528" s="18" t="s">
        <v>71</v>
      </c>
      <c r="B528">
        <v>2014</v>
      </c>
      <c r="C528" t="s">
        <v>122</v>
      </c>
      <c r="D528">
        <v>1</v>
      </c>
      <c r="E528" s="18" t="s">
        <v>29</v>
      </c>
      <c r="F528" s="18" t="s">
        <v>80</v>
      </c>
      <c r="G528" s="18" t="s">
        <v>23</v>
      </c>
      <c r="H528" s="18" t="str">
        <f>Assumptions!$B$2</f>
        <v>Worst</v>
      </c>
      <c r="I528" s="18">
        <f>_xlfn.XLOOKUP(Assumptions!$B$2,Assumptions!$F$4:$H$4,Assumptions!$F$5:$H$5)</f>
        <v>1200</v>
      </c>
      <c r="J528" s="18">
        <f>_xlfn.XLOOKUP(Assumptions!$B$2,Assumptions!$F$4:$H$4,Assumptions!$F$6:$H$6)</f>
        <v>17</v>
      </c>
      <c r="K528" s="12">
        <f>_xlfn.XLOOKUP(Assumptions!$B$2,Assumptions!$F$4:$H$4,Assumptions!$F$8:$H$8)</f>
        <v>0.1</v>
      </c>
      <c r="L528" s="12">
        <f>_xlfn.XLOOKUP(Assumptions!$B$2,Assumptions!$F$4:$H$4,Assumptions!$F$9:$H$9)</f>
        <v>0.18</v>
      </c>
      <c r="M528" s="18">
        <f>_xlfn.XLOOKUP(Assumptions!$B$2,Assumptions!$F$4:$H$4,Assumptions!$F$10:$H$10)</f>
        <v>18000</v>
      </c>
      <c r="N528" s="12">
        <f>_xlfn.XLOOKUP(Assumptions!$B$2,Assumptions!$F$4:$H$4,Assumptions!$F$11:$H$11)</f>
        <v>0.3</v>
      </c>
      <c r="O528" s="14">
        <f>Final_Table[[#This Row],[Units Sold]]*Final_Table[[#This Row],[Sale Price]]</f>
        <v>20400</v>
      </c>
      <c r="P528" s="14">
        <f>Final_Table[[#This Row],[Gross Revenue]]*(1-Final_Table[[#This Row],[Discount %]])</f>
        <v>18360</v>
      </c>
      <c r="Q528">
        <f>Final_Table[[#This Row],[Net Revenue]]*Final_Table[[#This Row],[Variable Cost %]]</f>
        <v>3304.7999999999997</v>
      </c>
      <c r="R528">
        <f>Final_Table[[#This Row],[Variable Cost]]+Final_Table[[#This Row],[Fixed Monthly Cost]]</f>
        <v>21304.799999999999</v>
      </c>
      <c r="S528" s="5">
        <f>Final_Table[[#This Row],[Net Revenue]]-Final_Table[[#This Row],[Total Cost (COGS)]]</f>
        <v>-2944.7999999999993</v>
      </c>
      <c r="T528">
        <f>Final_Table[[#This Row],[Gross Profit]]*Final_Table[[#This Row],[Tax Rate]]</f>
        <v>-883.43999999999971</v>
      </c>
      <c r="U528" s="5">
        <f>Final_Table[[#This Row],[Gross Profit]]-Final_Table[[#This Row],[Tax]]</f>
        <v>-2061.3599999999997</v>
      </c>
      <c r="V528" s="12">
        <f>Final_Table[[#This Row],[Net Profit]]/Final_Table[[#This Row],[Gross Revenue]]</f>
        <v>-0.10104705882352939</v>
      </c>
    </row>
    <row r="529" spans="1:22">
      <c r="A529" s="18" t="s">
        <v>71</v>
      </c>
      <c r="B529">
        <v>2014</v>
      </c>
      <c r="C529" t="s">
        <v>122</v>
      </c>
      <c r="D529">
        <v>1</v>
      </c>
      <c r="E529" s="18" t="s">
        <v>29</v>
      </c>
      <c r="F529" s="18" t="s">
        <v>80</v>
      </c>
      <c r="G529" s="18" t="s">
        <v>21</v>
      </c>
      <c r="H529" s="18" t="str">
        <f>Assumptions!$B$2</f>
        <v>Worst</v>
      </c>
      <c r="I529" s="18">
        <f>_xlfn.XLOOKUP(Assumptions!$B$2,Assumptions!$F$4:$H$4,Assumptions!$F$5:$H$5)</f>
        <v>1200</v>
      </c>
      <c r="J529" s="18">
        <f>_xlfn.XLOOKUP(Assumptions!$B$2,Assumptions!$F$4:$H$4,Assumptions!$F$6:$H$6)</f>
        <v>17</v>
      </c>
      <c r="K529" s="12">
        <f>_xlfn.XLOOKUP(Assumptions!$B$2,Assumptions!$F$4:$H$4,Assumptions!$F$8:$H$8)</f>
        <v>0.1</v>
      </c>
      <c r="L529" s="12">
        <f>_xlfn.XLOOKUP(Assumptions!$B$2,Assumptions!$F$4:$H$4,Assumptions!$F$9:$H$9)</f>
        <v>0.18</v>
      </c>
      <c r="M529" s="18">
        <f>_xlfn.XLOOKUP(Assumptions!$B$2,Assumptions!$F$4:$H$4,Assumptions!$F$10:$H$10)</f>
        <v>18000</v>
      </c>
      <c r="N529" s="12">
        <f>_xlfn.XLOOKUP(Assumptions!$B$2,Assumptions!$F$4:$H$4,Assumptions!$F$11:$H$11)</f>
        <v>0.3</v>
      </c>
      <c r="O529" s="14">
        <f>Final_Table[[#This Row],[Units Sold]]*Final_Table[[#This Row],[Sale Price]]</f>
        <v>20400</v>
      </c>
      <c r="P529" s="14">
        <f>Final_Table[[#This Row],[Gross Revenue]]*(1-Final_Table[[#This Row],[Discount %]])</f>
        <v>18360</v>
      </c>
      <c r="Q529">
        <f>Final_Table[[#This Row],[Net Revenue]]*Final_Table[[#This Row],[Variable Cost %]]</f>
        <v>3304.7999999999997</v>
      </c>
      <c r="R529">
        <f>Final_Table[[#This Row],[Variable Cost]]+Final_Table[[#This Row],[Fixed Monthly Cost]]</f>
        <v>21304.799999999999</v>
      </c>
      <c r="S529" s="5">
        <f>Final_Table[[#This Row],[Net Revenue]]-Final_Table[[#This Row],[Total Cost (COGS)]]</f>
        <v>-2944.7999999999993</v>
      </c>
      <c r="T529">
        <f>Final_Table[[#This Row],[Gross Profit]]*Final_Table[[#This Row],[Tax Rate]]</f>
        <v>-883.43999999999971</v>
      </c>
      <c r="U529" s="5">
        <f>Final_Table[[#This Row],[Gross Profit]]-Final_Table[[#This Row],[Tax]]</f>
        <v>-2061.3599999999997</v>
      </c>
      <c r="V529" s="12">
        <f>Final_Table[[#This Row],[Net Profit]]/Final_Table[[#This Row],[Gross Revenue]]</f>
        <v>-0.10104705882352939</v>
      </c>
    </row>
    <row r="530" spans="1:22">
      <c r="A530" s="18" t="s">
        <v>71</v>
      </c>
      <c r="B530">
        <v>2014</v>
      </c>
      <c r="C530" t="s">
        <v>122</v>
      </c>
      <c r="D530">
        <v>1</v>
      </c>
      <c r="E530" s="18" t="s">
        <v>29</v>
      </c>
      <c r="F530" s="18" t="s">
        <v>80</v>
      </c>
      <c r="G530" s="18" t="s">
        <v>25</v>
      </c>
      <c r="H530" s="18" t="str">
        <f>Assumptions!$B$2</f>
        <v>Worst</v>
      </c>
      <c r="I530" s="18">
        <f>_xlfn.XLOOKUP(Assumptions!$B$2,Assumptions!$F$4:$H$4,Assumptions!$F$5:$H$5)</f>
        <v>1200</v>
      </c>
      <c r="J530" s="18">
        <f>_xlfn.XLOOKUP(Assumptions!$B$2,Assumptions!$F$4:$H$4,Assumptions!$F$6:$H$6)</f>
        <v>17</v>
      </c>
      <c r="K530" s="12">
        <f>_xlfn.XLOOKUP(Assumptions!$B$2,Assumptions!$F$4:$H$4,Assumptions!$F$8:$H$8)</f>
        <v>0.1</v>
      </c>
      <c r="L530" s="12">
        <f>_xlfn.XLOOKUP(Assumptions!$B$2,Assumptions!$F$4:$H$4,Assumptions!$F$9:$H$9)</f>
        <v>0.18</v>
      </c>
      <c r="M530" s="18">
        <f>_xlfn.XLOOKUP(Assumptions!$B$2,Assumptions!$F$4:$H$4,Assumptions!$F$10:$H$10)</f>
        <v>18000</v>
      </c>
      <c r="N530" s="12">
        <f>_xlfn.XLOOKUP(Assumptions!$B$2,Assumptions!$F$4:$H$4,Assumptions!$F$11:$H$11)</f>
        <v>0.3</v>
      </c>
      <c r="O530" s="14">
        <f>Final_Table[[#This Row],[Units Sold]]*Final_Table[[#This Row],[Sale Price]]</f>
        <v>20400</v>
      </c>
      <c r="P530" s="14">
        <f>Final_Table[[#This Row],[Gross Revenue]]*(1-Final_Table[[#This Row],[Discount %]])</f>
        <v>18360</v>
      </c>
      <c r="Q530">
        <f>Final_Table[[#This Row],[Net Revenue]]*Final_Table[[#This Row],[Variable Cost %]]</f>
        <v>3304.7999999999997</v>
      </c>
      <c r="R530">
        <f>Final_Table[[#This Row],[Variable Cost]]+Final_Table[[#This Row],[Fixed Monthly Cost]]</f>
        <v>21304.799999999999</v>
      </c>
      <c r="S530" s="5">
        <f>Final_Table[[#This Row],[Net Revenue]]-Final_Table[[#This Row],[Total Cost (COGS)]]</f>
        <v>-2944.7999999999993</v>
      </c>
      <c r="T530">
        <f>Final_Table[[#This Row],[Gross Profit]]*Final_Table[[#This Row],[Tax Rate]]</f>
        <v>-883.43999999999971</v>
      </c>
      <c r="U530" s="5">
        <f>Final_Table[[#This Row],[Gross Profit]]-Final_Table[[#This Row],[Tax]]</f>
        <v>-2061.3599999999997</v>
      </c>
      <c r="V530" s="12">
        <f>Final_Table[[#This Row],[Net Profit]]/Final_Table[[#This Row],[Gross Revenue]]</f>
        <v>-0.10104705882352939</v>
      </c>
    </row>
    <row r="531" spans="1:22">
      <c r="A531" s="18" t="s">
        <v>71</v>
      </c>
      <c r="B531">
        <v>2014</v>
      </c>
      <c r="C531" t="s">
        <v>122</v>
      </c>
      <c r="D531">
        <v>1</v>
      </c>
      <c r="E531" s="18" t="s">
        <v>29</v>
      </c>
      <c r="F531" s="18" t="s">
        <v>80</v>
      </c>
      <c r="G531" s="18" t="s">
        <v>17</v>
      </c>
      <c r="H531" s="18" t="str">
        <f>Assumptions!$B$2</f>
        <v>Worst</v>
      </c>
      <c r="I531" s="18">
        <f>_xlfn.XLOOKUP(Assumptions!$B$2,Assumptions!$F$4:$H$4,Assumptions!$F$5:$H$5)</f>
        <v>1200</v>
      </c>
      <c r="J531" s="18">
        <f>_xlfn.XLOOKUP(Assumptions!$B$2,Assumptions!$F$4:$H$4,Assumptions!$F$6:$H$6)</f>
        <v>17</v>
      </c>
      <c r="K531" s="12">
        <f>_xlfn.XLOOKUP(Assumptions!$B$2,Assumptions!$F$4:$H$4,Assumptions!$F$8:$H$8)</f>
        <v>0.1</v>
      </c>
      <c r="L531" s="12">
        <f>_xlfn.XLOOKUP(Assumptions!$B$2,Assumptions!$F$4:$H$4,Assumptions!$F$9:$H$9)</f>
        <v>0.18</v>
      </c>
      <c r="M531" s="18">
        <f>_xlfn.XLOOKUP(Assumptions!$B$2,Assumptions!$F$4:$H$4,Assumptions!$F$10:$H$10)</f>
        <v>18000</v>
      </c>
      <c r="N531" s="12">
        <f>_xlfn.XLOOKUP(Assumptions!$B$2,Assumptions!$F$4:$H$4,Assumptions!$F$11:$H$11)</f>
        <v>0.3</v>
      </c>
      <c r="O531" s="14">
        <f>Final_Table[[#This Row],[Units Sold]]*Final_Table[[#This Row],[Sale Price]]</f>
        <v>20400</v>
      </c>
      <c r="P531" s="14">
        <f>Final_Table[[#This Row],[Gross Revenue]]*(1-Final_Table[[#This Row],[Discount %]])</f>
        <v>18360</v>
      </c>
      <c r="Q531">
        <f>Final_Table[[#This Row],[Net Revenue]]*Final_Table[[#This Row],[Variable Cost %]]</f>
        <v>3304.7999999999997</v>
      </c>
      <c r="R531">
        <f>Final_Table[[#This Row],[Variable Cost]]+Final_Table[[#This Row],[Fixed Monthly Cost]]</f>
        <v>21304.799999999999</v>
      </c>
      <c r="S531" s="5">
        <f>Final_Table[[#This Row],[Net Revenue]]-Final_Table[[#This Row],[Total Cost (COGS)]]</f>
        <v>-2944.7999999999993</v>
      </c>
      <c r="T531">
        <f>Final_Table[[#This Row],[Gross Profit]]*Final_Table[[#This Row],[Tax Rate]]</f>
        <v>-883.43999999999971</v>
      </c>
      <c r="U531" s="5">
        <f>Final_Table[[#This Row],[Gross Profit]]-Final_Table[[#This Row],[Tax]]</f>
        <v>-2061.3599999999997</v>
      </c>
      <c r="V531" s="12">
        <f>Final_Table[[#This Row],[Net Profit]]/Final_Table[[#This Row],[Gross Revenue]]</f>
        <v>-0.10104705882352939</v>
      </c>
    </row>
    <row r="532" spans="1:22">
      <c r="A532" s="18" t="s">
        <v>71</v>
      </c>
      <c r="B532">
        <v>2014</v>
      </c>
      <c r="C532" t="s">
        <v>122</v>
      </c>
      <c r="D532">
        <v>1</v>
      </c>
      <c r="E532" s="18" t="s">
        <v>29</v>
      </c>
      <c r="F532" s="18" t="s">
        <v>108</v>
      </c>
      <c r="G532" s="18" t="s">
        <v>36</v>
      </c>
      <c r="H532" s="18" t="str">
        <f>Assumptions!$B$2</f>
        <v>Worst</v>
      </c>
      <c r="I532" s="18">
        <f>_xlfn.XLOOKUP(Assumptions!$B$2,Assumptions!$F$4:$H$4,Assumptions!$F$5:$H$5)</f>
        <v>1200</v>
      </c>
      <c r="J532" s="18">
        <f>_xlfn.XLOOKUP(Assumptions!$B$2,Assumptions!$F$4:$H$4,Assumptions!$F$6:$H$6)</f>
        <v>17</v>
      </c>
      <c r="K532" s="12">
        <f>_xlfn.XLOOKUP(Assumptions!$B$2,Assumptions!$F$4:$H$4,Assumptions!$F$8:$H$8)</f>
        <v>0.1</v>
      </c>
      <c r="L532" s="12">
        <f>_xlfn.XLOOKUP(Assumptions!$B$2,Assumptions!$F$4:$H$4,Assumptions!$F$9:$H$9)</f>
        <v>0.18</v>
      </c>
      <c r="M532" s="18">
        <f>_xlfn.XLOOKUP(Assumptions!$B$2,Assumptions!$F$4:$H$4,Assumptions!$F$10:$H$10)</f>
        <v>18000</v>
      </c>
      <c r="N532" s="12">
        <f>_xlfn.XLOOKUP(Assumptions!$B$2,Assumptions!$F$4:$H$4,Assumptions!$F$11:$H$11)</f>
        <v>0.3</v>
      </c>
      <c r="O532" s="14">
        <f>Final_Table[[#This Row],[Units Sold]]*Final_Table[[#This Row],[Sale Price]]</f>
        <v>20400</v>
      </c>
      <c r="P532" s="14">
        <f>Final_Table[[#This Row],[Gross Revenue]]*(1-Final_Table[[#This Row],[Discount %]])</f>
        <v>18360</v>
      </c>
      <c r="Q532">
        <f>Final_Table[[#This Row],[Net Revenue]]*Final_Table[[#This Row],[Variable Cost %]]</f>
        <v>3304.7999999999997</v>
      </c>
      <c r="R532">
        <f>Final_Table[[#This Row],[Variable Cost]]+Final_Table[[#This Row],[Fixed Monthly Cost]]</f>
        <v>21304.799999999999</v>
      </c>
      <c r="S532" s="5">
        <f>Final_Table[[#This Row],[Net Revenue]]-Final_Table[[#This Row],[Total Cost (COGS)]]</f>
        <v>-2944.7999999999993</v>
      </c>
      <c r="T532">
        <f>Final_Table[[#This Row],[Gross Profit]]*Final_Table[[#This Row],[Tax Rate]]</f>
        <v>-883.43999999999971</v>
      </c>
      <c r="U532" s="5">
        <f>Final_Table[[#This Row],[Gross Profit]]-Final_Table[[#This Row],[Tax]]</f>
        <v>-2061.3599999999997</v>
      </c>
      <c r="V532" s="12">
        <f>Final_Table[[#This Row],[Net Profit]]/Final_Table[[#This Row],[Gross Revenue]]</f>
        <v>-0.10104705882352939</v>
      </c>
    </row>
    <row r="533" spans="1:22">
      <c r="A533" s="18" t="s">
        <v>71</v>
      </c>
      <c r="B533">
        <v>2014</v>
      </c>
      <c r="C533" t="s">
        <v>122</v>
      </c>
      <c r="D533">
        <v>1</v>
      </c>
      <c r="E533" s="18" t="s">
        <v>29</v>
      </c>
      <c r="F533" s="18" t="s">
        <v>108</v>
      </c>
      <c r="G533" s="18" t="s">
        <v>23</v>
      </c>
      <c r="H533" s="18" t="str">
        <f>Assumptions!$B$2</f>
        <v>Worst</v>
      </c>
      <c r="I533" s="18">
        <f>_xlfn.XLOOKUP(Assumptions!$B$2,Assumptions!$F$4:$H$4,Assumptions!$F$5:$H$5)</f>
        <v>1200</v>
      </c>
      <c r="J533" s="18">
        <f>_xlfn.XLOOKUP(Assumptions!$B$2,Assumptions!$F$4:$H$4,Assumptions!$F$6:$H$6)</f>
        <v>17</v>
      </c>
      <c r="K533" s="12">
        <f>_xlfn.XLOOKUP(Assumptions!$B$2,Assumptions!$F$4:$H$4,Assumptions!$F$8:$H$8)</f>
        <v>0.1</v>
      </c>
      <c r="L533" s="12">
        <f>_xlfn.XLOOKUP(Assumptions!$B$2,Assumptions!$F$4:$H$4,Assumptions!$F$9:$H$9)</f>
        <v>0.18</v>
      </c>
      <c r="M533" s="18">
        <f>_xlfn.XLOOKUP(Assumptions!$B$2,Assumptions!$F$4:$H$4,Assumptions!$F$10:$H$10)</f>
        <v>18000</v>
      </c>
      <c r="N533" s="12">
        <f>_xlfn.XLOOKUP(Assumptions!$B$2,Assumptions!$F$4:$H$4,Assumptions!$F$11:$H$11)</f>
        <v>0.3</v>
      </c>
      <c r="O533" s="14">
        <f>Final_Table[[#This Row],[Units Sold]]*Final_Table[[#This Row],[Sale Price]]</f>
        <v>20400</v>
      </c>
      <c r="P533" s="14">
        <f>Final_Table[[#This Row],[Gross Revenue]]*(1-Final_Table[[#This Row],[Discount %]])</f>
        <v>18360</v>
      </c>
      <c r="Q533">
        <f>Final_Table[[#This Row],[Net Revenue]]*Final_Table[[#This Row],[Variable Cost %]]</f>
        <v>3304.7999999999997</v>
      </c>
      <c r="R533">
        <f>Final_Table[[#This Row],[Variable Cost]]+Final_Table[[#This Row],[Fixed Monthly Cost]]</f>
        <v>21304.799999999999</v>
      </c>
      <c r="S533" s="5">
        <f>Final_Table[[#This Row],[Net Revenue]]-Final_Table[[#This Row],[Total Cost (COGS)]]</f>
        <v>-2944.7999999999993</v>
      </c>
      <c r="T533">
        <f>Final_Table[[#This Row],[Gross Profit]]*Final_Table[[#This Row],[Tax Rate]]</f>
        <v>-883.43999999999971</v>
      </c>
      <c r="U533" s="5">
        <f>Final_Table[[#This Row],[Gross Profit]]-Final_Table[[#This Row],[Tax]]</f>
        <v>-2061.3599999999997</v>
      </c>
      <c r="V533" s="12">
        <f>Final_Table[[#This Row],[Net Profit]]/Final_Table[[#This Row],[Gross Revenue]]</f>
        <v>-0.10104705882352939</v>
      </c>
    </row>
    <row r="534" spans="1:22">
      <c r="A534" s="18" t="s">
        <v>71</v>
      </c>
      <c r="B534">
        <v>2014</v>
      </c>
      <c r="C534" t="s">
        <v>122</v>
      </c>
      <c r="D534">
        <v>1</v>
      </c>
      <c r="E534" s="18" t="s">
        <v>29</v>
      </c>
      <c r="F534" s="18" t="s">
        <v>108</v>
      </c>
      <c r="G534" s="18" t="s">
        <v>21</v>
      </c>
      <c r="H534" s="18" t="str">
        <f>Assumptions!$B$2</f>
        <v>Worst</v>
      </c>
      <c r="I534" s="18">
        <f>_xlfn.XLOOKUP(Assumptions!$B$2,Assumptions!$F$4:$H$4,Assumptions!$F$5:$H$5)</f>
        <v>1200</v>
      </c>
      <c r="J534" s="18">
        <f>_xlfn.XLOOKUP(Assumptions!$B$2,Assumptions!$F$4:$H$4,Assumptions!$F$6:$H$6)</f>
        <v>17</v>
      </c>
      <c r="K534" s="12">
        <f>_xlfn.XLOOKUP(Assumptions!$B$2,Assumptions!$F$4:$H$4,Assumptions!$F$8:$H$8)</f>
        <v>0.1</v>
      </c>
      <c r="L534" s="12">
        <f>_xlfn.XLOOKUP(Assumptions!$B$2,Assumptions!$F$4:$H$4,Assumptions!$F$9:$H$9)</f>
        <v>0.18</v>
      </c>
      <c r="M534" s="18">
        <f>_xlfn.XLOOKUP(Assumptions!$B$2,Assumptions!$F$4:$H$4,Assumptions!$F$10:$H$10)</f>
        <v>18000</v>
      </c>
      <c r="N534" s="12">
        <f>_xlfn.XLOOKUP(Assumptions!$B$2,Assumptions!$F$4:$H$4,Assumptions!$F$11:$H$11)</f>
        <v>0.3</v>
      </c>
      <c r="O534" s="14">
        <f>Final_Table[[#This Row],[Units Sold]]*Final_Table[[#This Row],[Sale Price]]</f>
        <v>20400</v>
      </c>
      <c r="P534" s="14">
        <f>Final_Table[[#This Row],[Gross Revenue]]*(1-Final_Table[[#This Row],[Discount %]])</f>
        <v>18360</v>
      </c>
      <c r="Q534">
        <f>Final_Table[[#This Row],[Net Revenue]]*Final_Table[[#This Row],[Variable Cost %]]</f>
        <v>3304.7999999999997</v>
      </c>
      <c r="R534">
        <f>Final_Table[[#This Row],[Variable Cost]]+Final_Table[[#This Row],[Fixed Monthly Cost]]</f>
        <v>21304.799999999999</v>
      </c>
      <c r="S534" s="5">
        <f>Final_Table[[#This Row],[Net Revenue]]-Final_Table[[#This Row],[Total Cost (COGS)]]</f>
        <v>-2944.7999999999993</v>
      </c>
      <c r="T534">
        <f>Final_Table[[#This Row],[Gross Profit]]*Final_Table[[#This Row],[Tax Rate]]</f>
        <v>-883.43999999999971</v>
      </c>
      <c r="U534" s="5">
        <f>Final_Table[[#This Row],[Gross Profit]]-Final_Table[[#This Row],[Tax]]</f>
        <v>-2061.3599999999997</v>
      </c>
      <c r="V534" s="12">
        <f>Final_Table[[#This Row],[Net Profit]]/Final_Table[[#This Row],[Gross Revenue]]</f>
        <v>-0.10104705882352939</v>
      </c>
    </row>
    <row r="535" spans="1:22">
      <c r="A535" s="18" t="s">
        <v>71</v>
      </c>
      <c r="B535">
        <v>2014</v>
      </c>
      <c r="C535" t="s">
        <v>122</v>
      </c>
      <c r="D535">
        <v>1</v>
      </c>
      <c r="E535" s="18" t="s">
        <v>29</v>
      </c>
      <c r="F535" s="18" t="s">
        <v>108</v>
      </c>
      <c r="G535" s="18" t="s">
        <v>25</v>
      </c>
      <c r="H535" s="18" t="str">
        <f>Assumptions!$B$2</f>
        <v>Worst</v>
      </c>
      <c r="I535" s="18">
        <f>_xlfn.XLOOKUP(Assumptions!$B$2,Assumptions!$F$4:$H$4,Assumptions!$F$5:$H$5)</f>
        <v>1200</v>
      </c>
      <c r="J535" s="18">
        <f>_xlfn.XLOOKUP(Assumptions!$B$2,Assumptions!$F$4:$H$4,Assumptions!$F$6:$H$6)</f>
        <v>17</v>
      </c>
      <c r="K535" s="12">
        <f>_xlfn.XLOOKUP(Assumptions!$B$2,Assumptions!$F$4:$H$4,Assumptions!$F$8:$H$8)</f>
        <v>0.1</v>
      </c>
      <c r="L535" s="12">
        <f>_xlfn.XLOOKUP(Assumptions!$B$2,Assumptions!$F$4:$H$4,Assumptions!$F$9:$H$9)</f>
        <v>0.18</v>
      </c>
      <c r="M535" s="18">
        <f>_xlfn.XLOOKUP(Assumptions!$B$2,Assumptions!$F$4:$H$4,Assumptions!$F$10:$H$10)</f>
        <v>18000</v>
      </c>
      <c r="N535" s="12">
        <f>_xlfn.XLOOKUP(Assumptions!$B$2,Assumptions!$F$4:$H$4,Assumptions!$F$11:$H$11)</f>
        <v>0.3</v>
      </c>
      <c r="O535" s="14">
        <f>Final_Table[[#This Row],[Units Sold]]*Final_Table[[#This Row],[Sale Price]]</f>
        <v>20400</v>
      </c>
      <c r="P535" s="14">
        <f>Final_Table[[#This Row],[Gross Revenue]]*(1-Final_Table[[#This Row],[Discount %]])</f>
        <v>18360</v>
      </c>
      <c r="Q535">
        <f>Final_Table[[#This Row],[Net Revenue]]*Final_Table[[#This Row],[Variable Cost %]]</f>
        <v>3304.7999999999997</v>
      </c>
      <c r="R535">
        <f>Final_Table[[#This Row],[Variable Cost]]+Final_Table[[#This Row],[Fixed Monthly Cost]]</f>
        <v>21304.799999999999</v>
      </c>
      <c r="S535" s="5">
        <f>Final_Table[[#This Row],[Net Revenue]]-Final_Table[[#This Row],[Total Cost (COGS)]]</f>
        <v>-2944.7999999999993</v>
      </c>
      <c r="T535">
        <f>Final_Table[[#This Row],[Gross Profit]]*Final_Table[[#This Row],[Tax Rate]]</f>
        <v>-883.43999999999971</v>
      </c>
      <c r="U535" s="5">
        <f>Final_Table[[#This Row],[Gross Profit]]-Final_Table[[#This Row],[Tax]]</f>
        <v>-2061.3599999999997</v>
      </c>
      <c r="V535" s="12">
        <f>Final_Table[[#This Row],[Net Profit]]/Final_Table[[#This Row],[Gross Revenue]]</f>
        <v>-0.10104705882352939</v>
      </c>
    </row>
    <row r="536" spans="1:22">
      <c r="A536" s="18" t="s">
        <v>71</v>
      </c>
      <c r="B536">
        <v>2014</v>
      </c>
      <c r="C536" t="s">
        <v>122</v>
      </c>
      <c r="D536">
        <v>1</v>
      </c>
      <c r="E536" s="18" t="s">
        <v>29</v>
      </c>
      <c r="F536" s="18" t="s">
        <v>108</v>
      </c>
      <c r="G536" s="18" t="s">
        <v>17</v>
      </c>
      <c r="H536" s="18" t="str">
        <f>Assumptions!$B$2</f>
        <v>Worst</v>
      </c>
      <c r="I536" s="18">
        <f>_xlfn.XLOOKUP(Assumptions!$B$2,Assumptions!$F$4:$H$4,Assumptions!$F$5:$H$5)</f>
        <v>1200</v>
      </c>
      <c r="J536" s="18">
        <f>_xlfn.XLOOKUP(Assumptions!$B$2,Assumptions!$F$4:$H$4,Assumptions!$F$6:$H$6)</f>
        <v>17</v>
      </c>
      <c r="K536" s="12">
        <f>_xlfn.XLOOKUP(Assumptions!$B$2,Assumptions!$F$4:$H$4,Assumptions!$F$8:$H$8)</f>
        <v>0.1</v>
      </c>
      <c r="L536" s="12">
        <f>_xlfn.XLOOKUP(Assumptions!$B$2,Assumptions!$F$4:$H$4,Assumptions!$F$9:$H$9)</f>
        <v>0.18</v>
      </c>
      <c r="M536" s="18">
        <f>_xlfn.XLOOKUP(Assumptions!$B$2,Assumptions!$F$4:$H$4,Assumptions!$F$10:$H$10)</f>
        <v>18000</v>
      </c>
      <c r="N536" s="12">
        <f>_xlfn.XLOOKUP(Assumptions!$B$2,Assumptions!$F$4:$H$4,Assumptions!$F$11:$H$11)</f>
        <v>0.3</v>
      </c>
      <c r="O536" s="14">
        <f>Final_Table[[#This Row],[Units Sold]]*Final_Table[[#This Row],[Sale Price]]</f>
        <v>20400</v>
      </c>
      <c r="P536" s="14">
        <f>Final_Table[[#This Row],[Gross Revenue]]*(1-Final_Table[[#This Row],[Discount %]])</f>
        <v>18360</v>
      </c>
      <c r="Q536">
        <f>Final_Table[[#This Row],[Net Revenue]]*Final_Table[[#This Row],[Variable Cost %]]</f>
        <v>3304.7999999999997</v>
      </c>
      <c r="R536">
        <f>Final_Table[[#This Row],[Variable Cost]]+Final_Table[[#This Row],[Fixed Monthly Cost]]</f>
        <v>21304.799999999999</v>
      </c>
      <c r="S536" s="5">
        <f>Final_Table[[#This Row],[Net Revenue]]-Final_Table[[#This Row],[Total Cost (COGS)]]</f>
        <v>-2944.7999999999993</v>
      </c>
      <c r="T536">
        <f>Final_Table[[#This Row],[Gross Profit]]*Final_Table[[#This Row],[Tax Rate]]</f>
        <v>-883.43999999999971</v>
      </c>
      <c r="U536" s="5">
        <f>Final_Table[[#This Row],[Gross Profit]]-Final_Table[[#This Row],[Tax]]</f>
        <v>-2061.3599999999997</v>
      </c>
      <c r="V536" s="12">
        <f>Final_Table[[#This Row],[Net Profit]]/Final_Table[[#This Row],[Gross Revenue]]</f>
        <v>-0.10104705882352939</v>
      </c>
    </row>
    <row r="537" spans="1:22">
      <c r="A537" s="18" t="s">
        <v>71</v>
      </c>
      <c r="B537">
        <v>2014</v>
      </c>
      <c r="C537" t="s">
        <v>122</v>
      </c>
      <c r="D537">
        <v>1</v>
      </c>
      <c r="E537" s="18" t="s">
        <v>29</v>
      </c>
      <c r="F537" s="18" t="s">
        <v>112</v>
      </c>
      <c r="G537" s="18" t="s">
        <v>36</v>
      </c>
      <c r="H537" s="18" t="str">
        <f>Assumptions!$B$2</f>
        <v>Worst</v>
      </c>
      <c r="I537" s="18">
        <f>_xlfn.XLOOKUP(Assumptions!$B$2,Assumptions!$F$4:$H$4,Assumptions!$F$5:$H$5)</f>
        <v>1200</v>
      </c>
      <c r="J537" s="18">
        <f>_xlfn.XLOOKUP(Assumptions!$B$2,Assumptions!$F$4:$H$4,Assumptions!$F$6:$H$6)</f>
        <v>17</v>
      </c>
      <c r="K537" s="12">
        <f>_xlfn.XLOOKUP(Assumptions!$B$2,Assumptions!$F$4:$H$4,Assumptions!$F$8:$H$8)</f>
        <v>0.1</v>
      </c>
      <c r="L537" s="12">
        <f>_xlfn.XLOOKUP(Assumptions!$B$2,Assumptions!$F$4:$H$4,Assumptions!$F$9:$H$9)</f>
        <v>0.18</v>
      </c>
      <c r="M537" s="18">
        <f>_xlfn.XLOOKUP(Assumptions!$B$2,Assumptions!$F$4:$H$4,Assumptions!$F$10:$H$10)</f>
        <v>18000</v>
      </c>
      <c r="N537" s="12">
        <f>_xlfn.XLOOKUP(Assumptions!$B$2,Assumptions!$F$4:$H$4,Assumptions!$F$11:$H$11)</f>
        <v>0.3</v>
      </c>
      <c r="O537" s="14">
        <f>Final_Table[[#This Row],[Units Sold]]*Final_Table[[#This Row],[Sale Price]]</f>
        <v>20400</v>
      </c>
      <c r="P537" s="14">
        <f>Final_Table[[#This Row],[Gross Revenue]]*(1-Final_Table[[#This Row],[Discount %]])</f>
        <v>18360</v>
      </c>
      <c r="Q537">
        <f>Final_Table[[#This Row],[Net Revenue]]*Final_Table[[#This Row],[Variable Cost %]]</f>
        <v>3304.7999999999997</v>
      </c>
      <c r="R537">
        <f>Final_Table[[#This Row],[Variable Cost]]+Final_Table[[#This Row],[Fixed Monthly Cost]]</f>
        <v>21304.799999999999</v>
      </c>
      <c r="S537" s="5">
        <f>Final_Table[[#This Row],[Net Revenue]]-Final_Table[[#This Row],[Total Cost (COGS)]]</f>
        <v>-2944.7999999999993</v>
      </c>
      <c r="T537">
        <f>Final_Table[[#This Row],[Gross Profit]]*Final_Table[[#This Row],[Tax Rate]]</f>
        <v>-883.43999999999971</v>
      </c>
      <c r="U537" s="5">
        <f>Final_Table[[#This Row],[Gross Profit]]-Final_Table[[#This Row],[Tax]]</f>
        <v>-2061.3599999999997</v>
      </c>
      <c r="V537" s="12">
        <f>Final_Table[[#This Row],[Net Profit]]/Final_Table[[#This Row],[Gross Revenue]]</f>
        <v>-0.10104705882352939</v>
      </c>
    </row>
    <row r="538" spans="1:22">
      <c r="A538" s="18" t="s">
        <v>71</v>
      </c>
      <c r="B538">
        <v>2014</v>
      </c>
      <c r="C538" t="s">
        <v>122</v>
      </c>
      <c r="D538">
        <v>1</v>
      </c>
      <c r="E538" s="18" t="s">
        <v>29</v>
      </c>
      <c r="F538" s="18" t="s">
        <v>112</v>
      </c>
      <c r="G538" s="18" t="s">
        <v>23</v>
      </c>
      <c r="H538" s="18" t="str">
        <f>Assumptions!$B$2</f>
        <v>Worst</v>
      </c>
      <c r="I538" s="18">
        <f>_xlfn.XLOOKUP(Assumptions!$B$2,Assumptions!$F$4:$H$4,Assumptions!$F$5:$H$5)</f>
        <v>1200</v>
      </c>
      <c r="J538" s="18">
        <f>_xlfn.XLOOKUP(Assumptions!$B$2,Assumptions!$F$4:$H$4,Assumptions!$F$6:$H$6)</f>
        <v>17</v>
      </c>
      <c r="K538" s="12">
        <f>_xlfn.XLOOKUP(Assumptions!$B$2,Assumptions!$F$4:$H$4,Assumptions!$F$8:$H$8)</f>
        <v>0.1</v>
      </c>
      <c r="L538" s="12">
        <f>_xlfn.XLOOKUP(Assumptions!$B$2,Assumptions!$F$4:$H$4,Assumptions!$F$9:$H$9)</f>
        <v>0.18</v>
      </c>
      <c r="M538" s="18">
        <f>_xlfn.XLOOKUP(Assumptions!$B$2,Assumptions!$F$4:$H$4,Assumptions!$F$10:$H$10)</f>
        <v>18000</v>
      </c>
      <c r="N538" s="12">
        <f>_xlfn.XLOOKUP(Assumptions!$B$2,Assumptions!$F$4:$H$4,Assumptions!$F$11:$H$11)</f>
        <v>0.3</v>
      </c>
      <c r="O538" s="14">
        <f>Final_Table[[#This Row],[Units Sold]]*Final_Table[[#This Row],[Sale Price]]</f>
        <v>20400</v>
      </c>
      <c r="P538" s="14">
        <f>Final_Table[[#This Row],[Gross Revenue]]*(1-Final_Table[[#This Row],[Discount %]])</f>
        <v>18360</v>
      </c>
      <c r="Q538">
        <f>Final_Table[[#This Row],[Net Revenue]]*Final_Table[[#This Row],[Variable Cost %]]</f>
        <v>3304.7999999999997</v>
      </c>
      <c r="R538">
        <f>Final_Table[[#This Row],[Variable Cost]]+Final_Table[[#This Row],[Fixed Monthly Cost]]</f>
        <v>21304.799999999999</v>
      </c>
      <c r="S538" s="5">
        <f>Final_Table[[#This Row],[Net Revenue]]-Final_Table[[#This Row],[Total Cost (COGS)]]</f>
        <v>-2944.7999999999993</v>
      </c>
      <c r="T538">
        <f>Final_Table[[#This Row],[Gross Profit]]*Final_Table[[#This Row],[Tax Rate]]</f>
        <v>-883.43999999999971</v>
      </c>
      <c r="U538" s="5">
        <f>Final_Table[[#This Row],[Gross Profit]]-Final_Table[[#This Row],[Tax]]</f>
        <v>-2061.3599999999997</v>
      </c>
      <c r="V538" s="12">
        <f>Final_Table[[#This Row],[Net Profit]]/Final_Table[[#This Row],[Gross Revenue]]</f>
        <v>-0.10104705882352939</v>
      </c>
    </row>
    <row r="539" spans="1:22">
      <c r="A539" s="18" t="s">
        <v>71</v>
      </c>
      <c r="B539">
        <v>2014</v>
      </c>
      <c r="C539" t="s">
        <v>122</v>
      </c>
      <c r="D539">
        <v>1</v>
      </c>
      <c r="E539" s="18" t="s">
        <v>29</v>
      </c>
      <c r="F539" s="18" t="s">
        <v>112</v>
      </c>
      <c r="G539" s="18" t="s">
        <v>21</v>
      </c>
      <c r="H539" s="18" t="str">
        <f>Assumptions!$B$2</f>
        <v>Worst</v>
      </c>
      <c r="I539" s="18">
        <f>_xlfn.XLOOKUP(Assumptions!$B$2,Assumptions!$F$4:$H$4,Assumptions!$F$5:$H$5)</f>
        <v>1200</v>
      </c>
      <c r="J539" s="18">
        <f>_xlfn.XLOOKUP(Assumptions!$B$2,Assumptions!$F$4:$H$4,Assumptions!$F$6:$H$6)</f>
        <v>17</v>
      </c>
      <c r="K539" s="12">
        <f>_xlfn.XLOOKUP(Assumptions!$B$2,Assumptions!$F$4:$H$4,Assumptions!$F$8:$H$8)</f>
        <v>0.1</v>
      </c>
      <c r="L539" s="12">
        <f>_xlfn.XLOOKUP(Assumptions!$B$2,Assumptions!$F$4:$H$4,Assumptions!$F$9:$H$9)</f>
        <v>0.18</v>
      </c>
      <c r="M539" s="18">
        <f>_xlfn.XLOOKUP(Assumptions!$B$2,Assumptions!$F$4:$H$4,Assumptions!$F$10:$H$10)</f>
        <v>18000</v>
      </c>
      <c r="N539" s="12">
        <f>_xlfn.XLOOKUP(Assumptions!$B$2,Assumptions!$F$4:$H$4,Assumptions!$F$11:$H$11)</f>
        <v>0.3</v>
      </c>
      <c r="O539" s="14">
        <f>Final_Table[[#This Row],[Units Sold]]*Final_Table[[#This Row],[Sale Price]]</f>
        <v>20400</v>
      </c>
      <c r="P539" s="14">
        <f>Final_Table[[#This Row],[Gross Revenue]]*(1-Final_Table[[#This Row],[Discount %]])</f>
        <v>18360</v>
      </c>
      <c r="Q539">
        <f>Final_Table[[#This Row],[Net Revenue]]*Final_Table[[#This Row],[Variable Cost %]]</f>
        <v>3304.7999999999997</v>
      </c>
      <c r="R539">
        <f>Final_Table[[#This Row],[Variable Cost]]+Final_Table[[#This Row],[Fixed Monthly Cost]]</f>
        <v>21304.799999999999</v>
      </c>
      <c r="S539" s="5">
        <f>Final_Table[[#This Row],[Net Revenue]]-Final_Table[[#This Row],[Total Cost (COGS)]]</f>
        <v>-2944.7999999999993</v>
      </c>
      <c r="T539">
        <f>Final_Table[[#This Row],[Gross Profit]]*Final_Table[[#This Row],[Tax Rate]]</f>
        <v>-883.43999999999971</v>
      </c>
      <c r="U539" s="5">
        <f>Final_Table[[#This Row],[Gross Profit]]-Final_Table[[#This Row],[Tax]]</f>
        <v>-2061.3599999999997</v>
      </c>
      <c r="V539" s="12">
        <f>Final_Table[[#This Row],[Net Profit]]/Final_Table[[#This Row],[Gross Revenue]]</f>
        <v>-0.10104705882352939</v>
      </c>
    </row>
    <row r="540" spans="1:22">
      <c r="A540" s="18" t="s">
        <v>71</v>
      </c>
      <c r="B540">
        <v>2014</v>
      </c>
      <c r="C540" t="s">
        <v>122</v>
      </c>
      <c r="D540">
        <v>1</v>
      </c>
      <c r="E540" s="18" t="s">
        <v>29</v>
      </c>
      <c r="F540" s="18" t="s">
        <v>112</v>
      </c>
      <c r="G540" s="18" t="s">
        <v>25</v>
      </c>
      <c r="H540" s="18" t="str">
        <f>Assumptions!$B$2</f>
        <v>Worst</v>
      </c>
      <c r="I540" s="18">
        <f>_xlfn.XLOOKUP(Assumptions!$B$2,Assumptions!$F$4:$H$4,Assumptions!$F$5:$H$5)</f>
        <v>1200</v>
      </c>
      <c r="J540" s="18">
        <f>_xlfn.XLOOKUP(Assumptions!$B$2,Assumptions!$F$4:$H$4,Assumptions!$F$6:$H$6)</f>
        <v>17</v>
      </c>
      <c r="K540" s="12">
        <f>_xlfn.XLOOKUP(Assumptions!$B$2,Assumptions!$F$4:$H$4,Assumptions!$F$8:$H$8)</f>
        <v>0.1</v>
      </c>
      <c r="L540" s="12">
        <f>_xlfn.XLOOKUP(Assumptions!$B$2,Assumptions!$F$4:$H$4,Assumptions!$F$9:$H$9)</f>
        <v>0.18</v>
      </c>
      <c r="M540" s="18">
        <f>_xlfn.XLOOKUP(Assumptions!$B$2,Assumptions!$F$4:$H$4,Assumptions!$F$10:$H$10)</f>
        <v>18000</v>
      </c>
      <c r="N540" s="12">
        <f>_xlfn.XLOOKUP(Assumptions!$B$2,Assumptions!$F$4:$H$4,Assumptions!$F$11:$H$11)</f>
        <v>0.3</v>
      </c>
      <c r="O540" s="14">
        <f>Final_Table[[#This Row],[Units Sold]]*Final_Table[[#This Row],[Sale Price]]</f>
        <v>20400</v>
      </c>
      <c r="P540" s="14">
        <f>Final_Table[[#This Row],[Gross Revenue]]*(1-Final_Table[[#This Row],[Discount %]])</f>
        <v>18360</v>
      </c>
      <c r="Q540">
        <f>Final_Table[[#This Row],[Net Revenue]]*Final_Table[[#This Row],[Variable Cost %]]</f>
        <v>3304.7999999999997</v>
      </c>
      <c r="R540">
        <f>Final_Table[[#This Row],[Variable Cost]]+Final_Table[[#This Row],[Fixed Monthly Cost]]</f>
        <v>21304.799999999999</v>
      </c>
      <c r="S540" s="5">
        <f>Final_Table[[#This Row],[Net Revenue]]-Final_Table[[#This Row],[Total Cost (COGS)]]</f>
        <v>-2944.7999999999993</v>
      </c>
      <c r="T540">
        <f>Final_Table[[#This Row],[Gross Profit]]*Final_Table[[#This Row],[Tax Rate]]</f>
        <v>-883.43999999999971</v>
      </c>
      <c r="U540" s="5">
        <f>Final_Table[[#This Row],[Gross Profit]]-Final_Table[[#This Row],[Tax]]</f>
        <v>-2061.3599999999997</v>
      </c>
      <c r="V540" s="12">
        <f>Final_Table[[#This Row],[Net Profit]]/Final_Table[[#This Row],[Gross Revenue]]</f>
        <v>-0.10104705882352939</v>
      </c>
    </row>
    <row r="541" spans="1:22">
      <c r="A541" s="18" t="s">
        <v>71</v>
      </c>
      <c r="B541">
        <v>2014</v>
      </c>
      <c r="C541" t="s">
        <v>122</v>
      </c>
      <c r="D541">
        <v>1</v>
      </c>
      <c r="E541" s="18" t="s">
        <v>29</v>
      </c>
      <c r="F541" s="18" t="s">
        <v>112</v>
      </c>
      <c r="G541" s="18" t="s">
        <v>17</v>
      </c>
      <c r="H541" s="18" t="str">
        <f>Assumptions!$B$2</f>
        <v>Worst</v>
      </c>
      <c r="I541" s="18">
        <f>_xlfn.XLOOKUP(Assumptions!$B$2,Assumptions!$F$4:$H$4,Assumptions!$F$5:$H$5)</f>
        <v>1200</v>
      </c>
      <c r="J541" s="18">
        <f>_xlfn.XLOOKUP(Assumptions!$B$2,Assumptions!$F$4:$H$4,Assumptions!$F$6:$H$6)</f>
        <v>17</v>
      </c>
      <c r="K541" s="12">
        <f>_xlfn.XLOOKUP(Assumptions!$B$2,Assumptions!$F$4:$H$4,Assumptions!$F$8:$H$8)</f>
        <v>0.1</v>
      </c>
      <c r="L541" s="12">
        <f>_xlfn.XLOOKUP(Assumptions!$B$2,Assumptions!$F$4:$H$4,Assumptions!$F$9:$H$9)</f>
        <v>0.18</v>
      </c>
      <c r="M541" s="18">
        <f>_xlfn.XLOOKUP(Assumptions!$B$2,Assumptions!$F$4:$H$4,Assumptions!$F$10:$H$10)</f>
        <v>18000</v>
      </c>
      <c r="N541" s="12">
        <f>_xlfn.XLOOKUP(Assumptions!$B$2,Assumptions!$F$4:$H$4,Assumptions!$F$11:$H$11)</f>
        <v>0.3</v>
      </c>
      <c r="O541" s="14">
        <f>Final_Table[[#This Row],[Units Sold]]*Final_Table[[#This Row],[Sale Price]]</f>
        <v>20400</v>
      </c>
      <c r="P541" s="14">
        <f>Final_Table[[#This Row],[Gross Revenue]]*(1-Final_Table[[#This Row],[Discount %]])</f>
        <v>18360</v>
      </c>
      <c r="Q541">
        <f>Final_Table[[#This Row],[Net Revenue]]*Final_Table[[#This Row],[Variable Cost %]]</f>
        <v>3304.7999999999997</v>
      </c>
      <c r="R541">
        <f>Final_Table[[#This Row],[Variable Cost]]+Final_Table[[#This Row],[Fixed Monthly Cost]]</f>
        <v>21304.799999999999</v>
      </c>
      <c r="S541" s="5">
        <f>Final_Table[[#This Row],[Net Revenue]]-Final_Table[[#This Row],[Total Cost (COGS)]]</f>
        <v>-2944.7999999999993</v>
      </c>
      <c r="T541">
        <f>Final_Table[[#This Row],[Gross Profit]]*Final_Table[[#This Row],[Tax Rate]]</f>
        <v>-883.43999999999971</v>
      </c>
      <c r="U541" s="5">
        <f>Final_Table[[#This Row],[Gross Profit]]-Final_Table[[#This Row],[Tax]]</f>
        <v>-2061.3599999999997</v>
      </c>
      <c r="V541" s="12">
        <f>Final_Table[[#This Row],[Net Profit]]/Final_Table[[#This Row],[Gross Revenue]]</f>
        <v>-0.10104705882352939</v>
      </c>
    </row>
    <row r="542" spans="1:22">
      <c r="A542" s="18" t="s">
        <v>71</v>
      </c>
      <c r="B542">
        <v>2014</v>
      </c>
      <c r="C542" t="s">
        <v>122</v>
      </c>
      <c r="D542">
        <v>1</v>
      </c>
      <c r="E542" s="18" t="s">
        <v>29</v>
      </c>
      <c r="F542" s="18" t="s">
        <v>113</v>
      </c>
      <c r="G542" s="18" t="s">
        <v>36</v>
      </c>
      <c r="H542" s="18" t="str">
        <f>Assumptions!$B$2</f>
        <v>Worst</v>
      </c>
      <c r="I542" s="18">
        <f>_xlfn.XLOOKUP(Assumptions!$B$2,Assumptions!$F$4:$H$4,Assumptions!$F$5:$H$5)</f>
        <v>1200</v>
      </c>
      <c r="J542" s="18">
        <f>_xlfn.XLOOKUP(Assumptions!$B$2,Assumptions!$F$4:$H$4,Assumptions!$F$6:$H$6)</f>
        <v>17</v>
      </c>
      <c r="K542" s="12">
        <f>_xlfn.XLOOKUP(Assumptions!$B$2,Assumptions!$F$4:$H$4,Assumptions!$F$8:$H$8)</f>
        <v>0.1</v>
      </c>
      <c r="L542" s="12">
        <f>_xlfn.XLOOKUP(Assumptions!$B$2,Assumptions!$F$4:$H$4,Assumptions!$F$9:$H$9)</f>
        <v>0.18</v>
      </c>
      <c r="M542" s="18">
        <f>_xlfn.XLOOKUP(Assumptions!$B$2,Assumptions!$F$4:$H$4,Assumptions!$F$10:$H$10)</f>
        <v>18000</v>
      </c>
      <c r="N542" s="12">
        <f>_xlfn.XLOOKUP(Assumptions!$B$2,Assumptions!$F$4:$H$4,Assumptions!$F$11:$H$11)</f>
        <v>0.3</v>
      </c>
      <c r="O542" s="14">
        <f>Final_Table[[#This Row],[Units Sold]]*Final_Table[[#This Row],[Sale Price]]</f>
        <v>20400</v>
      </c>
      <c r="P542" s="14">
        <f>Final_Table[[#This Row],[Gross Revenue]]*(1-Final_Table[[#This Row],[Discount %]])</f>
        <v>18360</v>
      </c>
      <c r="Q542">
        <f>Final_Table[[#This Row],[Net Revenue]]*Final_Table[[#This Row],[Variable Cost %]]</f>
        <v>3304.7999999999997</v>
      </c>
      <c r="R542">
        <f>Final_Table[[#This Row],[Variable Cost]]+Final_Table[[#This Row],[Fixed Monthly Cost]]</f>
        <v>21304.799999999999</v>
      </c>
      <c r="S542" s="5">
        <f>Final_Table[[#This Row],[Net Revenue]]-Final_Table[[#This Row],[Total Cost (COGS)]]</f>
        <v>-2944.7999999999993</v>
      </c>
      <c r="T542">
        <f>Final_Table[[#This Row],[Gross Profit]]*Final_Table[[#This Row],[Tax Rate]]</f>
        <v>-883.43999999999971</v>
      </c>
      <c r="U542" s="5">
        <f>Final_Table[[#This Row],[Gross Profit]]-Final_Table[[#This Row],[Tax]]</f>
        <v>-2061.3599999999997</v>
      </c>
      <c r="V542" s="12">
        <f>Final_Table[[#This Row],[Net Profit]]/Final_Table[[#This Row],[Gross Revenue]]</f>
        <v>-0.10104705882352939</v>
      </c>
    </row>
    <row r="543" spans="1:22">
      <c r="A543" s="18" t="s">
        <v>71</v>
      </c>
      <c r="B543">
        <v>2014</v>
      </c>
      <c r="C543" t="s">
        <v>122</v>
      </c>
      <c r="D543">
        <v>1</v>
      </c>
      <c r="E543" s="18" t="s">
        <v>29</v>
      </c>
      <c r="F543" s="18" t="s">
        <v>113</v>
      </c>
      <c r="G543" s="18" t="s">
        <v>23</v>
      </c>
      <c r="H543" s="18" t="str">
        <f>Assumptions!$B$2</f>
        <v>Worst</v>
      </c>
      <c r="I543" s="18">
        <f>_xlfn.XLOOKUP(Assumptions!$B$2,Assumptions!$F$4:$H$4,Assumptions!$F$5:$H$5)</f>
        <v>1200</v>
      </c>
      <c r="J543" s="18">
        <f>_xlfn.XLOOKUP(Assumptions!$B$2,Assumptions!$F$4:$H$4,Assumptions!$F$6:$H$6)</f>
        <v>17</v>
      </c>
      <c r="K543" s="12">
        <f>_xlfn.XLOOKUP(Assumptions!$B$2,Assumptions!$F$4:$H$4,Assumptions!$F$8:$H$8)</f>
        <v>0.1</v>
      </c>
      <c r="L543" s="12">
        <f>_xlfn.XLOOKUP(Assumptions!$B$2,Assumptions!$F$4:$H$4,Assumptions!$F$9:$H$9)</f>
        <v>0.18</v>
      </c>
      <c r="M543" s="18">
        <f>_xlfn.XLOOKUP(Assumptions!$B$2,Assumptions!$F$4:$H$4,Assumptions!$F$10:$H$10)</f>
        <v>18000</v>
      </c>
      <c r="N543" s="12">
        <f>_xlfn.XLOOKUP(Assumptions!$B$2,Assumptions!$F$4:$H$4,Assumptions!$F$11:$H$11)</f>
        <v>0.3</v>
      </c>
      <c r="O543" s="14">
        <f>Final_Table[[#This Row],[Units Sold]]*Final_Table[[#This Row],[Sale Price]]</f>
        <v>20400</v>
      </c>
      <c r="P543" s="14">
        <f>Final_Table[[#This Row],[Gross Revenue]]*(1-Final_Table[[#This Row],[Discount %]])</f>
        <v>18360</v>
      </c>
      <c r="Q543">
        <f>Final_Table[[#This Row],[Net Revenue]]*Final_Table[[#This Row],[Variable Cost %]]</f>
        <v>3304.7999999999997</v>
      </c>
      <c r="R543">
        <f>Final_Table[[#This Row],[Variable Cost]]+Final_Table[[#This Row],[Fixed Monthly Cost]]</f>
        <v>21304.799999999999</v>
      </c>
      <c r="S543" s="5">
        <f>Final_Table[[#This Row],[Net Revenue]]-Final_Table[[#This Row],[Total Cost (COGS)]]</f>
        <v>-2944.7999999999993</v>
      </c>
      <c r="T543">
        <f>Final_Table[[#This Row],[Gross Profit]]*Final_Table[[#This Row],[Tax Rate]]</f>
        <v>-883.43999999999971</v>
      </c>
      <c r="U543" s="5">
        <f>Final_Table[[#This Row],[Gross Profit]]-Final_Table[[#This Row],[Tax]]</f>
        <v>-2061.3599999999997</v>
      </c>
      <c r="V543" s="12">
        <f>Final_Table[[#This Row],[Net Profit]]/Final_Table[[#This Row],[Gross Revenue]]</f>
        <v>-0.10104705882352939</v>
      </c>
    </row>
    <row r="544" spans="1:22">
      <c r="A544" s="18" t="s">
        <v>71</v>
      </c>
      <c r="B544">
        <v>2014</v>
      </c>
      <c r="C544" t="s">
        <v>122</v>
      </c>
      <c r="D544">
        <v>1</v>
      </c>
      <c r="E544" s="18" t="s">
        <v>29</v>
      </c>
      <c r="F544" s="18" t="s">
        <v>113</v>
      </c>
      <c r="G544" s="18" t="s">
        <v>21</v>
      </c>
      <c r="H544" s="18" t="str">
        <f>Assumptions!$B$2</f>
        <v>Worst</v>
      </c>
      <c r="I544" s="18">
        <f>_xlfn.XLOOKUP(Assumptions!$B$2,Assumptions!$F$4:$H$4,Assumptions!$F$5:$H$5)</f>
        <v>1200</v>
      </c>
      <c r="J544" s="18">
        <f>_xlfn.XLOOKUP(Assumptions!$B$2,Assumptions!$F$4:$H$4,Assumptions!$F$6:$H$6)</f>
        <v>17</v>
      </c>
      <c r="K544" s="12">
        <f>_xlfn.XLOOKUP(Assumptions!$B$2,Assumptions!$F$4:$H$4,Assumptions!$F$8:$H$8)</f>
        <v>0.1</v>
      </c>
      <c r="L544" s="12">
        <f>_xlfn.XLOOKUP(Assumptions!$B$2,Assumptions!$F$4:$H$4,Assumptions!$F$9:$H$9)</f>
        <v>0.18</v>
      </c>
      <c r="M544" s="18">
        <f>_xlfn.XLOOKUP(Assumptions!$B$2,Assumptions!$F$4:$H$4,Assumptions!$F$10:$H$10)</f>
        <v>18000</v>
      </c>
      <c r="N544" s="12">
        <f>_xlfn.XLOOKUP(Assumptions!$B$2,Assumptions!$F$4:$H$4,Assumptions!$F$11:$H$11)</f>
        <v>0.3</v>
      </c>
      <c r="O544" s="14">
        <f>Final_Table[[#This Row],[Units Sold]]*Final_Table[[#This Row],[Sale Price]]</f>
        <v>20400</v>
      </c>
      <c r="P544" s="14">
        <f>Final_Table[[#This Row],[Gross Revenue]]*(1-Final_Table[[#This Row],[Discount %]])</f>
        <v>18360</v>
      </c>
      <c r="Q544">
        <f>Final_Table[[#This Row],[Net Revenue]]*Final_Table[[#This Row],[Variable Cost %]]</f>
        <v>3304.7999999999997</v>
      </c>
      <c r="R544">
        <f>Final_Table[[#This Row],[Variable Cost]]+Final_Table[[#This Row],[Fixed Monthly Cost]]</f>
        <v>21304.799999999999</v>
      </c>
      <c r="S544" s="5">
        <f>Final_Table[[#This Row],[Net Revenue]]-Final_Table[[#This Row],[Total Cost (COGS)]]</f>
        <v>-2944.7999999999993</v>
      </c>
      <c r="T544">
        <f>Final_Table[[#This Row],[Gross Profit]]*Final_Table[[#This Row],[Tax Rate]]</f>
        <v>-883.43999999999971</v>
      </c>
      <c r="U544" s="5">
        <f>Final_Table[[#This Row],[Gross Profit]]-Final_Table[[#This Row],[Tax]]</f>
        <v>-2061.3599999999997</v>
      </c>
      <c r="V544" s="12">
        <f>Final_Table[[#This Row],[Net Profit]]/Final_Table[[#This Row],[Gross Revenue]]</f>
        <v>-0.10104705882352939</v>
      </c>
    </row>
    <row r="545" spans="1:22">
      <c r="A545" s="18" t="s">
        <v>71</v>
      </c>
      <c r="B545">
        <v>2014</v>
      </c>
      <c r="C545" t="s">
        <v>122</v>
      </c>
      <c r="D545">
        <v>1</v>
      </c>
      <c r="E545" s="18" t="s">
        <v>29</v>
      </c>
      <c r="F545" s="18" t="s">
        <v>113</v>
      </c>
      <c r="G545" s="18" t="s">
        <v>25</v>
      </c>
      <c r="H545" s="18" t="str">
        <f>Assumptions!$B$2</f>
        <v>Worst</v>
      </c>
      <c r="I545" s="18">
        <f>_xlfn.XLOOKUP(Assumptions!$B$2,Assumptions!$F$4:$H$4,Assumptions!$F$5:$H$5)</f>
        <v>1200</v>
      </c>
      <c r="J545" s="18">
        <f>_xlfn.XLOOKUP(Assumptions!$B$2,Assumptions!$F$4:$H$4,Assumptions!$F$6:$H$6)</f>
        <v>17</v>
      </c>
      <c r="K545" s="12">
        <f>_xlfn.XLOOKUP(Assumptions!$B$2,Assumptions!$F$4:$H$4,Assumptions!$F$8:$H$8)</f>
        <v>0.1</v>
      </c>
      <c r="L545" s="12">
        <f>_xlfn.XLOOKUP(Assumptions!$B$2,Assumptions!$F$4:$H$4,Assumptions!$F$9:$H$9)</f>
        <v>0.18</v>
      </c>
      <c r="M545" s="18">
        <f>_xlfn.XLOOKUP(Assumptions!$B$2,Assumptions!$F$4:$H$4,Assumptions!$F$10:$H$10)</f>
        <v>18000</v>
      </c>
      <c r="N545" s="12">
        <f>_xlfn.XLOOKUP(Assumptions!$B$2,Assumptions!$F$4:$H$4,Assumptions!$F$11:$H$11)</f>
        <v>0.3</v>
      </c>
      <c r="O545" s="14">
        <f>Final_Table[[#This Row],[Units Sold]]*Final_Table[[#This Row],[Sale Price]]</f>
        <v>20400</v>
      </c>
      <c r="P545" s="14">
        <f>Final_Table[[#This Row],[Gross Revenue]]*(1-Final_Table[[#This Row],[Discount %]])</f>
        <v>18360</v>
      </c>
      <c r="Q545">
        <f>Final_Table[[#This Row],[Net Revenue]]*Final_Table[[#This Row],[Variable Cost %]]</f>
        <v>3304.7999999999997</v>
      </c>
      <c r="R545">
        <f>Final_Table[[#This Row],[Variable Cost]]+Final_Table[[#This Row],[Fixed Monthly Cost]]</f>
        <v>21304.799999999999</v>
      </c>
      <c r="S545" s="5">
        <f>Final_Table[[#This Row],[Net Revenue]]-Final_Table[[#This Row],[Total Cost (COGS)]]</f>
        <v>-2944.7999999999993</v>
      </c>
      <c r="T545">
        <f>Final_Table[[#This Row],[Gross Profit]]*Final_Table[[#This Row],[Tax Rate]]</f>
        <v>-883.43999999999971</v>
      </c>
      <c r="U545" s="5">
        <f>Final_Table[[#This Row],[Gross Profit]]-Final_Table[[#This Row],[Tax]]</f>
        <v>-2061.3599999999997</v>
      </c>
      <c r="V545" s="12">
        <f>Final_Table[[#This Row],[Net Profit]]/Final_Table[[#This Row],[Gross Revenue]]</f>
        <v>-0.10104705882352939</v>
      </c>
    </row>
    <row r="546" spans="1:22">
      <c r="A546" s="18" t="s">
        <v>71</v>
      </c>
      <c r="B546">
        <v>2014</v>
      </c>
      <c r="C546" t="s">
        <v>122</v>
      </c>
      <c r="D546">
        <v>1</v>
      </c>
      <c r="E546" s="18" t="s">
        <v>29</v>
      </c>
      <c r="F546" s="18" t="s">
        <v>113</v>
      </c>
      <c r="G546" s="18" t="s">
        <v>17</v>
      </c>
      <c r="H546" s="18" t="str">
        <f>Assumptions!$B$2</f>
        <v>Worst</v>
      </c>
      <c r="I546" s="18">
        <f>_xlfn.XLOOKUP(Assumptions!$B$2,Assumptions!$F$4:$H$4,Assumptions!$F$5:$H$5)</f>
        <v>1200</v>
      </c>
      <c r="J546" s="18">
        <f>_xlfn.XLOOKUP(Assumptions!$B$2,Assumptions!$F$4:$H$4,Assumptions!$F$6:$H$6)</f>
        <v>17</v>
      </c>
      <c r="K546" s="12">
        <f>_xlfn.XLOOKUP(Assumptions!$B$2,Assumptions!$F$4:$H$4,Assumptions!$F$8:$H$8)</f>
        <v>0.1</v>
      </c>
      <c r="L546" s="12">
        <f>_xlfn.XLOOKUP(Assumptions!$B$2,Assumptions!$F$4:$H$4,Assumptions!$F$9:$H$9)</f>
        <v>0.18</v>
      </c>
      <c r="M546" s="18">
        <f>_xlfn.XLOOKUP(Assumptions!$B$2,Assumptions!$F$4:$H$4,Assumptions!$F$10:$H$10)</f>
        <v>18000</v>
      </c>
      <c r="N546" s="12">
        <f>_xlfn.XLOOKUP(Assumptions!$B$2,Assumptions!$F$4:$H$4,Assumptions!$F$11:$H$11)</f>
        <v>0.3</v>
      </c>
      <c r="O546" s="14">
        <f>Final_Table[[#This Row],[Units Sold]]*Final_Table[[#This Row],[Sale Price]]</f>
        <v>20400</v>
      </c>
      <c r="P546" s="14">
        <f>Final_Table[[#This Row],[Gross Revenue]]*(1-Final_Table[[#This Row],[Discount %]])</f>
        <v>18360</v>
      </c>
      <c r="Q546">
        <f>Final_Table[[#This Row],[Net Revenue]]*Final_Table[[#This Row],[Variable Cost %]]</f>
        <v>3304.7999999999997</v>
      </c>
      <c r="R546">
        <f>Final_Table[[#This Row],[Variable Cost]]+Final_Table[[#This Row],[Fixed Monthly Cost]]</f>
        <v>21304.799999999999</v>
      </c>
      <c r="S546" s="5">
        <f>Final_Table[[#This Row],[Net Revenue]]-Final_Table[[#This Row],[Total Cost (COGS)]]</f>
        <v>-2944.7999999999993</v>
      </c>
      <c r="T546">
        <f>Final_Table[[#This Row],[Gross Profit]]*Final_Table[[#This Row],[Tax Rate]]</f>
        <v>-883.43999999999971</v>
      </c>
      <c r="U546" s="5">
        <f>Final_Table[[#This Row],[Gross Profit]]-Final_Table[[#This Row],[Tax]]</f>
        <v>-2061.3599999999997</v>
      </c>
      <c r="V546" s="12">
        <f>Final_Table[[#This Row],[Net Profit]]/Final_Table[[#This Row],[Gross Revenue]]</f>
        <v>-0.10104705882352939</v>
      </c>
    </row>
    <row r="547" spans="1:22">
      <c r="A547" s="18" t="s">
        <v>71</v>
      </c>
      <c r="B547">
        <v>2014</v>
      </c>
      <c r="C547" t="s">
        <v>122</v>
      </c>
      <c r="D547">
        <v>1</v>
      </c>
      <c r="E547" s="18" t="s">
        <v>29</v>
      </c>
      <c r="F547" s="18" t="s">
        <v>114</v>
      </c>
      <c r="G547" s="18" t="s">
        <v>36</v>
      </c>
      <c r="H547" s="18" t="str">
        <f>Assumptions!$B$2</f>
        <v>Worst</v>
      </c>
      <c r="I547" s="18">
        <f>_xlfn.XLOOKUP(Assumptions!$B$2,Assumptions!$F$4:$H$4,Assumptions!$F$5:$H$5)</f>
        <v>1200</v>
      </c>
      <c r="J547" s="18">
        <f>_xlfn.XLOOKUP(Assumptions!$B$2,Assumptions!$F$4:$H$4,Assumptions!$F$6:$H$6)</f>
        <v>17</v>
      </c>
      <c r="K547" s="12">
        <f>_xlfn.XLOOKUP(Assumptions!$B$2,Assumptions!$F$4:$H$4,Assumptions!$F$8:$H$8)</f>
        <v>0.1</v>
      </c>
      <c r="L547" s="12">
        <f>_xlfn.XLOOKUP(Assumptions!$B$2,Assumptions!$F$4:$H$4,Assumptions!$F$9:$H$9)</f>
        <v>0.18</v>
      </c>
      <c r="M547" s="18">
        <f>_xlfn.XLOOKUP(Assumptions!$B$2,Assumptions!$F$4:$H$4,Assumptions!$F$10:$H$10)</f>
        <v>18000</v>
      </c>
      <c r="N547" s="12">
        <f>_xlfn.XLOOKUP(Assumptions!$B$2,Assumptions!$F$4:$H$4,Assumptions!$F$11:$H$11)</f>
        <v>0.3</v>
      </c>
      <c r="O547" s="14">
        <f>Final_Table[[#This Row],[Units Sold]]*Final_Table[[#This Row],[Sale Price]]</f>
        <v>20400</v>
      </c>
      <c r="P547" s="14">
        <f>Final_Table[[#This Row],[Gross Revenue]]*(1-Final_Table[[#This Row],[Discount %]])</f>
        <v>18360</v>
      </c>
      <c r="Q547">
        <f>Final_Table[[#This Row],[Net Revenue]]*Final_Table[[#This Row],[Variable Cost %]]</f>
        <v>3304.7999999999997</v>
      </c>
      <c r="R547">
        <f>Final_Table[[#This Row],[Variable Cost]]+Final_Table[[#This Row],[Fixed Monthly Cost]]</f>
        <v>21304.799999999999</v>
      </c>
      <c r="S547" s="5">
        <f>Final_Table[[#This Row],[Net Revenue]]-Final_Table[[#This Row],[Total Cost (COGS)]]</f>
        <v>-2944.7999999999993</v>
      </c>
      <c r="T547">
        <f>Final_Table[[#This Row],[Gross Profit]]*Final_Table[[#This Row],[Tax Rate]]</f>
        <v>-883.43999999999971</v>
      </c>
      <c r="U547" s="5">
        <f>Final_Table[[#This Row],[Gross Profit]]-Final_Table[[#This Row],[Tax]]</f>
        <v>-2061.3599999999997</v>
      </c>
      <c r="V547" s="12">
        <f>Final_Table[[#This Row],[Net Profit]]/Final_Table[[#This Row],[Gross Revenue]]</f>
        <v>-0.10104705882352939</v>
      </c>
    </row>
    <row r="548" spans="1:22">
      <c r="A548" s="18" t="s">
        <v>71</v>
      </c>
      <c r="B548">
        <v>2014</v>
      </c>
      <c r="C548" t="s">
        <v>122</v>
      </c>
      <c r="D548">
        <v>1</v>
      </c>
      <c r="E548" s="18" t="s">
        <v>29</v>
      </c>
      <c r="F548" s="18" t="s">
        <v>114</v>
      </c>
      <c r="G548" s="18" t="s">
        <v>23</v>
      </c>
      <c r="H548" s="18" t="str">
        <f>Assumptions!$B$2</f>
        <v>Worst</v>
      </c>
      <c r="I548" s="18">
        <f>_xlfn.XLOOKUP(Assumptions!$B$2,Assumptions!$F$4:$H$4,Assumptions!$F$5:$H$5)</f>
        <v>1200</v>
      </c>
      <c r="J548" s="18">
        <f>_xlfn.XLOOKUP(Assumptions!$B$2,Assumptions!$F$4:$H$4,Assumptions!$F$6:$H$6)</f>
        <v>17</v>
      </c>
      <c r="K548" s="12">
        <f>_xlfn.XLOOKUP(Assumptions!$B$2,Assumptions!$F$4:$H$4,Assumptions!$F$8:$H$8)</f>
        <v>0.1</v>
      </c>
      <c r="L548" s="12">
        <f>_xlfn.XLOOKUP(Assumptions!$B$2,Assumptions!$F$4:$H$4,Assumptions!$F$9:$H$9)</f>
        <v>0.18</v>
      </c>
      <c r="M548" s="18">
        <f>_xlfn.XLOOKUP(Assumptions!$B$2,Assumptions!$F$4:$H$4,Assumptions!$F$10:$H$10)</f>
        <v>18000</v>
      </c>
      <c r="N548" s="12">
        <f>_xlfn.XLOOKUP(Assumptions!$B$2,Assumptions!$F$4:$H$4,Assumptions!$F$11:$H$11)</f>
        <v>0.3</v>
      </c>
      <c r="O548" s="14">
        <f>Final_Table[[#This Row],[Units Sold]]*Final_Table[[#This Row],[Sale Price]]</f>
        <v>20400</v>
      </c>
      <c r="P548" s="14">
        <f>Final_Table[[#This Row],[Gross Revenue]]*(1-Final_Table[[#This Row],[Discount %]])</f>
        <v>18360</v>
      </c>
      <c r="Q548">
        <f>Final_Table[[#This Row],[Net Revenue]]*Final_Table[[#This Row],[Variable Cost %]]</f>
        <v>3304.7999999999997</v>
      </c>
      <c r="R548">
        <f>Final_Table[[#This Row],[Variable Cost]]+Final_Table[[#This Row],[Fixed Monthly Cost]]</f>
        <v>21304.799999999999</v>
      </c>
      <c r="S548" s="5">
        <f>Final_Table[[#This Row],[Net Revenue]]-Final_Table[[#This Row],[Total Cost (COGS)]]</f>
        <v>-2944.7999999999993</v>
      </c>
      <c r="T548">
        <f>Final_Table[[#This Row],[Gross Profit]]*Final_Table[[#This Row],[Tax Rate]]</f>
        <v>-883.43999999999971</v>
      </c>
      <c r="U548" s="5">
        <f>Final_Table[[#This Row],[Gross Profit]]-Final_Table[[#This Row],[Tax]]</f>
        <v>-2061.3599999999997</v>
      </c>
      <c r="V548" s="12">
        <f>Final_Table[[#This Row],[Net Profit]]/Final_Table[[#This Row],[Gross Revenue]]</f>
        <v>-0.10104705882352939</v>
      </c>
    </row>
    <row r="549" spans="1:22">
      <c r="A549" s="18" t="s">
        <v>71</v>
      </c>
      <c r="B549">
        <v>2014</v>
      </c>
      <c r="C549" t="s">
        <v>122</v>
      </c>
      <c r="D549">
        <v>1</v>
      </c>
      <c r="E549" s="18" t="s">
        <v>29</v>
      </c>
      <c r="F549" s="18" t="s">
        <v>114</v>
      </c>
      <c r="G549" s="18" t="s">
        <v>21</v>
      </c>
      <c r="H549" s="18" t="str">
        <f>Assumptions!$B$2</f>
        <v>Worst</v>
      </c>
      <c r="I549" s="18">
        <f>_xlfn.XLOOKUP(Assumptions!$B$2,Assumptions!$F$4:$H$4,Assumptions!$F$5:$H$5)</f>
        <v>1200</v>
      </c>
      <c r="J549" s="18">
        <f>_xlfn.XLOOKUP(Assumptions!$B$2,Assumptions!$F$4:$H$4,Assumptions!$F$6:$H$6)</f>
        <v>17</v>
      </c>
      <c r="K549" s="12">
        <f>_xlfn.XLOOKUP(Assumptions!$B$2,Assumptions!$F$4:$H$4,Assumptions!$F$8:$H$8)</f>
        <v>0.1</v>
      </c>
      <c r="L549" s="12">
        <f>_xlfn.XLOOKUP(Assumptions!$B$2,Assumptions!$F$4:$H$4,Assumptions!$F$9:$H$9)</f>
        <v>0.18</v>
      </c>
      <c r="M549" s="18">
        <f>_xlfn.XLOOKUP(Assumptions!$B$2,Assumptions!$F$4:$H$4,Assumptions!$F$10:$H$10)</f>
        <v>18000</v>
      </c>
      <c r="N549" s="12">
        <f>_xlfn.XLOOKUP(Assumptions!$B$2,Assumptions!$F$4:$H$4,Assumptions!$F$11:$H$11)</f>
        <v>0.3</v>
      </c>
      <c r="O549" s="14">
        <f>Final_Table[[#This Row],[Units Sold]]*Final_Table[[#This Row],[Sale Price]]</f>
        <v>20400</v>
      </c>
      <c r="P549" s="14">
        <f>Final_Table[[#This Row],[Gross Revenue]]*(1-Final_Table[[#This Row],[Discount %]])</f>
        <v>18360</v>
      </c>
      <c r="Q549">
        <f>Final_Table[[#This Row],[Net Revenue]]*Final_Table[[#This Row],[Variable Cost %]]</f>
        <v>3304.7999999999997</v>
      </c>
      <c r="R549">
        <f>Final_Table[[#This Row],[Variable Cost]]+Final_Table[[#This Row],[Fixed Monthly Cost]]</f>
        <v>21304.799999999999</v>
      </c>
      <c r="S549" s="5">
        <f>Final_Table[[#This Row],[Net Revenue]]-Final_Table[[#This Row],[Total Cost (COGS)]]</f>
        <v>-2944.7999999999993</v>
      </c>
      <c r="T549">
        <f>Final_Table[[#This Row],[Gross Profit]]*Final_Table[[#This Row],[Tax Rate]]</f>
        <v>-883.43999999999971</v>
      </c>
      <c r="U549" s="5">
        <f>Final_Table[[#This Row],[Gross Profit]]-Final_Table[[#This Row],[Tax]]</f>
        <v>-2061.3599999999997</v>
      </c>
      <c r="V549" s="12">
        <f>Final_Table[[#This Row],[Net Profit]]/Final_Table[[#This Row],[Gross Revenue]]</f>
        <v>-0.10104705882352939</v>
      </c>
    </row>
    <row r="550" spans="1:22">
      <c r="A550" s="18" t="s">
        <v>71</v>
      </c>
      <c r="B550">
        <v>2014</v>
      </c>
      <c r="C550" t="s">
        <v>122</v>
      </c>
      <c r="D550">
        <v>1</v>
      </c>
      <c r="E550" s="18" t="s">
        <v>29</v>
      </c>
      <c r="F550" s="18" t="s">
        <v>114</v>
      </c>
      <c r="G550" s="18" t="s">
        <v>25</v>
      </c>
      <c r="H550" s="18" t="str">
        <f>Assumptions!$B$2</f>
        <v>Worst</v>
      </c>
      <c r="I550" s="18">
        <f>_xlfn.XLOOKUP(Assumptions!$B$2,Assumptions!$F$4:$H$4,Assumptions!$F$5:$H$5)</f>
        <v>1200</v>
      </c>
      <c r="J550" s="18">
        <f>_xlfn.XLOOKUP(Assumptions!$B$2,Assumptions!$F$4:$H$4,Assumptions!$F$6:$H$6)</f>
        <v>17</v>
      </c>
      <c r="K550" s="12">
        <f>_xlfn.XLOOKUP(Assumptions!$B$2,Assumptions!$F$4:$H$4,Assumptions!$F$8:$H$8)</f>
        <v>0.1</v>
      </c>
      <c r="L550" s="12">
        <f>_xlfn.XLOOKUP(Assumptions!$B$2,Assumptions!$F$4:$H$4,Assumptions!$F$9:$H$9)</f>
        <v>0.18</v>
      </c>
      <c r="M550" s="18">
        <f>_xlfn.XLOOKUP(Assumptions!$B$2,Assumptions!$F$4:$H$4,Assumptions!$F$10:$H$10)</f>
        <v>18000</v>
      </c>
      <c r="N550" s="12">
        <f>_xlfn.XLOOKUP(Assumptions!$B$2,Assumptions!$F$4:$H$4,Assumptions!$F$11:$H$11)</f>
        <v>0.3</v>
      </c>
      <c r="O550" s="14">
        <f>Final_Table[[#This Row],[Units Sold]]*Final_Table[[#This Row],[Sale Price]]</f>
        <v>20400</v>
      </c>
      <c r="P550" s="14">
        <f>Final_Table[[#This Row],[Gross Revenue]]*(1-Final_Table[[#This Row],[Discount %]])</f>
        <v>18360</v>
      </c>
      <c r="Q550">
        <f>Final_Table[[#This Row],[Net Revenue]]*Final_Table[[#This Row],[Variable Cost %]]</f>
        <v>3304.7999999999997</v>
      </c>
      <c r="R550">
        <f>Final_Table[[#This Row],[Variable Cost]]+Final_Table[[#This Row],[Fixed Monthly Cost]]</f>
        <v>21304.799999999999</v>
      </c>
      <c r="S550" s="5">
        <f>Final_Table[[#This Row],[Net Revenue]]-Final_Table[[#This Row],[Total Cost (COGS)]]</f>
        <v>-2944.7999999999993</v>
      </c>
      <c r="T550">
        <f>Final_Table[[#This Row],[Gross Profit]]*Final_Table[[#This Row],[Tax Rate]]</f>
        <v>-883.43999999999971</v>
      </c>
      <c r="U550" s="5">
        <f>Final_Table[[#This Row],[Gross Profit]]-Final_Table[[#This Row],[Tax]]</f>
        <v>-2061.3599999999997</v>
      </c>
      <c r="V550" s="12">
        <f>Final_Table[[#This Row],[Net Profit]]/Final_Table[[#This Row],[Gross Revenue]]</f>
        <v>-0.10104705882352939</v>
      </c>
    </row>
    <row r="551" spans="1:22">
      <c r="A551" s="18" t="s">
        <v>71</v>
      </c>
      <c r="B551">
        <v>2014</v>
      </c>
      <c r="C551" t="s">
        <v>122</v>
      </c>
      <c r="D551">
        <v>1</v>
      </c>
      <c r="E551" s="18" t="s">
        <v>29</v>
      </c>
      <c r="F551" s="18" t="s">
        <v>114</v>
      </c>
      <c r="G551" s="18" t="s">
        <v>17</v>
      </c>
      <c r="H551" s="18" t="str">
        <f>Assumptions!$B$2</f>
        <v>Worst</v>
      </c>
      <c r="I551" s="18">
        <f>_xlfn.XLOOKUP(Assumptions!$B$2,Assumptions!$F$4:$H$4,Assumptions!$F$5:$H$5)</f>
        <v>1200</v>
      </c>
      <c r="J551" s="18">
        <f>_xlfn.XLOOKUP(Assumptions!$B$2,Assumptions!$F$4:$H$4,Assumptions!$F$6:$H$6)</f>
        <v>17</v>
      </c>
      <c r="K551" s="12">
        <f>_xlfn.XLOOKUP(Assumptions!$B$2,Assumptions!$F$4:$H$4,Assumptions!$F$8:$H$8)</f>
        <v>0.1</v>
      </c>
      <c r="L551" s="12">
        <f>_xlfn.XLOOKUP(Assumptions!$B$2,Assumptions!$F$4:$H$4,Assumptions!$F$9:$H$9)</f>
        <v>0.18</v>
      </c>
      <c r="M551" s="18">
        <f>_xlfn.XLOOKUP(Assumptions!$B$2,Assumptions!$F$4:$H$4,Assumptions!$F$10:$H$10)</f>
        <v>18000</v>
      </c>
      <c r="N551" s="12">
        <f>_xlfn.XLOOKUP(Assumptions!$B$2,Assumptions!$F$4:$H$4,Assumptions!$F$11:$H$11)</f>
        <v>0.3</v>
      </c>
      <c r="O551" s="14">
        <f>Final_Table[[#This Row],[Units Sold]]*Final_Table[[#This Row],[Sale Price]]</f>
        <v>20400</v>
      </c>
      <c r="P551" s="14">
        <f>Final_Table[[#This Row],[Gross Revenue]]*(1-Final_Table[[#This Row],[Discount %]])</f>
        <v>18360</v>
      </c>
      <c r="Q551">
        <f>Final_Table[[#This Row],[Net Revenue]]*Final_Table[[#This Row],[Variable Cost %]]</f>
        <v>3304.7999999999997</v>
      </c>
      <c r="R551">
        <f>Final_Table[[#This Row],[Variable Cost]]+Final_Table[[#This Row],[Fixed Monthly Cost]]</f>
        <v>21304.799999999999</v>
      </c>
      <c r="S551" s="5">
        <f>Final_Table[[#This Row],[Net Revenue]]-Final_Table[[#This Row],[Total Cost (COGS)]]</f>
        <v>-2944.7999999999993</v>
      </c>
      <c r="T551">
        <f>Final_Table[[#This Row],[Gross Profit]]*Final_Table[[#This Row],[Tax Rate]]</f>
        <v>-883.43999999999971</v>
      </c>
      <c r="U551" s="5">
        <f>Final_Table[[#This Row],[Gross Profit]]-Final_Table[[#This Row],[Tax]]</f>
        <v>-2061.3599999999997</v>
      </c>
      <c r="V551" s="12">
        <f>Final_Table[[#This Row],[Net Profit]]/Final_Table[[#This Row],[Gross Revenue]]</f>
        <v>-0.10104705882352939</v>
      </c>
    </row>
    <row r="552" spans="1:22">
      <c r="A552" s="18" t="s">
        <v>71</v>
      </c>
      <c r="B552">
        <v>2014</v>
      </c>
      <c r="C552" t="s">
        <v>122</v>
      </c>
      <c r="D552">
        <v>1</v>
      </c>
      <c r="E552" s="18" t="s">
        <v>22</v>
      </c>
      <c r="F552" s="18" t="s">
        <v>80</v>
      </c>
      <c r="G552" s="18" t="s">
        <v>36</v>
      </c>
      <c r="H552" s="18" t="str">
        <f>Assumptions!$B$2</f>
        <v>Worst</v>
      </c>
      <c r="I552" s="18">
        <f>_xlfn.XLOOKUP(Assumptions!$B$2,Assumptions!$F$4:$H$4,Assumptions!$F$5:$H$5)</f>
        <v>1200</v>
      </c>
      <c r="J552" s="18">
        <f>_xlfn.XLOOKUP(Assumptions!$B$2,Assumptions!$F$4:$H$4,Assumptions!$F$6:$H$6)</f>
        <v>17</v>
      </c>
      <c r="K552" s="12">
        <f>_xlfn.XLOOKUP(Assumptions!$B$2,Assumptions!$F$4:$H$4,Assumptions!$F$8:$H$8)</f>
        <v>0.1</v>
      </c>
      <c r="L552" s="12">
        <f>_xlfn.XLOOKUP(Assumptions!$B$2,Assumptions!$F$4:$H$4,Assumptions!$F$9:$H$9)</f>
        <v>0.18</v>
      </c>
      <c r="M552" s="18">
        <f>_xlfn.XLOOKUP(Assumptions!$B$2,Assumptions!$F$4:$H$4,Assumptions!$F$10:$H$10)</f>
        <v>18000</v>
      </c>
      <c r="N552" s="12">
        <f>_xlfn.XLOOKUP(Assumptions!$B$2,Assumptions!$F$4:$H$4,Assumptions!$F$11:$H$11)</f>
        <v>0.3</v>
      </c>
      <c r="O552" s="14">
        <f>Final_Table[[#This Row],[Units Sold]]*Final_Table[[#This Row],[Sale Price]]</f>
        <v>20400</v>
      </c>
      <c r="P552" s="14">
        <f>Final_Table[[#This Row],[Gross Revenue]]*(1-Final_Table[[#This Row],[Discount %]])</f>
        <v>18360</v>
      </c>
      <c r="Q552">
        <f>Final_Table[[#This Row],[Net Revenue]]*Final_Table[[#This Row],[Variable Cost %]]</f>
        <v>3304.7999999999997</v>
      </c>
      <c r="R552">
        <f>Final_Table[[#This Row],[Variable Cost]]+Final_Table[[#This Row],[Fixed Monthly Cost]]</f>
        <v>21304.799999999999</v>
      </c>
      <c r="S552" s="5">
        <f>Final_Table[[#This Row],[Net Revenue]]-Final_Table[[#This Row],[Total Cost (COGS)]]</f>
        <v>-2944.7999999999993</v>
      </c>
      <c r="T552">
        <f>Final_Table[[#This Row],[Gross Profit]]*Final_Table[[#This Row],[Tax Rate]]</f>
        <v>-883.43999999999971</v>
      </c>
      <c r="U552" s="5">
        <f>Final_Table[[#This Row],[Gross Profit]]-Final_Table[[#This Row],[Tax]]</f>
        <v>-2061.3599999999997</v>
      </c>
      <c r="V552" s="12">
        <f>Final_Table[[#This Row],[Net Profit]]/Final_Table[[#This Row],[Gross Revenue]]</f>
        <v>-0.10104705882352939</v>
      </c>
    </row>
    <row r="553" spans="1:22">
      <c r="A553" s="18" t="s">
        <v>71</v>
      </c>
      <c r="B553">
        <v>2014</v>
      </c>
      <c r="C553" t="s">
        <v>122</v>
      </c>
      <c r="D553">
        <v>1</v>
      </c>
      <c r="E553" s="18" t="s">
        <v>22</v>
      </c>
      <c r="F553" s="18" t="s">
        <v>80</v>
      </c>
      <c r="G553" s="18" t="s">
        <v>23</v>
      </c>
      <c r="H553" s="18" t="str">
        <f>Assumptions!$B$2</f>
        <v>Worst</v>
      </c>
      <c r="I553" s="18">
        <f>_xlfn.XLOOKUP(Assumptions!$B$2,Assumptions!$F$4:$H$4,Assumptions!$F$5:$H$5)</f>
        <v>1200</v>
      </c>
      <c r="J553" s="18">
        <f>_xlfn.XLOOKUP(Assumptions!$B$2,Assumptions!$F$4:$H$4,Assumptions!$F$6:$H$6)</f>
        <v>17</v>
      </c>
      <c r="K553" s="12">
        <f>_xlfn.XLOOKUP(Assumptions!$B$2,Assumptions!$F$4:$H$4,Assumptions!$F$8:$H$8)</f>
        <v>0.1</v>
      </c>
      <c r="L553" s="12">
        <f>_xlfn.XLOOKUP(Assumptions!$B$2,Assumptions!$F$4:$H$4,Assumptions!$F$9:$H$9)</f>
        <v>0.18</v>
      </c>
      <c r="M553" s="18">
        <f>_xlfn.XLOOKUP(Assumptions!$B$2,Assumptions!$F$4:$H$4,Assumptions!$F$10:$H$10)</f>
        <v>18000</v>
      </c>
      <c r="N553" s="12">
        <f>_xlfn.XLOOKUP(Assumptions!$B$2,Assumptions!$F$4:$H$4,Assumptions!$F$11:$H$11)</f>
        <v>0.3</v>
      </c>
      <c r="O553" s="14">
        <f>Final_Table[[#This Row],[Units Sold]]*Final_Table[[#This Row],[Sale Price]]</f>
        <v>20400</v>
      </c>
      <c r="P553" s="14">
        <f>Final_Table[[#This Row],[Gross Revenue]]*(1-Final_Table[[#This Row],[Discount %]])</f>
        <v>18360</v>
      </c>
      <c r="Q553">
        <f>Final_Table[[#This Row],[Net Revenue]]*Final_Table[[#This Row],[Variable Cost %]]</f>
        <v>3304.7999999999997</v>
      </c>
      <c r="R553">
        <f>Final_Table[[#This Row],[Variable Cost]]+Final_Table[[#This Row],[Fixed Monthly Cost]]</f>
        <v>21304.799999999999</v>
      </c>
      <c r="S553" s="5">
        <f>Final_Table[[#This Row],[Net Revenue]]-Final_Table[[#This Row],[Total Cost (COGS)]]</f>
        <v>-2944.7999999999993</v>
      </c>
      <c r="T553">
        <f>Final_Table[[#This Row],[Gross Profit]]*Final_Table[[#This Row],[Tax Rate]]</f>
        <v>-883.43999999999971</v>
      </c>
      <c r="U553" s="5">
        <f>Final_Table[[#This Row],[Gross Profit]]-Final_Table[[#This Row],[Tax]]</f>
        <v>-2061.3599999999997</v>
      </c>
      <c r="V553" s="12">
        <f>Final_Table[[#This Row],[Net Profit]]/Final_Table[[#This Row],[Gross Revenue]]</f>
        <v>-0.10104705882352939</v>
      </c>
    </row>
    <row r="554" spans="1:22">
      <c r="A554" s="18" t="s">
        <v>71</v>
      </c>
      <c r="B554">
        <v>2014</v>
      </c>
      <c r="C554" t="s">
        <v>122</v>
      </c>
      <c r="D554">
        <v>1</v>
      </c>
      <c r="E554" s="18" t="s">
        <v>22</v>
      </c>
      <c r="F554" s="18" t="s">
        <v>80</v>
      </c>
      <c r="G554" s="18" t="s">
        <v>21</v>
      </c>
      <c r="H554" s="18" t="str">
        <f>Assumptions!$B$2</f>
        <v>Worst</v>
      </c>
      <c r="I554" s="18">
        <f>_xlfn.XLOOKUP(Assumptions!$B$2,Assumptions!$F$4:$H$4,Assumptions!$F$5:$H$5)</f>
        <v>1200</v>
      </c>
      <c r="J554" s="18">
        <f>_xlfn.XLOOKUP(Assumptions!$B$2,Assumptions!$F$4:$H$4,Assumptions!$F$6:$H$6)</f>
        <v>17</v>
      </c>
      <c r="K554" s="12">
        <f>_xlfn.XLOOKUP(Assumptions!$B$2,Assumptions!$F$4:$H$4,Assumptions!$F$8:$H$8)</f>
        <v>0.1</v>
      </c>
      <c r="L554" s="12">
        <f>_xlfn.XLOOKUP(Assumptions!$B$2,Assumptions!$F$4:$H$4,Assumptions!$F$9:$H$9)</f>
        <v>0.18</v>
      </c>
      <c r="M554" s="18">
        <f>_xlfn.XLOOKUP(Assumptions!$B$2,Assumptions!$F$4:$H$4,Assumptions!$F$10:$H$10)</f>
        <v>18000</v>
      </c>
      <c r="N554" s="12">
        <f>_xlfn.XLOOKUP(Assumptions!$B$2,Assumptions!$F$4:$H$4,Assumptions!$F$11:$H$11)</f>
        <v>0.3</v>
      </c>
      <c r="O554" s="14">
        <f>Final_Table[[#This Row],[Units Sold]]*Final_Table[[#This Row],[Sale Price]]</f>
        <v>20400</v>
      </c>
      <c r="P554" s="14">
        <f>Final_Table[[#This Row],[Gross Revenue]]*(1-Final_Table[[#This Row],[Discount %]])</f>
        <v>18360</v>
      </c>
      <c r="Q554">
        <f>Final_Table[[#This Row],[Net Revenue]]*Final_Table[[#This Row],[Variable Cost %]]</f>
        <v>3304.7999999999997</v>
      </c>
      <c r="R554">
        <f>Final_Table[[#This Row],[Variable Cost]]+Final_Table[[#This Row],[Fixed Monthly Cost]]</f>
        <v>21304.799999999999</v>
      </c>
      <c r="S554" s="5">
        <f>Final_Table[[#This Row],[Net Revenue]]-Final_Table[[#This Row],[Total Cost (COGS)]]</f>
        <v>-2944.7999999999993</v>
      </c>
      <c r="T554">
        <f>Final_Table[[#This Row],[Gross Profit]]*Final_Table[[#This Row],[Tax Rate]]</f>
        <v>-883.43999999999971</v>
      </c>
      <c r="U554" s="5">
        <f>Final_Table[[#This Row],[Gross Profit]]-Final_Table[[#This Row],[Tax]]</f>
        <v>-2061.3599999999997</v>
      </c>
      <c r="V554" s="12">
        <f>Final_Table[[#This Row],[Net Profit]]/Final_Table[[#This Row],[Gross Revenue]]</f>
        <v>-0.10104705882352939</v>
      </c>
    </row>
    <row r="555" spans="1:22">
      <c r="A555" s="18" t="s">
        <v>71</v>
      </c>
      <c r="B555">
        <v>2014</v>
      </c>
      <c r="C555" t="s">
        <v>122</v>
      </c>
      <c r="D555">
        <v>1</v>
      </c>
      <c r="E555" s="18" t="s">
        <v>22</v>
      </c>
      <c r="F555" s="18" t="s">
        <v>80</v>
      </c>
      <c r="G555" s="18" t="s">
        <v>25</v>
      </c>
      <c r="H555" s="18" t="str">
        <f>Assumptions!$B$2</f>
        <v>Worst</v>
      </c>
      <c r="I555" s="18">
        <f>_xlfn.XLOOKUP(Assumptions!$B$2,Assumptions!$F$4:$H$4,Assumptions!$F$5:$H$5)</f>
        <v>1200</v>
      </c>
      <c r="J555" s="18">
        <f>_xlfn.XLOOKUP(Assumptions!$B$2,Assumptions!$F$4:$H$4,Assumptions!$F$6:$H$6)</f>
        <v>17</v>
      </c>
      <c r="K555" s="12">
        <f>_xlfn.XLOOKUP(Assumptions!$B$2,Assumptions!$F$4:$H$4,Assumptions!$F$8:$H$8)</f>
        <v>0.1</v>
      </c>
      <c r="L555" s="12">
        <f>_xlfn.XLOOKUP(Assumptions!$B$2,Assumptions!$F$4:$H$4,Assumptions!$F$9:$H$9)</f>
        <v>0.18</v>
      </c>
      <c r="M555" s="18">
        <f>_xlfn.XLOOKUP(Assumptions!$B$2,Assumptions!$F$4:$H$4,Assumptions!$F$10:$H$10)</f>
        <v>18000</v>
      </c>
      <c r="N555" s="12">
        <f>_xlfn.XLOOKUP(Assumptions!$B$2,Assumptions!$F$4:$H$4,Assumptions!$F$11:$H$11)</f>
        <v>0.3</v>
      </c>
      <c r="O555" s="14">
        <f>Final_Table[[#This Row],[Units Sold]]*Final_Table[[#This Row],[Sale Price]]</f>
        <v>20400</v>
      </c>
      <c r="P555" s="14">
        <f>Final_Table[[#This Row],[Gross Revenue]]*(1-Final_Table[[#This Row],[Discount %]])</f>
        <v>18360</v>
      </c>
      <c r="Q555">
        <f>Final_Table[[#This Row],[Net Revenue]]*Final_Table[[#This Row],[Variable Cost %]]</f>
        <v>3304.7999999999997</v>
      </c>
      <c r="R555">
        <f>Final_Table[[#This Row],[Variable Cost]]+Final_Table[[#This Row],[Fixed Monthly Cost]]</f>
        <v>21304.799999999999</v>
      </c>
      <c r="S555" s="5">
        <f>Final_Table[[#This Row],[Net Revenue]]-Final_Table[[#This Row],[Total Cost (COGS)]]</f>
        <v>-2944.7999999999993</v>
      </c>
      <c r="T555">
        <f>Final_Table[[#This Row],[Gross Profit]]*Final_Table[[#This Row],[Tax Rate]]</f>
        <v>-883.43999999999971</v>
      </c>
      <c r="U555" s="5">
        <f>Final_Table[[#This Row],[Gross Profit]]-Final_Table[[#This Row],[Tax]]</f>
        <v>-2061.3599999999997</v>
      </c>
      <c r="V555" s="12">
        <f>Final_Table[[#This Row],[Net Profit]]/Final_Table[[#This Row],[Gross Revenue]]</f>
        <v>-0.10104705882352939</v>
      </c>
    </row>
    <row r="556" spans="1:22">
      <c r="A556" s="18" t="s">
        <v>71</v>
      </c>
      <c r="B556">
        <v>2014</v>
      </c>
      <c r="C556" t="s">
        <v>122</v>
      </c>
      <c r="D556">
        <v>1</v>
      </c>
      <c r="E556" s="18" t="s">
        <v>22</v>
      </c>
      <c r="F556" s="18" t="s">
        <v>80</v>
      </c>
      <c r="G556" s="18" t="s">
        <v>17</v>
      </c>
      <c r="H556" s="18" t="str">
        <f>Assumptions!$B$2</f>
        <v>Worst</v>
      </c>
      <c r="I556" s="18">
        <f>_xlfn.XLOOKUP(Assumptions!$B$2,Assumptions!$F$4:$H$4,Assumptions!$F$5:$H$5)</f>
        <v>1200</v>
      </c>
      <c r="J556" s="18">
        <f>_xlfn.XLOOKUP(Assumptions!$B$2,Assumptions!$F$4:$H$4,Assumptions!$F$6:$H$6)</f>
        <v>17</v>
      </c>
      <c r="K556" s="12">
        <f>_xlfn.XLOOKUP(Assumptions!$B$2,Assumptions!$F$4:$H$4,Assumptions!$F$8:$H$8)</f>
        <v>0.1</v>
      </c>
      <c r="L556" s="12">
        <f>_xlfn.XLOOKUP(Assumptions!$B$2,Assumptions!$F$4:$H$4,Assumptions!$F$9:$H$9)</f>
        <v>0.18</v>
      </c>
      <c r="M556" s="18">
        <f>_xlfn.XLOOKUP(Assumptions!$B$2,Assumptions!$F$4:$H$4,Assumptions!$F$10:$H$10)</f>
        <v>18000</v>
      </c>
      <c r="N556" s="12">
        <f>_xlfn.XLOOKUP(Assumptions!$B$2,Assumptions!$F$4:$H$4,Assumptions!$F$11:$H$11)</f>
        <v>0.3</v>
      </c>
      <c r="O556" s="14">
        <f>Final_Table[[#This Row],[Units Sold]]*Final_Table[[#This Row],[Sale Price]]</f>
        <v>20400</v>
      </c>
      <c r="P556" s="14">
        <f>Final_Table[[#This Row],[Gross Revenue]]*(1-Final_Table[[#This Row],[Discount %]])</f>
        <v>18360</v>
      </c>
      <c r="Q556">
        <f>Final_Table[[#This Row],[Net Revenue]]*Final_Table[[#This Row],[Variable Cost %]]</f>
        <v>3304.7999999999997</v>
      </c>
      <c r="R556">
        <f>Final_Table[[#This Row],[Variable Cost]]+Final_Table[[#This Row],[Fixed Monthly Cost]]</f>
        <v>21304.799999999999</v>
      </c>
      <c r="S556" s="5">
        <f>Final_Table[[#This Row],[Net Revenue]]-Final_Table[[#This Row],[Total Cost (COGS)]]</f>
        <v>-2944.7999999999993</v>
      </c>
      <c r="T556">
        <f>Final_Table[[#This Row],[Gross Profit]]*Final_Table[[#This Row],[Tax Rate]]</f>
        <v>-883.43999999999971</v>
      </c>
      <c r="U556" s="5">
        <f>Final_Table[[#This Row],[Gross Profit]]-Final_Table[[#This Row],[Tax]]</f>
        <v>-2061.3599999999997</v>
      </c>
      <c r="V556" s="12">
        <f>Final_Table[[#This Row],[Net Profit]]/Final_Table[[#This Row],[Gross Revenue]]</f>
        <v>-0.10104705882352939</v>
      </c>
    </row>
    <row r="557" spans="1:22">
      <c r="A557" s="18" t="s">
        <v>71</v>
      </c>
      <c r="B557">
        <v>2014</v>
      </c>
      <c r="C557" t="s">
        <v>122</v>
      </c>
      <c r="D557">
        <v>1</v>
      </c>
      <c r="E557" s="18" t="s">
        <v>22</v>
      </c>
      <c r="F557" s="18" t="s">
        <v>108</v>
      </c>
      <c r="G557" s="18" t="s">
        <v>36</v>
      </c>
      <c r="H557" s="18" t="str">
        <f>Assumptions!$B$2</f>
        <v>Worst</v>
      </c>
      <c r="I557" s="18">
        <f>_xlfn.XLOOKUP(Assumptions!$B$2,Assumptions!$F$4:$H$4,Assumptions!$F$5:$H$5)</f>
        <v>1200</v>
      </c>
      <c r="J557" s="18">
        <f>_xlfn.XLOOKUP(Assumptions!$B$2,Assumptions!$F$4:$H$4,Assumptions!$F$6:$H$6)</f>
        <v>17</v>
      </c>
      <c r="K557" s="12">
        <f>_xlfn.XLOOKUP(Assumptions!$B$2,Assumptions!$F$4:$H$4,Assumptions!$F$8:$H$8)</f>
        <v>0.1</v>
      </c>
      <c r="L557" s="12">
        <f>_xlfn.XLOOKUP(Assumptions!$B$2,Assumptions!$F$4:$H$4,Assumptions!$F$9:$H$9)</f>
        <v>0.18</v>
      </c>
      <c r="M557" s="18">
        <f>_xlfn.XLOOKUP(Assumptions!$B$2,Assumptions!$F$4:$H$4,Assumptions!$F$10:$H$10)</f>
        <v>18000</v>
      </c>
      <c r="N557" s="12">
        <f>_xlfn.XLOOKUP(Assumptions!$B$2,Assumptions!$F$4:$H$4,Assumptions!$F$11:$H$11)</f>
        <v>0.3</v>
      </c>
      <c r="O557" s="14">
        <f>Final_Table[[#This Row],[Units Sold]]*Final_Table[[#This Row],[Sale Price]]</f>
        <v>20400</v>
      </c>
      <c r="P557" s="14">
        <f>Final_Table[[#This Row],[Gross Revenue]]*(1-Final_Table[[#This Row],[Discount %]])</f>
        <v>18360</v>
      </c>
      <c r="Q557">
        <f>Final_Table[[#This Row],[Net Revenue]]*Final_Table[[#This Row],[Variable Cost %]]</f>
        <v>3304.7999999999997</v>
      </c>
      <c r="R557">
        <f>Final_Table[[#This Row],[Variable Cost]]+Final_Table[[#This Row],[Fixed Monthly Cost]]</f>
        <v>21304.799999999999</v>
      </c>
      <c r="S557" s="5">
        <f>Final_Table[[#This Row],[Net Revenue]]-Final_Table[[#This Row],[Total Cost (COGS)]]</f>
        <v>-2944.7999999999993</v>
      </c>
      <c r="T557">
        <f>Final_Table[[#This Row],[Gross Profit]]*Final_Table[[#This Row],[Tax Rate]]</f>
        <v>-883.43999999999971</v>
      </c>
      <c r="U557" s="5">
        <f>Final_Table[[#This Row],[Gross Profit]]-Final_Table[[#This Row],[Tax]]</f>
        <v>-2061.3599999999997</v>
      </c>
      <c r="V557" s="12">
        <f>Final_Table[[#This Row],[Net Profit]]/Final_Table[[#This Row],[Gross Revenue]]</f>
        <v>-0.10104705882352939</v>
      </c>
    </row>
    <row r="558" spans="1:22">
      <c r="A558" s="18" t="s">
        <v>71</v>
      </c>
      <c r="B558">
        <v>2014</v>
      </c>
      <c r="C558" t="s">
        <v>122</v>
      </c>
      <c r="D558">
        <v>1</v>
      </c>
      <c r="E558" s="18" t="s">
        <v>22</v>
      </c>
      <c r="F558" s="18" t="s">
        <v>108</v>
      </c>
      <c r="G558" s="18" t="s">
        <v>23</v>
      </c>
      <c r="H558" s="18" t="str">
        <f>Assumptions!$B$2</f>
        <v>Worst</v>
      </c>
      <c r="I558" s="18">
        <f>_xlfn.XLOOKUP(Assumptions!$B$2,Assumptions!$F$4:$H$4,Assumptions!$F$5:$H$5)</f>
        <v>1200</v>
      </c>
      <c r="J558" s="18">
        <f>_xlfn.XLOOKUP(Assumptions!$B$2,Assumptions!$F$4:$H$4,Assumptions!$F$6:$H$6)</f>
        <v>17</v>
      </c>
      <c r="K558" s="12">
        <f>_xlfn.XLOOKUP(Assumptions!$B$2,Assumptions!$F$4:$H$4,Assumptions!$F$8:$H$8)</f>
        <v>0.1</v>
      </c>
      <c r="L558" s="12">
        <f>_xlfn.XLOOKUP(Assumptions!$B$2,Assumptions!$F$4:$H$4,Assumptions!$F$9:$H$9)</f>
        <v>0.18</v>
      </c>
      <c r="M558" s="18">
        <f>_xlfn.XLOOKUP(Assumptions!$B$2,Assumptions!$F$4:$H$4,Assumptions!$F$10:$H$10)</f>
        <v>18000</v>
      </c>
      <c r="N558" s="12">
        <f>_xlfn.XLOOKUP(Assumptions!$B$2,Assumptions!$F$4:$H$4,Assumptions!$F$11:$H$11)</f>
        <v>0.3</v>
      </c>
      <c r="O558" s="14">
        <f>Final_Table[[#This Row],[Units Sold]]*Final_Table[[#This Row],[Sale Price]]</f>
        <v>20400</v>
      </c>
      <c r="P558" s="14">
        <f>Final_Table[[#This Row],[Gross Revenue]]*(1-Final_Table[[#This Row],[Discount %]])</f>
        <v>18360</v>
      </c>
      <c r="Q558">
        <f>Final_Table[[#This Row],[Net Revenue]]*Final_Table[[#This Row],[Variable Cost %]]</f>
        <v>3304.7999999999997</v>
      </c>
      <c r="R558">
        <f>Final_Table[[#This Row],[Variable Cost]]+Final_Table[[#This Row],[Fixed Monthly Cost]]</f>
        <v>21304.799999999999</v>
      </c>
      <c r="S558" s="5">
        <f>Final_Table[[#This Row],[Net Revenue]]-Final_Table[[#This Row],[Total Cost (COGS)]]</f>
        <v>-2944.7999999999993</v>
      </c>
      <c r="T558">
        <f>Final_Table[[#This Row],[Gross Profit]]*Final_Table[[#This Row],[Tax Rate]]</f>
        <v>-883.43999999999971</v>
      </c>
      <c r="U558" s="5">
        <f>Final_Table[[#This Row],[Gross Profit]]-Final_Table[[#This Row],[Tax]]</f>
        <v>-2061.3599999999997</v>
      </c>
      <c r="V558" s="12">
        <f>Final_Table[[#This Row],[Net Profit]]/Final_Table[[#This Row],[Gross Revenue]]</f>
        <v>-0.10104705882352939</v>
      </c>
    </row>
    <row r="559" spans="1:22">
      <c r="A559" s="18" t="s">
        <v>71</v>
      </c>
      <c r="B559">
        <v>2014</v>
      </c>
      <c r="C559" t="s">
        <v>122</v>
      </c>
      <c r="D559">
        <v>1</v>
      </c>
      <c r="E559" s="18" t="s">
        <v>22</v>
      </c>
      <c r="F559" s="18" t="s">
        <v>108</v>
      </c>
      <c r="G559" s="18" t="s">
        <v>21</v>
      </c>
      <c r="H559" s="18" t="str">
        <f>Assumptions!$B$2</f>
        <v>Worst</v>
      </c>
      <c r="I559" s="18">
        <f>_xlfn.XLOOKUP(Assumptions!$B$2,Assumptions!$F$4:$H$4,Assumptions!$F$5:$H$5)</f>
        <v>1200</v>
      </c>
      <c r="J559" s="18">
        <f>_xlfn.XLOOKUP(Assumptions!$B$2,Assumptions!$F$4:$H$4,Assumptions!$F$6:$H$6)</f>
        <v>17</v>
      </c>
      <c r="K559" s="12">
        <f>_xlfn.XLOOKUP(Assumptions!$B$2,Assumptions!$F$4:$H$4,Assumptions!$F$8:$H$8)</f>
        <v>0.1</v>
      </c>
      <c r="L559" s="12">
        <f>_xlfn.XLOOKUP(Assumptions!$B$2,Assumptions!$F$4:$H$4,Assumptions!$F$9:$H$9)</f>
        <v>0.18</v>
      </c>
      <c r="M559" s="18">
        <f>_xlfn.XLOOKUP(Assumptions!$B$2,Assumptions!$F$4:$H$4,Assumptions!$F$10:$H$10)</f>
        <v>18000</v>
      </c>
      <c r="N559" s="12">
        <f>_xlfn.XLOOKUP(Assumptions!$B$2,Assumptions!$F$4:$H$4,Assumptions!$F$11:$H$11)</f>
        <v>0.3</v>
      </c>
      <c r="O559" s="14">
        <f>Final_Table[[#This Row],[Units Sold]]*Final_Table[[#This Row],[Sale Price]]</f>
        <v>20400</v>
      </c>
      <c r="P559" s="14">
        <f>Final_Table[[#This Row],[Gross Revenue]]*(1-Final_Table[[#This Row],[Discount %]])</f>
        <v>18360</v>
      </c>
      <c r="Q559">
        <f>Final_Table[[#This Row],[Net Revenue]]*Final_Table[[#This Row],[Variable Cost %]]</f>
        <v>3304.7999999999997</v>
      </c>
      <c r="R559">
        <f>Final_Table[[#This Row],[Variable Cost]]+Final_Table[[#This Row],[Fixed Monthly Cost]]</f>
        <v>21304.799999999999</v>
      </c>
      <c r="S559" s="5">
        <f>Final_Table[[#This Row],[Net Revenue]]-Final_Table[[#This Row],[Total Cost (COGS)]]</f>
        <v>-2944.7999999999993</v>
      </c>
      <c r="T559">
        <f>Final_Table[[#This Row],[Gross Profit]]*Final_Table[[#This Row],[Tax Rate]]</f>
        <v>-883.43999999999971</v>
      </c>
      <c r="U559" s="5">
        <f>Final_Table[[#This Row],[Gross Profit]]-Final_Table[[#This Row],[Tax]]</f>
        <v>-2061.3599999999997</v>
      </c>
      <c r="V559" s="12">
        <f>Final_Table[[#This Row],[Net Profit]]/Final_Table[[#This Row],[Gross Revenue]]</f>
        <v>-0.10104705882352939</v>
      </c>
    </row>
    <row r="560" spans="1:22">
      <c r="A560" s="18" t="s">
        <v>71</v>
      </c>
      <c r="B560">
        <v>2014</v>
      </c>
      <c r="C560" t="s">
        <v>122</v>
      </c>
      <c r="D560">
        <v>1</v>
      </c>
      <c r="E560" s="18" t="s">
        <v>22</v>
      </c>
      <c r="F560" s="18" t="s">
        <v>108</v>
      </c>
      <c r="G560" s="18" t="s">
        <v>25</v>
      </c>
      <c r="H560" s="18" t="str">
        <f>Assumptions!$B$2</f>
        <v>Worst</v>
      </c>
      <c r="I560" s="18">
        <f>_xlfn.XLOOKUP(Assumptions!$B$2,Assumptions!$F$4:$H$4,Assumptions!$F$5:$H$5)</f>
        <v>1200</v>
      </c>
      <c r="J560" s="18">
        <f>_xlfn.XLOOKUP(Assumptions!$B$2,Assumptions!$F$4:$H$4,Assumptions!$F$6:$H$6)</f>
        <v>17</v>
      </c>
      <c r="K560" s="12">
        <f>_xlfn.XLOOKUP(Assumptions!$B$2,Assumptions!$F$4:$H$4,Assumptions!$F$8:$H$8)</f>
        <v>0.1</v>
      </c>
      <c r="L560" s="12">
        <f>_xlfn.XLOOKUP(Assumptions!$B$2,Assumptions!$F$4:$H$4,Assumptions!$F$9:$H$9)</f>
        <v>0.18</v>
      </c>
      <c r="M560" s="18">
        <f>_xlfn.XLOOKUP(Assumptions!$B$2,Assumptions!$F$4:$H$4,Assumptions!$F$10:$H$10)</f>
        <v>18000</v>
      </c>
      <c r="N560" s="12">
        <f>_xlfn.XLOOKUP(Assumptions!$B$2,Assumptions!$F$4:$H$4,Assumptions!$F$11:$H$11)</f>
        <v>0.3</v>
      </c>
      <c r="O560" s="14">
        <f>Final_Table[[#This Row],[Units Sold]]*Final_Table[[#This Row],[Sale Price]]</f>
        <v>20400</v>
      </c>
      <c r="P560" s="14">
        <f>Final_Table[[#This Row],[Gross Revenue]]*(1-Final_Table[[#This Row],[Discount %]])</f>
        <v>18360</v>
      </c>
      <c r="Q560">
        <f>Final_Table[[#This Row],[Net Revenue]]*Final_Table[[#This Row],[Variable Cost %]]</f>
        <v>3304.7999999999997</v>
      </c>
      <c r="R560">
        <f>Final_Table[[#This Row],[Variable Cost]]+Final_Table[[#This Row],[Fixed Monthly Cost]]</f>
        <v>21304.799999999999</v>
      </c>
      <c r="S560" s="5">
        <f>Final_Table[[#This Row],[Net Revenue]]-Final_Table[[#This Row],[Total Cost (COGS)]]</f>
        <v>-2944.7999999999993</v>
      </c>
      <c r="T560">
        <f>Final_Table[[#This Row],[Gross Profit]]*Final_Table[[#This Row],[Tax Rate]]</f>
        <v>-883.43999999999971</v>
      </c>
      <c r="U560" s="5">
        <f>Final_Table[[#This Row],[Gross Profit]]-Final_Table[[#This Row],[Tax]]</f>
        <v>-2061.3599999999997</v>
      </c>
      <c r="V560" s="12">
        <f>Final_Table[[#This Row],[Net Profit]]/Final_Table[[#This Row],[Gross Revenue]]</f>
        <v>-0.10104705882352939</v>
      </c>
    </row>
    <row r="561" spans="1:22">
      <c r="A561" s="18" t="s">
        <v>71</v>
      </c>
      <c r="B561">
        <v>2014</v>
      </c>
      <c r="C561" t="s">
        <v>122</v>
      </c>
      <c r="D561">
        <v>1</v>
      </c>
      <c r="E561" s="18" t="s">
        <v>22</v>
      </c>
      <c r="F561" s="18" t="s">
        <v>108</v>
      </c>
      <c r="G561" s="18" t="s">
        <v>17</v>
      </c>
      <c r="H561" s="18" t="str">
        <f>Assumptions!$B$2</f>
        <v>Worst</v>
      </c>
      <c r="I561" s="18">
        <f>_xlfn.XLOOKUP(Assumptions!$B$2,Assumptions!$F$4:$H$4,Assumptions!$F$5:$H$5)</f>
        <v>1200</v>
      </c>
      <c r="J561" s="18">
        <f>_xlfn.XLOOKUP(Assumptions!$B$2,Assumptions!$F$4:$H$4,Assumptions!$F$6:$H$6)</f>
        <v>17</v>
      </c>
      <c r="K561" s="12">
        <f>_xlfn.XLOOKUP(Assumptions!$B$2,Assumptions!$F$4:$H$4,Assumptions!$F$8:$H$8)</f>
        <v>0.1</v>
      </c>
      <c r="L561" s="12">
        <f>_xlfn.XLOOKUP(Assumptions!$B$2,Assumptions!$F$4:$H$4,Assumptions!$F$9:$H$9)</f>
        <v>0.18</v>
      </c>
      <c r="M561" s="18">
        <f>_xlfn.XLOOKUP(Assumptions!$B$2,Assumptions!$F$4:$H$4,Assumptions!$F$10:$H$10)</f>
        <v>18000</v>
      </c>
      <c r="N561" s="12">
        <f>_xlfn.XLOOKUP(Assumptions!$B$2,Assumptions!$F$4:$H$4,Assumptions!$F$11:$H$11)</f>
        <v>0.3</v>
      </c>
      <c r="O561" s="14">
        <f>Final_Table[[#This Row],[Units Sold]]*Final_Table[[#This Row],[Sale Price]]</f>
        <v>20400</v>
      </c>
      <c r="P561" s="14">
        <f>Final_Table[[#This Row],[Gross Revenue]]*(1-Final_Table[[#This Row],[Discount %]])</f>
        <v>18360</v>
      </c>
      <c r="Q561">
        <f>Final_Table[[#This Row],[Net Revenue]]*Final_Table[[#This Row],[Variable Cost %]]</f>
        <v>3304.7999999999997</v>
      </c>
      <c r="R561">
        <f>Final_Table[[#This Row],[Variable Cost]]+Final_Table[[#This Row],[Fixed Monthly Cost]]</f>
        <v>21304.799999999999</v>
      </c>
      <c r="S561" s="5">
        <f>Final_Table[[#This Row],[Net Revenue]]-Final_Table[[#This Row],[Total Cost (COGS)]]</f>
        <v>-2944.7999999999993</v>
      </c>
      <c r="T561">
        <f>Final_Table[[#This Row],[Gross Profit]]*Final_Table[[#This Row],[Tax Rate]]</f>
        <v>-883.43999999999971</v>
      </c>
      <c r="U561" s="5">
        <f>Final_Table[[#This Row],[Gross Profit]]-Final_Table[[#This Row],[Tax]]</f>
        <v>-2061.3599999999997</v>
      </c>
      <c r="V561" s="12">
        <f>Final_Table[[#This Row],[Net Profit]]/Final_Table[[#This Row],[Gross Revenue]]</f>
        <v>-0.10104705882352939</v>
      </c>
    </row>
    <row r="562" spans="1:22">
      <c r="A562" s="18" t="s">
        <v>71</v>
      </c>
      <c r="B562">
        <v>2014</v>
      </c>
      <c r="C562" t="s">
        <v>122</v>
      </c>
      <c r="D562">
        <v>1</v>
      </c>
      <c r="E562" s="18" t="s">
        <v>22</v>
      </c>
      <c r="F562" s="18" t="s">
        <v>112</v>
      </c>
      <c r="G562" s="18" t="s">
        <v>36</v>
      </c>
      <c r="H562" s="18" t="str">
        <f>Assumptions!$B$2</f>
        <v>Worst</v>
      </c>
      <c r="I562" s="18">
        <f>_xlfn.XLOOKUP(Assumptions!$B$2,Assumptions!$F$4:$H$4,Assumptions!$F$5:$H$5)</f>
        <v>1200</v>
      </c>
      <c r="J562" s="18">
        <f>_xlfn.XLOOKUP(Assumptions!$B$2,Assumptions!$F$4:$H$4,Assumptions!$F$6:$H$6)</f>
        <v>17</v>
      </c>
      <c r="K562" s="12">
        <f>_xlfn.XLOOKUP(Assumptions!$B$2,Assumptions!$F$4:$H$4,Assumptions!$F$8:$H$8)</f>
        <v>0.1</v>
      </c>
      <c r="L562" s="12">
        <f>_xlfn.XLOOKUP(Assumptions!$B$2,Assumptions!$F$4:$H$4,Assumptions!$F$9:$H$9)</f>
        <v>0.18</v>
      </c>
      <c r="M562" s="18">
        <f>_xlfn.XLOOKUP(Assumptions!$B$2,Assumptions!$F$4:$H$4,Assumptions!$F$10:$H$10)</f>
        <v>18000</v>
      </c>
      <c r="N562" s="12">
        <f>_xlfn.XLOOKUP(Assumptions!$B$2,Assumptions!$F$4:$H$4,Assumptions!$F$11:$H$11)</f>
        <v>0.3</v>
      </c>
      <c r="O562" s="14">
        <f>Final_Table[[#This Row],[Units Sold]]*Final_Table[[#This Row],[Sale Price]]</f>
        <v>20400</v>
      </c>
      <c r="P562" s="14">
        <f>Final_Table[[#This Row],[Gross Revenue]]*(1-Final_Table[[#This Row],[Discount %]])</f>
        <v>18360</v>
      </c>
      <c r="Q562">
        <f>Final_Table[[#This Row],[Net Revenue]]*Final_Table[[#This Row],[Variable Cost %]]</f>
        <v>3304.7999999999997</v>
      </c>
      <c r="R562">
        <f>Final_Table[[#This Row],[Variable Cost]]+Final_Table[[#This Row],[Fixed Monthly Cost]]</f>
        <v>21304.799999999999</v>
      </c>
      <c r="S562" s="5">
        <f>Final_Table[[#This Row],[Net Revenue]]-Final_Table[[#This Row],[Total Cost (COGS)]]</f>
        <v>-2944.7999999999993</v>
      </c>
      <c r="T562">
        <f>Final_Table[[#This Row],[Gross Profit]]*Final_Table[[#This Row],[Tax Rate]]</f>
        <v>-883.43999999999971</v>
      </c>
      <c r="U562" s="5">
        <f>Final_Table[[#This Row],[Gross Profit]]-Final_Table[[#This Row],[Tax]]</f>
        <v>-2061.3599999999997</v>
      </c>
      <c r="V562" s="12">
        <f>Final_Table[[#This Row],[Net Profit]]/Final_Table[[#This Row],[Gross Revenue]]</f>
        <v>-0.10104705882352939</v>
      </c>
    </row>
    <row r="563" spans="1:22">
      <c r="A563" s="18" t="s">
        <v>71</v>
      </c>
      <c r="B563">
        <v>2014</v>
      </c>
      <c r="C563" t="s">
        <v>122</v>
      </c>
      <c r="D563">
        <v>1</v>
      </c>
      <c r="E563" s="18" t="s">
        <v>22</v>
      </c>
      <c r="F563" s="18" t="s">
        <v>112</v>
      </c>
      <c r="G563" s="18" t="s">
        <v>23</v>
      </c>
      <c r="H563" s="18" t="str">
        <f>Assumptions!$B$2</f>
        <v>Worst</v>
      </c>
      <c r="I563" s="18">
        <f>_xlfn.XLOOKUP(Assumptions!$B$2,Assumptions!$F$4:$H$4,Assumptions!$F$5:$H$5)</f>
        <v>1200</v>
      </c>
      <c r="J563" s="18">
        <f>_xlfn.XLOOKUP(Assumptions!$B$2,Assumptions!$F$4:$H$4,Assumptions!$F$6:$H$6)</f>
        <v>17</v>
      </c>
      <c r="K563" s="12">
        <f>_xlfn.XLOOKUP(Assumptions!$B$2,Assumptions!$F$4:$H$4,Assumptions!$F$8:$H$8)</f>
        <v>0.1</v>
      </c>
      <c r="L563" s="12">
        <f>_xlfn.XLOOKUP(Assumptions!$B$2,Assumptions!$F$4:$H$4,Assumptions!$F$9:$H$9)</f>
        <v>0.18</v>
      </c>
      <c r="M563" s="18">
        <f>_xlfn.XLOOKUP(Assumptions!$B$2,Assumptions!$F$4:$H$4,Assumptions!$F$10:$H$10)</f>
        <v>18000</v>
      </c>
      <c r="N563" s="12">
        <f>_xlfn.XLOOKUP(Assumptions!$B$2,Assumptions!$F$4:$H$4,Assumptions!$F$11:$H$11)</f>
        <v>0.3</v>
      </c>
      <c r="O563" s="14">
        <f>Final_Table[[#This Row],[Units Sold]]*Final_Table[[#This Row],[Sale Price]]</f>
        <v>20400</v>
      </c>
      <c r="P563" s="14">
        <f>Final_Table[[#This Row],[Gross Revenue]]*(1-Final_Table[[#This Row],[Discount %]])</f>
        <v>18360</v>
      </c>
      <c r="Q563">
        <f>Final_Table[[#This Row],[Net Revenue]]*Final_Table[[#This Row],[Variable Cost %]]</f>
        <v>3304.7999999999997</v>
      </c>
      <c r="R563">
        <f>Final_Table[[#This Row],[Variable Cost]]+Final_Table[[#This Row],[Fixed Monthly Cost]]</f>
        <v>21304.799999999999</v>
      </c>
      <c r="S563" s="5">
        <f>Final_Table[[#This Row],[Net Revenue]]-Final_Table[[#This Row],[Total Cost (COGS)]]</f>
        <v>-2944.7999999999993</v>
      </c>
      <c r="T563">
        <f>Final_Table[[#This Row],[Gross Profit]]*Final_Table[[#This Row],[Tax Rate]]</f>
        <v>-883.43999999999971</v>
      </c>
      <c r="U563" s="5">
        <f>Final_Table[[#This Row],[Gross Profit]]-Final_Table[[#This Row],[Tax]]</f>
        <v>-2061.3599999999997</v>
      </c>
      <c r="V563" s="12">
        <f>Final_Table[[#This Row],[Net Profit]]/Final_Table[[#This Row],[Gross Revenue]]</f>
        <v>-0.10104705882352939</v>
      </c>
    </row>
    <row r="564" spans="1:22">
      <c r="A564" s="18" t="s">
        <v>71</v>
      </c>
      <c r="B564">
        <v>2014</v>
      </c>
      <c r="C564" t="s">
        <v>122</v>
      </c>
      <c r="D564">
        <v>1</v>
      </c>
      <c r="E564" s="18" t="s">
        <v>22</v>
      </c>
      <c r="F564" s="18" t="s">
        <v>112</v>
      </c>
      <c r="G564" s="18" t="s">
        <v>21</v>
      </c>
      <c r="H564" s="18" t="str">
        <f>Assumptions!$B$2</f>
        <v>Worst</v>
      </c>
      <c r="I564" s="18">
        <f>_xlfn.XLOOKUP(Assumptions!$B$2,Assumptions!$F$4:$H$4,Assumptions!$F$5:$H$5)</f>
        <v>1200</v>
      </c>
      <c r="J564" s="18">
        <f>_xlfn.XLOOKUP(Assumptions!$B$2,Assumptions!$F$4:$H$4,Assumptions!$F$6:$H$6)</f>
        <v>17</v>
      </c>
      <c r="K564" s="12">
        <f>_xlfn.XLOOKUP(Assumptions!$B$2,Assumptions!$F$4:$H$4,Assumptions!$F$8:$H$8)</f>
        <v>0.1</v>
      </c>
      <c r="L564" s="12">
        <f>_xlfn.XLOOKUP(Assumptions!$B$2,Assumptions!$F$4:$H$4,Assumptions!$F$9:$H$9)</f>
        <v>0.18</v>
      </c>
      <c r="M564" s="18">
        <f>_xlfn.XLOOKUP(Assumptions!$B$2,Assumptions!$F$4:$H$4,Assumptions!$F$10:$H$10)</f>
        <v>18000</v>
      </c>
      <c r="N564" s="12">
        <f>_xlfn.XLOOKUP(Assumptions!$B$2,Assumptions!$F$4:$H$4,Assumptions!$F$11:$H$11)</f>
        <v>0.3</v>
      </c>
      <c r="O564" s="14">
        <f>Final_Table[[#This Row],[Units Sold]]*Final_Table[[#This Row],[Sale Price]]</f>
        <v>20400</v>
      </c>
      <c r="P564" s="14">
        <f>Final_Table[[#This Row],[Gross Revenue]]*(1-Final_Table[[#This Row],[Discount %]])</f>
        <v>18360</v>
      </c>
      <c r="Q564">
        <f>Final_Table[[#This Row],[Net Revenue]]*Final_Table[[#This Row],[Variable Cost %]]</f>
        <v>3304.7999999999997</v>
      </c>
      <c r="R564">
        <f>Final_Table[[#This Row],[Variable Cost]]+Final_Table[[#This Row],[Fixed Monthly Cost]]</f>
        <v>21304.799999999999</v>
      </c>
      <c r="S564" s="5">
        <f>Final_Table[[#This Row],[Net Revenue]]-Final_Table[[#This Row],[Total Cost (COGS)]]</f>
        <v>-2944.7999999999993</v>
      </c>
      <c r="T564">
        <f>Final_Table[[#This Row],[Gross Profit]]*Final_Table[[#This Row],[Tax Rate]]</f>
        <v>-883.43999999999971</v>
      </c>
      <c r="U564" s="5">
        <f>Final_Table[[#This Row],[Gross Profit]]-Final_Table[[#This Row],[Tax]]</f>
        <v>-2061.3599999999997</v>
      </c>
      <c r="V564" s="12">
        <f>Final_Table[[#This Row],[Net Profit]]/Final_Table[[#This Row],[Gross Revenue]]</f>
        <v>-0.10104705882352939</v>
      </c>
    </row>
    <row r="565" spans="1:22">
      <c r="A565" s="18" t="s">
        <v>71</v>
      </c>
      <c r="B565">
        <v>2014</v>
      </c>
      <c r="C565" t="s">
        <v>122</v>
      </c>
      <c r="D565">
        <v>1</v>
      </c>
      <c r="E565" s="18" t="s">
        <v>22</v>
      </c>
      <c r="F565" s="18" t="s">
        <v>112</v>
      </c>
      <c r="G565" s="18" t="s">
        <v>25</v>
      </c>
      <c r="H565" s="18" t="str">
        <f>Assumptions!$B$2</f>
        <v>Worst</v>
      </c>
      <c r="I565" s="18">
        <f>_xlfn.XLOOKUP(Assumptions!$B$2,Assumptions!$F$4:$H$4,Assumptions!$F$5:$H$5)</f>
        <v>1200</v>
      </c>
      <c r="J565" s="18">
        <f>_xlfn.XLOOKUP(Assumptions!$B$2,Assumptions!$F$4:$H$4,Assumptions!$F$6:$H$6)</f>
        <v>17</v>
      </c>
      <c r="K565" s="12">
        <f>_xlfn.XLOOKUP(Assumptions!$B$2,Assumptions!$F$4:$H$4,Assumptions!$F$8:$H$8)</f>
        <v>0.1</v>
      </c>
      <c r="L565" s="12">
        <f>_xlfn.XLOOKUP(Assumptions!$B$2,Assumptions!$F$4:$H$4,Assumptions!$F$9:$H$9)</f>
        <v>0.18</v>
      </c>
      <c r="M565" s="18">
        <f>_xlfn.XLOOKUP(Assumptions!$B$2,Assumptions!$F$4:$H$4,Assumptions!$F$10:$H$10)</f>
        <v>18000</v>
      </c>
      <c r="N565" s="12">
        <f>_xlfn.XLOOKUP(Assumptions!$B$2,Assumptions!$F$4:$H$4,Assumptions!$F$11:$H$11)</f>
        <v>0.3</v>
      </c>
      <c r="O565" s="14">
        <f>Final_Table[[#This Row],[Units Sold]]*Final_Table[[#This Row],[Sale Price]]</f>
        <v>20400</v>
      </c>
      <c r="P565" s="14">
        <f>Final_Table[[#This Row],[Gross Revenue]]*(1-Final_Table[[#This Row],[Discount %]])</f>
        <v>18360</v>
      </c>
      <c r="Q565">
        <f>Final_Table[[#This Row],[Net Revenue]]*Final_Table[[#This Row],[Variable Cost %]]</f>
        <v>3304.7999999999997</v>
      </c>
      <c r="R565">
        <f>Final_Table[[#This Row],[Variable Cost]]+Final_Table[[#This Row],[Fixed Monthly Cost]]</f>
        <v>21304.799999999999</v>
      </c>
      <c r="S565" s="5">
        <f>Final_Table[[#This Row],[Net Revenue]]-Final_Table[[#This Row],[Total Cost (COGS)]]</f>
        <v>-2944.7999999999993</v>
      </c>
      <c r="T565">
        <f>Final_Table[[#This Row],[Gross Profit]]*Final_Table[[#This Row],[Tax Rate]]</f>
        <v>-883.43999999999971</v>
      </c>
      <c r="U565" s="5">
        <f>Final_Table[[#This Row],[Gross Profit]]-Final_Table[[#This Row],[Tax]]</f>
        <v>-2061.3599999999997</v>
      </c>
      <c r="V565" s="12">
        <f>Final_Table[[#This Row],[Net Profit]]/Final_Table[[#This Row],[Gross Revenue]]</f>
        <v>-0.10104705882352939</v>
      </c>
    </row>
    <row r="566" spans="1:22">
      <c r="A566" s="18" t="s">
        <v>71</v>
      </c>
      <c r="B566">
        <v>2014</v>
      </c>
      <c r="C566" t="s">
        <v>122</v>
      </c>
      <c r="D566">
        <v>1</v>
      </c>
      <c r="E566" s="18" t="s">
        <v>22</v>
      </c>
      <c r="F566" s="18" t="s">
        <v>112</v>
      </c>
      <c r="G566" s="18" t="s">
        <v>17</v>
      </c>
      <c r="H566" s="18" t="str">
        <f>Assumptions!$B$2</f>
        <v>Worst</v>
      </c>
      <c r="I566" s="18">
        <f>_xlfn.XLOOKUP(Assumptions!$B$2,Assumptions!$F$4:$H$4,Assumptions!$F$5:$H$5)</f>
        <v>1200</v>
      </c>
      <c r="J566" s="18">
        <f>_xlfn.XLOOKUP(Assumptions!$B$2,Assumptions!$F$4:$H$4,Assumptions!$F$6:$H$6)</f>
        <v>17</v>
      </c>
      <c r="K566" s="12">
        <f>_xlfn.XLOOKUP(Assumptions!$B$2,Assumptions!$F$4:$H$4,Assumptions!$F$8:$H$8)</f>
        <v>0.1</v>
      </c>
      <c r="L566" s="12">
        <f>_xlfn.XLOOKUP(Assumptions!$B$2,Assumptions!$F$4:$H$4,Assumptions!$F$9:$H$9)</f>
        <v>0.18</v>
      </c>
      <c r="M566" s="18">
        <f>_xlfn.XLOOKUP(Assumptions!$B$2,Assumptions!$F$4:$H$4,Assumptions!$F$10:$H$10)</f>
        <v>18000</v>
      </c>
      <c r="N566" s="12">
        <f>_xlfn.XLOOKUP(Assumptions!$B$2,Assumptions!$F$4:$H$4,Assumptions!$F$11:$H$11)</f>
        <v>0.3</v>
      </c>
      <c r="O566" s="14">
        <f>Final_Table[[#This Row],[Units Sold]]*Final_Table[[#This Row],[Sale Price]]</f>
        <v>20400</v>
      </c>
      <c r="P566" s="14">
        <f>Final_Table[[#This Row],[Gross Revenue]]*(1-Final_Table[[#This Row],[Discount %]])</f>
        <v>18360</v>
      </c>
      <c r="Q566">
        <f>Final_Table[[#This Row],[Net Revenue]]*Final_Table[[#This Row],[Variable Cost %]]</f>
        <v>3304.7999999999997</v>
      </c>
      <c r="R566">
        <f>Final_Table[[#This Row],[Variable Cost]]+Final_Table[[#This Row],[Fixed Monthly Cost]]</f>
        <v>21304.799999999999</v>
      </c>
      <c r="S566" s="5">
        <f>Final_Table[[#This Row],[Net Revenue]]-Final_Table[[#This Row],[Total Cost (COGS)]]</f>
        <v>-2944.7999999999993</v>
      </c>
      <c r="T566">
        <f>Final_Table[[#This Row],[Gross Profit]]*Final_Table[[#This Row],[Tax Rate]]</f>
        <v>-883.43999999999971</v>
      </c>
      <c r="U566" s="5">
        <f>Final_Table[[#This Row],[Gross Profit]]-Final_Table[[#This Row],[Tax]]</f>
        <v>-2061.3599999999997</v>
      </c>
      <c r="V566" s="12">
        <f>Final_Table[[#This Row],[Net Profit]]/Final_Table[[#This Row],[Gross Revenue]]</f>
        <v>-0.10104705882352939</v>
      </c>
    </row>
    <row r="567" spans="1:22">
      <c r="A567" s="18" t="s">
        <v>71</v>
      </c>
      <c r="B567">
        <v>2014</v>
      </c>
      <c r="C567" t="s">
        <v>122</v>
      </c>
      <c r="D567">
        <v>1</v>
      </c>
      <c r="E567" s="18" t="s">
        <v>22</v>
      </c>
      <c r="F567" s="18" t="s">
        <v>113</v>
      </c>
      <c r="G567" s="18" t="s">
        <v>36</v>
      </c>
      <c r="H567" s="18" t="str">
        <f>Assumptions!$B$2</f>
        <v>Worst</v>
      </c>
      <c r="I567" s="18">
        <f>_xlfn.XLOOKUP(Assumptions!$B$2,Assumptions!$F$4:$H$4,Assumptions!$F$5:$H$5)</f>
        <v>1200</v>
      </c>
      <c r="J567" s="18">
        <f>_xlfn.XLOOKUP(Assumptions!$B$2,Assumptions!$F$4:$H$4,Assumptions!$F$6:$H$6)</f>
        <v>17</v>
      </c>
      <c r="K567" s="12">
        <f>_xlfn.XLOOKUP(Assumptions!$B$2,Assumptions!$F$4:$H$4,Assumptions!$F$8:$H$8)</f>
        <v>0.1</v>
      </c>
      <c r="L567" s="12">
        <f>_xlfn.XLOOKUP(Assumptions!$B$2,Assumptions!$F$4:$H$4,Assumptions!$F$9:$H$9)</f>
        <v>0.18</v>
      </c>
      <c r="M567" s="18">
        <f>_xlfn.XLOOKUP(Assumptions!$B$2,Assumptions!$F$4:$H$4,Assumptions!$F$10:$H$10)</f>
        <v>18000</v>
      </c>
      <c r="N567" s="12">
        <f>_xlfn.XLOOKUP(Assumptions!$B$2,Assumptions!$F$4:$H$4,Assumptions!$F$11:$H$11)</f>
        <v>0.3</v>
      </c>
      <c r="O567" s="14">
        <f>Final_Table[[#This Row],[Units Sold]]*Final_Table[[#This Row],[Sale Price]]</f>
        <v>20400</v>
      </c>
      <c r="P567" s="14">
        <f>Final_Table[[#This Row],[Gross Revenue]]*(1-Final_Table[[#This Row],[Discount %]])</f>
        <v>18360</v>
      </c>
      <c r="Q567">
        <f>Final_Table[[#This Row],[Net Revenue]]*Final_Table[[#This Row],[Variable Cost %]]</f>
        <v>3304.7999999999997</v>
      </c>
      <c r="R567">
        <f>Final_Table[[#This Row],[Variable Cost]]+Final_Table[[#This Row],[Fixed Monthly Cost]]</f>
        <v>21304.799999999999</v>
      </c>
      <c r="S567" s="5">
        <f>Final_Table[[#This Row],[Net Revenue]]-Final_Table[[#This Row],[Total Cost (COGS)]]</f>
        <v>-2944.7999999999993</v>
      </c>
      <c r="T567">
        <f>Final_Table[[#This Row],[Gross Profit]]*Final_Table[[#This Row],[Tax Rate]]</f>
        <v>-883.43999999999971</v>
      </c>
      <c r="U567" s="5">
        <f>Final_Table[[#This Row],[Gross Profit]]-Final_Table[[#This Row],[Tax]]</f>
        <v>-2061.3599999999997</v>
      </c>
      <c r="V567" s="12">
        <f>Final_Table[[#This Row],[Net Profit]]/Final_Table[[#This Row],[Gross Revenue]]</f>
        <v>-0.10104705882352939</v>
      </c>
    </row>
    <row r="568" spans="1:22">
      <c r="A568" s="18" t="s">
        <v>71</v>
      </c>
      <c r="B568">
        <v>2014</v>
      </c>
      <c r="C568" t="s">
        <v>122</v>
      </c>
      <c r="D568">
        <v>1</v>
      </c>
      <c r="E568" s="18" t="s">
        <v>22</v>
      </c>
      <c r="F568" s="18" t="s">
        <v>113</v>
      </c>
      <c r="G568" s="18" t="s">
        <v>23</v>
      </c>
      <c r="H568" s="18" t="str">
        <f>Assumptions!$B$2</f>
        <v>Worst</v>
      </c>
      <c r="I568" s="18">
        <f>_xlfn.XLOOKUP(Assumptions!$B$2,Assumptions!$F$4:$H$4,Assumptions!$F$5:$H$5)</f>
        <v>1200</v>
      </c>
      <c r="J568" s="18">
        <f>_xlfn.XLOOKUP(Assumptions!$B$2,Assumptions!$F$4:$H$4,Assumptions!$F$6:$H$6)</f>
        <v>17</v>
      </c>
      <c r="K568" s="12">
        <f>_xlfn.XLOOKUP(Assumptions!$B$2,Assumptions!$F$4:$H$4,Assumptions!$F$8:$H$8)</f>
        <v>0.1</v>
      </c>
      <c r="L568" s="12">
        <f>_xlfn.XLOOKUP(Assumptions!$B$2,Assumptions!$F$4:$H$4,Assumptions!$F$9:$H$9)</f>
        <v>0.18</v>
      </c>
      <c r="M568" s="18">
        <f>_xlfn.XLOOKUP(Assumptions!$B$2,Assumptions!$F$4:$H$4,Assumptions!$F$10:$H$10)</f>
        <v>18000</v>
      </c>
      <c r="N568" s="12">
        <f>_xlfn.XLOOKUP(Assumptions!$B$2,Assumptions!$F$4:$H$4,Assumptions!$F$11:$H$11)</f>
        <v>0.3</v>
      </c>
      <c r="O568" s="14">
        <f>Final_Table[[#This Row],[Units Sold]]*Final_Table[[#This Row],[Sale Price]]</f>
        <v>20400</v>
      </c>
      <c r="P568" s="14">
        <f>Final_Table[[#This Row],[Gross Revenue]]*(1-Final_Table[[#This Row],[Discount %]])</f>
        <v>18360</v>
      </c>
      <c r="Q568">
        <f>Final_Table[[#This Row],[Net Revenue]]*Final_Table[[#This Row],[Variable Cost %]]</f>
        <v>3304.7999999999997</v>
      </c>
      <c r="R568">
        <f>Final_Table[[#This Row],[Variable Cost]]+Final_Table[[#This Row],[Fixed Monthly Cost]]</f>
        <v>21304.799999999999</v>
      </c>
      <c r="S568" s="5">
        <f>Final_Table[[#This Row],[Net Revenue]]-Final_Table[[#This Row],[Total Cost (COGS)]]</f>
        <v>-2944.7999999999993</v>
      </c>
      <c r="T568">
        <f>Final_Table[[#This Row],[Gross Profit]]*Final_Table[[#This Row],[Tax Rate]]</f>
        <v>-883.43999999999971</v>
      </c>
      <c r="U568" s="5">
        <f>Final_Table[[#This Row],[Gross Profit]]-Final_Table[[#This Row],[Tax]]</f>
        <v>-2061.3599999999997</v>
      </c>
      <c r="V568" s="12">
        <f>Final_Table[[#This Row],[Net Profit]]/Final_Table[[#This Row],[Gross Revenue]]</f>
        <v>-0.10104705882352939</v>
      </c>
    </row>
    <row r="569" spans="1:22">
      <c r="A569" s="18" t="s">
        <v>71</v>
      </c>
      <c r="B569">
        <v>2014</v>
      </c>
      <c r="C569" t="s">
        <v>122</v>
      </c>
      <c r="D569">
        <v>1</v>
      </c>
      <c r="E569" s="18" t="s">
        <v>22</v>
      </c>
      <c r="F569" s="18" t="s">
        <v>113</v>
      </c>
      <c r="G569" s="18" t="s">
        <v>21</v>
      </c>
      <c r="H569" s="18" t="str">
        <f>Assumptions!$B$2</f>
        <v>Worst</v>
      </c>
      <c r="I569" s="18">
        <f>_xlfn.XLOOKUP(Assumptions!$B$2,Assumptions!$F$4:$H$4,Assumptions!$F$5:$H$5)</f>
        <v>1200</v>
      </c>
      <c r="J569" s="18">
        <f>_xlfn.XLOOKUP(Assumptions!$B$2,Assumptions!$F$4:$H$4,Assumptions!$F$6:$H$6)</f>
        <v>17</v>
      </c>
      <c r="K569" s="12">
        <f>_xlfn.XLOOKUP(Assumptions!$B$2,Assumptions!$F$4:$H$4,Assumptions!$F$8:$H$8)</f>
        <v>0.1</v>
      </c>
      <c r="L569" s="12">
        <f>_xlfn.XLOOKUP(Assumptions!$B$2,Assumptions!$F$4:$H$4,Assumptions!$F$9:$H$9)</f>
        <v>0.18</v>
      </c>
      <c r="M569" s="18">
        <f>_xlfn.XLOOKUP(Assumptions!$B$2,Assumptions!$F$4:$H$4,Assumptions!$F$10:$H$10)</f>
        <v>18000</v>
      </c>
      <c r="N569" s="12">
        <f>_xlfn.XLOOKUP(Assumptions!$B$2,Assumptions!$F$4:$H$4,Assumptions!$F$11:$H$11)</f>
        <v>0.3</v>
      </c>
      <c r="O569" s="14">
        <f>Final_Table[[#This Row],[Units Sold]]*Final_Table[[#This Row],[Sale Price]]</f>
        <v>20400</v>
      </c>
      <c r="P569" s="14">
        <f>Final_Table[[#This Row],[Gross Revenue]]*(1-Final_Table[[#This Row],[Discount %]])</f>
        <v>18360</v>
      </c>
      <c r="Q569">
        <f>Final_Table[[#This Row],[Net Revenue]]*Final_Table[[#This Row],[Variable Cost %]]</f>
        <v>3304.7999999999997</v>
      </c>
      <c r="R569">
        <f>Final_Table[[#This Row],[Variable Cost]]+Final_Table[[#This Row],[Fixed Monthly Cost]]</f>
        <v>21304.799999999999</v>
      </c>
      <c r="S569" s="5">
        <f>Final_Table[[#This Row],[Net Revenue]]-Final_Table[[#This Row],[Total Cost (COGS)]]</f>
        <v>-2944.7999999999993</v>
      </c>
      <c r="T569">
        <f>Final_Table[[#This Row],[Gross Profit]]*Final_Table[[#This Row],[Tax Rate]]</f>
        <v>-883.43999999999971</v>
      </c>
      <c r="U569" s="5">
        <f>Final_Table[[#This Row],[Gross Profit]]-Final_Table[[#This Row],[Tax]]</f>
        <v>-2061.3599999999997</v>
      </c>
      <c r="V569" s="12">
        <f>Final_Table[[#This Row],[Net Profit]]/Final_Table[[#This Row],[Gross Revenue]]</f>
        <v>-0.10104705882352939</v>
      </c>
    </row>
    <row r="570" spans="1:22">
      <c r="A570" s="18" t="s">
        <v>71</v>
      </c>
      <c r="B570">
        <v>2014</v>
      </c>
      <c r="C570" t="s">
        <v>122</v>
      </c>
      <c r="D570">
        <v>1</v>
      </c>
      <c r="E570" s="18" t="s">
        <v>22</v>
      </c>
      <c r="F570" s="18" t="s">
        <v>113</v>
      </c>
      <c r="G570" s="18" t="s">
        <v>25</v>
      </c>
      <c r="H570" s="18" t="str">
        <f>Assumptions!$B$2</f>
        <v>Worst</v>
      </c>
      <c r="I570" s="18">
        <f>_xlfn.XLOOKUP(Assumptions!$B$2,Assumptions!$F$4:$H$4,Assumptions!$F$5:$H$5)</f>
        <v>1200</v>
      </c>
      <c r="J570" s="18">
        <f>_xlfn.XLOOKUP(Assumptions!$B$2,Assumptions!$F$4:$H$4,Assumptions!$F$6:$H$6)</f>
        <v>17</v>
      </c>
      <c r="K570" s="12">
        <f>_xlfn.XLOOKUP(Assumptions!$B$2,Assumptions!$F$4:$H$4,Assumptions!$F$8:$H$8)</f>
        <v>0.1</v>
      </c>
      <c r="L570" s="12">
        <f>_xlfn.XLOOKUP(Assumptions!$B$2,Assumptions!$F$4:$H$4,Assumptions!$F$9:$H$9)</f>
        <v>0.18</v>
      </c>
      <c r="M570" s="18">
        <f>_xlfn.XLOOKUP(Assumptions!$B$2,Assumptions!$F$4:$H$4,Assumptions!$F$10:$H$10)</f>
        <v>18000</v>
      </c>
      <c r="N570" s="12">
        <f>_xlfn.XLOOKUP(Assumptions!$B$2,Assumptions!$F$4:$H$4,Assumptions!$F$11:$H$11)</f>
        <v>0.3</v>
      </c>
      <c r="O570" s="14">
        <f>Final_Table[[#This Row],[Units Sold]]*Final_Table[[#This Row],[Sale Price]]</f>
        <v>20400</v>
      </c>
      <c r="P570" s="14">
        <f>Final_Table[[#This Row],[Gross Revenue]]*(1-Final_Table[[#This Row],[Discount %]])</f>
        <v>18360</v>
      </c>
      <c r="Q570">
        <f>Final_Table[[#This Row],[Net Revenue]]*Final_Table[[#This Row],[Variable Cost %]]</f>
        <v>3304.7999999999997</v>
      </c>
      <c r="R570">
        <f>Final_Table[[#This Row],[Variable Cost]]+Final_Table[[#This Row],[Fixed Monthly Cost]]</f>
        <v>21304.799999999999</v>
      </c>
      <c r="S570" s="5">
        <f>Final_Table[[#This Row],[Net Revenue]]-Final_Table[[#This Row],[Total Cost (COGS)]]</f>
        <v>-2944.7999999999993</v>
      </c>
      <c r="T570">
        <f>Final_Table[[#This Row],[Gross Profit]]*Final_Table[[#This Row],[Tax Rate]]</f>
        <v>-883.43999999999971</v>
      </c>
      <c r="U570" s="5">
        <f>Final_Table[[#This Row],[Gross Profit]]-Final_Table[[#This Row],[Tax]]</f>
        <v>-2061.3599999999997</v>
      </c>
      <c r="V570" s="12">
        <f>Final_Table[[#This Row],[Net Profit]]/Final_Table[[#This Row],[Gross Revenue]]</f>
        <v>-0.10104705882352939</v>
      </c>
    </row>
    <row r="571" spans="1:22">
      <c r="A571" s="18" t="s">
        <v>71</v>
      </c>
      <c r="B571">
        <v>2014</v>
      </c>
      <c r="C571" t="s">
        <v>122</v>
      </c>
      <c r="D571">
        <v>1</v>
      </c>
      <c r="E571" s="18" t="s">
        <v>22</v>
      </c>
      <c r="F571" s="18" t="s">
        <v>113</v>
      </c>
      <c r="G571" s="18" t="s">
        <v>17</v>
      </c>
      <c r="H571" s="18" t="str">
        <f>Assumptions!$B$2</f>
        <v>Worst</v>
      </c>
      <c r="I571" s="18">
        <f>_xlfn.XLOOKUP(Assumptions!$B$2,Assumptions!$F$4:$H$4,Assumptions!$F$5:$H$5)</f>
        <v>1200</v>
      </c>
      <c r="J571" s="18">
        <f>_xlfn.XLOOKUP(Assumptions!$B$2,Assumptions!$F$4:$H$4,Assumptions!$F$6:$H$6)</f>
        <v>17</v>
      </c>
      <c r="K571" s="12">
        <f>_xlfn.XLOOKUP(Assumptions!$B$2,Assumptions!$F$4:$H$4,Assumptions!$F$8:$H$8)</f>
        <v>0.1</v>
      </c>
      <c r="L571" s="12">
        <f>_xlfn.XLOOKUP(Assumptions!$B$2,Assumptions!$F$4:$H$4,Assumptions!$F$9:$H$9)</f>
        <v>0.18</v>
      </c>
      <c r="M571" s="18">
        <f>_xlfn.XLOOKUP(Assumptions!$B$2,Assumptions!$F$4:$H$4,Assumptions!$F$10:$H$10)</f>
        <v>18000</v>
      </c>
      <c r="N571" s="12">
        <f>_xlfn.XLOOKUP(Assumptions!$B$2,Assumptions!$F$4:$H$4,Assumptions!$F$11:$H$11)</f>
        <v>0.3</v>
      </c>
      <c r="O571" s="14">
        <f>Final_Table[[#This Row],[Units Sold]]*Final_Table[[#This Row],[Sale Price]]</f>
        <v>20400</v>
      </c>
      <c r="P571" s="14">
        <f>Final_Table[[#This Row],[Gross Revenue]]*(1-Final_Table[[#This Row],[Discount %]])</f>
        <v>18360</v>
      </c>
      <c r="Q571">
        <f>Final_Table[[#This Row],[Net Revenue]]*Final_Table[[#This Row],[Variable Cost %]]</f>
        <v>3304.7999999999997</v>
      </c>
      <c r="R571">
        <f>Final_Table[[#This Row],[Variable Cost]]+Final_Table[[#This Row],[Fixed Monthly Cost]]</f>
        <v>21304.799999999999</v>
      </c>
      <c r="S571" s="5">
        <f>Final_Table[[#This Row],[Net Revenue]]-Final_Table[[#This Row],[Total Cost (COGS)]]</f>
        <v>-2944.7999999999993</v>
      </c>
      <c r="T571">
        <f>Final_Table[[#This Row],[Gross Profit]]*Final_Table[[#This Row],[Tax Rate]]</f>
        <v>-883.43999999999971</v>
      </c>
      <c r="U571" s="5">
        <f>Final_Table[[#This Row],[Gross Profit]]-Final_Table[[#This Row],[Tax]]</f>
        <v>-2061.3599999999997</v>
      </c>
      <c r="V571" s="12">
        <f>Final_Table[[#This Row],[Net Profit]]/Final_Table[[#This Row],[Gross Revenue]]</f>
        <v>-0.10104705882352939</v>
      </c>
    </row>
    <row r="572" spans="1:22">
      <c r="A572" s="18" t="s">
        <v>71</v>
      </c>
      <c r="B572">
        <v>2014</v>
      </c>
      <c r="C572" t="s">
        <v>122</v>
      </c>
      <c r="D572">
        <v>1</v>
      </c>
      <c r="E572" s="18" t="s">
        <v>22</v>
      </c>
      <c r="F572" s="18" t="s">
        <v>114</v>
      </c>
      <c r="G572" s="18" t="s">
        <v>36</v>
      </c>
      <c r="H572" s="18" t="str">
        <f>Assumptions!$B$2</f>
        <v>Worst</v>
      </c>
      <c r="I572" s="18">
        <f>_xlfn.XLOOKUP(Assumptions!$B$2,Assumptions!$F$4:$H$4,Assumptions!$F$5:$H$5)</f>
        <v>1200</v>
      </c>
      <c r="J572" s="18">
        <f>_xlfn.XLOOKUP(Assumptions!$B$2,Assumptions!$F$4:$H$4,Assumptions!$F$6:$H$6)</f>
        <v>17</v>
      </c>
      <c r="K572" s="12">
        <f>_xlfn.XLOOKUP(Assumptions!$B$2,Assumptions!$F$4:$H$4,Assumptions!$F$8:$H$8)</f>
        <v>0.1</v>
      </c>
      <c r="L572" s="12">
        <f>_xlfn.XLOOKUP(Assumptions!$B$2,Assumptions!$F$4:$H$4,Assumptions!$F$9:$H$9)</f>
        <v>0.18</v>
      </c>
      <c r="M572" s="18">
        <f>_xlfn.XLOOKUP(Assumptions!$B$2,Assumptions!$F$4:$H$4,Assumptions!$F$10:$H$10)</f>
        <v>18000</v>
      </c>
      <c r="N572" s="12">
        <f>_xlfn.XLOOKUP(Assumptions!$B$2,Assumptions!$F$4:$H$4,Assumptions!$F$11:$H$11)</f>
        <v>0.3</v>
      </c>
      <c r="O572" s="14">
        <f>Final_Table[[#This Row],[Units Sold]]*Final_Table[[#This Row],[Sale Price]]</f>
        <v>20400</v>
      </c>
      <c r="P572" s="14">
        <f>Final_Table[[#This Row],[Gross Revenue]]*(1-Final_Table[[#This Row],[Discount %]])</f>
        <v>18360</v>
      </c>
      <c r="Q572">
        <f>Final_Table[[#This Row],[Net Revenue]]*Final_Table[[#This Row],[Variable Cost %]]</f>
        <v>3304.7999999999997</v>
      </c>
      <c r="R572">
        <f>Final_Table[[#This Row],[Variable Cost]]+Final_Table[[#This Row],[Fixed Monthly Cost]]</f>
        <v>21304.799999999999</v>
      </c>
      <c r="S572" s="5">
        <f>Final_Table[[#This Row],[Net Revenue]]-Final_Table[[#This Row],[Total Cost (COGS)]]</f>
        <v>-2944.7999999999993</v>
      </c>
      <c r="T572">
        <f>Final_Table[[#This Row],[Gross Profit]]*Final_Table[[#This Row],[Tax Rate]]</f>
        <v>-883.43999999999971</v>
      </c>
      <c r="U572" s="5">
        <f>Final_Table[[#This Row],[Gross Profit]]-Final_Table[[#This Row],[Tax]]</f>
        <v>-2061.3599999999997</v>
      </c>
      <c r="V572" s="12">
        <f>Final_Table[[#This Row],[Net Profit]]/Final_Table[[#This Row],[Gross Revenue]]</f>
        <v>-0.10104705882352939</v>
      </c>
    </row>
    <row r="573" spans="1:22">
      <c r="A573" s="18" t="s">
        <v>71</v>
      </c>
      <c r="B573">
        <v>2014</v>
      </c>
      <c r="C573" t="s">
        <v>122</v>
      </c>
      <c r="D573">
        <v>1</v>
      </c>
      <c r="E573" s="18" t="s">
        <v>22</v>
      </c>
      <c r="F573" s="18" t="s">
        <v>114</v>
      </c>
      <c r="G573" s="18" t="s">
        <v>23</v>
      </c>
      <c r="H573" s="18" t="str">
        <f>Assumptions!$B$2</f>
        <v>Worst</v>
      </c>
      <c r="I573" s="18">
        <f>_xlfn.XLOOKUP(Assumptions!$B$2,Assumptions!$F$4:$H$4,Assumptions!$F$5:$H$5)</f>
        <v>1200</v>
      </c>
      <c r="J573" s="18">
        <f>_xlfn.XLOOKUP(Assumptions!$B$2,Assumptions!$F$4:$H$4,Assumptions!$F$6:$H$6)</f>
        <v>17</v>
      </c>
      <c r="K573" s="12">
        <f>_xlfn.XLOOKUP(Assumptions!$B$2,Assumptions!$F$4:$H$4,Assumptions!$F$8:$H$8)</f>
        <v>0.1</v>
      </c>
      <c r="L573" s="12">
        <f>_xlfn.XLOOKUP(Assumptions!$B$2,Assumptions!$F$4:$H$4,Assumptions!$F$9:$H$9)</f>
        <v>0.18</v>
      </c>
      <c r="M573" s="18">
        <f>_xlfn.XLOOKUP(Assumptions!$B$2,Assumptions!$F$4:$H$4,Assumptions!$F$10:$H$10)</f>
        <v>18000</v>
      </c>
      <c r="N573" s="12">
        <f>_xlfn.XLOOKUP(Assumptions!$B$2,Assumptions!$F$4:$H$4,Assumptions!$F$11:$H$11)</f>
        <v>0.3</v>
      </c>
      <c r="O573" s="14">
        <f>Final_Table[[#This Row],[Units Sold]]*Final_Table[[#This Row],[Sale Price]]</f>
        <v>20400</v>
      </c>
      <c r="P573" s="14">
        <f>Final_Table[[#This Row],[Gross Revenue]]*(1-Final_Table[[#This Row],[Discount %]])</f>
        <v>18360</v>
      </c>
      <c r="Q573">
        <f>Final_Table[[#This Row],[Net Revenue]]*Final_Table[[#This Row],[Variable Cost %]]</f>
        <v>3304.7999999999997</v>
      </c>
      <c r="R573">
        <f>Final_Table[[#This Row],[Variable Cost]]+Final_Table[[#This Row],[Fixed Monthly Cost]]</f>
        <v>21304.799999999999</v>
      </c>
      <c r="S573" s="5">
        <f>Final_Table[[#This Row],[Net Revenue]]-Final_Table[[#This Row],[Total Cost (COGS)]]</f>
        <v>-2944.7999999999993</v>
      </c>
      <c r="T573">
        <f>Final_Table[[#This Row],[Gross Profit]]*Final_Table[[#This Row],[Tax Rate]]</f>
        <v>-883.43999999999971</v>
      </c>
      <c r="U573" s="5">
        <f>Final_Table[[#This Row],[Gross Profit]]-Final_Table[[#This Row],[Tax]]</f>
        <v>-2061.3599999999997</v>
      </c>
      <c r="V573" s="12">
        <f>Final_Table[[#This Row],[Net Profit]]/Final_Table[[#This Row],[Gross Revenue]]</f>
        <v>-0.10104705882352939</v>
      </c>
    </row>
    <row r="574" spans="1:22">
      <c r="A574" s="18" t="s">
        <v>71</v>
      </c>
      <c r="B574">
        <v>2014</v>
      </c>
      <c r="C574" t="s">
        <v>122</v>
      </c>
      <c r="D574">
        <v>1</v>
      </c>
      <c r="E574" s="18" t="s">
        <v>22</v>
      </c>
      <c r="F574" s="18" t="s">
        <v>114</v>
      </c>
      <c r="G574" s="18" t="s">
        <v>21</v>
      </c>
      <c r="H574" s="18" t="str">
        <f>Assumptions!$B$2</f>
        <v>Worst</v>
      </c>
      <c r="I574" s="18">
        <f>_xlfn.XLOOKUP(Assumptions!$B$2,Assumptions!$F$4:$H$4,Assumptions!$F$5:$H$5)</f>
        <v>1200</v>
      </c>
      <c r="J574" s="18">
        <f>_xlfn.XLOOKUP(Assumptions!$B$2,Assumptions!$F$4:$H$4,Assumptions!$F$6:$H$6)</f>
        <v>17</v>
      </c>
      <c r="K574" s="12">
        <f>_xlfn.XLOOKUP(Assumptions!$B$2,Assumptions!$F$4:$H$4,Assumptions!$F$8:$H$8)</f>
        <v>0.1</v>
      </c>
      <c r="L574" s="12">
        <f>_xlfn.XLOOKUP(Assumptions!$B$2,Assumptions!$F$4:$H$4,Assumptions!$F$9:$H$9)</f>
        <v>0.18</v>
      </c>
      <c r="M574" s="18">
        <f>_xlfn.XLOOKUP(Assumptions!$B$2,Assumptions!$F$4:$H$4,Assumptions!$F$10:$H$10)</f>
        <v>18000</v>
      </c>
      <c r="N574" s="12">
        <f>_xlfn.XLOOKUP(Assumptions!$B$2,Assumptions!$F$4:$H$4,Assumptions!$F$11:$H$11)</f>
        <v>0.3</v>
      </c>
      <c r="O574" s="14">
        <f>Final_Table[[#This Row],[Units Sold]]*Final_Table[[#This Row],[Sale Price]]</f>
        <v>20400</v>
      </c>
      <c r="P574" s="14">
        <f>Final_Table[[#This Row],[Gross Revenue]]*(1-Final_Table[[#This Row],[Discount %]])</f>
        <v>18360</v>
      </c>
      <c r="Q574">
        <f>Final_Table[[#This Row],[Net Revenue]]*Final_Table[[#This Row],[Variable Cost %]]</f>
        <v>3304.7999999999997</v>
      </c>
      <c r="R574">
        <f>Final_Table[[#This Row],[Variable Cost]]+Final_Table[[#This Row],[Fixed Monthly Cost]]</f>
        <v>21304.799999999999</v>
      </c>
      <c r="S574" s="5">
        <f>Final_Table[[#This Row],[Net Revenue]]-Final_Table[[#This Row],[Total Cost (COGS)]]</f>
        <v>-2944.7999999999993</v>
      </c>
      <c r="T574">
        <f>Final_Table[[#This Row],[Gross Profit]]*Final_Table[[#This Row],[Tax Rate]]</f>
        <v>-883.43999999999971</v>
      </c>
      <c r="U574" s="5">
        <f>Final_Table[[#This Row],[Gross Profit]]-Final_Table[[#This Row],[Tax]]</f>
        <v>-2061.3599999999997</v>
      </c>
      <c r="V574" s="12">
        <f>Final_Table[[#This Row],[Net Profit]]/Final_Table[[#This Row],[Gross Revenue]]</f>
        <v>-0.10104705882352939</v>
      </c>
    </row>
    <row r="575" spans="1:22">
      <c r="A575" s="18" t="s">
        <v>71</v>
      </c>
      <c r="B575">
        <v>2014</v>
      </c>
      <c r="C575" t="s">
        <v>122</v>
      </c>
      <c r="D575">
        <v>1</v>
      </c>
      <c r="E575" s="18" t="s">
        <v>22</v>
      </c>
      <c r="F575" s="18" t="s">
        <v>114</v>
      </c>
      <c r="G575" s="18" t="s">
        <v>25</v>
      </c>
      <c r="H575" s="18" t="str">
        <f>Assumptions!$B$2</f>
        <v>Worst</v>
      </c>
      <c r="I575" s="18">
        <f>_xlfn.XLOOKUP(Assumptions!$B$2,Assumptions!$F$4:$H$4,Assumptions!$F$5:$H$5)</f>
        <v>1200</v>
      </c>
      <c r="J575" s="18">
        <f>_xlfn.XLOOKUP(Assumptions!$B$2,Assumptions!$F$4:$H$4,Assumptions!$F$6:$H$6)</f>
        <v>17</v>
      </c>
      <c r="K575" s="12">
        <f>_xlfn.XLOOKUP(Assumptions!$B$2,Assumptions!$F$4:$H$4,Assumptions!$F$8:$H$8)</f>
        <v>0.1</v>
      </c>
      <c r="L575" s="12">
        <f>_xlfn.XLOOKUP(Assumptions!$B$2,Assumptions!$F$4:$H$4,Assumptions!$F$9:$H$9)</f>
        <v>0.18</v>
      </c>
      <c r="M575" s="18">
        <f>_xlfn.XLOOKUP(Assumptions!$B$2,Assumptions!$F$4:$H$4,Assumptions!$F$10:$H$10)</f>
        <v>18000</v>
      </c>
      <c r="N575" s="12">
        <f>_xlfn.XLOOKUP(Assumptions!$B$2,Assumptions!$F$4:$H$4,Assumptions!$F$11:$H$11)</f>
        <v>0.3</v>
      </c>
      <c r="O575" s="14">
        <f>Final_Table[[#This Row],[Units Sold]]*Final_Table[[#This Row],[Sale Price]]</f>
        <v>20400</v>
      </c>
      <c r="P575" s="14">
        <f>Final_Table[[#This Row],[Gross Revenue]]*(1-Final_Table[[#This Row],[Discount %]])</f>
        <v>18360</v>
      </c>
      <c r="Q575">
        <f>Final_Table[[#This Row],[Net Revenue]]*Final_Table[[#This Row],[Variable Cost %]]</f>
        <v>3304.7999999999997</v>
      </c>
      <c r="R575">
        <f>Final_Table[[#This Row],[Variable Cost]]+Final_Table[[#This Row],[Fixed Monthly Cost]]</f>
        <v>21304.799999999999</v>
      </c>
      <c r="S575" s="5">
        <f>Final_Table[[#This Row],[Net Revenue]]-Final_Table[[#This Row],[Total Cost (COGS)]]</f>
        <v>-2944.7999999999993</v>
      </c>
      <c r="T575">
        <f>Final_Table[[#This Row],[Gross Profit]]*Final_Table[[#This Row],[Tax Rate]]</f>
        <v>-883.43999999999971</v>
      </c>
      <c r="U575" s="5">
        <f>Final_Table[[#This Row],[Gross Profit]]-Final_Table[[#This Row],[Tax]]</f>
        <v>-2061.3599999999997</v>
      </c>
      <c r="V575" s="12">
        <f>Final_Table[[#This Row],[Net Profit]]/Final_Table[[#This Row],[Gross Revenue]]</f>
        <v>-0.10104705882352939</v>
      </c>
    </row>
    <row r="576" spans="1:22">
      <c r="A576" s="18" t="s">
        <v>71</v>
      </c>
      <c r="B576">
        <v>2014</v>
      </c>
      <c r="C576" t="s">
        <v>122</v>
      </c>
      <c r="D576">
        <v>1</v>
      </c>
      <c r="E576" s="18" t="s">
        <v>22</v>
      </c>
      <c r="F576" s="18" t="s">
        <v>114</v>
      </c>
      <c r="G576" s="18" t="s">
        <v>17</v>
      </c>
      <c r="H576" s="18" t="str">
        <f>Assumptions!$B$2</f>
        <v>Worst</v>
      </c>
      <c r="I576" s="18">
        <f>_xlfn.XLOOKUP(Assumptions!$B$2,Assumptions!$F$4:$H$4,Assumptions!$F$5:$H$5)</f>
        <v>1200</v>
      </c>
      <c r="J576" s="18">
        <f>_xlfn.XLOOKUP(Assumptions!$B$2,Assumptions!$F$4:$H$4,Assumptions!$F$6:$H$6)</f>
        <v>17</v>
      </c>
      <c r="K576" s="12">
        <f>_xlfn.XLOOKUP(Assumptions!$B$2,Assumptions!$F$4:$H$4,Assumptions!$F$8:$H$8)</f>
        <v>0.1</v>
      </c>
      <c r="L576" s="12">
        <f>_xlfn.XLOOKUP(Assumptions!$B$2,Assumptions!$F$4:$H$4,Assumptions!$F$9:$H$9)</f>
        <v>0.18</v>
      </c>
      <c r="M576" s="18">
        <f>_xlfn.XLOOKUP(Assumptions!$B$2,Assumptions!$F$4:$H$4,Assumptions!$F$10:$H$10)</f>
        <v>18000</v>
      </c>
      <c r="N576" s="12">
        <f>_xlfn.XLOOKUP(Assumptions!$B$2,Assumptions!$F$4:$H$4,Assumptions!$F$11:$H$11)</f>
        <v>0.3</v>
      </c>
      <c r="O576" s="14">
        <f>Final_Table[[#This Row],[Units Sold]]*Final_Table[[#This Row],[Sale Price]]</f>
        <v>20400</v>
      </c>
      <c r="P576" s="14">
        <f>Final_Table[[#This Row],[Gross Revenue]]*(1-Final_Table[[#This Row],[Discount %]])</f>
        <v>18360</v>
      </c>
      <c r="Q576">
        <f>Final_Table[[#This Row],[Net Revenue]]*Final_Table[[#This Row],[Variable Cost %]]</f>
        <v>3304.7999999999997</v>
      </c>
      <c r="R576">
        <f>Final_Table[[#This Row],[Variable Cost]]+Final_Table[[#This Row],[Fixed Monthly Cost]]</f>
        <v>21304.799999999999</v>
      </c>
      <c r="S576" s="5">
        <f>Final_Table[[#This Row],[Net Revenue]]-Final_Table[[#This Row],[Total Cost (COGS)]]</f>
        <v>-2944.7999999999993</v>
      </c>
      <c r="T576">
        <f>Final_Table[[#This Row],[Gross Profit]]*Final_Table[[#This Row],[Tax Rate]]</f>
        <v>-883.43999999999971</v>
      </c>
      <c r="U576" s="5">
        <f>Final_Table[[#This Row],[Gross Profit]]-Final_Table[[#This Row],[Tax]]</f>
        <v>-2061.3599999999997</v>
      </c>
      <c r="V576" s="12">
        <f>Final_Table[[#This Row],[Net Profit]]/Final_Table[[#This Row],[Gross Revenue]]</f>
        <v>-0.10104705882352939</v>
      </c>
    </row>
    <row r="577" spans="1:22">
      <c r="A577" s="18" t="s">
        <v>71</v>
      </c>
      <c r="B577">
        <v>2014</v>
      </c>
      <c r="C577" t="s">
        <v>122</v>
      </c>
      <c r="D577">
        <v>1</v>
      </c>
      <c r="E577" s="18" t="s">
        <v>16</v>
      </c>
      <c r="F577" s="18" t="s">
        <v>80</v>
      </c>
      <c r="G577" s="18" t="s">
        <v>36</v>
      </c>
      <c r="H577" s="18" t="str">
        <f>Assumptions!$B$2</f>
        <v>Worst</v>
      </c>
      <c r="I577" s="18">
        <f>_xlfn.XLOOKUP(Assumptions!$B$2,Assumptions!$F$4:$H$4,Assumptions!$F$5:$H$5)</f>
        <v>1200</v>
      </c>
      <c r="J577" s="18">
        <f>_xlfn.XLOOKUP(Assumptions!$B$2,Assumptions!$F$4:$H$4,Assumptions!$F$6:$H$6)</f>
        <v>17</v>
      </c>
      <c r="K577" s="12">
        <f>_xlfn.XLOOKUP(Assumptions!$B$2,Assumptions!$F$4:$H$4,Assumptions!$F$8:$H$8)</f>
        <v>0.1</v>
      </c>
      <c r="L577" s="12">
        <f>_xlfn.XLOOKUP(Assumptions!$B$2,Assumptions!$F$4:$H$4,Assumptions!$F$9:$H$9)</f>
        <v>0.18</v>
      </c>
      <c r="M577" s="18">
        <f>_xlfn.XLOOKUP(Assumptions!$B$2,Assumptions!$F$4:$H$4,Assumptions!$F$10:$H$10)</f>
        <v>18000</v>
      </c>
      <c r="N577" s="12">
        <f>_xlfn.XLOOKUP(Assumptions!$B$2,Assumptions!$F$4:$H$4,Assumptions!$F$11:$H$11)</f>
        <v>0.3</v>
      </c>
      <c r="O577" s="14">
        <f>Final_Table[[#This Row],[Units Sold]]*Final_Table[[#This Row],[Sale Price]]</f>
        <v>20400</v>
      </c>
      <c r="P577" s="14">
        <f>Final_Table[[#This Row],[Gross Revenue]]*(1-Final_Table[[#This Row],[Discount %]])</f>
        <v>18360</v>
      </c>
      <c r="Q577">
        <f>Final_Table[[#This Row],[Net Revenue]]*Final_Table[[#This Row],[Variable Cost %]]</f>
        <v>3304.7999999999997</v>
      </c>
      <c r="R577">
        <f>Final_Table[[#This Row],[Variable Cost]]+Final_Table[[#This Row],[Fixed Monthly Cost]]</f>
        <v>21304.799999999999</v>
      </c>
      <c r="S577" s="5">
        <f>Final_Table[[#This Row],[Net Revenue]]-Final_Table[[#This Row],[Total Cost (COGS)]]</f>
        <v>-2944.7999999999993</v>
      </c>
      <c r="T577">
        <f>Final_Table[[#This Row],[Gross Profit]]*Final_Table[[#This Row],[Tax Rate]]</f>
        <v>-883.43999999999971</v>
      </c>
      <c r="U577" s="5">
        <f>Final_Table[[#This Row],[Gross Profit]]-Final_Table[[#This Row],[Tax]]</f>
        <v>-2061.3599999999997</v>
      </c>
      <c r="V577" s="12">
        <f>Final_Table[[#This Row],[Net Profit]]/Final_Table[[#This Row],[Gross Revenue]]</f>
        <v>-0.10104705882352939</v>
      </c>
    </row>
    <row r="578" spans="1:22">
      <c r="A578" s="18" t="s">
        <v>71</v>
      </c>
      <c r="B578">
        <v>2014</v>
      </c>
      <c r="C578" t="s">
        <v>122</v>
      </c>
      <c r="D578">
        <v>1</v>
      </c>
      <c r="E578" s="18" t="s">
        <v>16</v>
      </c>
      <c r="F578" s="18" t="s">
        <v>80</v>
      </c>
      <c r="G578" s="18" t="s">
        <v>23</v>
      </c>
      <c r="H578" s="18" t="str">
        <f>Assumptions!$B$2</f>
        <v>Worst</v>
      </c>
      <c r="I578" s="18">
        <f>_xlfn.XLOOKUP(Assumptions!$B$2,Assumptions!$F$4:$H$4,Assumptions!$F$5:$H$5)</f>
        <v>1200</v>
      </c>
      <c r="J578" s="18">
        <f>_xlfn.XLOOKUP(Assumptions!$B$2,Assumptions!$F$4:$H$4,Assumptions!$F$6:$H$6)</f>
        <v>17</v>
      </c>
      <c r="K578" s="12">
        <f>_xlfn.XLOOKUP(Assumptions!$B$2,Assumptions!$F$4:$H$4,Assumptions!$F$8:$H$8)</f>
        <v>0.1</v>
      </c>
      <c r="L578" s="12">
        <f>_xlfn.XLOOKUP(Assumptions!$B$2,Assumptions!$F$4:$H$4,Assumptions!$F$9:$H$9)</f>
        <v>0.18</v>
      </c>
      <c r="M578" s="18">
        <f>_xlfn.XLOOKUP(Assumptions!$B$2,Assumptions!$F$4:$H$4,Assumptions!$F$10:$H$10)</f>
        <v>18000</v>
      </c>
      <c r="N578" s="12">
        <f>_xlfn.XLOOKUP(Assumptions!$B$2,Assumptions!$F$4:$H$4,Assumptions!$F$11:$H$11)</f>
        <v>0.3</v>
      </c>
      <c r="O578" s="14">
        <f>Final_Table[[#This Row],[Units Sold]]*Final_Table[[#This Row],[Sale Price]]</f>
        <v>20400</v>
      </c>
      <c r="P578" s="14">
        <f>Final_Table[[#This Row],[Gross Revenue]]*(1-Final_Table[[#This Row],[Discount %]])</f>
        <v>18360</v>
      </c>
      <c r="Q578">
        <f>Final_Table[[#This Row],[Net Revenue]]*Final_Table[[#This Row],[Variable Cost %]]</f>
        <v>3304.7999999999997</v>
      </c>
      <c r="R578">
        <f>Final_Table[[#This Row],[Variable Cost]]+Final_Table[[#This Row],[Fixed Monthly Cost]]</f>
        <v>21304.799999999999</v>
      </c>
      <c r="S578" s="5">
        <f>Final_Table[[#This Row],[Net Revenue]]-Final_Table[[#This Row],[Total Cost (COGS)]]</f>
        <v>-2944.7999999999993</v>
      </c>
      <c r="T578">
        <f>Final_Table[[#This Row],[Gross Profit]]*Final_Table[[#This Row],[Tax Rate]]</f>
        <v>-883.43999999999971</v>
      </c>
      <c r="U578" s="5">
        <f>Final_Table[[#This Row],[Gross Profit]]-Final_Table[[#This Row],[Tax]]</f>
        <v>-2061.3599999999997</v>
      </c>
      <c r="V578" s="12">
        <f>Final_Table[[#This Row],[Net Profit]]/Final_Table[[#This Row],[Gross Revenue]]</f>
        <v>-0.10104705882352939</v>
      </c>
    </row>
    <row r="579" spans="1:22">
      <c r="A579" s="18" t="s">
        <v>71</v>
      </c>
      <c r="B579">
        <v>2014</v>
      </c>
      <c r="C579" t="s">
        <v>122</v>
      </c>
      <c r="D579">
        <v>1</v>
      </c>
      <c r="E579" s="18" t="s">
        <v>16</v>
      </c>
      <c r="F579" s="18" t="s">
        <v>80</v>
      </c>
      <c r="G579" s="18" t="s">
        <v>21</v>
      </c>
      <c r="H579" s="18" t="str">
        <f>Assumptions!$B$2</f>
        <v>Worst</v>
      </c>
      <c r="I579" s="18">
        <f>_xlfn.XLOOKUP(Assumptions!$B$2,Assumptions!$F$4:$H$4,Assumptions!$F$5:$H$5)</f>
        <v>1200</v>
      </c>
      <c r="J579" s="18">
        <f>_xlfn.XLOOKUP(Assumptions!$B$2,Assumptions!$F$4:$H$4,Assumptions!$F$6:$H$6)</f>
        <v>17</v>
      </c>
      <c r="K579" s="12">
        <f>_xlfn.XLOOKUP(Assumptions!$B$2,Assumptions!$F$4:$H$4,Assumptions!$F$8:$H$8)</f>
        <v>0.1</v>
      </c>
      <c r="L579" s="12">
        <f>_xlfn.XLOOKUP(Assumptions!$B$2,Assumptions!$F$4:$H$4,Assumptions!$F$9:$H$9)</f>
        <v>0.18</v>
      </c>
      <c r="M579" s="18">
        <f>_xlfn.XLOOKUP(Assumptions!$B$2,Assumptions!$F$4:$H$4,Assumptions!$F$10:$H$10)</f>
        <v>18000</v>
      </c>
      <c r="N579" s="12">
        <f>_xlfn.XLOOKUP(Assumptions!$B$2,Assumptions!$F$4:$H$4,Assumptions!$F$11:$H$11)</f>
        <v>0.3</v>
      </c>
      <c r="O579" s="14">
        <f>Final_Table[[#This Row],[Units Sold]]*Final_Table[[#This Row],[Sale Price]]</f>
        <v>20400</v>
      </c>
      <c r="P579" s="14">
        <f>Final_Table[[#This Row],[Gross Revenue]]*(1-Final_Table[[#This Row],[Discount %]])</f>
        <v>18360</v>
      </c>
      <c r="Q579">
        <f>Final_Table[[#This Row],[Net Revenue]]*Final_Table[[#This Row],[Variable Cost %]]</f>
        <v>3304.7999999999997</v>
      </c>
      <c r="R579">
        <f>Final_Table[[#This Row],[Variable Cost]]+Final_Table[[#This Row],[Fixed Monthly Cost]]</f>
        <v>21304.799999999999</v>
      </c>
      <c r="S579" s="5">
        <f>Final_Table[[#This Row],[Net Revenue]]-Final_Table[[#This Row],[Total Cost (COGS)]]</f>
        <v>-2944.7999999999993</v>
      </c>
      <c r="T579">
        <f>Final_Table[[#This Row],[Gross Profit]]*Final_Table[[#This Row],[Tax Rate]]</f>
        <v>-883.43999999999971</v>
      </c>
      <c r="U579" s="5">
        <f>Final_Table[[#This Row],[Gross Profit]]-Final_Table[[#This Row],[Tax]]</f>
        <v>-2061.3599999999997</v>
      </c>
      <c r="V579" s="12">
        <f>Final_Table[[#This Row],[Net Profit]]/Final_Table[[#This Row],[Gross Revenue]]</f>
        <v>-0.10104705882352939</v>
      </c>
    </row>
    <row r="580" spans="1:22">
      <c r="A580" s="18" t="s">
        <v>71</v>
      </c>
      <c r="B580">
        <v>2014</v>
      </c>
      <c r="C580" t="s">
        <v>122</v>
      </c>
      <c r="D580">
        <v>1</v>
      </c>
      <c r="E580" s="18" t="s">
        <v>16</v>
      </c>
      <c r="F580" s="18" t="s">
        <v>80</v>
      </c>
      <c r="G580" s="18" t="s">
        <v>25</v>
      </c>
      <c r="H580" s="18" t="str">
        <f>Assumptions!$B$2</f>
        <v>Worst</v>
      </c>
      <c r="I580" s="18">
        <f>_xlfn.XLOOKUP(Assumptions!$B$2,Assumptions!$F$4:$H$4,Assumptions!$F$5:$H$5)</f>
        <v>1200</v>
      </c>
      <c r="J580" s="18">
        <f>_xlfn.XLOOKUP(Assumptions!$B$2,Assumptions!$F$4:$H$4,Assumptions!$F$6:$H$6)</f>
        <v>17</v>
      </c>
      <c r="K580" s="12">
        <f>_xlfn.XLOOKUP(Assumptions!$B$2,Assumptions!$F$4:$H$4,Assumptions!$F$8:$H$8)</f>
        <v>0.1</v>
      </c>
      <c r="L580" s="12">
        <f>_xlfn.XLOOKUP(Assumptions!$B$2,Assumptions!$F$4:$H$4,Assumptions!$F$9:$H$9)</f>
        <v>0.18</v>
      </c>
      <c r="M580" s="18">
        <f>_xlfn.XLOOKUP(Assumptions!$B$2,Assumptions!$F$4:$H$4,Assumptions!$F$10:$H$10)</f>
        <v>18000</v>
      </c>
      <c r="N580" s="12">
        <f>_xlfn.XLOOKUP(Assumptions!$B$2,Assumptions!$F$4:$H$4,Assumptions!$F$11:$H$11)</f>
        <v>0.3</v>
      </c>
      <c r="O580" s="14">
        <f>Final_Table[[#This Row],[Units Sold]]*Final_Table[[#This Row],[Sale Price]]</f>
        <v>20400</v>
      </c>
      <c r="P580" s="14">
        <f>Final_Table[[#This Row],[Gross Revenue]]*(1-Final_Table[[#This Row],[Discount %]])</f>
        <v>18360</v>
      </c>
      <c r="Q580">
        <f>Final_Table[[#This Row],[Net Revenue]]*Final_Table[[#This Row],[Variable Cost %]]</f>
        <v>3304.7999999999997</v>
      </c>
      <c r="R580">
        <f>Final_Table[[#This Row],[Variable Cost]]+Final_Table[[#This Row],[Fixed Monthly Cost]]</f>
        <v>21304.799999999999</v>
      </c>
      <c r="S580" s="5">
        <f>Final_Table[[#This Row],[Net Revenue]]-Final_Table[[#This Row],[Total Cost (COGS)]]</f>
        <v>-2944.7999999999993</v>
      </c>
      <c r="T580">
        <f>Final_Table[[#This Row],[Gross Profit]]*Final_Table[[#This Row],[Tax Rate]]</f>
        <v>-883.43999999999971</v>
      </c>
      <c r="U580" s="5">
        <f>Final_Table[[#This Row],[Gross Profit]]-Final_Table[[#This Row],[Tax]]</f>
        <v>-2061.3599999999997</v>
      </c>
      <c r="V580" s="12">
        <f>Final_Table[[#This Row],[Net Profit]]/Final_Table[[#This Row],[Gross Revenue]]</f>
        <v>-0.10104705882352939</v>
      </c>
    </row>
    <row r="581" spans="1:22">
      <c r="A581" s="18" t="s">
        <v>71</v>
      </c>
      <c r="B581">
        <v>2014</v>
      </c>
      <c r="C581" t="s">
        <v>122</v>
      </c>
      <c r="D581">
        <v>1</v>
      </c>
      <c r="E581" s="18" t="s">
        <v>16</v>
      </c>
      <c r="F581" s="18" t="s">
        <v>80</v>
      </c>
      <c r="G581" s="18" t="s">
        <v>17</v>
      </c>
      <c r="H581" s="18" t="str">
        <f>Assumptions!$B$2</f>
        <v>Worst</v>
      </c>
      <c r="I581" s="18">
        <f>_xlfn.XLOOKUP(Assumptions!$B$2,Assumptions!$F$4:$H$4,Assumptions!$F$5:$H$5)</f>
        <v>1200</v>
      </c>
      <c r="J581" s="18">
        <f>_xlfn.XLOOKUP(Assumptions!$B$2,Assumptions!$F$4:$H$4,Assumptions!$F$6:$H$6)</f>
        <v>17</v>
      </c>
      <c r="K581" s="12">
        <f>_xlfn.XLOOKUP(Assumptions!$B$2,Assumptions!$F$4:$H$4,Assumptions!$F$8:$H$8)</f>
        <v>0.1</v>
      </c>
      <c r="L581" s="12">
        <f>_xlfn.XLOOKUP(Assumptions!$B$2,Assumptions!$F$4:$H$4,Assumptions!$F$9:$H$9)</f>
        <v>0.18</v>
      </c>
      <c r="M581" s="18">
        <f>_xlfn.XLOOKUP(Assumptions!$B$2,Assumptions!$F$4:$H$4,Assumptions!$F$10:$H$10)</f>
        <v>18000</v>
      </c>
      <c r="N581" s="12">
        <f>_xlfn.XLOOKUP(Assumptions!$B$2,Assumptions!$F$4:$H$4,Assumptions!$F$11:$H$11)</f>
        <v>0.3</v>
      </c>
      <c r="O581" s="14">
        <f>Final_Table[[#This Row],[Units Sold]]*Final_Table[[#This Row],[Sale Price]]</f>
        <v>20400</v>
      </c>
      <c r="P581" s="14">
        <f>Final_Table[[#This Row],[Gross Revenue]]*(1-Final_Table[[#This Row],[Discount %]])</f>
        <v>18360</v>
      </c>
      <c r="Q581">
        <f>Final_Table[[#This Row],[Net Revenue]]*Final_Table[[#This Row],[Variable Cost %]]</f>
        <v>3304.7999999999997</v>
      </c>
      <c r="R581">
        <f>Final_Table[[#This Row],[Variable Cost]]+Final_Table[[#This Row],[Fixed Monthly Cost]]</f>
        <v>21304.799999999999</v>
      </c>
      <c r="S581" s="5">
        <f>Final_Table[[#This Row],[Net Revenue]]-Final_Table[[#This Row],[Total Cost (COGS)]]</f>
        <v>-2944.7999999999993</v>
      </c>
      <c r="T581">
        <f>Final_Table[[#This Row],[Gross Profit]]*Final_Table[[#This Row],[Tax Rate]]</f>
        <v>-883.43999999999971</v>
      </c>
      <c r="U581" s="5">
        <f>Final_Table[[#This Row],[Gross Profit]]-Final_Table[[#This Row],[Tax]]</f>
        <v>-2061.3599999999997</v>
      </c>
      <c r="V581" s="12">
        <f>Final_Table[[#This Row],[Net Profit]]/Final_Table[[#This Row],[Gross Revenue]]</f>
        <v>-0.10104705882352939</v>
      </c>
    </row>
    <row r="582" spans="1:22">
      <c r="A582" s="18" t="s">
        <v>71</v>
      </c>
      <c r="B582">
        <v>2014</v>
      </c>
      <c r="C582" t="s">
        <v>122</v>
      </c>
      <c r="D582">
        <v>1</v>
      </c>
      <c r="E582" s="18" t="s">
        <v>16</v>
      </c>
      <c r="F582" s="18" t="s">
        <v>108</v>
      </c>
      <c r="G582" s="18" t="s">
        <v>36</v>
      </c>
      <c r="H582" s="18" t="str">
        <f>Assumptions!$B$2</f>
        <v>Worst</v>
      </c>
      <c r="I582" s="18">
        <f>_xlfn.XLOOKUP(Assumptions!$B$2,Assumptions!$F$4:$H$4,Assumptions!$F$5:$H$5)</f>
        <v>1200</v>
      </c>
      <c r="J582" s="18">
        <f>_xlfn.XLOOKUP(Assumptions!$B$2,Assumptions!$F$4:$H$4,Assumptions!$F$6:$H$6)</f>
        <v>17</v>
      </c>
      <c r="K582" s="12">
        <f>_xlfn.XLOOKUP(Assumptions!$B$2,Assumptions!$F$4:$H$4,Assumptions!$F$8:$H$8)</f>
        <v>0.1</v>
      </c>
      <c r="L582" s="12">
        <f>_xlfn.XLOOKUP(Assumptions!$B$2,Assumptions!$F$4:$H$4,Assumptions!$F$9:$H$9)</f>
        <v>0.18</v>
      </c>
      <c r="M582" s="18">
        <f>_xlfn.XLOOKUP(Assumptions!$B$2,Assumptions!$F$4:$H$4,Assumptions!$F$10:$H$10)</f>
        <v>18000</v>
      </c>
      <c r="N582" s="12">
        <f>_xlfn.XLOOKUP(Assumptions!$B$2,Assumptions!$F$4:$H$4,Assumptions!$F$11:$H$11)</f>
        <v>0.3</v>
      </c>
      <c r="O582" s="14">
        <f>Final_Table[[#This Row],[Units Sold]]*Final_Table[[#This Row],[Sale Price]]</f>
        <v>20400</v>
      </c>
      <c r="P582" s="14">
        <f>Final_Table[[#This Row],[Gross Revenue]]*(1-Final_Table[[#This Row],[Discount %]])</f>
        <v>18360</v>
      </c>
      <c r="Q582">
        <f>Final_Table[[#This Row],[Net Revenue]]*Final_Table[[#This Row],[Variable Cost %]]</f>
        <v>3304.7999999999997</v>
      </c>
      <c r="R582">
        <f>Final_Table[[#This Row],[Variable Cost]]+Final_Table[[#This Row],[Fixed Monthly Cost]]</f>
        <v>21304.799999999999</v>
      </c>
      <c r="S582" s="5">
        <f>Final_Table[[#This Row],[Net Revenue]]-Final_Table[[#This Row],[Total Cost (COGS)]]</f>
        <v>-2944.7999999999993</v>
      </c>
      <c r="T582">
        <f>Final_Table[[#This Row],[Gross Profit]]*Final_Table[[#This Row],[Tax Rate]]</f>
        <v>-883.43999999999971</v>
      </c>
      <c r="U582" s="5">
        <f>Final_Table[[#This Row],[Gross Profit]]-Final_Table[[#This Row],[Tax]]</f>
        <v>-2061.3599999999997</v>
      </c>
      <c r="V582" s="12">
        <f>Final_Table[[#This Row],[Net Profit]]/Final_Table[[#This Row],[Gross Revenue]]</f>
        <v>-0.10104705882352939</v>
      </c>
    </row>
    <row r="583" spans="1:22">
      <c r="A583" s="18" t="s">
        <v>71</v>
      </c>
      <c r="B583">
        <v>2014</v>
      </c>
      <c r="C583" t="s">
        <v>122</v>
      </c>
      <c r="D583">
        <v>1</v>
      </c>
      <c r="E583" s="18" t="s">
        <v>16</v>
      </c>
      <c r="F583" s="18" t="s">
        <v>108</v>
      </c>
      <c r="G583" s="18" t="s">
        <v>23</v>
      </c>
      <c r="H583" s="18" t="str">
        <f>Assumptions!$B$2</f>
        <v>Worst</v>
      </c>
      <c r="I583" s="18">
        <f>_xlfn.XLOOKUP(Assumptions!$B$2,Assumptions!$F$4:$H$4,Assumptions!$F$5:$H$5)</f>
        <v>1200</v>
      </c>
      <c r="J583" s="18">
        <f>_xlfn.XLOOKUP(Assumptions!$B$2,Assumptions!$F$4:$H$4,Assumptions!$F$6:$H$6)</f>
        <v>17</v>
      </c>
      <c r="K583" s="12">
        <f>_xlfn.XLOOKUP(Assumptions!$B$2,Assumptions!$F$4:$H$4,Assumptions!$F$8:$H$8)</f>
        <v>0.1</v>
      </c>
      <c r="L583" s="12">
        <f>_xlfn.XLOOKUP(Assumptions!$B$2,Assumptions!$F$4:$H$4,Assumptions!$F$9:$H$9)</f>
        <v>0.18</v>
      </c>
      <c r="M583" s="18">
        <f>_xlfn.XLOOKUP(Assumptions!$B$2,Assumptions!$F$4:$H$4,Assumptions!$F$10:$H$10)</f>
        <v>18000</v>
      </c>
      <c r="N583" s="12">
        <f>_xlfn.XLOOKUP(Assumptions!$B$2,Assumptions!$F$4:$H$4,Assumptions!$F$11:$H$11)</f>
        <v>0.3</v>
      </c>
      <c r="O583" s="14">
        <f>Final_Table[[#This Row],[Units Sold]]*Final_Table[[#This Row],[Sale Price]]</f>
        <v>20400</v>
      </c>
      <c r="P583" s="14">
        <f>Final_Table[[#This Row],[Gross Revenue]]*(1-Final_Table[[#This Row],[Discount %]])</f>
        <v>18360</v>
      </c>
      <c r="Q583">
        <f>Final_Table[[#This Row],[Net Revenue]]*Final_Table[[#This Row],[Variable Cost %]]</f>
        <v>3304.7999999999997</v>
      </c>
      <c r="R583">
        <f>Final_Table[[#This Row],[Variable Cost]]+Final_Table[[#This Row],[Fixed Monthly Cost]]</f>
        <v>21304.799999999999</v>
      </c>
      <c r="S583" s="5">
        <f>Final_Table[[#This Row],[Net Revenue]]-Final_Table[[#This Row],[Total Cost (COGS)]]</f>
        <v>-2944.7999999999993</v>
      </c>
      <c r="T583">
        <f>Final_Table[[#This Row],[Gross Profit]]*Final_Table[[#This Row],[Tax Rate]]</f>
        <v>-883.43999999999971</v>
      </c>
      <c r="U583" s="5">
        <f>Final_Table[[#This Row],[Gross Profit]]-Final_Table[[#This Row],[Tax]]</f>
        <v>-2061.3599999999997</v>
      </c>
      <c r="V583" s="12">
        <f>Final_Table[[#This Row],[Net Profit]]/Final_Table[[#This Row],[Gross Revenue]]</f>
        <v>-0.10104705882352939</v>
      </c>
    </row>
    <row r="584" spans="1:22">
      <c r="A584" s="18" t="s">
        <v>71</v>
      </c>
      <c r="B584">
        <v>2014</v>
      </c>
      <c r="C584" t="s">
        <v>122</v>
      </c>
      <c r="D584">
        <v>1</v>
      </c>
      <c r="E584" s="18" t="s">
        <v>16</v>
      </c>
      <c r="F584" s="18" t="s">
        <v>108</v>
      </c>
      <c r="G584" s="18" t="s">
        <v>21</v>
      </c>
      <c r="H584" s="18" t="str">
        <f>Assumptions!$B$2</f>
        <v>Worst</v>
      </c>
      <c r="I584" s="18">
        <f>_xlfn.XLOOKUP(Assumptions!$B$2,Assumptions!$F$4:$H$4,Assumptions!$F$5:$H$5)</f>
        <v>1200</v>
      </c>
      <c r="J584" s="18">
        <f>_xlfn.XLOOKUP(Assumptions!$B$2,Assumptions!$F$4:$H$4,Assumptions!$F$6:$H$6)</f>
        <v>17</v>
      </c>
      <c r="K584" s="12">
        <f>_xlfn.XLOOKUP(Assumptions!$B$2,Assumptions!$F$4:$H$4,Assumptions!$F$8:$H$8)</f>
        <v>0.1</v>
      </c>
      <c r="L584" s="12">
        <f>_xlfn.XLOOKUP(Assumptions!$B$2,Assumptions!$F$4:$H$4,Assumptions!$F$9:$H$9)</f>
        <v>0.18</v>
      </c>
      <c r="M584" s="18">
        <f>_xlfn.XLOOKUP(Assumptions!$B$2,Assumptions!$F$4:$H$4,Assumptions!$F$10:$H$10)</f>
        <v>18000</v>
      </c>
      <c r="N584" s="12">
        <f>_xlfn.XLOOKUP(Assumptions!$B$2,Assumptions!$F$4:$H$4,Assumptions!$F$11:$H$11)</f>
        <v>0.3</v>
      </c>
      <c r="O584" s="14">
        <f>Final_Table[[#This Row],[Units Sold]]*Final_Table[[#This Row],[Sale Price]]</f>
        <v>20400</v>
      </c>
      <c r="P584" s="14">
        <f>Final_Table[[#This Row],[Gross Revenue]]*(1-Final_Table[[#This Row],[Discount %]])</f>
        <v>18360</v>
      </c>
      <c r="Q584">
        <f>Final_Table[[#This Row],[Net Revenue]]*Final_Table[[#This Row],[Variable Cost %]]</f>
        <v>3304.7999999999997</v>
      </c>
      <c r="R584">
        <f>Final_Table[[#This Row],[Variable Cost]]+Final_Table[[#This Row],[Fixed Monthly Cost]]</f>
        <v>21304.799999999999</v>
      </c>
      <c r="S584" s="5">
        <f>Final_Table[[#This Row],[Net Revenue]]-Final_Table[[#This Row],[Total Cost (COGS)]]</f>
        <v>-2944.7999999999993</v>
      </c>
      <c r="T584">
        <f>Final_Table[[#This Row],[Gross Profit]]*Final_Table[[#This Row],[Tax Rate]]</f>
        <v>-883.43999999999971</v>
      </c>
      <c r="U584" s="5">
        <f>Final_Table[[#This Row],[Gross Profit]]-Final_Table[[#This Row],[Tax]]</f>
        <v>-2061.3599999999997</v>
      </c>
      <c r="V584" s="12">
        <f>Final_Table[[#This Row],[Net Profit]]/Final_Table[[#This Row],[Gross Revenue]]</f>
        <v>-0.10104705882352939</v>
      </c>
    </row>
    <row r="585" spans="1:22">
      <c r="A585" s="18" t="s">
        <v>71</v>
      </c>
      <c r="B585">
        <v>2014</v>
      </c>
      <c r="C585" t="s">
        <v>122</v>
      </c>
      <c r="D585">
        <v>1</v>
      </c>
      <c r="E585" s="18" t="s">
        <v>16</v>
      </c>
      <c r="F585" s="18" t="s">
        <v>108</v>
      </c>
      <c r="G585" s="18" t="s">
        <v>25</v>
      </c>
      <c r="H585" s="18" t="str">
        <f>Assumptions!$B$2</f>
        <v>Worst</v>
      </c>
      <c r="I585" s="18">
        <f>_xlfn.XLOOKUP(Assumptions!$B$2,Assumptions!$F$4:$H$4,Assumptions!$F$5:$H$5)</f>
        <v>1200</v>
      </c>
      <c r="J585" s="18">
        <f>_xlfn.XLOOKUP(Assumptions!$B$2,Assumptions!$F$4:$H$4,Assumptions!$F$6:$H$6)</f>
        <v>17</v>
      </c>
      <c r="K585" s="12">
        <f>_xlfn.XLOOKUP(Assumptions!$B$2,Assumptions!$F$4:$H$4,Assumptions!$F$8:$H$8)</f>
        <v>0.1</v>
      </c>
      <c r="L585" s="12">
        <f>_xlfn.XLOOKUP(Assumptions!$B$2,Assumptions!$F$4:$H$4,Assumptions!$F$9:$H$9)</f>
        <v>0.18</v>
      </c>
      <c r="M585" s="18">
        <f>_xlfn.XLOOKUP(Assumptions!$B$2,Assumptions!$F$4:$H$4,Assumptions!$F$10:$H$10)</f>
        <v>18000</v>
      </c>
      <c r="N585" s="12">
        <f>_xlfn.XLOOKUP(Assumptions!$B$2,Assumptions!$F$4:$H$4,Assumptions!$F$11:$H$11)</f>
        <v>0.3</v>
      </c>
      <c r="O585" s="14">
        <f>Final_Table[[#This Row],[Units Sold]]*Final_Table[[#This Row],[Sale Price]]</f>
        <v>20400</v>
      </c>
      <c r="P585" s="14">
        <f>Final_Table[[#This Row],[Gross Revenue]]*(1-Final_Table[[#This Row],[Discount %]])</f>
        <v>18360</v>
      </c>
      <c r="Q585">
        <f>Final_Table[[#This Row],[Net Revenue]]*Final_Table[[#This Row],[Variable Cost %]]</f>
        <v>3304.7999999999997</v>
      </c>
      <c r="R585">
        <f>Final_Table[[#This Row],[Variable Cost]]+Final_Table[[#This Row],[Fixed Monthly Cost]]</f>
        <v>21304.799999999999</v>
      </c>
      <c r="S585" s="5">
        <f>Final_Table[[#This Row],[Net Revenue]]-Final_Table[[#This Row],[Total Cost (COGS)]]</f>
        <v>-2944.7999999999993</v>
      </c>
      <c r="T585">
        <f>Final_Table[[#This Row],[Gross Profit]]*Final_Table[[#This Row],[Tax Rate]]</f>
        <v>-883.43999999999971</v>
      </c>
      <c r="U585" s="5">
        <f>Final_Table[[#This Row],[Gross Profit]]-Final_Table[[#This Row],[Tax]]</f>
        <v>-2061.3599999999997</v>
      </c>
      <c r="V585" s="12">
        <f>Final_Table[[#This Row],[Net Profit]]/Final_Table[[#This Row],[Gross Revenue]]</f>
        <v>-0.10104705882352939</v>
      </c>
    </row>
    <row r="586" spans="1:22">
      <c r="A586" s="18" t="s">
        <v>71</v>
      </c>
      <c r="B586">
        <v>2014</v>
      </c>
      <c r="C586" t="s">
        <v>122</v>
      </c>
      <c r="D586">
        <v>1</v>
      </c>
      <c r="E586" s="18" t="s">
        <v>16</v>
      </c>
      <c r="F586" s="18" t="s">
        <v>108</v>
      </c>
      <c r="G586" s="18" t="s">
        <v>17</v>
      </c>
      <c r="H586" s="18" t="str">
        <f>Assumptions!$B$2</f>
        <v>Worst</v>
      </c>
      <c r="I586" s="18">
        <f>_xlfn.XLOOKUP(Assumptions!$B$2,Assumptions!$F$4:$H$4,Assumptions!$F$5:$H$5)</f>
        <v>1200</v>
      </c>
      <c r="J586" s="18">
        <f>_xlfn.XLOOKUP(Assumptions!$B$2,Assumptions!$F$4:$H$4,Assumptions!$F$6:$H$6)</f>
        <v>17</v>
      </c>
      <c r="K586" s="12">
        <f>_xlfn.XLOOKUP(Assumptions!$B$2,Assumptions!$F$4:$H$4,Assumptions!$F$8:$H$8)</f>
        <v>0.1</v>
      </c>
      <c r="L586" s="12">
        <f>_xlfn.XLOOKUP(Assumptions!$B$2,Assumptions!$F$4:$H$4,Assumptions!$F$9:$H$9)</f>
        <v>0.18</v>
      </c>
      <c r="M586" s="18">
        <f>_xlfn.XLOOKUP(Assumptions!$B$2,Assumptions!$F$4:$H$4,Assumptions!$F$10:$H$10)</f>
        <v>18000</v>
      </c>
      <c r="N586" s="12">
        <f>_xlfn.XLOOKUP(Assumptions!$B$2,Assumptions!$F$4:$H$4,Assumptions!$F$11:$H$11)</f>
        <v>0.3</v>
      </c>
      <c r="O586" s="14">
        <f>Final_Table[[#This Row],[Units Sold]]*Final_Table[[#This Row],[Sale Price]]</f>
        <v>20400</v>
      </c>
      <c r="P586" s="14">
        <f>Final_Table[[#This Row],[Gross Revenue]]*(1-Final_Table[[#This Row],[Discount %]])</f>
        <v>18360</v>
      </c>
      <c r="Q586">
        <f>Final_Table[[#This Row],[Net Revenue]]*Final_Table[[#This Row],[Variable Cost %]]</f>
        <v>3304.7999999999997</v>
      </c>
      <c r="R586">
        <f>Final_Table[[#This Row],[Variable Cost]]+Final_Table[[#This Row],[Fixed Monthly Cost]]</f>
        <v>21304.799999999999</v>
      </c>
      <c r="S586" s="5">
        <f>Final_Table[[#This Row],[Net Revenue]]-Final_Table[[#This Row],[Total Cost (COGS)]]</f>
        <v>-2944.7999999999993</v>
      </c>
      <c r="T586">
        <f>Final_Table[[#This Row],[Gross Profit]]*Final_Table[[#This Row],[Tax Rate]]</f>
        <v>-883.43999999999971</v>
      </c>
      <c r="U586" s="5">
        <f>Final_Table[[#This Row],[Gross Profit]]-Final_Table[[#This Row],[Tax]]</f>
        <v>-2061.3599999999997</v>
      </c>
      <c r="V586" s="12">
        <f>Final_Table[[#This Row],[Net Profit]]/Final_Table[[#This Row],[Gross Revenue]]</f>
        <v>-0.10104705882352939</v>
      </c>
    </row>
    <row r="587" spans="1:22">
      <c r="A587" s="18" t="s">
        <v>71</v>
      </c>
      <c r="B587">
        <v>2014</v>
      </c>
      <c r="C587" t="s">
        <v>122</v>
      </c>
      <c r="D587">
        <v>1</v>
      </c>
      <c r="E587" s="18" t="s">
        <v>16</v>
      </c>
      <c r="F587" s="18" t="s">
        <v>112</v>
      </c>
      <c r="G587" s="18" t="s">
        <v>36</v>
      </c>
      <c r="H587" s="18" t="str">
        <f>Assumptions!$B$2</f>
        <v>Worst</v>
      </c>
      <c r="I587" s="18">
        <f>_xlfn.XLOOKUP(Assumptions!$B$2,Assumptions!$F$4:$H$4,Assumptions!$F$5:$H$5)</f>
        <v>1200</v>
      </c>
      <c r="J587" s="18">
        <f>_xlfn.XLOOKUP(Assumptions!$B$2,Assumptions!$F$4:$H$4,Assumptions!$F$6:$H$6)</f>
        <v>17</v>
      </c>
      <c r="K587" s="12">
        <f>_xlfn.XLOOKUP(Assumptions!$B$2,Assumptions!$F$4:$H$4,Assumptions!$F$8:$H$8)</f>
        <v>0.1</v>
      </c>
      <c r="L587" s="12">
        <f>_xlfn.XLOOKUP(Assumptions!$B$2,Assumptions!$F$4:$H$4,Assumptions!$F$9:$H$9)</f>
        <v>0.18</v>
      </c>
      <c r="M587" s="18">
        <f>_xlfn.XLOOKUP(Assumptions!$B$2,Assumptions!$F$4:$H$4,Assumptions!$F$10:$H$10)</f>
        <v>18000</v>
      </c>
      <c r="N587" s="12">
        <f>_xlfn.XLOOKUP(Assumptions!$B$2,Assumptions!$F$4:$H$4,Assumptions!$F$11:$H$11)</f>
        <v>0.3</v>
      </c>
      <c r="O587" s="14">
        <f>Final_Table[[#This Row],[Units Sold]]*Final_Table[[#This Row],[Sale Price]]</f>
        <v>20400</v>
      </c>
      <c r="P587" s="14">
        <f>Final_Table[[#This Row],[Gross Revenue]]*(1-Final_Table[[#This Row],[Discount %]])</f>
        <v>18360</v>
      </c>
      <c r="Q587">
        <f>Final_Table[[#This Row],[Net Revenue]]*Final_Table[[#This Row],[Variable Cost %]]</f>
        <v>3304.7999999999997</v>
      </c>
      <c r="R587">
        <f>Final_Table[[#This Row],[Variable Cost]]+Final_Table[[#This Row],[Fixed Monthly Cost]]</f>
        <v>21304.799999999999</v>
      </c>
      <c r="S587" s="5">
        <f>Final_Table[[#This Row],[Net Revenue]]-Final_Table[[#This Row],[Total Cost (COGS)]]</f>
        <v>-2944.7999999999993</v>
      </c>
      <c r="T587">
        <f>Final_Table[[#This Row],[Gross Profit]]*Final_Table[[#This Row],[Tax Rate]]</f>
        <v>-883.43999999999971</v>
      </c>
      <c r="U587" s="5">
        <f>Final_Table[[#This Row],[Gross Profit]]-Final_Table[[#This Row],[Tax]]</f>
        <v>-2061.3599999999997</v>
      </c>
      <c r="V587" s="12">
        <f>Final_Table[[#This Row],[Net Profit]]/Final_Table[[#This Row],[Gross Revenue]]</f>
        <v>-0.10104705882352939</v>
      </c>
    </row>
    <row r="588" spans="1:22">
      <c r="A588" s="18" t="s">
        <v>71</v>
      </c>
      <c r="B588">
        <v>2014</v>
      </c>
      <c r="C588" t="s">
        <v>122</v>
      </c>
      <c r="D588">
        <v>1</v>
      </c>
      <c r="E588" s="18" t="s">
        <v>16</v>
      </c>
      <c r="F588" s="18" t="s">
        <v>112</v>
      </c>
      <c r="G588" s="18" t="s">
        <v>23</v>
      </c>
      <c r="H588" s="18" t="str">
        <f>Assumptions!$B$2</f>
        <v>Worst</v>
      </c>
      <c r="I588" s="18">
        <f>_xlfn.XLOOKUP(Assumptions!$B$2,Assumptions!$F$4:$H$4,Assumptions!$F$5:$H$5)</f>
        <v>1200</v>
      </c>
      <c r="J588" s="18">
        <f>_xlfn.XLOOKUP(Assumptions!$B$2,Assumptions!$F$4:$H$4,Assumptions!$F$6:$H$6)</f>
        <v>17</v>
      </c>
      <c r="K588" s="12">
        <f>_xlfn.XLOOKUP(Assumptions!$B$2,Assumptions!$F$4:$H$4,Assumptions!$F$8:$H$8)</f>
        <v>0.1</v>
      </c>
      <c r="L588" s="12">
        <f>_xlfn.XLOOKUP(Assumptions!$B$2,Assumptions!$F$4:$H$4,Assumptions!$F$9:$H$9)</f>
        <v>0.18</v>
      </c>
      <c r="M588" s="18">
        <f>_xlfn.XLOOKUP(Assumptions!$B$2,Assumptions!$F$4:$H$4,Assumptions!$F$10:$H$10)</f>
        <v>18000</v>
      </c>
      <c r="N588" s="12">
        <f>_xlfn.XLOOKUP(Assumptions!$B$2,Assumptions!$F$4:$H$4,Assumptions!$F$11:$H$11)</f>
        <v>0.3</v>
      </c>
      <c r="O588" s="14">
        <f>Final_Table[[#This Row],[Units Sold]]*Final_Table[[#This Row],[Sale Price]]</f>
        <v>20400</v>
      </c>
      <c r="P588" s="14">
        <f>Final_Table[[#This Row],[Gross Revenue]]*(1-Final_Table[[#This Row],[Discount %]])</f>
        <v>18360</v>
      </c>
      <c r="Q588">
        <f>Final_Table[[#This Row],[Net Revenue]]*Final_Table[[#This Row],[Variable Cost %]]</f>
        <v>3304.7999999999997</v>
      </c>
      <c r="R588">
        <f>Final_Table[[#This Row],[Variable Cost]]+Final_Table[[#This Row],[Fixed Monthly Cost]]</f>
        <v>21304.799999999999</v>
      </c>
      <c r="S588" s="5">
        <f>Final_Table[[#This Row],[Net Revenue]]-Final_Table[[#This Row],[Total Cost (COGS)]]</f>
        <v>-2944.7999999999993</v>
      </c>
      <c r="T588">
        <f>Final_Table[[#This Row],[Gross Profit]]*Final_Table[[#This Row],[Tax Rate]]</f>
        <v>-883.43999999999971</v>
      </c>
      <c r="U588" s="5">
        <f>Final_Table[[#This Row],[Gross Profit]]-Final_Table[[#This Row],[Tax]]</f>
        <v>-2061.3599999999997</v>
      </c>
      <c r="V588" s="12">
        <f>Final_Table[[#This Row],[Net Profit]]/Final_Table[[#This Row],[Gross Revenue]]</f>
        <v>-0.10104705882352939</v>
      </c>
    </row>
    <row r="589" spans="1:22">
      <c r="A589" s="18" t="s">
        <v>71</v>
      </c>
      <c r="B589">
        <v>2014</v>
      </c>
      <c r="C589" t="s">
        <v>122</v>
      </c>
      <c r="D589">
        <v>1</v>
      </c>
      <c r="E589" s="18" t="s">
        <v>16</v>
      </c>
      <c r="F589" s="18" t="s">
        <v>112</v>
      </c>
      <c r="G589" s="18" t="s">
        <v>21</v>
      </c>
      <c r="H589" s="18" t="str">
        <f>Assumptions!$B$2</f>
        <v>Worst</v>
      </c>
      <c r="I589" s="18">
        <f>_xlfn.XLOOKUP(Assumptions!$B$2,Assumptions!$F$4:$H$4,Assumptions!$F$5:$H$5)</f>
        <v>1200</v>
      </c>
      <c r="J589" s="18">
        <f>_xlfn.XLOOKUP(Assumptions!$B$2,Assumptions!$F$4:$H$4,Assumptions!$F$6:$H$6)</f>
        <v>17</v>
      </c>
      <c r="K589" s="12">
        <f>_xlfn.XLOOKUP(Assumptions!$B$2,Assumptions!$F$4:$H$4,Assumptions!$F$8:$H$8)</f>
        <v>0.1</v>
      </c>
      <c r="L589" s="12">
        <f>_xlfn.XLOOKUP(Assumptions!$B$2,Assumptions!$F$4:$H$4,Assumptions!$F$9:$H$9)</f>
        <v>0.18</v>
      </c>
      <c r="M589" s="18">
        <f>_xlfn.XLOOKUP(Assumptions!$B$2,Assumptions!$F$4:$H$4,Assumptions!$F$10:$H$10)</f>
        <v>18000</v>
      </c>
      <c r="N589" s="12">
        <f>_xlfn.XLOOKUP(Assumptions!$B$2,Assumptions!$F$4:$H$4,Assumptions!$F$11:$H$11)</f>
        <v>0.3</v>
      </c>
      <c r="O589" s="14">
        <f>Final_Table[[#This Row],[Units Sold]]*Final_Table[[#This Row],[Sale Price]]</f>
        <v>20400</v>
      </c>
      <c r="P589" s="14">
        <f>Final_Table[[#This Row],[Gross Revenue]]*(1-Final_Table[[#This Row],[Discount %]])</f>
        <v>18360</v>
      </c>
      <c r="Q589">
        <f>Final_Table[[#This Row],[Net Revenue]]*Final_Table[[#This Row],[Variable Cost %]]</f>
        <v>3304.7999999999997</v>
      </c>
      <c r="R589">
        <f>Final_Table[[#This Row],[Variable Cost]]+Final_Table[[#This Row],[Fixed Monthly Cost]]</f>
        <v>21304.799999999999</v>
      </c>
      <c r="S589" s="5">
        <f>Final_Table[[#This Row],[Net Revenue]]-Final_Table[[#This Row],[Total Cost (COGS)]]</f>
        <v>-2944.7999999999993</v>
      </c>
      <c r="T589">
        <f>Final_Table[[#This Row],[Gross Profit]]*Final_Table[[#This Row],[Tax Rate]]</f>
        <v>-883.43999999999971</v>
      </c>
      <c r="U589" s="5">
        <f>Final_Table[[#This Row],[Gross Profit]]-Final_Table[[#This Row],[Tax]]</f>
        <v>-2061.3599999999997</v>
      </c>
      <c r="V589" s="12">
        <f>Final_Table[[#This Row],[Net Profit]]/Final_Table[[#This Row],[Gross Revenue]]</f>
        <v>-0.10104705882352939</v>
      </c>
    </row>
    <row r="590" spans="1:22">
      <c r="A590" s="18" t="s">
        <v>71</v>
      </c>
      <c r="B590">
        <v>2014</v>
      </c>
      <c r="C590" t="s">
        <v>122</v>
      </c>
      <c r="D590">
        <v>1</v>
      </c>
      <c r="E590" s="18" t="s">
        <v>16</v>
      </c>
      <c r="F590" s="18" t="s">
        <v>112</v>
      </c>
      <c r="G590" s="18" t="s">
        <v>25</v>
      </c>
      <c r="H590" s="18" t="str">
        <f>Assumptions!$B$2</f>
        <v>Worst</v>
      </c>
      <c r="I590" s="18">
        <f>_xlfn.XLOOKUP(Assumptions!$B$2,Assumptions!$F$4:$H$4,Assumptions!$F$5:$H$5)</f>
        <v>1200</v>
      </c>
      <c r="J590" s="18">
        <f>_xlfn.XLOOKUP(Assumptions!$B$2,Assumptions!$F$4:$H$4,Assumptions!$F$6:$H$6)</f>
        <v>17</v>
      </c>
      <c r="K590" s="12">
        <f>_xlfn.XLOOKUP(Assumptions!$B$2,Assumptions!$F$4:$H$4,Assumptions!$F$8:$H$8)</f>
        <v>0.1</v>
      </c>
      <c r="L590" s="12">
        <f>_xlfn.XLOOKUP(Assumptions!$B$2,Assumptions!$F$4:$H$4,Assumptions!$F$9:$H$9)</f>
        <v>0.18</v>
      </c>
      <c r="M590" s="18">
        <f>_xlfn.XLOOKUP(Assumptions!$B$2,Assumptions!$F$4:$H$4,Assumptions!$F$10:$H$10)</f>
        <v>18000</v>
      </c>
      <c r="N590" s="12">
        <f>_xlfn.XLOOKUP(Assumptions!$B$2,Assumptions!$F$4:$H$4,Assumptions!$F$11:$H$11)</f>
        <v>0.3</v>
      </c>
      <c r="O590" s="14">
        <f>Final_Table[[#This Row],[Units Sold]]*Final_Table[[#This Row],[Sale Price]]</f>
        <v>20400</v>
      </c>
      <c r="P590" s="14">
        <f>Final_Table[[#This Row],[Gross Revenue]]*(1-Final_Table[[#This Row],[Discount %]])</f>
        <v>18360</v>
      </c>
      <c r="Q590">
        <f>Final_Table[[#This Row],[Net Revenue]]*Final_Table[[#This Row],[Variable Cost %]]</f>
        <v>3304.7999999999997</v>
      </c>
      <c r="R590">
        <f>Final_Table[[#This Row],[Variable Cost]]+Final_Table[[#This Row],[Fixed Monthly Cost]]</f>
        <v>21304.799999999999</v>
      </c>
      <c r="S590" s="5">
        <f>Final_Table[[#This Row],[Net Revenue]]-Final_Table[[#This Row],[Total Cost (COGS)]]</f>
        <v>-2944.7999999999993</v>
      </c>
      <c r="T590">
        <f>Final_Table[[#This Row],[Gross Profit]]*Final_Table[[#This Row],[Tax Rate]]</f>
        <v>-883.43999999999971</v>
      </c>
      <c r="U590" s="5">
        <f>Final_Table[[#This Row],[Gross Profit]]-Final_Table[[#This Row],[Tax]]</f>
        <v>-2061.3599999999997</v>
      </c>
      <c r="V590" s="12">
        <f>Final_Table[[#This Row],[Net Profit]]/Final_Table[[#This Row],[Gross Revenue]]</f>
        <v>-0.10104705882352939</v>
      </c>
    </row>
    <row r="591" spans="1:22">
      <c r="A591" s="18" t="s">
        <v>71</v>
      </c>
      <c r="B591">
        <v>2014</v>
      </c>
      <c r="C591" t="s">
        <v>122</v>
      </c>
      <c r="D591">
        <v>1</v>
      </c>
      <c r="E591" s="18" t="s">
        <v>16</v>
      </c>
      <c r="F591" s="18" t="s">
        <v>112</v>
      </c>
      <c r="G591" s="18" t="s">
        <v>17</v>
      </c>
      <c r="H591" s="18" t="str">
        <f>Assumptions!$B$2</f>
        <v>Worst</v>
      </c>
      <c r="I591" s="18">
        <f>_xlfn.XLOOKUP(Assumptions!$B$2,Assumptions!$F$4:$H$4,Assumptions!$F$5:$H$5)</f>
        <v>1200</v>
      </c>
      <c r="J591" s="18">
        <f>_xlfn.XLOOKUP(Assumptions!$B$2,Assumptions!$F$4:$H$4,Assumptions!$F$6:$H$6)</f>
        <v>17</v>
      </c>
      <c r="K591" s="12">
        <f>_xlfn.XLOOKUP(Assumptions!$B$2,Assumptions!$F$4:$H$4,Assumptions!$F$8:$H$8)</f>
        <v>0.1</v>
      </c>
      <c r="L591" s="12">
        <f>_xlfn.XLOOKUP(Assumptions!$B$2,Assumptions!$F$4:$H$4,Assumptions!$F$9:$H$9)</f>
        <v>0.18</v>
      </c>
      <c r="M591" s="18">
        <f>_xlfn.XLOOKUP(Assumptions!$B$2,Assumptions!$F$4:$H$4,Assumptions!$F$10:$H$10)</f>
        <v>18000</v>
      </c>
      <c r="N591" s="12">
        <f>_xlfn.XLOOKUP(Assumptions!$B$2,Assumptions!$F$4:$H$4,Assumptions!$F$11:$H$11)</f>
        <v>0.3</v>
      </c>
      <c r="O591" s="14">
        <f>Final_Table[[#This Row],[Units Sold]]*Final_Table[[#This Row],[Sale Price]]</f>
        <v>20400</v>
      </c>
      <c r="P591" s="14">
        <f>Final_Table[[#This Row],[Gross Revenue]]*(1-Final_Table[[#This Row],[Discount %]])</f>
        <v>18360</v>
      </c>
      <c r="Q591">
        <f>Final_Table[[#This Row],[Net Revenue]]*Final_Table[[#This Row],[Variable Cost %]]</f>
        <v>3304.7999999999997</v>
      </c>
      <c r="R591">
        <f>Final_Table[[#This Row],[Variable Cost]]+Final_Table[[#This Row],[Fixed Monthly Cost]]</f>
        <v>21304.799999999999</v>
      </c>
      <c r="S591" s="5">
        <f>Final_Table[[#This Row],[Net Revenue]]-Final_Table[[#This Row],[Total Cost (COGS)]]</f>
        <v>-2944.7999999999993</v>
      </c>
      <c r="T591">
        <f>Final_Table[[#This Row],[Gross Profit]]*Final_Table[[#This Row],[Tax Rate]]</f>
        <v>-883.43999999999971</v>
      </c>
      <c r="U591" s="5">
        <f>Final_Table[[#This Row],[Gross Profit]]-Final_Table[[#This Row],[Tax]]</f>
        <v>-2061.3599999999997</v>
      </c>
      <c r="V591" s="12">
        <f>Final_Table[[#This Row],[Net Profit]]/Final_Table[[#This Row],[Gross Revenue]]</f>
        <v>-0.10104705882352939</v>
      </c>
    </row>
    <row r="592" spans="1:22">
      <c r="A592" s="18" t="s">
        <v>71</v>
      </c>
      <c r="B592">
        <v>2014</v>
      </c>
      <c r="C592" t="s">
        <v>122</v>
      </c>
      <c r="D592">
        <v>1</v>
      </c>
      <c r="E592" s="18" t="s">
        <v>16</v>
      </c>
      <c r="F592" s="18" t="s">
        <v>113</v>
      </c>
      <c r="G592" s="18" t="s">
        <v>36</v>
      </c>
      <c r="H592" s="18" t="str">
        <f>Assumptions!$B$2</f>
        <v>Worst</v>
      </c>
      <c r="I592" s="18">
        <f>_xlfn.XLOOKUP(Assumptions!$B$2,Assumptions!$F$4:$H$4,Assumptions!$F$5:$H$5)</f>
        <v>1200</v>
      </c>
      <c r="J592" s="18">
        <f>_xlfn.XLOOKUP(Assumptions!$B$2,Assumptions!$F$4:$H$4,Assumptions!$F$6:$H$6)</f>
        <v>17</v>
      </c>
      <c r="K592" s="12">
        <f>_xlfn.XLOOKUP(Assumptions!$B$2,Assumptions!$F$4:$H$4,Assumptions!$F$8:$H$8)</f>
        <v>0.1</v>
      </c>
      <c r="L592" s="12">
        <f>_xlfn.XLOOKUP(Assumptions!$B$2,Assumptions!$F$4:$H$4,Assumptions!$F$9:$H$9)</f>
        <v>0.18</v>
      </c>
      <c r="M592" s="18">
        <f>_xlfn.XLOOKUP(Assumptions!$B$2,Assumptions!$F$4:$H$4,Assumptions!$F$10:$H$10)</f>
        <v>18000</v>
      </c>
      <c r="N592" s="12">
        <f>_xlfn.XLOOKUP(Assumptions!$B$2,Assumptions!$F$4:$H$4,Assumptions!$F$11:$H$11)</f>
        <v>0.3</v>
      </c>
      <c r="O592" s="14">
        <f>Final_Table[[#This Row],[Units Sold]]*Final_Table[[#This Row],[Sale Price]]</f>
        <v>20400</v>
      </c>
      <c r="P592" s="14">
        <f>Final_Table[[#This Row],[Gross Revenue]]*(1-Final_Table[[#This Row],[Discount %]])</f>
        <v>18360</v>
      </c>
      <c r="Q592">
        <f>Final_Table[[#This Row],[Net Revenue]]*Final_Table[[#This Row],[Variable Cost %]]</f>
        <v>3304.7999999999997</v>
      </c>
      <c r="R592">
        <f>Final_Table[[#This Row],[Variable Cost]]+Final_Table[[#This Row],[Fixed Monthly Cost]]</f>
        <v>21304.799999999999</v>
      </c>
      <c r="S592" s="5">
        <f>Final_Table[[#This Row],[Net Revenue]]-Final_Table[[#This Row],[Total Cost (COGS)]]</f>
        <v>-2944.7999999999993</v>
      </c>
      <c r="T592">
        <f>Final_Table[[#This Row],[Gross Profit]]*Final_Table[[#This Row],[Tax Rate]]</f>
        <v>-883.43999999999971</v>
      </c>
      <c r="U592" s="5">
        <f>Final_Table[[#This Row],[Gross Profit]]-Final_Table[[#This Row],[Tax]]</f>
        <v>-2061.3599999999997</v>
      </c>
      <c r="V592" s="12">
        <f>Final_Table[[#This Row],[Net Profit]]/Final_Table[[#This Row],[Gross Revenue]]</f>
        <v>-0.10104705882352939</v>
      </c>
    </row>
    <row r="593" spans="1:22">
      <c r="A593" s="18" t="s">
        <v>71</v>
      </c>
      <c r="B593">
        <v>2014</v>
      </c>
      <c r="C593" t="s">
        <v>122</v>
      </c>
      <c r="D593">
        <v>1</v>
      </c>
      <c r="E593" s="18" t="s">
        <v>16</v>
      </c>
      <c r="F593" s="18" t="s">
        <v>113</v>
      </c>
      <c r="G593" s="18" t="s">
        <v>23</v>
      </c>
      <c r="H593" s="18" t="str">
        <f>Assumptions!$B$2</f>
        <v>Worst</v>
      </c>
      <c r="I593" s="18">
        <f>_xlfn.XLOOKUP(Assumptions!$B$2,Assumptions!$F$4:$H$4,Assumptions!$F$5:$H$5)</f>
        <v>1200</v>
      </c>
      <c r="J593" s="18">
        <f>_xlfn.XLOOKUP(Assumptions!$B$2,Assumptions!$F$4:$H$4,Assumptions!$F$6:$H$6)</f>
        <v>17</v>
      </c>
      <c r="K593" s="12">
        <f>_xlfn.XLOOKUP(Assumptions!$B$2,Assumptions!$F$4:$H$4,Assumptions!$F$8:$H$8)</f>
        <v>0.1</v>
      </c>
      <c r="L593" s="12">
        <f>_xlfn.XLOOKUP(Assumptions!$B$2,Assumptions!$F$4:$H$4,Assumptions!$F$9:$H$9)</f>
        <v>0.18</v>
      </c>
      <c r="M593" s="18">
        <f>_xlfn.XLOOKUP(Assumptions!$B$2,Assumptions!$F$4:$H$4,Assumptions!$F$10:$H$10)</f>
        <v>18000</v>
      </c>
      <c r="N593" s="12">
        <f>_xlfn.XLOOKUP(Assumptions!$B$2,Assumptions!$F$4:$H$4,Assumptions!$F$11:$H$11)</f>
        <v>0.3</v>
      </c>
      <c r="O593" s="14">
        <f>Final_Table[[#This Row],[Units Sold]]*Final_Table[[#This Row],[Sale Price]]</f>
        <v>20400</v>
      </c>
      <c r="P593" s="14">
        <f>Final_Table[[#This Row],[Gross Revenue]]*(1-Final_Table[[#This Row],[Discount %]])</f>
        <v>18360</v>
      </c>
      <c r="Q593">
        <f>Final_Table[[#This Row],[Net Revenue]]*Final_Table[[#This Row],[Variable Cost %]]</f>
        <v>3304.7999999999997</v>
      </c>
      <c r="R593">
        <f>Final_Table[[#This Row],[Variable Cost]]+Final_Table[[#This Row],[Fixed Monthly Cost]]</f>
        <v>21304.799999999999</v>
      </c>
      <c r="S593" s="5">
        <f>Final_Table[[#This Row],[Net Revenue]]-Final_Table[[#This Row],[Total Cost (COGS)]]</f>
        <v>-2944.7999999999993</v>
      </c>
      <c r="T593">
        <f>Final_Table[[#This Row],[Gross Profit]]*Final_Table[[#This Row],[Tax Rate]]</f>
        <v>-883.43999999999971</v>
      </c>
      <c r="U593" s="5">
        <f>Final_Table[[#This Row],[Gross Profit]]-Final_Table[[#This Row],[Tax]]</f>
        <v>-2061.3599999999997</v>
      </c>
      <c r="V593" s="12">
        <f>Final_Table[[#This Row],[Net Profit]]/Final_Table[[#This Row],[Gross Revenue]]</f>
        <v>-0.10104705882352939</v>
      </c>
    </row>
    <row r="594" spans="1:22">
      <c r="A594" s="18" t="s">
        <v>71</v>
      </c>
      <c r="B594">
        <v>2014</v>
      </c>
      <c r="C594" t="s">
        <v>122</v>
      </c>
      <c r="D594">
        <v>1</v>
      </c>
      <c r="E594" s="18" t="s">
        <v>16</v>
      </c>
      <c r="F594" s="18" t="s">
        <v>113</v>
      </c>
      <c r="G594" s="18" t="s">
        <v>21</v>
      </c>
      <c r="H594" s="18" t="str">
        <f>Assumptions!$B$2</f>
        <v>Worst</v>
      </c>
      <c r="I594" s="18">
        <f>_xlfn.XLOOKUP(Assumptions!$B$2,Assumptions!$F$4:$H$4,Assumptions!$F$5:$H$5)</f>
        <v>1200</v>
      </c>
      <c r="J594" s="18">
        <f>_xlfn.XLOOKUP(Assumptions!$B$2,Assumptions!$F$4:$H$4,Assumptions!$F$6:$H$6)</f>
        <v>17</v>
      </c>
      <c r="K594" s="12">
        <f>_xlfn.XLOOKUP(Assumptions!$B$2,Assumptions!$F$4:$H$4,Assumptions!$F$8:$H$8)</f>
        <v>0.1</v>
      </c>
      <c r="L594" s="12">
        <f>_xlfn.XLOOKUP(Assumptions!$B$2,Assumptions!$F$4:$H$4,Assumptions!$F$9:$H$9)</f>
        <v>0.18</v>
      </c>
      <c r="M594" s="18">
        <f>_xlfn.XLOOKUP(Assumptions!$B$2,Assumptions!$F$4:$H$4,Assumptions!$F$10:$H$10)</f>
        <v>18000</v>
      </c>
      <c r="N594" s="12">
        <f>_xlfn.XLOOKUP(Assumptions!$B$2,Assumptions!$F$4:$H$4,Assumptions!$F$11:$H$11)</f>
        <v>0.3</v>
      </c>
      <c r="O594" s="14">
        <f>Final_Table[[#This Row],[Units Sold]]*Final_Table[[#This Row],[Sale Price]]</f>
        <v>20400</v>
      </c>
      <c r="P594" s="14">
        <f>Final_Table[[#This Row],[Gross Revenue]]*(1-Final_Table[[#This Row],[Discount %]])</f>
        <v>18360</v>
      </c>
      <c r="Q594">
        <f>Final_Table[[#This Row],[Net Revenue]]*Final_Table[[#This Row],[Variable Cost %]]</f>
        <v>3304.7999999999997</v>
      </c>
      <c r="R594">
        <f>Final_Table[[#This Row],[Variable Cost]]+Final_Table[[#This Row],[Fixed Monthly Cost]]</f>
        <v>21304.799999999999</v>
      </c>
      <c r="S594" s="5">
        <f>Final_Table[[#This Row],[Net Revenue]]-Final_Table[[#This Row],[Total Cost (COGS)]]</f>
        <v>-2944.7999999999993</v>
      </c>
      <c r="T594">
        <f>Final_Table[[#This Row],[Gross Profit]]*Final_Table[[#This Row],[Tax Rate]]</f>
        <v>-883.43999999999971</v>
      </c>
      <c r="U594" s="5">
        <f>Final_Table[[#This Row],[Gross Profit]]-Final_Table[[#This Row],[Tax]]</f>
        <v>-2061.3599999999997</v>
      </c>
      <c r="V594" s="12">
        <f>Final_Table[[#This Row],[Net Profit]]/Final_Table[[#This Row],[Gross Revenue]]</f>
        <v>-0.10104705882352939</v>
      </c>
    </row>
    <row r="595" spans="1:22">
      <c r="A595" s="18" t="s">
        <v>71</v>
      </c>
      <c r="B595">
        <v>2014</v>
      </c>
      <c r="C595" t="s">
        <v>122</v>
      </c>
      <c r="D595">
        <v>1</v>
      </c>
      <c r="E595" s="18" t="s">
        <v>16</v>
      </c>
      <c r="F595" s="18" t="s">
        <v>113</v>
      </c>
      <c r="G595" s="18" t="s">
        <v>25</v>
      </c>
      <c r="H595" s="18" t="str">
        <f>Assumptions!$B$2</f>
        <v>Worst</v>
      </c>
      <c r="I595" s="18">
        <f>_xlfn.XLOOKUP(Assumptions!$B$2,Assumptions!$F$4:$H$4,Assumptions!$F$5:$H$5)</f>
        <v>1200</v>
      </c>
      <c r="J595" s="18">
        <f>_xlfn.XLOOKUP(Assumptions!$B$2,Assumptions!$F$4:$H$4,Assumptions!$F$6:$H$6)</f>
        <v>17</v>
      </c>
      <c r="K595" s="12">
        <f>_xlfn.XLOOKUP(Assumptions!$B$2,Assumptions!$F$4:$H$4,Assumptions!$F$8:$H$8)</f>
        <v>0.1</v>
      </c>
      <c r="L595" s="12">
        <f>_xlfn.XLOOKUP(Assumptions!$B$2,Assumptions!$F$4:$H$4,Assumptions!$F$9:$H$9)</f>
        <v>0.18</v>
      </c>
      <c r="M595" s="18">
        <f>_xlfn.XLOOKUP(Assumptions!$B$2,Assumptions!$F$4:$H$4,Assumptions!$F$10:$H$10)</f>
        <v>18000</v>
      </c>
      <c r="N595" s="12">
        <f>_xlfn.XLOOKUP(Assumptions!$B$2,Assumptions!$F$4:$H$4,Assumptions!$F$11:$H$11)</f>
        <v>0.3</v>
      </c>
      <c r="O595" s="14">
        <f>Final_Table[[#This Row],[Units Sold]]*Final_Table[[#This Row],[Sale Price]]</f>
        <v>20400</v>
      </c>
      <c r="P595" s="14">
        <f>Final_Table[[#This Row],[Gross Revenue]]*(1-Final_Table[[#This Row],[Discount %]])</f>
        <v>18360</v>
      </c>
      <c r="Q595">
        <f>Final_Table[[#This Row],[Net Revenue]]*Final_Table[[#This Row],[Variable Cost %]]</f>
        <v>3304.7999999999997</v>
      </c>
      <c r="R595">
        <f>Final_Table[[#This Row],[Variable Cost]]+Final_Table[[#This Row],[Fixed Monthly Cost]]</f>
        <v>21304.799999999999</v>
      </c>
      <c r="S595" s="5">
        <f>Final_Table[[#This Row],[Net Revenue]]-Final_Table[[#This Row],[Total Cost (COGS)]]</f>
        <v>-2944.7999999999993</v>
      </c>
      <c r="T595">
        <f>Final_Table[[#This Row],[Gross Profit]]*Final_Table[[#This Row],[Tax Rate]]</f>
        <v>-883.43999999999971</v>
      </c>
      <c r="U595" s="5">
        <f>Final_Table[[#This Row],[Gross Profit]]-Final_Table[[#This Row],[Tax]]</f>
        <v>-2061.3599999999997</v>
      </c>
      <c r="V595" s="12">
        <f>Final_Table[[#This Row],[Net Profit]]/Final_Table[[#This Row],[Gross Revenue]]</f>
        <v>-0.10104705882352939</v>
      </c>
    </row>
    <row r="596" spans="1:22">
      <c r="A596" s="18" t="s">
        <v>71</v>
      </c>
      <c r="B596">
        <v>2014</v>
      </c>
      <c r="C596" t="s">
        <v>122</v>
      </c>
      <c r="D596">
        <v>1</v>
      </c>
      <c r="E596" s="18" t="s">
        <v>16</v>
      </c>
      <c r="F596" s="18" t="s">
        <v>113</v>
      </c>
      <c r="G596" s="18" t="s">
        <v>17</v>
      </c>
      <c r="H596" s="18" t="str">
        <f>Assumptions!$B$2</f>
        <v>Worst</v>
      </c>
      <c r="I596" s="18">
        <f>_xlfn.XLOOKUP(Assumptions!$B$2,Assumptions!$F$4:$H$4,Assumptions!$F$5:$H$5)</f>
        <v>1200</v>
      </c>
      <c r="J596" s="18">
        <f>_xlfn.XLOOKUP(Assumptions!$B$2,Assumptions!$F$4:$H$4,Assumptions!$F$6:$H$6)</f>
        <v>17</v>
      </c>
      <c r="K596" s="12">
        <f>_xlfn.XLOOKUP(Assumptions!$B$2,Assumptions!$F$4:$H$4,Assumptions!$F$8:$H$8)</f>
        <v>0.1</v>
      </c>
      <c r="L596" s="12">
        <f>_xlfn.XLOOKUP(Assumptions!$B$2,Assumptions!$F$4:$H$4,Assumptions!$F$9:$H$9)</f>
        <v>0.18</v>
      </c>
      <c r="M596" s="18">
        <f>_xlfn.XLOOKUP(Assumptions!$B$2,Assumptions!$F$4:$H$4,Assumptions!$F$10:$H$10)</f>
        <v>18000</v>
      </c>
      <c r="N596" s="12">
        <f>_xlfn.XLOOKUP(Assumptions!$B$2,Assumptions!$F$4:$H$4,Assumptions!$F$11:$H$11)</f>
        <v>0.3</v>
      </c>
      <c r="O596" s="14">
        <f>Final_Table[[#This Row],[Units Sold]]*Final_Table[[#This Row],[Sale Price]]</f>
        <v>20400</v>
      </c>
      <c r="P596" s="14">
        <f>Final_Table[[#This Row],[Gross Revenue]]*(1-Final_Table[[#This Row],[Discount %]])</f>
        <v>18360</v>
      </c>
      <c r="Q596">
        <f>Final_Table[[#This Row],[Net Revenue]]*Final_Table[[#This Row],[Variable Cost %]]</f>
        <v>3304.7999999999997</v>
      </c>
      <c r="R596">
        <f>Final_Table[[#This Row],[Variable Cost]]+Final_Table[[#This Row],[Fixed Monthly Cost]]</f>
        <v>21304.799999999999</v>
      </c>
      <c r="S596" s="5">
        <f>Final_Table[[#This Row],[Net Revenue]]-Final_Table[[#This Row],[Total Cost (COGS)]]</f>
        <v>-2944.7999999999993</v>
      </c>
      <c r="T596">
        <f>Final_Table[[#This Row],[Gross Profit]]*Final_Table[[#This Row],[Tax Rate]]</f>
        <v>-883.43999999999971</v>
      </c>
      <c r="U596" s="5">
        <f>Final_Table[[#This Row],[Gross Profit]]-Final_Table[[#This Row],[Tax]]</f>
        <v>-2061.3599999999997</v>
      </c>
      <c r="V596" s="12">
        <f>Final_Table[[#This Row],[Net Profit]]/Final_Table[[#This Row],[Gross Revenue]]</f>
        <v>-0.10104705882352939</v>
      </c>
    </row>
    <row r="597" spans="1:22">
      <c r="A597" s="18" t="s">
        <v>71</v>
      </c>
      <c r="B597">
        <v>2014</v>
      </c>
      <c r="C597" t="s">
        <v>122</v>
      </c>
      <c r="D597">
        <v>1</v>
      </c>
      <c r="E597" s="18" t="s">
        <v>16</v>
      </c>
      <c r="F597" s="18" t="s">
        <v>114</v>
      </c>
      <c r="G597" s="18" t="s">
        <v>36</v>
      </c>
      <c r="H597" s="18" t="str">
        <f>Assumptions!$B$2</f>
        <v>Worst</v>
      </c>
      <c r="I597" s="18">
        <f>_xlfn.XLOOKUP(Assumptions!$B$2,Assumptions!$F$4:$H$4,Assumptions!$F$5:$H$5)</f>
        <v>1200</v>
      </c>
      <c r="J597" s="18">
        <f>_xlfn.XLOOKUP(Assumptions!$B$2,Assumptions!$F$4:$H$4,Assumptions!$F$6:$H$6)</f>
        <v>17</v>
      </c>
      <c r="K597" s="12">
        <f>_xlfn.XLOOKUP(Assumptions!$B$2,Assumptions!$F$4:$H$4,Assumptions!$F$8:$H$8)</f>
        <v>0.1</v>
      </c>
      <c r="L597" s="12">
        <f>_xlfn.XLOOKUP(Assumptions!$B$2,Assumptions!$F$4:$H$4,Assumptions!$F$9:$H$9)</f>
        <v>0.18</v>
      </c>
      <c r="M597" s="18">
        <f>_xlfn.XLOOKUP(Assumptions!$B$2,Assumptions!$F$4:$H$4,Assumptions!$F$10:$H$10)</f>
        <v>18000</v>
      </c>
      <c r="N597" s="12">
        <f>_xlfn.XLOOKUP(Assumptions!$B$2,Assumptions!$F$4:$H$4,Assumptions!$F$11:$H$11)</f>
        <v>0.3</v>
      </c>
      <c r="O597" s="14">
        <f>Final_Table[[#This Row],[Units Sold]]*Final_Table[[#This Row],[Sale Price]]</f>
        <v>20400</v>
      </c>
      <c r="P597" s="14">
        <f>Final_Table[[#This Row],[Gross Revenue]]*(1-Final_Table[[#This Row],[Discount %]])</f>
        <v>18360</v>
      </c>
      <c r="Q597">
        <f>Final_Table[[#This Row],[Net Revenue]]*Final_Table[[#This Row],[Variable Cost %]]</f>
        <v>3304.7999999999997</v>
      </c>
      <c r="R597">
        <f>Final_Table[[#This Row],[Variable Cost]]+Final_Table[[#This Row],[Fixed Monthly Cost]]</f>
        <v>21304.799999999999</v>
      </c>
      <c r="S597" s="5">
        <f>Final_Table[[#This Row],[Net Revenue]]-Final_Table[[#This Row],[Total Cost (COGS)]]</f>
        <v>-2944.7999999999993</v>
      </c>
      <c r="T597">
        <f>Final_Table[[#This Row],[Gross Profit]]*Final_Table[[#This Row],[Tax Rate]]</f>
        <v>-883.43999999999971</v>
      </c>
      <c r="U597" s="5">
        <f>Final_Table[[#This Row],[Gross Profit]]-Final_Table[[#This Row],[Tax]]</f>
        <v>-2061.3599999999997</v>
      </c>
      <c r="V597" s="12">
        <f>Final_Table[[#This Row],[Net Profit]]/Final_Table[[#This Row],[Gross Revenue]]</f>
        <v>-0.10104705882352939</v>
      </c>
    </row>
    <row r="598" spans="1:22">
      <c r="A598" s="18" t="s">
        <v>71</v>
      </c>
      <c r="B598">
        <v>2014</v>
      </c>
      <c r="C598" t="s">
        <v>122</v>
      </c>
      <c r="D598">
        <v>1</v>
      </c>
      <c r="E598" s="18" t="s">
        <v>16</v>
      </c>
      <c r="F598" s="18" t="s">
        <v>114</v>
      </c>
      <c r="G598" s="18" t="s">
        <v>23</v>
      </c>
      <c r="H598" s="18" t="str">
        <f>Assumptions!$B$2</f>
        <v>Worst</v>
      </c>
      <c r="I598" s="18">
        <f>_xlfn.XLOOKUP(Assumptions!$B$2,Assumptions!$F$4:$H$4,Assumptions!$F$5:$H$5)</f>
        <v>1200</v>
      </c>
      <c r="J598" s="18">
        <f>_xlfn.XLOOKUP(Assumptions!$B$2,Assumptions!$F$4:$H$4,Assumptions!$F$6:$H$6)</f>
        <v>17</v>
      </c>
      <c r="K598" s="12">
        <f>_xlfn.XLOOKUP(Assumptions!$B$2,Assumptions!$F$4:$H$4,Assumptions!$F$8:$H$8)</f>
        <v>0.1</v>
      </c>
      <c r="L598" s="12">
        <f>_xlfn.XLOOKUP(Assumptions!$B$2,Assumptions!$F$4:$H$4,Assumptions!$F$9:$H$9)</f>
        <v>0.18</v>
      </c>
      <c r="M598" s="18">
        <f>_xlfn.XLOOKUP(Assumptions!$B$2,Assumptions!$F$4:$H$4,Assumptions!$F$10:$H$10)</f>
        <v>18000</v>
      </c>
      <c r="N598" s="12">
        <f>_xlfn.XLOOKUP(Assumptions!$B$2,Assumptions!$F$4:$H$4,Assumptions!$F$11:$H$11)</f>
        <v>0.3</v>
      </c>
      <c r="O598" s="14">
        <f>Final_Table[[#This Row],[Units Sold]]*Final_Table[[#This Row],[Sale Price]]</f>
        <v>20400</v>
      </c>
      <c r="P598" s="14">
        <f>Final_Table[[#This Row],[Gross Revenue]]*(1-Final_Table[[#This Row],[Discount %]])</f>
        <v>18360</v>
      </c>
      <c r="Q598">
        <f>Final_Table[[#This Row],[Net Revenue]]*Final_Table[[#This Row],[Variable Cost %]]</f>
        <v>3304.7999999999997</v>
      </c>
      <c r="R598">
        <f>Final_Table[[#This Row],[Variable Cost]]+Final_Table[[#This Row],[Fixed Monthly Cost]]</f>
        <v>21304.799999999999</v>
      </c>
      <c r="S598" s="5">
        <f>Final_Table[[#This Row],[Net Revenue]]-Final_Table[[#This Row],[Total Cost (COGS)]]</f>
        <v>-2944.7999999999993</v>
      </c>
      <c r="T598">
        <f>Final_Table[[#This Row],[Gross Profit]]*Final_Table[[#This Row],[Tax Rate]]</f>
        <v>-883.43999999999971</v>
      </c>
      <c r="U598" s="5">
        <f>Final_Table[[#This Row],[Gross Profit]]-Final_Table[[#This Row],[Tax]]</f>
        <v>-2061.3599999999997</v>
      </c>
      <c r="V598" s="12">
        <f>Final_Table[[#This Row],[Net Profit]]/Final_Table[[#This Row],[Gross Revenue]]</f>
        <v>-0.10104705882352939</v>
      </c>
    </row>
    <row r="599" spans="1:22">
      <c r="A599" s="18" t="s">
        <v>71</v>
      </c>
      <c r="B599">
        <v>2014</v>
      </c>
      <c r="C599" t="s">
        <v>122</v>
      </c>
      <c r="D599">
        <v>1</v>
      </c>
      <c r="E599" s="18" t="s">
        <v>16</v>
      </c>
      <c r="F599" s="18" t="s">
        <v>114</v>
      </c>
      <c r="G599" s="18" t="s">
        <v>21</v>
      </c>
      <c r="H599" s="18" t="str">
        <f>Assumptions!$B$2</f>
        <v>Worst</v>
      </c>
      <c r="I599" s="18">
        <f>_xlfn.XLOOKUP(Assumptions!$B$2,Assumptions!$F$4:$H$4,Assumptions!$F$5:$H$5)</f>
        <v>1200</v>
      </c>
      <c r="J599" s="18">
        <f>_xlfn.XLOOKUP(Assumptions!$B$2,Assumptions!$F$4:$H$4,Assumptions!$F$6:$H$6)</f>
        <v>17</v>
      </c>
      <c r="K599" s="12">
        <f>_xlfn.XLOOKUP(Assumptions!$B$2,Assumptions!$F$4:$H$4,Assumptions!$F$8:$H$8)</f>
        <v>0.1</v>
      </c>
      <c r="L599" s="12">
        <f>_xlfn.XLOOKUP(Assumptions!$B$2,Assumptions!$F$4:$H$4,Assumptions!$F$9:$H$9)</f>
        <v>0.18</v>
      </c>
      <c r="M599" s="18">
        <f>_xlfn.XLOOKUP(Assumptions!$B$2,Assumptions!$F$4:$H$4,Assumptions!$F$10:$H$10)</f>
        <v>18000</v>
      </c>
      <c r="N599" s="12">
        <f>_xlfn.XLOOKUP(Assumptions!$B$2,Assumptions!$F$4:$H$4,Assumptions!$F$11:$H$11)</f>
        <v>0.3</v>
      </c>
      <c r="O599" s="14">
        <f>Final_Table[[#This Row],[Units Sold]]*Final_Table[[#This Row],[Sale Price]]</f>
        <v>20400</v>
      </c>
      <c r="P599" s="14">
        <f>Final_Table[[#This Row],[Gross Revenue]]*(1-Final_Table[[#This Row],[Discount %]])</f>
        <v>18360</v>
      </c>
      <c r="Q599">
        <f>Final_Table[[#This Row],[Net Revenue]]*Final_Table[[#This Row],[Variable Cost %]]</f>
        <v>3304.7999999999997</v>
      </c>
      <c r="R599">
        <f>Final_Table[[#This Row],[Variable Cost]]+Final_Table[[#This Row],[Fixed Monthly Cost]]</f>
        <v>21304.799999999999</v>
      </c>
      <c r="S599" s="5">
        <f>Final_Table[[#This Row],[Net Revenue]]-Final_Table[[#This Row],[Total Cost (COGS)]]</f>
        <v>-2944.7999999999993</v>
      </c>
      <c r="T599">
        <f>Final_Table[[#This Row],[Gross Profit]]*Final_Table[[#This Row],[Tax Rate]]</f>
        <v>-883.43999999999971</v>
      </c>
      <c r="U599" s="5">
        <f>Final_Table[[#This Row],[Gross Profit]]-Final_Table[[#This Row],[Tax]]</f>
        <v>-2061.3599999999997</v>
      </c>
      <c r="V599" s="12">
        <f>Final_Table[[#This Row],[Net Profit]]/Final_Table[[#This Row],[Gross Revenue]]</f>
        <v>-0.10104705882352939</v>
      </c>
    </row>
    <row r="600" spans="1:22">
      <c r="A600" s="18" t="s">
        <v>71</v>
      </c>
      <c r="B600">
        <v>2014</v>
      </c>
      <c r="C600" t="s">
        <v>122</v>
      </c>
      <c r="D600">
        <v>1</v>
      </c>
      <c r="E600" s="18" t="s">
        <v>16</v>
      </c>
      <c r="F600" s="18" t="s">
        <v>114</v>
      </c>
      <c r="G600" s="18" t="s">
        <v>25</v>
      </c>
      <c r="H600" s="18" t="str">
        <f>Assumptions!$B$2</f>
        <v>Worst</v>
      </c>
      <c r="I600" s="18">
        <f>_xlfn.XLOOKUP(Assumptions!$B$2,Assumptions!$F$4:$H$4,Assumptions!$F$5:$H$5)</f>
        <v>1200</v>
      </c>
      <c r="J600" s="18">
        <f>_xlfn.XLOOKUP(Assumptions!$B$2,Assumptions!$F$4:$H$4,Assumptions!$F$6:$H$6)</f>
        <v>17</v>
      </c>
      <c r="K600" s="12">
        <f>_xlfn.XLOOKUP(Assumptions!$B$2,Assumptions!$F$4:$H$4,Assumptions!$F$8:$H$8)</f>
        <v>0.1</v>
      </c>
      <c r="L600" s="12">
        <f>_xlfn.XLOOKUP(Assumptions!$B$2,Assumptions!$F$4:$H$4,Assumptions!$F$9:$H$9)</f>
        <v>0.18</v>
      </c>
      <c r="M600" s="18">
        <f>_xlfn.XLOOKUP(Assumptions!$B$2,Assumptions!$F$4:$H$4,Assumptions!$F$10:$H$10)</f>
        <v>18000</v>
      </c>
      <c r="N600" s="12">
        <f>_xlfn.XLOOKUP(Assumptions!$B$2,Assumptions!$F$4:$H$4,Assumptions!$F$11:$H$11)</f>
        <v>0.3</v>
      </c>
      <c r="O600" s="14">
        <f>Final_Table[[#This Row],[Units Sold]]*Final_Table[[#This Row],[Sale Price]]</f>
        <v>20400</v>
      </c>
      <c r="P600" s="14">
        <f>Final_Table[[#This Row],[Gross Revenue]]*(1-Final_Table[[#This Row],[Discount %]])</f>
        <v>18360</v>
      </c>
      <c r="Q600">
        <f>Final_Table[[#This Row],[Net Revenue]]*Final_Table[[#This Row],[Variable Cost %]]</f>
        <v>3304.7999999999997</v>
      </c>
      <c r="R600">
        <f>Final_Table[[#This Row],[Variable Cost]]+Final_Table[[#This Row],[Fixed Monthly Cost]]</f>
        <v>21304.799999999999</v>
      </c>
      <c r="S600" s="5">
        <f>Final_Table[[#This Row],[Net Revenue]]-Final_Table[[#This Row],[Total Cost (COGS)]]</f>
        <v>-2944.7999999999993</v>
      </c>
      <c r="T600">
        <f>Final_Table[[#This Row],[Gross Profit]]*Final_Table[[#This Row],[Tax Rate]]</f>
        <v>-883.43999999999971</v>
      </c>
      <c r="U600" s="5">
        <f>Final_Table[[#This Row],[Gross Profit]]-Final_Table[[#This Row],[Tax]]</f>
        <v>-2061.3599999999997</v>
      </c>
      <c r="V600" s="12">
        <f>Final_Table[[#This Row],[Net Profit]]/Final_Table[[#This Row],[Gross Revenue]]</f>
        <v>-0.10104705882352939</v>
      </c>
    </row>
    <row r="601" spans="1:22">
      <c r="A601" s="18" t="s">
        <v>71</v>
      </c>
      <c r="B601">
        <v>2014</v>
      </c>
      <c r="C601" t="s">
        <v>122</v>
      </c>
      <c r="D601">
        <v>1</v>
      </c>
      <c r="E601" s="18" t="s">
        <v>16</v>
      </c>
      <c r="F601" s="18" t="s">
        <v>114</v>
      </c>
      <c r="G601" s="18" t="s">
        <v>17</v>
      </c>
      <c r="H601" s="18" t="str">
        <f>Assumptions!$B$2</f>
        <v>Worst</v>
      </c>
      <c r="I601" s="18">
        <f>_xlfn.XLOOKUP(Assumptions!$B$2,Assumptions!$F$4:$H$4,Assumptions!$F$5:$H$5)</f>
        <v>1200</v>
      </c>
      <c r="J601" s="18">
        <f>_xlfn.XLOOKUP(Assumptions!$B$2,Assumptions!$F$4:$H$4,Assumptions!$F$6:$H$6)</f>
        <v>17</v>
      </c>
      <c r="K601" s="12">
        <f>_xlfn.XLOOKUP(Assumptions!$B$2,Assumptions!$F$4:$H$4,Assumptions!$F$8:$H$8)</f>
        <v>0.1</v>
      </c>
      <c r="L601" s="12">
        <f>_xlfn.XLOOKUP(Assumptions!$B$2,Assumptions!$F$4:$H$4,Assumptions!$F$9:$H$9)</f>
        <v>0.18</v>
      </c>
      <c r="M601" s="18">
        <f>_xlfn.XLOOKUP(Assumptions!$B$2,Assumptions!$F$4:$H$4,Assumptions!$F$10:$H$10)</f>
        <v>18000</v>
      </c>
      <c r="N601" s="12">
        <f>_xlfn.XLOOKUP(Assumptions!$B$2,Assumptions!$F$4:$H$4,Assumptions!$F$11:$H$11)</f>
        <v>0.3</v>
      </c>
      <c r="O601" s="14">
        <f>Final_Table[[#This Row],[Units Sold]]*Final_Table[[#This Row],[Sale Price]]</f>
        <v>20400</v>
      </c>
      <c r="P601" s="14">
        <f>Final_Table[[#This Row],[Gross Revenue]]*(1-Final_Table[[#This Row],[Discount %]])</f>
        <v>18360</v>
      </c>
      <c r="Q601">
        <f>Final_Table[[#This Row],[Net Revenue]]*Final_Table[[#This Row],[Variable Cost %]]</f>
        <v>3304.7999999999997</v>
      </c>
      <c r="R601">
        <f>Final_Table[[#This Row],[Variable Cost]]+Final_Table[[#This Row],[Fixed Monthly Cost]]</f>
        <v>21304.799999999999</v>
      </c>
      <c r="S601" s="5">
        <f>Final_Table[[#This Row],[Net Revenue]]-Final_Table[[#This Row],[Total Cost (COGS)]]</f>
        <v>-2944.7999999999993</v>
      </c>
      <c r="T601">
        <f>Final_Table[[#This Row],[Gross Profit]]*Final_Table[[#This Row],[Tax Rate]]</f>
        <v>-883.43999999999971</v>
      </c>
      <c r="U601" s="5">
        <f>Final_Table[[#This Row],[Gross Profit]]-Final_Table[[#This Row],[Tax]]</f>
        <v>-2061.3599999999997</v>
      </c>
      <c r="V601" s="12">
        <f>Final_Table[[#This Row],[Net Profit]]/Final_Table[[#This Row],[Gross Revenue]]</f>
        <v>-0.10104705882352939</v>
      </c>
    </row>
    <row r="602" spans="1:22">
      <c r="A602" s="18" t="s">
        <v>71</v>
      </c>
      <c r="B602">
        <v>2014</v>
      </c>
      <c r="C602" t="s">
        <v>122</v>
      </c>
      <c r="D602">
        <v>1</v>
      </c>
      <c r="E602" s="18" t="s">
        <v>32</v>
      </c>
      <c r="F602" s="18" t="s">
        <v>80</v>
      </c>
      <c r="G602" s="18" t="s">
        <v>36</v>
      </c>
      <c r="H602" s="18" t="str">
        <f>Assumptions!$B$2</f>
        <v>Worst</v>
      </c>
      <c r="I602" s="18">
        <f>_xlfn.XLOOKUP(Assumptions!$B$2,Assumptions!$F$4:$H$4,Assumptions!$F$5:$H$5)</f>
        <v>1200</v>
      </c>
      <c r="J602" s="18">
        <f>_xlfn.XLOOKUP(Assumptions!$B$2,Assumptions!$F$4:$H$4,Assumptions!$F$6:$H$6)</f>
        <v>17</v>
      </c>
      <c r="K602" s="12">
        <f>_xlfn.XLOOKUP(Assumptions!$B$2,Assumptions!$F$4:$H$4,Assumptions!$F$8:$H$8)</f>
        <v>0.1</v>
      </c>
      <c r="L602" s="12">
        <f>_xlfn.XLOOKUP(Assumptions!$B$2,Assumptions!$F$4:$H$4,Assumptions!$F$9:$H$9)</f>
        <v>0.18</v>
      </c>
      <c r="M602" s="18">
        <f>_xlfn.XLOOKUP(Assumptions!$B$2,Assumptions!$F$4:$H$4,Assumptions!$F$10:$H$10)</f>
        <v>18000</v>
      </c>
      <c r="N602" s="12">
        <f>_xlfn.XLOOKUP(Assumptions!$B$2,Assumptions!$F$4:$H$4,Assumptions!$F$11:$H$11)</f>
        <v>0.3</v>
      </c>
      <c r="O602" s="14">
        <f>Final_Table[[#This Row],[Units Sold]]*Final_Table[[#This Row],[Sale Price]]</f>
        <v>20400</v>
      </c>
      <c r="P602" s="14">
        <f>Final_Table[[#This Row],[Gross Revenue]]*(1-Final_Table[[#This Row],[Discount %]])</f>
        <v>18360</v>
      </c>
      <c r="Q602">
        <f>Final_Table[[#This Row],[Net Revenue]]*Final_Table[[#This Row],[Variable Cost %]]</f>
        <v>3304.7999999999997</v>
      </c>
      <c r="R602">
        <f>Final_Table[[#This Row],[Variable Cost]]+Final_Table[[#This Row],[Fixed Monthly Cost]]</f>
        <v>21304.799999999999</v>
      </c>
      <c r="S602" s="5">
        <f>Final_Table[[#This Row],[Net Revenue]]-Final_Table[[#This Row],[Total Cost (COGS)]]</f>
        <v>-2944.7999999999993</v>
      </c>
      <c r="T602">
        <f>Final_Table[[#This Row],[Gross Profit]]*Final_Table[[#This Row],[Tax Rate]]</f>
        <v>-883.43999999999971</v>
      </c>
      <c r="U602" s="5">
        <f>Final_Table[[#This Row],[Gross Profit]]-Final_Table[[#This Row],[Tax]]</f>
        <v>-2061.3599999999997</v>
      </c>
      <c r="V602" s="12">
        <f>Final_Table[[#This Row],[Net Profit]]/Final_Table[[#This Row],[Gross Revenue]]</f>
        <v>-0.10104705882352939</v>
      </c>
    </row>
    <row r="603" spans="1:22">
      <c r="A603" s="18" t="s">
        <v>71</v>
      </c>
      <c r="B603">
        <v>2014</v>
      </c>
      <c r="C603" t="s">
        <v>122</v>
      </c>
      <c r="D603">
        <v>1</v>
      </c>
      <c r="E603" s="18" t="s">
        <v>32</v>
      </c>
      <c r="F603" s="18" t="s">
        <v>80</v>
      </c>
      <c r="G603" s="18" t="s">
        <v>23</v>
      </c>
      <c r="H603" s="18" t="str">
        <f>Assumptions!$B$2</f>
        <v>Worst</v>
      </c>
      <c r="I603" s="18">
        <f>_xlfn.XLOOKUP(Assumptions!$B$2,Assumptions!$F$4:$H$4,Assumptions!$F$5:$H$5)</f>
        <v>1200</v>
      </c>
      <c r="J603" s="18">
        <f>_xlfn.XLOOKUP(Assumptions!$B$2,Assumptions!$F$4:$H$4,Assumptions!$F$6:$H$6)</f>
        <v>17</v>
      </c>
      <c r="K603" s="12">
        <f>_xlfn.XLOOKUP(Assumptions!$B$2,Assumptions!$F$4:$H$4,Assumptions!$F$8:$H$8)</f>
        <v>0.1</v>
      </c>
      <c r="L603" s="12">
        <f>_xlfn.XLOOKUP(Assumptions!$B$2,Assumptions!$F$4:$H$4,Assumptions!$F$9:$H$9)</f>
        <v>0.18</v>
      </c>
      <c r="M603" s="18">
        <f>_xlfn.XLOOKUP(Assumptions!$B$2,Assumptions!$F$4:$H$4,Assumptions!$F$10:$H$10)</f>
        <v>18000</v>
      </c>
      <c r="N603" s="12">
        <f>_xlfn.XLOOKUP(Assumptions!$B$2,Assumptions!$F$4:$H$4,Assumptions!$F$11:$H$11)</f>
        <v>0.3</v>
      </c>
      <c r="O603" s="14">
        <f>Final_Table[[#This Row],[Units Sold]]*Final_Table[[#This Row],[Sale Price]]</f>
        <v>20400</v>
      </c>
      <c r="P603" s="14">
        <f>Final_Table[[#This Row],[Gross Revenue]]*(1-Final_Table[[#This Row],[Discount %]])</f>
        <v>18360</v>
      </c>
      <c r="Q603">
        <f>Final_Table[[#This Row],[Net Revenue]]*Final_Table[[#This Row],[Variable Cost %]]</f>
        <v>3304.7999999999997</v>
      </c>
      <c r="R603">
        <f>Final_Table[[#This Row],[Variable Cost]]+Final_Table[[#This Row],[Fixed Monthly Cost]]</f>
        <v>21304.799999999999</v>
      </c>
      <c r="S603" s="5">
        <f>Final_Table[[#This Row],[Net Revenue]]-Final_Table[[#This Row],[Total Cost (COGS)]]</f>
        <v>-2944.7999999999993</v>
      </c>
      <c r="T603">
        <f>Final_Table[[#This Row],[Gross Profit]]*Final_Table[[#This Row],[Tax Rate]]</f>
        <v>-883.43999999999971</v>
      </c>
      <c r="U603" s="5">
        <f>Final_Table[[#This Row],[Gross Profit]]-Final_Table[[#This Row],[Tax]]</f>
        <v>-2061.3599999999997</v>
      </c>
      <c r="V603" s="12">
        <f>Final_Table[[#This Row],[Net Profit]]/Final_Table[[#This Row],[Gross Revenue]]</f>
        <v>-0.10104705882352939</v>
      </c>
    </row>
    <row r="604" spans="1:22">
      <c r="A604" s="18" t="s">
        <v>71</v>
      </c>
      <c r="B604">
        <v>2014</v>
      </c>
      <c r="C604" t="s">
        <v>122</v>
      </c>
      <c r="D604">
        <v>1</v>
      </c>
      <c r="E604" s="18" t="s">
        <v>32</v>
      </c>
      <c r="F604" s="18" t="s">
        <v>80</v>
      </c>
      <c r="G604" s="18" t="s">
        <v>21</v>
      </c>
      <c r="H604" s="18" t="str">
        <f>Assumptions!$B$2</f>
        <v>Worst</v>
      </c>
      <c r="I604" s="18">
        <f>_xlfn.XLOOKUP(Assumptions!$B$2,Assumptions!$F$4:$H$4,Assumptions!$F$5:$H$5)</f>
        <v>1200</v>
      </c>
      <c r="J604" s="18">
        <f>_xlfn.XLOOKUP(Assumptions!$B$2,Assumptions!$F$4:$H$4,Assumptions!$F$6:$H$6)</f>
        <v>17</v>
      </c>
      <c r="K604" s="12">
        <f>_xlfn.XLOOKUP(Assumptions!$B$2,Assumptions!$F$4:$H$4,Assumptions!$F$8:$H$8)</f>
        <v>0.1</v>
      </c>
      <c r="L604" s="12">
        <f>_xlfn.XLOOKUP(Assumptions!$B$2,Assumptions!$F$4:$H$4,Assumptions!$F$9:$H$9)</f>
        <v>0.18</v>
      </c>
      <c r="M604" s="18">
        <f>_xlfn.XLOOKUP(Assumptions!$B$2,Assumptions!$F$4:$H$4,Assumptions!$F$10:$H$10)</f>
        <v>18000</v>
      </c>
      <c r="N604" s="12">
        <f>_xlfn.XLOOKUP(Assumptions!$B$2,Assumptions!$F$4:$H$4,Assumptions!$F$11:$H$11)</f>
        <v>0.3</v>
      </c>
      <c r="O604" s="14">
        <f>Final_Table[[#This Row],[Units Sold]]*Final_Table[[#This Row],[Sale Price]]</f>
        <v>20400</v>
      </c>
      <c r="P604" s="14">
        <f>Final_Table[[#This Row],[Gross Revenue]]*(1-Final_Table[[#This Row],[Discount %]])</f>
        <v>18360</v>
      </c>
      <c r="Q604">
        <f>Final_Table[[#This Row],[Net Revenue]]*Final_Table[[#This Row],[Variable Cost %]]</f>
        <v>3304.7999999999997</v>
      </c>
      <c r="R604">
        <f>Final_Table[[#This Row],[Variable Cost]]+Final_Table[[#This Row],[Fixed Monthly Cost]]</f>
        <v>21304.799999999999</v>
      </c>
      <c r="S604" s="5">
        <f>Final_Table[[#This Row],[Net Revenue]]-Final_Table[[#This Row],[Total Cost (COGS)]]</f>
        <v>-2944.7999999999993</v>
      </c>
      <c r="T604">
        <f>Final_Table[[#This Row],[Gross Profit]]*Final_Table[[#This Row],[Tax Rate]]</f>
        <v>-883.43999999999971</v>
      </c>
      <c r="U604" s="5">
        <f>Final_Table[[#This Row],[Gross Profit]]-Final_Table[[#This Row],[Tax]]</f>
        <v>-2061.3599999999997</v>
      </c>
      <c r="V604" s="12">
        <f>Final_Table[[#This Row],[Net Profit]]/Final_Table[[#This Row],[Gross Revenue]]</f>
        <v>-0.10104705882352939</v>
      </c>
    </row>
    <row r="605" spans="1:22">
      <c r="A605" s="18" t="s">
        <v>71</v>
      </c>
      <c r="B605">
        <v>2014</v>
      </c>
      <c r="C605" t="s">
        <v>122</v>
      </c>
      <c r="D605">
        <v>1</v>
      </c>
      <c r="E605" s="18" t="s">
        <v>32</v>
      </c>
      <c r="F605" s="18" t="s">
        <v>80</v>
      </c>
      <c r="G605" s="18" t="s">
        <v>25</v>
      </c>
      <c r="H605" s="18" t="str">
        <f>Assumptions!$B$2</f>
        <v>Worst</v>
      </c>
      <c r="I605" s="18">
        <f>_xlfn.XLOOKUP(Assumptions!$B$2,Assumptions!$F$4:$H$4,Assumptions!$F$5:$H$5)</f>
        <v>1200</v>
      </c>
      <c r="J605" s="18">
        <f>_xlfn.XLOOKUP(Assumptions!$B$2,Assumptions!$F$4:$H$4,Assumptions!$F$6:$H$6)</f>
        <v>17</v>
      </c>
      <c r="K605" s="12">
        <f>_xlfn.XLOOKUP(Assumptions!$B$2,Assumptions!$F$4:$H$4,Assumptions!$F$8:$H$8)</f>
        <v>0.1</v>
      </c>
      <c r="L605" s="12">
        <f>_xlfn.XLOOKUP(Assumptions!$B$2,Assumptions!$F$4:$H$4,Assumptions!$F$9:$H$9)</f>
        <v>0.18</v>
      </c>
      <c r="M605" s="18">
        <f>_xlfn.XLOOKUP(Assumptions!$B$2,Assumptions!$F$4:$H$4,Assumptions!$F$10:$H$10)</f>
        <v>18000</v>
      </c>
      <c r="N605" s="12">
        <f>_xlfn.XLOOKUP(Assumptions!$B$2,Assumptions!$F$4:$H$4,Assumptions!$F$11:$H$11)</f>
        <v>0.3</v>
      </c>
      <c r="O605" s="14">
        <f>Final_Table[[#This Row],[Units Sold]]*Final_Table[[#This Row],[Sale Price]]</f>
        <v>20400</v>
      </c>
      <c r="P605" s="14">
        <f>Final_Table[[#This Row],[Gross Revenue]]*(1-Final_Table[[#This Row],[Discount %]])</f>
        <v>18360</v>
      </c>
      <c r="Q605">
        <f>Final_Table[[#This Row],[Net Revenue]]*Final_Table[[#This Row],[Variable Cost %]]</f>
        <v>3304.7999999999997</v>
      </c>
      <c r="R605">
        <f>Final_Table[[#This Row],[Variable Cost]]+Final_Table[[#This Row],[Fixed Monthly Cost]]</f>
        <v>21304.799999999999</v>
      </c>
      <c r="S605" s="5">
        <f>Final_Table[[#This Row],[Net Revenue]]-Final_Table[[#This Row],[Total Cost (COGS)]]</f>
        <v>-2944.7999999999993</v>
      </c>
      <c r="T605">
        <f>Final_Table[[#This Row],[Gross Profit]]*Final_Table[[#This Row],[Tax Rate]]</f>
        <v>-883.43999999999971</v>
      </c>
      <c r="U605" s="5">
        <f>Final_Table[[#This Row],[Gross Profit]]-Final_Table[[#This Row],[Tax]]</f>
        <v>-2061.3599999999997</v>
      </c>
      <c r="V605" s="12">
        <f>Final_Table[[#This Row],[Net Profit]]/Final_Table[[#This Row],[Gross Revenue]]</f>
        <v>-0.10104705882352939</v>
      </c>
    </row>
    <row r="606" spans="1:22">
      <c r="A606" s="18" t="s">
        <v>71</v>
      </c>
      <c r="B606">
        <v>2014</v>
      </c>
      <c r="C606" t="s">
        <v>122</v>
      </c>
      <c r="D606">
        <v>1</v>
      </c>
      <c r="E606" s="18" t="s">
        <v>32</v>
      </c>
      <c r="F606" s="18" t="s">
        <v>80</v>
      </c>
      <c r="G606" s="18" t="s">
        <v>17</v>
      </c>
      <c r="H606" s="18" t="str">
        <f>Assumptions!$B$2</f>
        <v>Worst</v>
      </c>
      <c r="I606" s="18">
        <f>_xlfn.XLOOKUP(Assumptions!$B$2,Assumptions!$F$4:$H$4,Assumptions!$F$5:$H$5)</f>
        <v>1200</v>
      </c>
      <c r="J606" s="18">
        <f>_xlfn.XLOOKUP(Assumptions!$B$2,Assumptions!$F$4:$H$4,Assumptions!$F$6:$H$6)</f>
        <v>17</v>
      </c>
      <c r="K606" s="12">
        <f>_xlfn.XLOOKUP(Assumptions!$B$2,Assumptions!$F$4:$H$4,Assumptions!$F$8:$H$8)</f>
        <v>0.1</v>
      </c>
      <c r="L606" s="12">
        <f>_xlfn.XLOOKUP(Assumptions!$B$2,Assumptions!$F$4:$H$4,Assumptions!$F$9:$H$9)</f>
        <v>0.18</v>
      </c>
      <c r="M606" s="18">
        <f>_xlfn.XLOOKUP(Assumptions!$B$2,Assumptions!$F$4:$H$4,Assumptions!$F$10:$H$10)</f>
        <v>18000</v>
      </c>
      <c r="N606" s="12">
        <f>_xlfn.XLOOKUP(Assumptions!$B$2,Assumptions!$F$4:$H$4,Assumptions!$F$11:$H$11)</f>
        <v>0.3</v>
      </c>
      <c r="O606" s="14">
        <f>Final_Table[[#This Row],[Units Sold]]*Final_Table[[#This Row],[Sale Price]]</f>
        <v>20400</v>
      </c>
      <c r="P606" s="14">
        <f>Final_Table[[#This Row],[Gross Revenue]]*(1-Final_Table[[#This Row],[Discount %]])</f>
        <v>18360</v>
      </c>
      <c r="Q606">
        <f>Final_Table[[#This Row],[Net Revenue]]*Final_Table[[#This Row],[Variable Cost %]]</f>
        <v>3304.7999999999997</v>
      </c>
      <c r="R606">
        <f>Final_Table[[#This Row],[Variable Cost]]+Final_Table[[#This Row],[Fixed Monthly Cost]]</f>
        <v>21304.799999999999</v>
      </c>
      <c r="S606" s="5">
        <f>Final_Table[[#This Row],[Net Revenue]]-Final_Table[[#This Row],[Total Cost (COGS)]]</f>
        <v>-2944.7999999999993</v>
      </c>
      <c r="T606">
        <f>Final_Table[[#This Row],[Gross Profit]]*Final_Table[[#This Row],[Tax Rate]]</f>
        <v>-883.43999999999971</v>
      </c>
      <c r="U606" s="5">
        <f>Final_Table[[#This Row],[Gross Profit]]-Final_Table[[#This Row],[Tax]]</f>
        <v>-2061.3599999999997</v>
      </c>
      <c r="V606" s="12">
        <f>Final_Table[[#This Row],[Net Profit]]/Final_Table[[#This Row],[Gross Revenue]]</f>
        <v>-0.10104705882352939</v>
      </c>
    </row>
    <row r="607" spans="1:22">
      <c r="A607" s="18" t="s">
        <v>71</v>
      </c>
      <c r="B607">
        <v>2014</v>
      </c>
      <c r="C607" t="s">
        <v>122</v>
      </c>
      <c r="D607">
        <v>1</v>
      </c>
      <c r="E607" s="18" t="s">
        <v>32</v>
      </c>
      <c r="F607" s="18" t="s">
        <v>108</v>
      </c>
      <c r="G607" s="18" t="s">
        <v>36</v>
      </c>
      <c r="H607" s="18" t="str">
        <f>Assumptions!$B$2</f>
        <v>Worst</v>
      </c>
      <c r="I607" s="18">
        <f>_xlfn.XLOOKUP(Assumptions!$B$2,Assumptions!$F$4:$H$4,Assumptions!$F$5:$H$5)</f>
        <v>1200</v>
      </c>
      <c r="J607" s="18">
        <f>_xlfn.XLOOKUP(Assumptions!$B$2,Assumptions!$F$4:$H$4,Assumptions!$F$6:$H$6)</f>
        <v>17</v>
      </c>
      <c r="K607" s="12">
        <f>_xlfn.XLOOKUP(Assumptions!$B$2,Assumptions!$F$4:$H$4,Assumptions!$F$8:$H$8)</f>
        <v>0.1</v>
      </c>
      <c r="L607" s="12">
        <f>_xlfn.XLOOKUP(Assumptions!$B$2,Assumptions!$F$4:$H$4,Assumptions!$F$9:$H$9)</f>
        <v>0.18</v>
      </c>
      <c r="M607" s="18">
        <f>_xlfn.XLOOKUP(Assumptions!$B$2,Assumptions!$F$4:$H$4,Assumptions!$F$10:$H$10)</f>
        <v>18000</v>
      </c>
      <c r="N607" s="12">
        <f>_xlfn.XLOOKUP(Assumptions!$B$2,Assumptions!$F$4:$H$4,Assumptions!$F$11:$H$11)</f>
        <v>0.3</v>
      </c>
      <c r="O607" s="14">
        <f>Final_Table[[#This Row],[Units Sold]]*Final_Table[[#This Row],[Sale Price]]</f>
        <v>20400</v>
      </c>
      <c r="P607" s="14">
        <f>Final_Table[[#This Row],[Gross Revenue]]*(1-Final_Table[[#This Row],[Discount %]])</f>
        <v>18360</v>
      </c>
      <c r="Q607">
        <f>Final_Table[[#This Row],[Net Revenue]]*Final_Table[[#This Row],[Variable Cost %]]</f>
        <v>3304.7999999999997</v>
      </c>
      <c r="R607">
        <f>Final_Table[[#This Row],[Variable Cost]]+Final_Table[[#This Row],[Fixed Monthly Cost]]</f>
        <v>21304.799999999999</v>
      </c>
      <c r="S607" s="5">
        <f>Final_Table[[#This Row],[Net Revenue]]-Final_Table[[#This Row],[Total Cost (COGS)]]</f>
        <v>-2944.7999999999993</v>
      </c>
      <c r="T607">
        <f>Final_Table[[#This Row],[Gross Profit]]*Final_Table[[#This Row],[Tax Rate]]</f>
        <v>-883.43999999999971</v>
      </c>
      <c r="U607" s="5">
        <f>Final_Table[[#This Row],[Gross Profit]]-Final_Table[[#This Row],[Tax]]</f>
        <v>-2061.3599999999997</v>
      </c>
      <c r="V607" s="12">
        <f>Final_Table[[#This Row],[Net Profit]]/Final_Table[[#This Row],[Gross Revenue]]</f>
        <v>-0.10104705882352939</v>
      </c>
    </row>
    <row r="608" spans="1:22">
      <c r="A608" s="18" t="s">
        <v>71</v>
      </c>
      <c r="B608">
        <v>2014</v>
      </c>
      <c r="C608" t="s">
        <v>122</v>
      </c>
      <c r="D608">
        <v>1</v>
      </c>
      <c r="E608" s="18" t="s">
        <v>32</v>
      </c>
      <c r="F608" s="18" t="s">
        <v>108</v>
      </c>
      <c r="G608" s="18" t="s">
        <v>23</v>
      </c>
      <c r="H608" s="18" t="str">
        <f>Assumptions!$B$2</f>
        <v>Worst</v>
      </c>
      <c r="I608" s="18">
        <f>_xlfn.XLOOKUP(Assumptions!$B$2,Assumptions!$F$4:$H$4,Assumptions!$F$5:$H$5)</f>
        <v>1200</v>
      </c>
      <c r="J608" s="18">
        <f>_xlfn.XLOOKUP(Assumptions!$B$2,Assumptions!$F$4:$H$4,Assumptions!$F$6:$H$6)</f>
        <v>17</v>
      </c>
      <c r="K608" s="12">
        <f>_xlfn.XLOOKUP(Assumptions!$B$2,Assumptions!$F$4:$H$4,Assumptions!$F$8:$H$8)</f>
        <v>0.1</v>
      </c>
      <c r="L608" s="12">
        <f>_xlfn.XLOOKUP(Assumptions!$B$2,Assumptions!$F$4:$H$4,Assumptions!$F$9:$H$9)</f>
        <v>0.18</v>
      </c>
      <c r="M608" s="18">
        <f>_xlfn.XLOOKUP(Assumptions!$B$2,Assumptions!$F$4:$H$4,Assumptions!$F$10:$H$10)</f>
        <v>18000</v>
      </c>
      <c r="N608" s="12">
        <f>_xlfn.XLOOKUP(Assumptions!$B$2,Assumptions!$F$4:$H$4,Assumptions!$F$11:$H$11)</f>
        <v>0.3</v>
      </c>
      <c r="O608" s="14">
        <f>Final_Table[[#This Row],[Units Sold]]*Final_Table[[#This Row],[Sale Price]]</f>
        <v>20400</v>
      </c>
      <c r="P608" s="14">
        <f>Final_Table[[#This Row],[Gross Revenue]]*(1-Final_Table[[#This Row],[Discount %]])</f>
        <v>18360</v>
      </c>
      <c r="Q608">
        <f>Final_Table[[#This Row],[Net Revenue]]*Final_Table[[#This Row],[Variable Cost %]]</f>
        <v>3304.7999999999997</v>
      </c>
      <c r="R608">
        <f>Final_Table[[#This Row],[Variable Cost]]+Final_Table[[#This Row],[Fixed Monthly Cost]]</f>
        <v>21304.799999999999</v>
      </c>
      <c r="S608" s="5">
        <f>Final_Table[[#This Row],[Net Revenue]]-Final_Table[[#This Row],[Total Cost (COGS)]]</f>
        <v>-2944.7999999999993</v>
      </c>
      <c r="T608">
        <f>Final_Table[[#This Row],[Gross Profit]]*Final_Table[[#This Row],[Tax Rate]]</f>
        <v>-883.43999999999971</v>
      </c>
      <c r="U608" s="5">
        <f>Final_Table[[#This Row],[Gross Profit]]-Final_Table[[#This Row],[Tax]]</f>
        <v>-2061.3599999999997</v>
      </c>
      <c r="V608" s="12">
        <f>Final_Table[[#This Row],[Net Profit]]/Final_Table[[#This Row],[Gross Revenue]]</f>
        <v>-0.10104705882352939</v>
      </c>
    </row>
    <row r="609" spans="1:22">
      <c r="A609" s="18" t="s">
        <v>71</v>
      </c>
      <c r="B609">
        <v>2014</v>
      </c>
      <c r="C609" t="s">
        <v>122</v>
      </c>
      <c r="D609">
        <v>1</v>
      </c>
      <c r="E609" s="18" t="s">
        <v>32</v>
      </c>
      <c r="F609" s="18" t="s">
        <v>108</v>
      </c>
      <c r="G609" s="18" t="s">
        <v>21</v>
      </c>
      <c r="H609" s="18" t="str">
        <f>Assumptions!$B$2</f>
        <v>Worst</v>
      </c>
      <c r="I609" s="18">
        <f>_xlfn.XLOOKUP(Assumptions!$B$2,Assumptions!$F$4:$H$4,Assumptions!$F$5:$H$5)</f>
        <v>1200</v>
      </c>
      <c r="J609" s="18">
        <f>_xlfn.XLOOKUP(Assumptions!$B$2,Assumptions!$F$4:$H$4,Assumptions!$F$6:$H$6)</f>
        <v>17</v>
      </c>
      <c r="K609" s="12">
        <f>_xlfn.XLOOKUP(Assumptions!$B$2,Assumptions!$F$4:$H$4,Assumptions!$F$8:$H$8)</f>
        <v>0.1</v>
      </c>
      <c r="L609" s="12">
        <f>_xlfn.XLOOKUP(Assumptions!$B$2,Assumptions!$F$4:$H$4,Assumptions!$F$9:$H$9)</f>
        <v>0.18</v>
      </c>
      <c r="M609" s="18">
        <f>_xlfn.XLOOKUP(Assumptions!$B$2,Assumptions!$F$4:$H$4,Assumptions!$F$10:$H$10)</f>
        <v>18000</v>
      </c>
      <c r="N609" s="12">
        <f>_xlfn.XLOOKUP(Assumptions!$B$2,Assumptions!$F$4:$H$4,Assumptions!$F$11:$H$11)</f>
        <v>0.3</v>
      </c>
      <c r="O609" s="14">
        <f>Final_Table[[#This Row],[Units Sold]]*Final_Table[[#This Row],[Sale Price]]</f>
        <v>20400</v>
      </c>
      <c r="P609" s="14">
        <f>Final_Table[[#This Row],[Gross Revenue]]*(1-Final_Table[[#This Row],[Discount %]])</f>
        <v>18360</v>
      </c>
      <c r="Q609">
        <f>Final_Table[[#This Row],[Net Revenue]]*Final_Table[[#This Row],[Variable Cost %]]</f>
        <v>3304.7999999999997</v>
      </c>
      <c r="R609">
        <f>Final_Table[[#This Row],[Variable Cost]]+Final_Table[[#This Row],[Fixed Monthly Cost]]</f>
        <v>21304.799999999999</v>
      </c>
      <c r="S609" s="5">
        <f>Final_Table[[#This Row],[Net Revenue]]-Final_Table[[#This Row],[Total Cost (COGS)]]</f>
        <v>-2944.7999999999993</v>
      </c>
      <c r="T609">
        <f>Final_Table[[#This Row],[Gross Profit]]*Final_Table[[#This Row],[Tax Rate]]</f>
        <v>-883.43999999999971</v>
      </c>
      <c r="U609" s="5">
        <f>Final_Table[[#This Row],[Gross Profit]]-Final_Table[[#This Row],[Tax]]</f>
        <v>-2061.3599999999997</v>
      </c>
      <c r="V609" s="12">
        <f>Final_Table[[#This Row],[Net Profit]]/Final_Table[[#This Row],[Gross Revenue]]</f>
        <v>-0.10104705882352939</v>
      </c>
    </row>
    <row r="610" spans="1:22">
      <c r="A610" s="18" t="s">
        <v>71</v>
      </c>
      <c r="B610">
        <v>2014</v>
      </c>
      <c r="C610" t="s">
        <v>122</v>
      </c>
      <c r="D610">
        <v>1</v>
      </c>
      <c r="E610" s="18" t="s">
        <v>32</v>
      </c>
      <c r="F610" s="18" t="s">
        <v>108</v>
      </c>
      <c r="G610" s="18" t="s">
        <v>25</v>
      </c>
      <c r="H610" s="18" t="str">
        <f>Assumptions!$B$2</f>
        <v>Worst</v>
      </c>
      <c r="I610" s="18">
        <f>_xlfn.XLOOKUP(Assumptions!$B$2,Assumptions!$F$4:$H$4,Assumptions!$F$5:$H$5)</f>
        <v>1200</v>
      </c>
      <c r="J610" s="18">
        <f>_xlfn.XLOOKUP(Assumptions!$B$2,Assumptions!$F$4:$H$4,Assumptions!$F$6:$H$6)</f>
        <v>17</v>
      </c>
      <c r="K610" s="12">
        <f>_xlfn.XLOOKUP(Assumptions!$B$2,Assumptions!$F$4:$H$4,Assumptions!$F$8:$H$8)</f>
        <v>0.1</v>
      </c>
      <c r="L610" s="12">
        <f>_xlfn.XLOOKUP(Assumptions!$B$2,Assumptions!$F$4:$H$4,Assumptions!$F$9:$H$9)</f>
        <v>0.18</v>
      </c>
      <c r="M610" s="18">
        <f>_xlfn.XLOOKUP(Assumptions!$B$2,Assumptions!$F$4:$H$4,Assumptions!$F$10:$H$10)</f>
        <v>18000</v>
      </c>
      <c r="N610" s="12">
        <f>_xlfn.XLOOKUP(Assumptions!$B$2,Assumptions!$F$4:$H$4,Assumptions!$F$11:$H$11)</f>
        <v>0.3</v>
      </c>
      <c r="O610" s="14">
        <f>Final_Table[[#This Row],[Units Sold]]*Final_Table[[#This Row],[Sale Price]]</f>
        <v>20400</v>
      </c>
      <c r="P610" s="14">
        <f>Final_Table[[#This Row],[Gross Revenue]]*(1-Final_Table[[#This Row],[Discount %]])</f>
        <v>18360</v>
      </c>
      <c r="Q610">
        <f>Final_Table[[#This Row],[Net Revenue]]*Final_Table[[#This Row],[Variable Cost %]]</f>
        <v>3304.7999999999997</v>
      </c>
      <c r="R610">
        <f>Final_Table[[#This Row],[Variable Cost]]+Final_Table[[#This Row],[Fixed Monthly Cost]]</f>
        <v>21304.799999999999</v>
      </c>
      <c r="S610" s="5">
        <f>Final_Table[[#This Row],[Net Revenue]]-Final_Table[[#This Row],[Total Cost (COGS)]]</f>
        <v>-2944.7999999999993</v>
      </c>
      <c r="T610">
        <f>Final_Table[[#This Row],[Gross Profit]]*Final_Table[[#This Row],[Tax Rate]]</f>
        <v>-883.43999999999971</v>
      </c>
      <c r="U610" s="5">
        <f>Final_Table[[#This Row],[Gross Profit]]-Final_Table[[#This Row],[Tax]]</f>
        <v>-2061.3599999999997</v>
      </c>
      <c r="V610" s="12">
        <f>Final_Table[[#This Row],[Net Profit]]/Final_Table[[#This Row],[Gross Revenue]]</f>
        <v>-0.10104705882352939</v>
      </c>
    </row>
    <row r="611" spans="1:22">
      <c r="A611" s="18" t="s">
        <v>71</v>
      </c>
      <c r="B611">
        <v>2014</v>
      </c>
      <c r="C611" t="s">
        <v>122</v>
      </c>
      <c r="D611">
        <v>1</v>
      </c>
      <c r="E611" s="18" t="s">
        <v>32</v>
      </c>
      <c r="F611" s="18" t="s">
        <v>108</v>
      </c>
      <c r="G611" s="18" t="s">
        <v>17</v>
      </c>
      <c r="H611" s="18" t="str">
        <f>Assumptions!$B$2</f>
        <v>Worst</v>
      </c>
      <c r="I611" s="18">
        <f>_xlfn.XLOOKUP(Assumptions!$B$2,Assumptions!$F$4:$H$4,Assumptions!$F$5:$H$5)</f>
        <v>1200</v>
      </c>
      <c r="J611" s="18">
        <f>_xlfn.XLOOKUP(Assumptions!$B$2,Assumptions!$F$4:$H$4,Assumptions!$F$6:$H$6)</f>
        <v>17</v>
      </c>
      <c r="K611" s="12">
        <f>_xlfn.XLOOKUP(Assumptions!$B$2,Assumptions!$F$4:$H$4,Assumptions!$F$8:$H$8)</f>
        <v>0.1</v>
      </c>
      <c r="L611" s="12">
        <f>_xlfn.XLOOKUP(Assumptions!$B$2,Assumptions!$F$4:$H$4,Assumptions!$F$9:$H$9)</f>
        <v>0.18</v>
      </c>
      <c r="M611" s="18">
        <f>_xlfn.XLOOKUP(Assumptions!$B$2,Assumptions!$F$4:$H$4,Assumptions!$F$10:$H$10)</f>
        <v>18000</v>
      </c>
      <c r="N611" s="12">
        <f>_xlfn.XLOOKUP(Assumptions!$B$2,Assumptions!$F$4:$H$4,Assumptions!$F$11:$H$11)</f>
        <v>0.3</v>
      </c>
      <c r="O611" s="14">
        <f>Final_Table[[#This Row],[Units Sold]]*Final_Table[[#This Row],[Sale Price]]</f>
        <v>20400</v>
      </c>
      <c r="P611" s="14">
        <f>Final_Table[[#This Row],[Gross Revenue]]*(1-Final_Table[[#This Row],[Discount %]])</f>
        <v>18360</v>
      </c>
      <c r="Q611">
        <f>Final_Table[[#This Row],[Net Revenue]]*Final_Table[[#This Row],[Variable Cost %]]</f>
        <v>3304.7999999999997</v>
      </c>
      <c r="R611">
        <f>Final_Table[[#This Row],[Variable Cost]]+Final_Table[[#This Row],[Fixed Monthly Cost]]</f>
        <v>21304.799999999999</v>
      </c>
      <c r="S611" s="5">
        <f>Final_Table[[#This Row],[Net Revenue]]-Final_Table[[#This Row],[Total Cost (COGS)]]</f>
        <v>-2944.7999999999993</v>
      </c>
      <c r="T611">
        <f>Final_Table[[#This Row],[Gross Profit]]*Final_Table[[#This Row],[Tax Rate]]</f>
        <v>-883.43999999999971</v>
      </c>
      <c r="U611" s="5">
        <f>Final_Table[[#This Row],[Gross Profit]]-Final_Table[[#This Row],[Tax]]</f>
        <v>-2061.3599999999997</v>
      </c>
      <c r="V611" s="12">
        <f>Final_Table[[#This Row],[Net Profit]]/Final_Table[[#This Row],[Gross Revenue]]</f>
        <v>-0.10104705882352939</v>
      </c>
    </row>
    <row r="612" spans="1:22">
      <c r="A612" s="18" t="s">
        <v>71</v>
      </c>
      <c r="B612">
        <v>2014</v>
      </c>
      <c r="C612" t="s">
        <v>122</v>
      </c>
      <c r="D612">
        <v>1</v>
      </c>
      <c r="E612" s="18" t="s">
        <v>32</v>
      </c>
      <c r="F612" s="18" t="s">
        <v>112</v>
      </c>
      <c r="G612" s="18" t="s">
        <v>36</v>
      </c>
      <c r="H612" s="18" t="str">
        <f>Assumptions!$B$2</f>
        <v>Worst</v>
      </c>
      <c r="I612" s="18">
        <f>_xlfn.XLOOKUP(Assumptions!$B$2,Assumptions!$F$4:$H$4,Assumptions!$F$5:$H$5)</f>
        <v>1200</v>
      </c>
      <c r="J612" s="18">
        <f>_xlfn.XLOOKUP(Assumptions!$B$2,Assumptions!$F$4:$H$4,Assumptions!$F$6:$H$6)</f>
        <v>17</v>
      </c>
      <c r="K612" s="12">
        <f>_xlfn.XLOOKUP(Assumptions!$B$2,Assumptions!$F$4:$H$4,Assumptions!$F$8:$H$8)</f>
        <v>0.1</v>
      </c>
      <c r="L612" s="12">
        <f>_xlfn.XLOOKUP(Assumptions!$B$2,Assumptions!$F$4:$H$4,Assumptions!$F$9:$H$9)</f>
        <v>0.18</v>
      </c>
      <c r="M612" s="18">
        <f>_xlfn.XLOOKUP(Assumptions!$B$2,Assumptions!$F$4:$H$4,Assumptions!$F$10:$H$10)</f>
        <v>18000</v>
      </c>
      <c r="N612" s="12">
        <f>_xlfn.XLOOKUP(Assumptions!$B$2,Assumptions!$F$4:$H$4,Assumptions!$F$11:$H$11)</f>
        <v>0.3</v>
      </c>
      <c r="O612" s="14">
        <f>Final_Table[[#This Row],[Units Sold]]*Final_Table[[#This Row],[Sale Price]]</f>
        <v>20400</v>
      </c>
      <c r="P612" s="14">
        <f>Final_Table[[#This Row],[Gross Revenue]]*(1-Final_Table[[#This Row],[Discount %]])</f>
        <v>18360</v>
      </c>
      <c r="Q612">
        <f>Final_Table[[#This Row],[Net Revenue]]*Final_Table[[#This Row],[Variable Cost %]]</f>
        <v>3304.7999999999997</v>
      </c>
      <c r="R612">
        <f>Final_Table[[#This Row],[Variable Cost]]+Final_Table[[#This Row],[Fixed Monthly Cost]]</f>
        <v>21304.799999999999</v>
      </c>
      <c r="S612" s="5">
        <f>Final_Table[[#This Row],[Net Revenue]]-Final_Table[[#This Row],[Total Cost (COGS)]]</f>
        <v>-2944.7999999999993</v>
      </c>
      <c r="T612">
        <f>Final_Table[[#This Row],[Gross Profit]]*Final_Table[[#This Row],[Tax Rate]]</f>
        <v>-883.43999999999971</v>
      </c>
      <c r="U612" s="5">
        <f>Final_Table[[#This Row],[Gross Profit]]-Final_Table[[#This Row],[Tax]]</f>
        <v>-2061.3599999999997</v>
      </c>
      <c r="V612" s="12">
        <f>Final_Table[[#This Row],[Net Profit]]/Final_Table[[#This Row],[Gross Revenue]]</f>
        <v>-0.10104705882352939</v>
      </c>
    </row>
    <row r="613" spans="1:22">
      <c r="A613" s="18" t="s">
        <v>71</v>
      </c>
      <c r="B613">
        <v>2014</v>
      </c>
      <c r="C613" t="s">
        <v>122</v>
      </c>
      <c r="D613">
        <v>1</v>
      </c>
      <c r="E613" s="18" t="s">
        <v>32</v>
      </c>
      <c r="F613" s="18" t="s">
        <v>112</v>
      </c>
      <c r="G613" s="18" t="s">
        <v>23</v>
      </c>
      <c r="H613" s="18" t="str">
        <f>Assumptions!$B$2</f>
        <v>Worst</v>
      </c>
      <c r="I613" s="18">
        <f>_xlfn.XLOOKUP(Assumptions!$B$2,Assumptions!$F$4:$H$4,Assumptions!$F$5:$H$5)</f>
        <v>1200</v>
      </c>
      <c r="J613" s="18">
        <f>_xlfn.XLOOKUP(Assumptions!$B$2,Assumptions!$F$4:$H$4,Assumptions!$F$6:$H$6)</f>
        <v>17</v>
      </c>
      <c r="K613" s="12">
        <f>_xlfn.XLOOKUP(Assumptions!$B$2,Assumptions!$F$4:$H$4,Assumptions!$F$8:$H$8)</f>
        <v>0.1</v>
      </c>
      <c r="L613" s="12">
        <f>_xlfn.XLOOKUP(Assumptions!$B$2,Assumptions!$F$4:$H$4,Assumptions!$F$9:$H$9)</f>
        <v>0.18</v>
      </c>
      <c r="M613" s="18">
        <f>_xlfn.XLOOKUP(Assumptions!$B$2,Assumptions!$F$4:$H$4,Assumptions!$F$10:$H$10)</f>
        <v>18000</v>
      </c>
      <c r="N613" s="12">
        <f>_xlfn.XLOOKUP(Assumptions!$B$2,Assumptions!$F$4:$H$4,Assumptions!$F$11:$H$11)</f>
        <v>0.3</v>
      </c>
      <c r="O613" s="14">
        <f>Final_Table[[#This Row],[Units Sold]]*Final_Table[[#This Row],[Sale Price]]</f>
        <v>20400</v>
      </c>
      <c r="P613" s="14">
        <f>Final_Table[[#This Row],[Gross Revenue]]*(1-Final_Table[[#This Row],[Discount %]])</f>
        <v>18360</v>
      </c>
      <c r="Q613">
        <f>Final_Table[[#This Row],[Net Revenue]]*Final_Table[[#This Row],[Variable Cost %]]</f>
        <v>3304.7999999999997</v>
      </c>
      <c r="R613">
        <f>Final_Table[[#This Row],[Variable Cost]]+Final_Table[[#This Row],[Fixed Monthly Cost]]</f>
        <v>21304.799999999999</v>
      </c>
      <c r="S613" s="5">
        <f>Final_Table[[#This Row],[Net Revenue]]-Final_Table[[#This Row],[Total Cost (COGS)]]</f>
        <v>-2944.7999999999993</v>
      </c>
      <c r="T613">
        <f>Final_Table[[#This Row],[Gross Profit]]*Final_Table[[#This Row],[Tax Rate]]</f>
        <v>-883.43999999999971</v>
      </c>
      <c r="U613" s="5">
        <f>Final_Table[[#This Row],[Gross Profit]]-Final_Table[[#This Row],[Tax]]</f>
        <v>-2061.3599999999997</v>
      </c>
      <c r="V613" s="12">
        <f>Final_Table[[#This Row],[Net Profit]]/Final_Table[[#This Row],[Gross Revenue]]</f>
        <v>-0.10104705882352939</v>
      </c>
    </row>
    <row r="614" spans="1:22">
      <c r="A614" s="18" t="s">
        <v>71</v>
      </c>
      <c r="B614">
        <v>2014</v>
      </c>
      <c r="C614" t="s">
        <v>122</v>
      </c>
      <c r="D614">
        <v>1</v>
      </c>
      <c r="E614" s="18" t="s">
        <v>32</v>
      </c>
      <c r="F614" s="18" t="s">
        <v>112</v>
      </c>
      <c r="G614" s="18" t="s">
        <v>21</v>
      </c>
      <c r="H614" s="18" t="str">
        <f>Assumptions!$B$2</f>
        <v>Worst</v>
      </c>
      <c r="I614" s="18">
        <f>_xlfn.XLOOKUP(Assumptions!$B$2,Assumptions!$F$4:$H$4,Assumptions!$F$5:$H$5)</f>
        <v>1200</v>
      </c>
      <c r="J614" s="18">
        <f>_xlfn.XLOOKUP(Assumptions!$B$2,Assumptions!$F$4:$H$4,Assumptions!$F$6:$H$6)</f>
        <v>17</v>
      </c>
      <c r="K614" s="12">
        <f>_xlfn.XLOOKUP(Assumptions!$B$2,Assumptions!$F$4:$H$4,Assumptions!$F$8:$H$8)</f>
        <v>0.1</v>
      </c>
      <c r="L614" s="12">
        <f>_xlfn.XLOOKUP(Assumptions!$B$2,Assumptions!$F$4:$H$4,Assumptions!$F$9:$H$9)</f>
        <v>0.18</v>
      </c>
      <c r="M614" s="18">
        <f>_xlfn.XLOOKUP(Assumptions!$B$2,Assumptions!$F$4:$H$4,Assumptions!$F$10:$H$10)</f>
        <v>18000</v>
      </c>
      <c r="N614" s="12">
        <f>_xlfn.XLOOKUP(Assumptions!$B$2,Assumptions!$F$4:$H$4,Assumptions!$F$11:$H$11)</f>
        <v>0.3</v>
      </c>
      <c r="O614" s="14">
        <f>Final_Table[[#This Row],[Units Sold]]*Final_Table[[#This Row],[Sale Price]]</f>
        <v>20400</v>
      </c>
      <c r="P614" s="14">
        <f>Final_Table[[#This Row],[Gross Revenue]]*(1-Final_Table[[#This Row],[Discount %]])</f>
        <v>18360</v>
      </c>
      <c r="Q614">
        <f>Final_Table[[#This Row],[Net Revenue]]*Final_Table[[#This Row],[Variable Cost %]]</f>
        <v>3304.7999999999997</v>
      </c>
      <c r="R614">
        <f>Final_Table[[#This Row],[Variable Cost]]+Final_Table[[#This Row],[Fixed Monthly Cost]]</f>
        <v>21304.799999999999</v>
      </c>
      <c r="S614" s="5">
        <f>Final_Table[[#This Row],[Net Revenue]]-Final_Table[[#This Row],[Total Cost (COGS)]]</f>
        <v>-2944.7999999999993</v>
      </c>
      <c r="T614">
        <f>Final_Table[[#This Row],[Gross Profit]]*Final_Table[[#This Row],[Tax Rate]]</f>
        <v>-883.43999999999971</v>
      </c>
      <c r="U614" s="5">
        <f>Final_Table[[#This Row],[Gross Profit]]-Final_Table[[#This Row],[Tax]]</f>
        <v>-2061.3599999999997</v>
      </c>
      <c r="V614" s="12">
        <f>Final_Table[[#This Row],[Net Profit]]/Final_Table[[#This Row],[Gross Revenue]]</f>
        <v>-0.10104705882352939</v>
      </c>
    </row>
    <row r="615" spans="1:22">
      <c r="A615" s="18" t="s">
        <v>71</v>
      </c>
      <c r="B615">
        <v>2014</v>
      </c>
      <c r="C615" t="s">
        <v>122</v>
      </c>
      <c r="D615">
        <v>1</v>
      </c>
      <c r="E615" s="18" t="s">
        <v>32</v>
      </c>
      <c r="F615" s="18" t="s">
        <v>112</v>
      </c>
      <c r="G615" s="18" t="s">
        <v>25</v>
      </c>
      <c r="H615" s="18" t="str">
        <f>Assumptions!$B$2</f>
        <v>Worst</v>
      </c>
      <c r="I615" s="18">
        <f>_xlfn.XLOOKUP(Assumptions!$B$2,Assumptions!$F$4:$H$4,Assumptions!$F$5:$H$5)</f>
        <v>1200</v>
      </c>
      <c r="J615" s="18">
        <f>_xlfn.XLOOKUP(Assumptions!$B$2,Assumptions!$F$4:$H$4,Assumptions!$F$6:$H$6)</f>
        <v>17</v>
      </c>
      <c r="K615" s="12">
        <f>_xlfn.XLOOKUP(Assumptions!$B$2,Assumptions!$F$4:$H$4,Assumptions!$F$8:$H$8)</f>
        <v>0.1</v>
      </c>
      <c r="L615" s="12">
        <f>_xlfn.XLOOKUP(Assumptions!$B$2,Assumptions!$F$4:$H$4,Assumptions!$F$9:$H$9)</f>
        <v>0.18</v>
      </c>
      <c r="M615" s="18">
        <f>_xlfn.XLOOKUP(Assumptions!$B$2,Assumptions!$F$4:$H$4,Assumptions!$F$10:$H$10)</f>
        <v>18000</v>
      </c>
      <c r="N615" s="12">
        <f>_xlfn.XLOOKUP(Assumptions!$B$2,Assumptions!$F$4:$H$4,Assumptions!$F$11:$H$11)</f>
        <v>0.3</v>
      </c>
      <c r="O615" s="14">
        <f>Final_Table[[#This Row],[Units Sold]]*Final_Table[[#This Row],[Sale Price]]</f>
        <v>20400</v>
      </c>
      <c r="P615" s="14">
        <f>Final_Table[[#This Row],[Gross Revenue]]*(1-Final_Table[[#This Row],[Discount %]])</f>
        <v>18360</v>
      </c>
      <c r="Q615">
        <f>Final_Table[[#This Row],[Net Revenue]]*Final_Table[[#This Row],[Variable Cost %]]</f>
        <v>3304.7999999999997</v>
      </c>
      <c r="R615">
        <f>Final_Table[[#This Row],[Variable Cost]]+Final_Table[[#This Row],[Fixed Monthly Cost]]</f>
        <v>21304.799999999999</v>
      </c>
      <c r="S615" s="5">
        <f>Final_Table[[#This Row],[Net Revenue]]-Final_Table[[#This Row],[Total Cost (COGS)]]</f>
        <v>-2944.7999999999993</v>
      </c>
      <c r="T615">
        <f>Final_Table[[#This Row],[Gross Profit]]*Final_Table[[#This Row],[Tax Rate]]</f>
        <v>-883.43999999999971</v>
      </c>
      <c r="U615" s="5">
        <f>Final_Table[[#This Row],[Gross Profit]]-Final_Table[[#This Row],[Tax]]</f>
        <v>-2061.3599999999997</v>
      </c>
      <c r="V615" s="12">
        <f>Final_Table[[#This Row],[Net Profit]]/Final_Table[[#This Row],[Gross Revenue]]</f>
        <v>-0.10104705882352939</v>
      </c>
    </row>
    <row r="616" spans="1:22">
      <c r="A616" s="18" t="s">
        <v>71</v>
      </c>
      <c r="B616">
        <v>2014</v>
      </c>
      <c r="C616" t="s">
        <v>122</v>
      </c>
      <c r="D616">
        <v>1</v>
      </c>
      <c r="E616" s="18" t="s">
        <v>32</v>
      </c>
      <c r="F616" s="18" t="s">
        <v>112</v>
      </c>
      <c r="G616" s="18" t="s">
        <v>17</v>
      </c>
      <c r="H616" s="18" t="str">
        <f>Assumptions!$B$2</f>
        <v>Worst</v>
      </c>
      <c r="I616" s="18">
        <f>_xlfn.XLOOKUP(Assumptions!$B$2,Assumptions!$F$4:$H$4,Assumptions!$F$5:$H$5)</f>
        <v>1200</v>
      </c>
      <c r="J616" s="18">
        <f>_xlfn.XLOOKUP(Assumptions!$B$2,Assumptions!$F$4:$H$4,Assumptions!$F$6:$H$6)</f>
        <v>17</v>
      </c>
      <c r="K616" s="12">
        <f>_xlfn.XLOOKUP(Assumptions!$B$2,Assumptions!$F$4:$H$4,Assumptions!$F$8:$H$8)</f>
        <v>0.1</v>
      </c>
      <c r="L616" s="12">
        <f>_xlfn.XLOOKUP(Assumptions!$B$2,Assumptions!$F$4:$H$4,Assumptions!$F$9:$H$9)</f>
        <v>0.18</v>
      </c>
      <c r="M616" s="18">
        <f>_xlfn.XLOOKUP(Assumptions!$B$2,Assumptions!$F$4:$H$4,Assumptions!$F$10:$H$10)</f>
        <v>18000</v>
      </c>
      <c r="N616" s="12">
        <f>_xlfn.XLOOKUP(Assumptions!$B$2,Assumptions!$F$4:$H$4,Assumptions!$F$11:$H$11)</f>
        <v>0.3</v>
      </c>
      <c r="O616" s="14">
        <f>Final_Table[[#This Row],[Units Sold]]*Final_Table[[#This Row],[Sale Price]]</f>
        <v>20400</v>
      </c>
      <c r="P616" s="14">
        <f>Final_Table[[#This Row],[Gross Revenue]]*(1-Final_Table[[#This Row],[Discount %]])</f>
        <v>18360</v>
      </c>
      <c r="Q616">
        <f>Final_Table[[#This Row],[Net Revenue]]*Final_Table[[#This Row],[Variable Cost %]]</f>
        <v>3304.7999999999997</v>
      </c>
      <c r="R616">
        <f>Final_Table[[#This Row],[Variable Cost]]+Final_Table[[#This Row],[Fixed Monthly Cost]]</f>
        <v>21304.799999999999</v>
      </c>
      <c r="S616" s="5">
        <f>Final_Table[[#This Row],[Net Revenue]]-Final_Table[[#This Row],[Total Cost (COGS)]]</f>
        <v>-2944.7999999999993</v>
      </c>
      <c r="T616">
        <f>Final_Table[[#This Row],[Gross Profit]]*Final_Table[[#This Row],[Tax Rate]]</f>
        <v>-883.43999999999971</v>
      </c>
      <c r="U616" s="5">
        <f>Final_Table[[#This Row],[Gross Profit]]-Final_Table[[#This Row],[Tax]]</f>
        <v>-2061.3599999999997</v>
      </c>
      <c r="V616" s="12">
        <f>Final_Table[[#This Row],[Net Profit]]/Final_Table[[#This Row],[Gross Revenue]]</f>
        <v>-0.10104705882352939</v>
      </c>
    </row>
    <row r="617" spans="1:22">
      <c r="A617" s="18" t="s">
        <v>71</v>
      </c>
      <c r="B617">
        <v>2014</v>
      </c>
      <c r="C617" t="s">
        <v>122</v>
      </c>
      <c r="D617">
        <v>1</v>
      </c>
      <c r="E617" s="18" t="s">
        <v>32</v>
      </c>
      <c r="F617" s="18" t="s">
        <v>113</v>
      </c>
      <c r="G617" s="18" t="s">
        <v>36</v>
      </c>
      <c r="H617" s="18" t="str">
        <f>Assumptions!$B$2</f>
        <v>Worst</v>
      </c>
      <c r="I617" s="18">
        <f>_xlfn.XLOOKUP(Assumptions!$B$2,Assumptions!$F$4:$H$4,Assumptions!$F$5:$H$5)</f>
        <v>1200</v>
      </c>
      <c r="J617" s="18">
        <f>_xlfn.XLOOKUP(Assumptions!$B$2,Assumptions!$F$4:$H$4,Assumptions!$F$6:$H$6)</f>
        <v>17</v>
      </c>
      <c r="K617" s="12">
        <f>_xlfn.XLOOKUP(Assumptions!$B$2,Assumptions!$F$4:$H$4,Assumptions!$F$8:$H$8)</f>
        <v>0.1</v>
      </c>
      <c r="L617" s="12">
        <f>_xlfn.XLOOKUP(Assumptions!$B$2,Assumptions!$F$4:$H$4,Assumptions!$F$9:$H$9)</f>
        <v>0.18</v>
      </c>
      <c r="M617" s="18">
        <f>_xlfn.XLOOKUP(Assumptions!$B$2,Assumptions!$F$4:$H$4,Assumptions!$F$10:$H$10)</f>
        <v>18000</v>
      </c>
      <c r="N617" s="12">
        <f>_xlfn.XLOOKUP(Assumptions!$B$2,Assumptions!$F$4:$H$4,Assumptions!$F$11:$H$11)</f>
        <v>0.3</v>
      </c>
      <c r="O617" s="14">
        <f>Final_Table[[#This Row],[Units Sold]]*Final_Table[[#This Row],[Sale Price]]</f>
        <v>20400</v>
      </c>
      <c r="P617" s="14">
        <f>Final_Table[[#This Row],[Gross Revenue]]*(1-Final_Table[[#This Row],[Discount %]])</f>
        <v>18360</v>
      </c>
      <c r="Q617">
        <f>Final_Table[[#This Row],[Net Revenue]]*Final_Table[[#This Row],[Variable Cost %]]</f>
        <v>3304.7999999999997</v>
      </c>
      <c r="R617">
        <f>Final_Table[[#This Row],[Variable Cost]]+Final_Table[[#This Row],[Fixed Monthly Cost]]</f>
        <v>21304.799999999999</v>
      </c>
      <c r="S617" s="5">
        <f>Final_Table[[#This Row],[Net Revenue]]-Final_Table[[#This Row],[Total Cost (COGS)]]</f>
        <v>-2944.7999999999993</v>
      </c>
      <c r="T617">
        <f>Final_Table[[#This Row],[Gross Profit]]*Final_Table[[#This Row],[Tax Rate]]</f>
        <v>-883.43999999999971</v>
      </c>
      <c r="U617" s="5">
        <f>Final_Table[[#This Row],[Gross Profit]]-Final_Table[[#This Row],[Tax]]</f>
        <v>-2061.3599999999997</v>
      </c>
      <c r="V617" s="12">
        <f>Final_Table[[#This Row],[Net Profit]]/Final_Table[[#This Row],[Gross Revenue]]</f>
        <v>-0.10104705882352939</v>
      </c>
    </row>
    <row r="618" spans="1:22">
      <c r="A618" s="18" t="s">
        <v>71</v>
      </c>
      <c r="B618">
        <v>2014</v>
      </c>
      <c r="C618" t="s">
        <v>122</v>
      </c>
      <c r="D618">
        <v>1</v>
      </c>
      <c r="E618" s="18" t="s">
        <v>32</v>
      </c>
      <c r="F618" s="18" t="s">
        <v>113</v>
      </c>
      <c r="G618" s="18" t="s">
        <v>23</v>
      </c>
      <c r="H618" s="18" t="str">
        <f>Assumptions!$B$2</f>
        <v>Worst</v>
      </c>
      <c r="I618" s="18">
        <f>_xlfn.XLOOKUP(Assumptions!$B$2,Assumptions!$F$4:$H$4,Assumptions!$F$5:$H$5)</f>
        <v>1200</v>
      </c>
      <c r="J618" s="18">
        <f>_xlfn.XLOOKUP(Assumptions!$B$2,Assumptions!$F$4:$H$4,Assumptions!$F$6:$H$6)</f>
        <v>17</v>
      </c>
      <c r="K618" s="12">
        <f>_xlfn.XLOOKUP(Assumptions!$B$2,Assumptions!$F$4:$H$4,Assumptions!$F$8:$H$8)</f>
        <v>0.1</v>
      </c>
      <c r="L618" s="12">
        <f>_xlfn.XLOOKUP(Assumptions!$B$2,Assumptions!$F$4:$H$4,Assumptions!$F$9:$H$9)</f>
        <v>0.18</v>
      </c>
      <c r="M618" s="18">
        <f>_xlfn.XLOOKUP(Assumptions!$B$2,Assumptions!$F$4:$H$4,Assumptions!$F$10:$H$10)</f>
        <v>18000</v>
      </c>
      <c r="N618" s="12">
        <f>_xlfn.XLOOKUP(Assumptions!$B$2,Assumptions!$F$4:$H$4,Assumptions!$F$11:$H$11)</f>
        <v>0.3</v>
      </c>
      <c r="O618" s="14">
        <f>Final_Table[[#This Row],[Units Sold]]*Final_Table[[#This Row],[Sale Price]]</f>
        <v>20400</v>
      </c>
      <c r="P618" s="14">
        <f>Final_Table[[#This Row],[Gross Revenue]]*(1-Final_Table[[#This Row],[Discount %]])</f>
        <v>18360</v>
      </c>
      <c r="Q618">
        <f>Final_Table[[#This Row],[Net Revenue]]*Final_Table[[#This Row],[Variable Cost %]]</f>
        <v>3304.7999999999997</v>
      </c>
      <c r="R618">
        <f>Final_Table[[#This Row],[Variable Cost]]+Final_Table[[#This Row],[Fixed Monthly Cost]]</f>
        <v>21304.799999999999</v>
      </c>
      <c r="S618" s="5">
        <f>Final_Table[[#This Row],[Net Revenue]]-Final_Table[[#This Row],[Total Cost (COGS)]]</f>
        <v>-2944.7999999999993</v>
      </c>
      <c r="T618">
        <f>Final_Table[[#This Row],[Gross Profit]]*Final_Table[[#This Row],[Tax Rate]]</f>
        <v>-883.43999999999971</v>
      </c>
      <c r="U618" s="5">
        <f>Final_Table[[#This Row],[Gross Profit]]-Final_Table[[#This Row],[Tax]]</f>
        <v>-2061.3599999999997</v>
      </c>
      <c r="V618" s="12">
        <f>Final_Table[[#This Row],[Net Profit]]/Final_Table[[#This Row],[Gross Revenue]]</f>
        <v>-0.10104705882352939</v>
      </c>
    </row>
    <row r="619" spans="1:22">
      <c r="A619" s="18" t="s">
        <v>71</v>
      </c>
      <c r="B619">
        <v>2014</v>
      </c>
      <c r="C619" t="s">
        <v>122</v>
      </c>
      <c r="D619">
        <v>1</v>
      </c>
      <c r="E619" s="18" t="s">
        <v>32</v>
      </c>
      <c r="F619" s="18" t="s">
        <v>113</v>
      </c>
      <c r="G619" s="18" t="s">
        <v>21</v>
      </c>
      <c r="H619" s="18" t="str">
        <f>Assumptions!$B$2</f>
        <v>Worst</v>
      </c>
      <c r="I619" s="18">
        <f>_xlfn.XLOOKUP(Assumptions!$B$2,Assumptions!$F$4:$H$4,Assumptions!$F$5:$H$5)</f>
        <v>1200</v>
      </c>
      <c r="J619" s="18">
        <f>_xlfn.XLOOKUP(Assumptions!$B$2,Assumptions!$F$4:$H$4,Assumptions!$F$6:$H$6)</f>
        <v>17</v>
      </c>
      <c r="K619" s="12">
        <f>_xlfn.XLOOKUP(Assumptions!$B$2,Assumptions!$F$4:$H$4,Assumptions!$F$8:$H$8)</f>
        <v>0.1</v>
      </c>
      <c r="L619" s="12">
        <f>_xlfn.XLOOKUP(Assumptions!$B$2,Assumptions!$F$4:$H$4,Assumptions!$F$9:$H$9)</f>
        <v>0.18</v>
      </c>
      <c r="M619" s="18">
        <f>_xlfn.XLOOKUP(Assumptions!$B$2,Assumptions!$F$4:$H$4,Assumptions!$F$10:$H$10)</f>
        <v>18000</v>
      </c>
      <c r="N619" s="12">
        <f>_xlfn.XLOOKUP(Assumptions!$B$2,Assumptions!$F$4:$H$4,Assumptions!$F$11:$H$11)</f>
        <v>0.3</v>
      </c>
      <c r="O619" s="14">
        <f>Final_Table[[#This Row],[Units Sold]]*Final_Table[[#This Row],[Sale Price]]</f>
        <v>20400</v>
      </c>
      <c r="P619" s="14">
        <f>Final_Table[[#This Row],[Gross Revenue]]*(1-Final_Table[[#This Row],[Discount %]])</f>
        <v>18360</v>
      </c>
      <c r="Q619">
        <f>Final_Table[[#This Row],[Net Revenue]]*Final_Table[[#This Row],[Variable Cost %]]</f>
        <v>3304.7999999999997</v>
      </c>
      <c r="R619">
        <f>Final_Table[[#This Row],[Variable Cost]]+Final_Table[[#This Row],[Fixed Monthly Cost]]</f>
        <v>21304.799999999999</v>
      </c>
      <c r="S619" s="5">
        <f>Final_Table[[#This Row],[Net Revenue]]-Final_Table[[#This Row],[Total Cost (COGS)]]</f>
        <v>-2944.7999999999993</v>
      </c>
      <c r="T619">
        <f>Final_Table[[#This Row],[Gross Profit]]*Final_Table[[#This Row],[Tax Rate]]</f>
        <v>-883.43999999999971</v>
      </c>
      <c r="U619" s="5">
        <f>Final_Table[[#This Row],[Gross Profit]]-Final_Table[[#This Row],[Tax]]</f>
        <v>-2061.3599999999997</v>
      </c>
      <c r="V619" s="12">
        <f>Final_Table[[#This Row],[Net Profit]]/Final_Table[[#This Row],[Gross Revenue]]</f>
        <v>-0.10104705882352939</v>
      </c>
    </row>
    <row r="620" spans="1:22">
      <c r="A620" s="18" t="s">
        <v>71</v>
      </c>
      <c r="B620">
        <v>2014</v>
      </c>
      <c r="C620" t="s">
        <v>122</v>
      </c>
      <c r="D620">
        <v>1</v>
      </c>
      <c r="E620" s="18" t="s">
        <v>32</v>
      </c>
      <c r="F620" s="18" t="s">
        <v>113</v>
      </c>
      <c r="G620" s="18" t="s">
        <v>25</v>
      </c>
      <c r="H620" s="18" t="str">
        <f>Assumptions!$B$2</f>
        <v>Worst</v>
      </c>
      <c r="I620" s="18">
        <f>_xlfn.XLOOKUP(Assumptions!$B$2,Assumptions!$F$4:$H$4,Assumptions!$F$5:$H$5)</f>
        <v>1200</v>
      </c>
      <c r="J620" s="18">
        <f>_xlfn.XLOOKUP(Assumptions!$B$2,Assumptions!$F$4:$H$4,Assumptions!$F$6:$H$6)</f>
        <v>17</v>
      </c>
      <c r="K620" s="12">
        <f>_xlfn.XLOOKUP(Assumptions!$B$2,Assumptions!$F$4:$H$4,Assumptions!$F$8:$H$8)</f>
        <v>0.1</v>
      </c>
      <c r="L620" s="12">
        <f>_xlfn.XLOOKUP(Assumptions!$B$2,Assumptions!$F$4:$H$4,Assumptions!$F$9:$H$9)</f>
        <v>0.18</v>
      </c>
      <c r="M620" s="18">
        <f>_xlfn.XLOOKUP(Assumptions!$B$2,Assumptions!$F$4:$H$4,Assumptions!$F$10:$H$10)</f>
        <v>18000</v>
      </c>
      <c r="N620" s="12">
        <f>_xlfn.XLOOKUP(Assumptions!$B$2,Assumptions!$F$4:$H$4,Assumptions!$F$11:$H$11)</f>
        <v>0.3</v>
      </c>
      <c r="O620" s="14">
        <f>Final_Table[[#This Row],[Units Sold]]*Final_Table[[#This Row],[Sale Price]]</f>
        <v>20400</v>
      </c>
      <c r="P620" s="14">
        <f>Final_Table[[#This Row],[Gross Revenue]]*(1-Final_Table[[#This Row],[Discount %]])</f>
        <v>18360</v>
      </c>
      <c r="Q620">
        <f>Final_Table[[#This Row],[Net Revenue]]*Final_Table[[#This Row],[Variable Cost %]]</f>
        <v>3304.7999999999997</v>
      </c>
      <c r="R620">
        <f>Final_Table[[#This Row],[Variable Cost]]+Final_Table[[#This Row],[Fixed Monthly Cost]]</f>
        <v>21304.799999999999</v>
      </c>
      <c r="S620" s="5">
        <f>Final_Table[[#This Row],[Net Revenue]]-Final_Table[[#This Row],[Total Cost (COGS)]]</f>
        <v>-2944.7999999999993</v>
      </c>
      <c r="T620">
        <f>Final_Table[[#This Row],[Gross Profit]]*Final_Table[[#This Row],[Tax Rate]]</f>
        <v>-883.43999999999971</v>
      </c>
      <c r="U620" s="5">
        <f>Final_Table[[#This Row],[Gross Profit]]-Final_Table[[#This Row],[Tax]]</f>
        <v>-2061.3599999999997</v>
      </c>
      <c r="V620" s="12">
        <f>Final_Table[[#This Row],[Net Profit]]/Final_Table[[#This Row],[Gross Revenue]]</f>
        <v>-0.10104705882352939</v>
      </c>
    </row>
    <row r="621" spans="1:22">
      <c r="A621" s="18" t="s">
        <v>71</v>
      </c>
      <c r="B621">
        <v>2014</v>
      </c>
      <c r="C621" t="s">
        <v>122</v>
      </c>
      <c r="D621">
        <v>1</v>
      </c>
      <c r="E621" s="18" t="s">
        <v>32</v>
      </c>
      <c r="F621" s="18" t="s">
        <v>113</v>
      </c>
      <c r="G621" s="18" t="s">
        <v>17</v>
      </c>
      <c r="H621" s="18" t="str">
        <f>Assumptions!$B$2</f>
        <v>Worst</v>
      </c>
      <c r="I621" s="18">
        <f>_xlfn.XLOOKUP(Assumptions!$B$2,Assumptions!$F$4:$H$4,Assumptions!$F$5:$H$5)</f>
        <v>1200</v>
      </c>
      <c r="J621" s="18">
        <f>_xlfn.XLOOKUP(Assumptions!$B$2,Assumptions!$F$4:$H$4,Assumptions!$F$6:$H$6)</f>
        <v>17</v>
      </c>
      <c r="K621" s="12">
        <f>_xlfn.XLOOKUP(Assumptions!$B$2,Assumptions!$F$4:$H$4,Assumptions!$F$8:$H$8)</f>
        <v>0.1</v>
      </c>
      <c r="L621" s="12">
        <f>_xlfn.XLOOKUP(Assumptions!$B$2,Assumptions!$F$4:$H$4,Assumptions!$F$9:$H$9)</f>
        <v>0.18</v>
      </c>
      <c r="M621" s="18">
        <f>_xlfn.XLOOKUP(Assumptions!$B$2,Assumptions!$F$4:$H$4,Assumptions!$F$10:$H$10)</f>
        <v>18000</v>
      </c>
      <c r="N621" s="12">
        <f>_xlfn.XLOOKUP(Assumptions!$B$2,Assumptions!$F$4:$H$4,Assumptions!$F$11:$H$11)</f>
        <v>0.3</v>
      </c>
      <c r="O621" s="14">
        <f>Final_Table[[#This Row],[Units Sold]]*Final_Table[[#This Row],[Sale Price]]</f>
        <v>20400</v>
      </c>
      <c r="P621" s="14">
        <f>Final_Table[[#This Row],[Gross Revenue]]*(1-Final_Table[[#This Row],[Discount %]])</f>
        <v>18360</v>
      </c>
      <c r="Q621">
        <f>Final_Table[[#This Row],[Net Revenue]]*Final_Table[[#This Row],[Variable Cost %]]</f>
        <v>3304.7999999999997</v>
      </c>
      <c r="R621">
        <f>Final_Table[[#This Row],[Variable Cost]]+Final_Table[[#This Row],[Fixed Monthly Cost]]</f>
        <v>21304.799999999999</v>
      </c>
      <c r="S621" s="5">
        <f>Final_Table[[#This Row],[Net Revenue]]-Final_Table[[#This Row],[Total Cost (COGS)]]</f>
        <v>-2944.7999999999993</v>
      </c>
      <c r="T621">
        <f>Final_Table[[#This Row],[Gross Profit]]*Final_Table[[#This Row],[Tax Rate]]</f>
        <v>-883.43999999999971</v>
      </c>
      <c r="U621" s="5">
        <f>Final_Table[[#This Row],[Gross Profit]]-Final_Table[[#This Row],[Tax]]</f>
        <v>-2061.3599999999997</v>
      </c>
      <c r="V621" s="12">
        <f>Final_Table[[#This Row],[Net Profit]]/Final_Table[[#This Row],[Gross Revenue]]</f>
        <v>-0.10104705882352939</v>
      </c>
    </row>
    <row r="622" spans="1:22">
      <c r="A622" s="18" t="s">
        <v>71</v>
      </c>
      <c r="B622">
        <v>2014</v>
      </c>
      <c r="C622" t="s">
        <v>122</v>
      </c>
      <c r="D622">
        <v>1</v>
      </c>
      <c r="E622" s="18" t="s">
        <v>32</v>
      </c>
      <c r="F622" s="18" t="s">
        <v>114</v>
      </c>
      <c r="G622" s="18" t="s">
        <v>36</v>
      </c>
      <c r="H622" s="18" t="str">
        <f>Assumptions!$B$2</f>
        <v>Worst</v>
      </c>
      <c r="I622" s="18">
        <f>_xlfn.XLOOKUP(Assumptions!$B$2,Assumptions!$F$4:$H$4,Assumptions!$F$5:$H$5)</f>
        <v>1200</v>
      </c>
      <c r="J622" s="18">
        <f>_xlfn.XLOOKUP(Assumptions!$B$2,Assumptions!$F$4:$H$4,Assumptions!$F$6:$H$6)</f>
        <v>17</v>
      </c>
      <c r="K622" s="12">
        <f>_xlfn.XLOOKUP(Assumptions!$B$2,Assumptions!$F$4:$H$4,Assumptions!$F$8:$H$8)</f>
        <v>0.1</v>
      </c>
      <c r="L622" s="12">
        <f>_xlfn.XLOOKUP(Assumptions!$B$2,Assumptions!$F$4:$H$4,Assumptions!$F$9:$H$9)</f>
        <v>0.18</v>
      </c>
      <c r="M622" s="18">
        <f>_xlfn.XLOOKUP(Assumptions!$B$2,Assumptions!$F$4:$H$4,Assumptions!$F$10:$H$10)</f>
        <v>18000</v>
      </c>
      <c r="N622" s="12">
        <f>_xlfn.XLOOKUP(Assumptions!$B$2,Assumptions!$F$4:$H$4,Assumptions!$F$11:$H$11)</f>
        <v>0.3</v>
      </c>
      <c r="O622" s="14">
        <f>Final_Table[[#This Row],[Units Sold]]*Final_Table[[#This Row],[Sale Price]]</f>
        <v>20400</v>
      </c>
      <c r="P622" s="14">
        <f>Final_Table[[#This Row],[Gross Revenue]]*(1-Final_Table[[#This Row],[Discount %]])</f>
        <v>18360</v>
      </c>
      <c r="Q622">
        <f>Final_Table[[#This Row],[Net Revenue]]*Final_Table[[#This Row],[Variable Cost %]]</f>
        <v>3304.7999999999997</v>
      </c>
      <c r="R622">
        <f>Final_Table[[#This Row],[Variable Cost]]+Final_Table[[#This Row],[Fixed Monthly Cost]]</f>
        <v>21304.799999999999</v>
      </c>
      <c r="S622" s="5">
        <f>Final_Table[[#This Row],[Net Revenue]]-Final_Table[[#This Row],[Total Cost (COGS)]]</f>
        <v>-2944.7999999999993</v>
      </c>
      <c r="T622">
        <f>Final_Table[[#This Row],[Gross Profit]]*Final_Table[[#This Row],[Tax Rate]]</f>
        <v>-883.43999999999971</v>
      </c>
      <c r="U622" s="5">
        <f>Final_Table[[#This Row],[Gross Profit]]-Final_Table[[#This Row],[Tax]]</f>
        <v>-2061.3599999999997</v>
      </c>
      <c r="V622" s="12">
        <f>Final_Table[[#This Row],[Net Profit]]/Final_Table[[#This Row],[Gross Revenue]]</f>
        <v>-0.10104705882352939</v>
      </c>
    </row>
    <row r="623" spans="1:22">
      <c r="A623" s="18" t="s">
        <v>71</v>
      </c>
      <c r="B623">
        <v>2014</v>
      </c>
      <c r="C623" t="s">
        <v>122</v>
      </c>
      <c r="D623">
        <v>1</v>
      </c>
      <c r="E623" s="18" t="s">
        <v>32</v>
      </c>
      <c r="F623" s="18" t="s">
        <v>114</v>
      </c>
      <c r="G623" s="18" t="s">
        <v>23</v>
      </c>
      <c r="H623" s="18" t="str">
        <f>Assumptions!$B$2</f>
        <v>Worst</v>
      </c>
      <c r="I623" s="18">
        <f>_xlfn.XLOOKUP(Assumptions!$B$2,Assumptions!$F$4:$H$4,Assumptions!$F$5:$H$5)</f>
        <v>1200</v>
      </c>
      <c r="J623" s="18">
        <f>_xlfn.XLOOKUP(Assumptions!$B$2,Assumptions!$F$4:$H$4,Assumptions!$F$6:$H$6)</f>
        <v>17</v>
      </c>
      <c r="K623" s="12">
        <f>_xlfn.XLOOKUP(Assumptions!$B$2,Assumptions!$F$4:$H$4,Assumptions!$F$8:$H$8)</f>
        <v>0.1</v>
      </c>
      <c r="L623" s="12">
        <f>_xlfn.XLOOKUP(Assumptions!$B$2,Assumptions!$F$4:$H$4,Assumptions!$F$9:$H$9)</f>
        <v>0.18</v>
      </c>
      <c r="M623" s="18">
        <f>_xlfn.XLOOKUP(Assumptions!$B$2,Assumptions!$F$4:$H$4,Assumptions!$F$10:$H$10)</f>
        <v>18000</v>
      </c>
      <c r="N623" s="12">
        <f>_xlfn.XLOOKUP(Assumptions!$B$2,Assumptions!$F$4:$H$4,Assumptions!$F$11:$H$11)</f>
        <v>0.3</v>
      </c>
      <c r="O623" s="14">
        <f>Final_Table[[#This Row],[Units Sold]]*Final_Table[[#This Row],[Sale Price]]</f>
        <v>20400</v>
      </c>
      <c r="P623" s="14">
        <f>Final_Table[[#This Row],[Gross Revenue]]*(1-Final_Table[[#This Row],[Discount %]])</f>
        <v>18360</v>
      </c>
      <c r="Q623">
        <f>Final_Table[[#This Row],[Net Revenue]]*Final_Table[[#This Row],[Variable Cost %]]</f>
        <v>3304.7999999999997</v>
      </c>
      <c r="R623">
        <f>Final_Table[[#This Row],[Variable Cost]]+Final_Table[[#This Row],[Fixed Monthly Cost]]</f>
        <v>21304.799999999999</v>
      </c>
      <c r="S623" s="5">
        <f>Final_Table[[#This Row],[Net Revenue]]-Final_Table[[#This Row],[Total Cost (COGS)]]</f>
        <v>-2944.7999999999993</v>
      </c>
      <c r="T623">
        <f>Final_Table[[#This Row],[Gross Profit]]*Final_Table[[#This Row],[Tax Rate]]</f>
        <v>-883.43999999999971</v>
      </c>
      <c r="U623" s="5">
        <f>Final_Table[[#This Row],[Gross Profit]]-Final_Table[[#This Row],[Tax]]</f>
        <v>-2061.3599999999997</v>
      </c>
      <c r="V623" s="12">
        <f>Final_Table[[#This Row],[Net Profit]]/Final_Table[[#This Row],[Gross Revenue]]</f>
        <v>-0.10104705882352939</v>
      </c>
    </row>
    <row r="624" spans="1:22">
      <c r="A624" s="18" t="s">
        <v>71</v>
      </c>
      <c r="B624">
        <v>2014</v>
      </c>
      <c r="C624" t="s">
        <v>122</v>
      </c>
      <c r="D624">
        <v>1</v>
      </c>
      <c r="E624" s="18" t="s">
        <v>32</v>
      </c>
      <c r="F624" s="18" t="s">
        <v>114</v>
      </c>
      <c r="G624" s="18" t="s">
        <v>21</v>
      </c>
      <c r="H624" s="18" t="str">
        <f>Assumptions!$B$2</f>
        <v>Worst</v>
      </c>
      <c r="I624" s="18">
        <f>_xlfn.XLOOKUP(Assumptions!$B$2,Assumptions!$F$4:$H$4,Assumptions!$F$5:$H$5)</f>
        <v>1200</v>
      </c>
      <c r="J624" s="18">
        <f>_xlfn.XLOOKUP(Assumptions!$B$2,Assumptions!$F$4:$H$4,Assumptions!$F$6:$H$6)</f>
        <v>17</v>
      </c>
      <c r="K624" s="12">
        <f>_xlfn.XLOOKUP(Assumptions!$B$2,Assumptions!$F$4:$H$4,Assumptions!$F$8:$H$8)</f>
        <v>0.1</v>
      </c>
      <c r="L624" s="12">
        <f>_xlfn.XLOOKUP(Assumptions!$B$2,Assumptions!$F$4:$H$4,Assumptions!$F$9:$H$9)</f>
        <v>0.18</v>
      </c>
      <c r="M624" s="18">
        <f>_xlfn.XLOOKUP(Assumptions!$B$2,Assumptions!$F$4:$H$4,Assumptions!$F$10:$H$10)</f>
        <v>18000</v>
      </c>
      <c r="N624" s="12">
        <f>_xlfn.XLOOKUP(Assumptions!$B$2,Assumptions!$F$4:$H$4,Assumptions!$F$11:$H$11)</f>
        <v>0.3</v>
      </c>
      <c r="O624" s="14">
        <f>Final_Table[[#This Row],[Units Sold]]*Final_Table[[#This Row],[Sale Price]]</f>
        <v>20400</v>
      </c>
      <c r="P624" s="14">
        <f>Final_Table[[#This Row],[Gross Revenue]]*(1-Final_Table[[#This Row],[Discount %]])</f>
        <v>18360</v>
      </c>
      <c r="Q624">
        <f>Final_Table[[#This Row],[Net Revenue]]*Final_Table[[#This Row],[Variable Cost %]]</f>
        <v>3304.7999999999997</v>
      </c>
      <c r="R624">
        <f>Final_Table[[#This Row],[Variable Cost]]+Final_Table[[#This Row],[Fixed Monthly Cost]]</f>
        <v>21304.799999999999</v>
      </c>
      <c r="S624" s="5">
        <f>Final_Table[[#This Row],[Net Revenue]]-Final_Table[[#This Row],[Total Cost (COGS)]]</f>
        <v>-2944.7999999999993</v>
      </c>
      <c r="T624">
        <f>Final_Table[[#This Row],[Gross Profit]]*Final_Table[[#This Row],[Tax Rate]]</f>
        <v>-883.43999999999971</v>
      </c>
      <c r="U624" s="5">
        <f>Final_Table[[#This Row],[Gross Profit]]-Final_Table[[#This Row],[Tax]]</f>
        <v>-2061.3599999999997</v>
      </c>
      <c r="V624" s="12">
        <f>Final_Table[[#This Row],[Net Profit]]/Final_Table[[#This Row],[Gross Revenue]]</f>
        <v>-0.10104705882352939</v>
      </c>
    </row>
    <row r="625" spans="1:22">
      <c r="A625" s="18" t="s">
        <v>71</v>
      </c>
      <c r="B625">
        <v>2014</v>
      </c>
      <c r="C625" t="s">
        <v>122</v>
      </c>
      <c r="D625">
        <v>1</v>
      </c>
      <c r="E625" s="18" t="s">
        <v>32</v>
      </c>
      <c r="F625" s="18" t="s">
        <v>114</v>
      </c>
      <c r="G625" s="18" t="s">
        <v>25</v>
      </c>
      <c r="H625" s="18" t="str">
        <f>Assumptions!$B$2</f>
        <v>Worst</v>
      </c>
      <c r="I625" s="18">
        <f>_xlfn.XLOOKUP(Assumptions!$B$2,Assumptions!$F$4:$H$4,Assumptions!$F$5:$H$5)</f>
        <v>1200</v>
      </c>
      <c r="J625" s="18">
        <f>_xlfn.XLOOKUP(Assumptions!$B$2,Assumptions!$F$4:$H$4,Assumptions!$F$6:$H$6)</f>
        <v>17</v>
      </c>
      <c r="K625" s="12">
        <f>_xlfn.XLOOKUP(Assumptions!$B$2,Assumptions!$F$4:$H$4,Assumptions!$F$8:$H$8)</f>
        <v>0.1</v>
      </c>
      <c r="L625" s="12">
        <f>_xlfn.XLOOKUP(Assumptions!$B$2,Assumptions!$F$4:$H$4,Assumptions!$F$9:$H$9)</f>
        <v>0.18</v>
      </c>
      <c r="M625" s="18">
        <f>_xlfn.XLOOKUP(Assumptions!$B$2,Assumptions!$F$4:$H$4,Assumptions!$F$10:$H$10)</f>
        <v>18000</v>
      </c>
      <c r="N625" s="12">
        <f>_xlfn.XLOOKUP(Assumptions!$B$2,Assumptions!$F$4:$H$4,Assumptions!$F$11:$H$11)</f>
        <v>0.3</v>
      </c>
      <c r="O625" s="14">
        <f>Final_Table[[#This Row],[Units Sold]]*Final_Table[[#This Row],[Sale Price]]</f>
        <v>20400</v>
      </c>
      <c r="P625" s="14">
        <f>Final_Table[[#This Row],[Gross Revenue]]*(1-Final_Table[[#This Row],[Discount %]])</f>
        <v>18360</v>
      </c>
      <c r="Q625">
        <f>Final_Table[[#This Row],[Net Revenue]]*Final_Table[[#This Row],[Variable Cost %]]</f>
        <v>3304.7999999999997</v>
      </c>
      <c r="R625">
        <f>Final_Table[[#This Row],[Variable Cost]]+Final_Table[[#This Row],[Fixed Monthly Cost]]</f>
        <v>21304.799999999999</v>
      </c>
      <c r="S625" s="5">
        <f>Final_Table[[#This Row],[Net Revenue]]-Final_Table[[#This Row],[Total Cost (COGS)]]</f>
        <v>-2944.7999999999993</v>
      </c>
      <c r="T625">
        <f>Final_Table[[#This Row],[Gross Profit]]*Final_Table[[#This Row],[Tax Rate]]</f>
        <v>-883.43999999999971</v>
      </c>
      <c r="U625" s="5">
        <f>Final_Table[[#This Row],[Gross Profit]]-Final_Table[[#This Row],[Tax]]</f>
        <v>-2061.3599999999997</v>
      </c>
      <c r="V625" s="12">
        <f>Final_Table[[#This Row],[Net Profit]]/Final_Table[[#This Row],[Gross Revenue]]</f>
        <v>-0.10104705882352939</v>
      </c>
    </row>
    <row r="626" spans="1:22">
      <c r="A626" s="18" t="s">
        <v>71</v>
      </c>
      <c r="B626">
        <v>2014</v>
      </c>
      <c r="C626" t="s">
        <v>122</v>
      </c>
      <c r="D626">
        <v>1</v>
      </c>
      <c r="E626" s="18" t="s">
        <v>32</v>
      </c>
      <c r="F626" s="18" t="s">
        <v>114</v>
      </c>
      <c r="G626" s="18" t="s">
        <v>17</v>
      </c>
      <c r="H626" s="18" t="str">
        <f>Assumptions!$B$2</f>
        <v>Worst</v>
      </c>
      <c r="I626" s="18">
        <f>_xlfn.XLOOKUP(Assumptions!$B$2,Assumptions!$F$4:$H$4,Assumptions!$F$5:$H$5)</f>
        <v>1200</v>
      </c>
      <c r="J626" s="18">
        <f>_xlfn.XLOOKUP(Assumptions!$B$2,Assumptions!$F$4:$H$4,Assumptions!$F$6:$H$6)</f>
        <v>17</v>
      </c>
      <c r="K626" s="12">
        <f>_xlfn.XLOOKUP(Assumptions!$B$2,Assumptions!$F$4:$H$4,Assumptions!$F$8:$H$8)</f>
        <v>0.1</v>
      </c>
      <c r="L626" s="12">
        <f>_xlfn.XLOOKUP(Assumptions!$B$2,Assumptions!$F$4:$H$4,Assumptions!$F$9:$H$9)</f>
        <v>0.18</v>
      </c>
      <c r="M626" s="18">
        <f>_xlfn.XLOOKUP(Assumptions!$B$2,Assumptions!$F$4:$H$4,Assumptions!$F$10:$H$10)</f>
        <v>18000</v>
      </c>
      <c r="N626" s="12">
        <f>_xlfn.XLOOKUP(Assumptions!$B$2,Assumptions!$F$4:$H$4,Assumptions!$F$11:$H$11)</f>
        <v>0.3</v>
      </c>
      <c r="O626" s="14">
        <f>Final_Table[[#This Row],[Units Sold]]*Final_Table[[#This Row],[Sale Price]]</f>
        <v>20400</v>
      </c>
      <c r="P626" s="14">
        <f>Final_Table[[#This Row],[Gross Revenue]]*(1-Final_Table[[#This Row],[Discount %]])</f>
        <v>18360</v>
      </c>
      <c r="Q626">
        <f>Final_Table[[#This Row],[Net Revenue]]*Final_Table[[#This Row],[Variable Cost %]]</f>
        <v>3304.7999999999997</v>
      </c>
      <c r="R626">
        <f>Final_Table[[#This Row],[Variable Cost]]+Final_Table[[#This Row],[Fixed Monthly Cost]]</f>
        <v>21304.799999999999</v>
      </c>
      <c r="S626" s="5">
        <f>Final_Table[[#This Row],[Net Revenue]]-Final_Table[[#This Row],[Total Cost (COGS)]]</f>
        <v>-2944.7999999999993</v>
      </c>
      <c r="T626">
        <f>Final_Table[[#This Row],[Gross Profit]]*Final_Table[[#This Row],[Tax Rate]]</f>
        <v>-883.43999999999971</v>
      </c>
      <c r="U626" s="5">
        <f>Final_Table[[#This Row],[Gross Profit]]-Final_Table[[#This Row],[Tax]]</f>
        <v>-2061.3599999999997</v>
      </c>
      <c r="V626" s="12">
        <f>Final_Table[[#This Row],[Net Profit]]/Final_Table[[#This Row],[Gross Revenue]]</f>
        <v>-0.10104705882352939</v>
      </c>
    </row>
    <row r="627" spans="1:22">
      <c r="A627" s="18" t="s">
        <v>72</v>
      </c>
      <c r="B627">
        <v>2014</v>
      </c>
      <c r="C627" t="s">
        <v>123</v>
      </c>
      <c r="D627">
        <v>1</v>
      </c>
      <c r="E627" s="18" t="s">
        <v>30</v>
      </c>
      <c r="F627" s="18" t="s">
        <v>80</v>
      </c>
      <c r="G627" s="18" t="s">
        <v>36</v>
      </c>
      <c r="H627" s="18" t="str">
        <f>Assumptions!$B$2</f>
        <v>Worst</v>
      </c>
      <c r="I627" s="18">
        <f>_xlfn.XLOOKUP(Assumptions!$B$2,Assumptions!$F$4:$H$4,Assumptions!$F$5:$H$5)</f>
        <v>1200</v>
      </c>
      <c r="J627" s="18">
        <f>_xlfn.XLOOKUP(Assumptions!$B$2,Assumptions!$F$4:$H$4,Assumptions!$F$6:$H$6)</f>
        <v>17</v>
      </c>
      <c r="K627" s="12">
        <f>_xlfn.XLOOKUP(Assumptions!$B$2,Assumptions!$F$4:$H$4,Assumptions!$F$8:$H$8)</f>
        <v>0.1</v>
      </c>
      <c r="L627" s="12">
        <f>_xlfn.XLOOKUP(Assumptions!$B$2,Assumptions!$F$4:$H$4,Assumptions!$F$9:$H$9)</f>
        <v>0.18</v>
      </c>
      <c r="M627" s="18">
        <f>_xlfn.XLOOKUP(Assumptions!$B$2,Assumptions!$F$4:$H$4,Assumptions!$F$10:$H$10)</f>
        <v>18000</v>
      </c>
      <c r="N627" s="12">
        <f>_xlfn.XLOOKUP(Assumptions!$B$2,Assumptions!$F$4:$H$4,Assumptions!$F$11:$H$11)</f>
        <v>0.3</v>
      </c>
      <c r="O627" s="14">
        <f>Final_Table[[#This Row],[Units Sold]]*Final_Table[[#This Row],[Sale Price]]</f>
        <v>20400</v>
      </c>
      <c r="P627" s="14">
        <f>Final_Table[[#This Row],[Gross Revenue]]*(1-Final_Table[[#This Row],[Discount %]])</f>
        <v>18360</v>
      </c>
      <c r="Q627">
        <f>Final_Table[[#This Row],[Net Revenue]]*Final_Table[[#This Row],[Variable Cost %]]</f>
        <v>3304.7999999999997</v>
      </c>
      <c r="R627">
        <f>Final_Table[[#This Row],[Variable Cost]]+Final_Table[[#This Row],[Fixed Monthly Cost]]</f>
        <v>21304.799999999999</v>
      </c>
      <c r="S627" s="5">
        <f>Final_Table[[#This Row],[Net Revenue]]-Final_Table[[#This Row],[Total Cost (COGS)]]</f>
        <v>-2944.7999999999993</v>
      </c>
      <c r="T627">
        <f>Final_Table[[#This Row],[Gross Profit]]*Final_Table[[#This Row],[Tax Rate]]</f>
        <v>-883.43999999999971</v>
      </c>
      <c r="U627" s="5">
        <f>Final_Table[[#This Row],[Gross Profit]]-Final_Table[[#This Row],[Tax]]</f>
        <v>-2061.3599999999997</v>
      </c>
      <c r="V627" s="12">
        <f>Final_Table[[#This Row],[Net Profit]]/Final_Table[[#This Row],[Gross Revenue]]</f>
        <v>-0.10104705882352939</v>
      </c>
    </row>
    <row r="628" spans="1:22">
      <c r="A628" s="18" t="s">
        <v>72</v>
      </c>
      <c r="B628">
        <v>2014</v>
      </c>
      <c r="C628" t="s">
        <v>123</v>
      </c>
      <c r="D628">
        <v>1</v>
      </c>
      <c r="E628" s="18" t="s">
        <v>30</v>
      </c>
      <c r="F628" s="18" t="s">
        <v>80</v>
      </c>
      <c r="G628" s="18" t="s">
        <v>23</v>
      </c>
      <c r="H628" s="18" t="str">
        <f>Assumptions!$B$2</f>
        <v>Worst</v>
      </c>
      <c r="I628" s="18">
        <f>_xlfn.XLOOKUP(Assumptions!$B$2,Assumptions!$F$4:$H$4,Assumptions!$F$5:$H$5)</f>
        <v>1200</v>
      </c>
      <c r="J628" s="18">
        <f>_xlfn.XLOOKUP(Assumptions!$B$2,Assumptions!$F$4:$H$4,Assumptions!$F$6:$H$6)</f>
        <v>17</v>
      </c>
      <c r="K628" s="12">
        <f>_xlfn.XLOOKUP(Assumptions!$B$2,Assumptions!$F$4:$H$4,Assumptions!$F$8:$H$8)</f>
        <v>0.1</v>
      </c>
      <c r="L628" s="12">
        <f>_xlfn.XLOOKUP(Assumptions!$B$2,Assumptions!$F$4:$H$4,Assumptions!$F$9:$H$9)</f>
        <v>0.18</v>
      </c>
      <c r="M628" s="18">
        <f>_xlfn.XLOOKUP(Assumptions!$B$2,Assumptions!$F$4:$H$4,Assumptions!$F$10:$H$10)</f>
        <v>18000</v>
      </c>
      <c r="N628" s="12">
        <f>_xlfn.XLOOKUP(Assumptions!$B$2,Assumptions!$F$4:$H$4,Assumptions!$F$11:$H$11)</f>
        <v>0.3</v>
      </c>
      <c r="O628" s="14">
        <f>Final_Table[[#This Row],[Units Sold]]*Final_Table[[#This Row],[Sale Price]]</f>
        <v>20400</v>
      </c>
      <c r="P628" s="14">
        <f>Final_Table[[#This Row],[Gross Revenue]]*(1-Final_Table[[#This Row],[Discount %]])</f>
        <v>18360</v>
      </c>
      <c r="Q628">
        <f>Final_Table[[#This Row],[Net Revenue]]*Final_Table[[#This Row],[Variable Cost %]]</f>
        <v>3304.7999999999997</v>
      </c>
      <c r="R628">
        <f>Final_Table[[#This Row],[Variable Cost]]+Final_Table[[#This Row],[Fixed Monthly Cost]]</f>
        <v>21304.799999999999</v>
      </c>
      <c r="S628" s="5">
        <f>Final_Table[[#This Row],[Net Revenue]]-Final_Table[[#This Row],[Total Cost (COGS)]]</f>
        <v>-2944.7999999999993</v>
      </c>
      <c r="T628">
        <f>Final_Table[[#This Row],[Gross Profit]]*Final_Table[[#This Row],[Tax Rate]]</f>
        <v>-883.43999999999971</v>
      </c>
      <c r="U628" s="5">
        <f>Final_Table[[#This Row],[Gross Profit]]-Final_Table[[#This Row],[Tax]]</f>
        <v>-2061.3599999999997</v>
      </c>
      <c r="V628" s="12">
        <f>Final_Table[[#This Row],[Net Profit]]/Final_Table[[#This Row],[Gross Revenue]]</f>
        <v>-0.10104705882352939</v>
      </c>
    </row>
    <row r="629" spans="1:22">
      <c r="A629" s="18" t="s">
        <v>72</v>
      </c>
      <c r="B629">
        <v>2014</v>
      </c>
      <c r="C629" t="s">
        <v>123</v>
      </c>
      <c r="D629">
        <v>1</v>
      </c>
      <c r="E629" s="18" t="s">
        <v>30</v>
      </c>
      <c r="F629" s="18" t="s">
        <v>80</v>
      </c>
      <c r="G629" s="18" t="s">
        <v>21</v>
      </c>
      <c r="H629" s="18" t="str">
        <f>Assumptions!$B$2</f>
        <v>Worst</v>
      </c>
      <c r="I629" s="18">
        <f>_xlfn.XLOOKUP(Assumptions!$B$2,Assumptions!$F$4:$H$4,Assumptions!$F$5:$H$5)</f>
        <v>1200</v>
      </c>
      <c r="J629" s="18">
        <f>_xlfn.XLOOKUP(Assumptions!$B$2,Assumptions!$F$4:$H$4,Assumptions!$F$6:$H$6)</f>
        <v>17</v>
      </c>
      <c r="K629" s="12">
        <f>_xlfn.XLOOKUP(Assumptions!$B$2,Assumptions!$F$4:$H$4,Assumptions!$F$8:$H$8)</f>
        <v>0.1</v>
      </c>
      <c r="L629" s="12">
        <f>_xlfn.XLOOKUP(Assumptions!$B$2,Assumptions!$F$4:$H$4,Assumptions!$F$9:$H$9)</f>
        <v>0.18</v>
      </c>
      <c r="M629" s="18">
        <f>_xlfn.XLOOKUP(Assumptions!$B$2,Assumptions!$F$4:$H$4,Assumptions!$F$10:$H$10)</f>
        <v>18000</v>
      </c>
      <c r="N629" s="12">
        <f>_xlfn.XLOOKUP(Assumptions!$B$2,Assumptions!$F$4:$H$4,Assumptions!$F$11:$H$11)</f>
        <v>0.3</v>
      </c>
      <c r="O629" s="14">
        <f>Final_Table[[#This Row],[Units Sold]]*Final_Table[[#This Row],[Sale Price]]</f>
        <v>20400</v>
      </c>
      <c r="P629" s="14">
        <f>Final_Table[[#This Row],[Gross Revenue]]*(1-Final_Table[[#This Row],[Discount %]])</f>
        <v>18360</v>
      </c>
      <c r="Q629">
        <f>Final_Table[[#This Row],[Net Revenue]]*Final_Table[[#This Row],[Variable Cost %]]</f>
        <v>3304.7999999999997</v>
      </c>
      <c r="R629">
        <f>Final_Table[[#This Row],[Variable Cost]]+Final_Table[[#This Row],[Fixed Monthly Cost]]</f>
        <v>21304.799999999999</v>
      </c>
      <c r="S629" s="5">
        <f>Final_Table[[#This Row],[Net Revenue]]-Final_Table[[#This Row],[Total Cost (COGS)]]</f>
        <v>-2944.7999999999993</v>
      </c>
      <c r="T629">
        <f>Final_Table[[#This Row],[Gross Profit]]*Final_Table[[#This Row],[Tax Rate]]</f>
        <v>-883.43999999999971</v>
      </c>
      <c r="U629" s="5">
        <f>Final_Table[[#This Row],[Gross Profit]]-Final_Table[[#This Row],[Tax]]</f>
        <v>-2061.3599999999997</v>
      </c>
      <c r="V629" s="12">
        <f>Final_Table[[#This Row],[Net Profit]]/Final_Table[[#This Row],[Gross Revenue]]</f>
        <v>-0.10104705882352939</v>
      </c>
    </row>
    <row r="630" spans="1:22">
      <c r="A630" s="18" t="s">
        <v>72</v>
      </c>
      <c r="B630">
        <v>2014</v>
      </c>
      <c r="C630" t="s">
        <v>123</v>
      </c>
      <c r="D630">
        <v>1</v>
      </c>
      <c r="E630" s="18" t="s">
        <v>30</v>
      </c>
      <c r="F630" s="18" t="s">
        <v>80</v>
      </c>
      <c r="G630" s="18" t="s">
        <v>25</v>
      </c>
      <c r="H630" s="18" t="str">
        <f>Assumptions!$B$2</f>
        <v>Worst</v>
      </c>
      <c r="I630" s="18">
        <f>_xlfn.XLOOKUP(Assumptions!$B$2,Assumptions!$F$4:$H$4,Assumptions!$F$5:$H$5)</f>
        <v>1200</v>
      </c>
      <c r="J630" s="18">
        <f>_xlfn.XLOOKUP(Assumptions!$B$2,Assumptions!$F$4:$H$4,Assumptions!$F$6:$H$6)</f>
        <v>17</v>
      </c>
      <c r="K630" s="12">
        <f>_xlfn.XLOOKUP(Assumptions!$B$2,Assumptions!$F$4:$H$4,Assumptions!$F$8:$H$8)</f>
        <v>0.1</v>
      </c>
      <c r="L630" s="12">
        <f>_xlfn.XLOOKUP(Assumptions!$B$2,Assumptions!$F$4:$H$4,Assumptions!$F$9:$H$9)</f>
        <v>0.18</v>
      </c>
      <c r="M630" s="18">
        <f>_xlfn.XLOOKUP(Assumptions!$B$2,Assumptions!$F$4:$H$4,Assumptions!$F$10:$H$10)</f>
        <v>18000</v>
      </c>
      <c r="N630" s="12">
        <f>_xlfn.XLOOKUP(Assumptions!$B$2,Assumptions!$F$4:$H$4,Assumptions!$F$11:$H$11)</f>
        <v>0.3</v>
      </c>
      <c r="O630" s="14">
        <f>Final_Table[[#This Row],[Units Sold]]*Final_Table[[#This Row],[Sale Price]]</f>
        <v>20400</v>
      </c>
      <c r="P630" s="14">
        <f>Final_Table[[#This Row],[Gross Revenue]]*(1-Final_Table[[#This Row],[Discount %]])</f>
        <v>18360</v>
      </c>
      <c r="Q630">
        <f>Final_Table[[#This Row],[Net Revenue]]*Final_Table[[#This Row],[Variable Cost %]]</f>
        <v>3304.7999999999997</v>
      </c>
      <c r="R630">
        <f>Final_Table[[#This Row],[Variable Cost]]+Final_Table[[#This Row],[Fixed Monthly Cost]]</f>
        <v>21304.799999999999</v>
      </c>
      <c r="S630" s="5">
        <f>Final_Table[[#This Row],[Net Revenue]]-Final_Table[[#This Row],[Total Cost (COGS)]]</f>
        <v>-2944.7999999999993</v>
      </c>
      <c r="T630">
        <f>Final_Table[[#This Row],[Gross Profit]]*Final_Table[[#This Row],[Tax Rate]]</f>
        <v>-883.43999999999971</v>
      </c>
      <c r="U630" s="5">
        <f>Final_Table[[#This Row],[Gross Profit]]-Final_Table[[#This Row],[Tax]]</f>
        <v>-2061.3599999999997</v>
      </c>
      <c r="V630" s="12">
        <f>Final_Table[[#This Row],[Net Profit]]/Final_Table[[#This Row],[Gross Revenue]]</f>
        <v>-0.10104705882352939</v>
      </c>
    </row>
    <row r="631" spans="1:22">
      <c r="A631" s="18" t="s">
        <v>72</v>
      </c>
      <c r="B631">
        <v>2014</v>
      </c>
      <c r="C631" t="s">
        <v>123</v>
      </c>
      <c r="D631">
        <v>1</v>
      </c>
      <c r="E631" s="18" t="s">
        <v>30</v>
      </c>
      <c r="F631" s="18" t="s">
        <v>80</v>
      </c>
      <c r="G631" s="18" t="s">
        <v>17</v>
      </c>
      <c r="H631" s="18" t="str">
        <f>Assumptions!$B$2</f>
        <v>Worst</v>
      </c>
      <c r="I631" s="18">
        <f>_xlfn.XLOOKUP(Assumptions!$B$2,Assumptions!$F$4:$H$4,Assumptions!$F$5:$H$5)</f>
        <v>1200</v>
      </c>
      <c r="J631" s="18">
        <f>_xlfn.XLOOKUP(Assumptions!$B$2,Assumptions!$F$4:$H$4,Assumptions!$F$6:$H$6)</f>
        <v>17</v>
      </c>
      <c r="K631" s="12">
        <f>_xlfn.XLOOKUP(Assumptions!$B$2,Assumptions!$F$4:$H$4,Assumptions!$F$8:$H$8)</f>
        <v>0.1</v>
      </c>
      <c r="L631" s="12">
        <f>_xlfn.XLOOKUP(Assumptions!$B$2,Assumptions!$F$4:$H$4,Assumptions!$F$9:$H$9)</f>
        <v>0.18</v>
      </c>
      <c r="M631" s="18">
        <f>_xlfn.XLOOKUP(Assumptions!$B$2,Assumptions!$F$4:$H$4,Assumptions!$F$10:$H$10)</f>
        <v>18000</v>
      </c>
      <c r="N631" s="12">
        <f>_xlfn.XLOOKUP(Assumptions!$B$2,Assumptions!$F$4:$H$4,Assumptions!$F$11:$H$11)</f>
        <v>0.3</v>
      </c>
      <c r="O631" s="14">
        <f>Final_Table[[#This Row],[Units Sold]]*Final_Table[[#This Row],[Sale Price]]</f>
        <v>20400</v>
      </c>
      <c r="P631" s="14">
        <f>Final_Table[[#This Row],[Gross Revenue]]*(1-Final_Table[[#This Row],[Discount %]])</f>
        <v>18360</v>
      </c>
      <c r="Q631">
        <f>Final_Table[[#This Row],[Net Revenue]]*Final_Table[[#This Row],[Variable Cost %]]</f>
        <v>3304.7999999999997</v>
      </c>
      <c r="R631">
        <f>Final_Table[[#This Row],[Variable Cost]]+Final_Table[[#This Row],[Fixed Monthly Cost]]</f>
        <v>21304.799999999999</v>
      </c>
      <c r="S631" s="5">
        <f>Final_Table[[#This Row],[Net Revenue]]-Final_Table[[#This Row],[Total Cost (COGS)]]</f>
        <v>-2944.7999999999993</v>
      </c>
      <c r="T631">
        <f>Final_Table[[#This Row],[Gross Profit]]*Final_Table[[#This Row],[Tax Rate]]</f>
        <v>-883.43999999999971</v>
      </c>
      <c r="U631" s="5">
        <f>Final_Table[[#This Row],[Gross Profit]]-Final_Table[[#This Row],[Tax]]</f>
        <v>-2061.3599999999997</v>
      </c>
      <c r="V631" s="12">
        <f>Final_Table[[#This Row],[Net Profit]]/Final_Table[[#This Row],[Gross Revenue]]</f>
        <v>-0.10104705882352939</v>
      </c>
    </row>
    <row r="632" spans="1:22">
      <c r="A632" s="18" t="s">
        <v>72</v>
      </c>
      <c r="B632">
        <v>2014</v>
      </c>
      <c r="C632" t="s">
        <v>123</v>
      </c>
      <c r="D632">
        <v>1</v>
      </c>
      <c r="E632" s="18" t="s">
        <v>30</v>
      </c>
      <c r="F632" s="18" t="s">
        <v>108</v>
      </c>
      <c r="G632" s="18" t="s">
        <v>36</v>
      </c>
      <c r="H632" s="18" t="str">
        <f>Assumptions!$B$2</f>
        <v>Worst</v>
      </c>
      <c r="I632" s="18">
        <f>_xlfn.XLOOKUP(Assumptions!$B$2,Assumptions!$F$4:$H$4,Assumptions!$F$5:$H$5)</f>
        <v>1200</v>
      </c>
      <c r="J632" s="18">
        <f>_xlfn.XLOOKUP(Assumptions!$B$2,Assumptions!$F$4:$H$4,Assumptions!$F$6:$H$6)</f>
        <v>17</v>
      </c>
      <c r="K632" s="12">
        <f>_xlfn.XLOOKUP(Assumptions!$B$2,Assumptions!$F$4:$H$4,Assumptions!$F$8:$H$8)</f>
        <v>0.1</v>
      </c>
      <c r="L632" s="12">
        <f>_xlfn.XLOOKUP(Assumptions!$B$2,Assumptions!$F$4:$H$4,Assumptions!$F$9:$H$9)</f>
        <v>0.18</v>
      </c>
      <c r="M632" s="18">
        <f>_xlfn.XLOOKUP(Assumptions!$B$2,Assumptions!$F$4:$H$4,Assumptions!$F$10:$H$10)</f>
        <v>18000</v>
      </c>
      <c r="N632" s="12">
        <f>_xlfn.XLOOKUP(Assumptions!$B$2,Assumptions!$F$4:$H$4,Assumptions!$F$11:$H$11)</f>
        <v>0.3</v>
      </c>
      <c r="O632" s="14">
        <f>Final_Table[[#This Row],[Units Sold]]*Final_Table[[#This Row],[Sale Price]]</f>
        <v>20400</v>
      </c>
      <c r="P632" s="14">
        <f>Final_Table[[#This Row],[Gross Revenue]]*(1-Final_Table[[#This Row],[Discount %]])</f>
        <v>18360</v>
      </c>
      <c r="Q632">
        <f>Final_Table[[#This Row],[Net Revenue]]*Final_Table[[#This Row],[Variable Cost %]]</f>
        <v>3304.7999999999997</v>
      </c>
      <c r="R632">
        <f>Final_Table[[#This Row],[Variable Cost]]+Final_Table[[#This Row],[Fixed Monthly Cost]]</f>
        <v>21304.799999999999</v>
      </c>
      <c r="S632" s="5">
        <f>Final_Table[[#This Row],[Net Revenue]]-Final_Table[[#This Row],[Total Cost (COGS)]]</f>
        <v>-2944.7999999999993</v>
      </c>
      <c r="T632">
        <f>Final_Table[[#This Row],[Gross Profit]]*Final_Table[[#This Row],[Tax Rate]]</f>
        <v>-883.43999999999971</v>
      </c>
      <c r="U632" s="5">
        <f>Final_Table[[#This Row],[Gross Profit]]-Final_Table[[#This Row],[Tax]]</f>
        <v>-2061.3599999999997</v>
      </c>
      <c r="V632" s="12">
        <f>Final_Table[[#This Row],[Net Profit]]/Final_Table[[#This Row],[Gross Revenue]]</f>
        <v>-0.10104705882352939</v>
      </c>
    </row>
    <row r="633" spans="1:22">
      <c r="A633" s="18" t="s">
        <v>72</v>
      </c>
      <c r="B633">
        <v>2014</v>
      </c>
      <c r="C633" t="s">
        <v>123</v>
      </c>
      <c r="D633">
        <v>1</v>
      </c>
      <c r="E633" s="18" t="s">
        <v>30</v>
      </c>
      <c r="F633" s="18" t="s">
        <v>108</v>
      </c>
      <c r="G633" s="18" t="s">
        <v>23</v>
      </c>
      <c r="H633" s="18" t="str">
        <f>Assumptions!$B$2</f>
        <v>Worst</v>
      </c>
      <c r="I633" s="18">
        <f>_xlfn.XLOOKUP(Assumptions!$B$2,Assumptions!$F$4:$H$4,Assumptions!$F$5:$H$5)</f>
        <v>1200</v>
      </c>
      <c r="J633" s="18">
        <f>_xlfn.XLOOKUP(Assumptions!$B$2,Assumptions!$F$4:$H$4,Assumptions!$F$6:$H$6)</f>
        <v>17</v>
      </c>
      <c r="K633" s="12">
        <f>_xlfn.XLOOKUP(Assumptions!$B$2,Assumptions!$F$4:$H$4,Assumptions!$F$8:$H$8)</f>
        <v>0.1</v>
      </c>
      <c r="L633" s="12">
        <f>_xlfn.XLOOKUP(Assumptions!$B$2,Assumptions!$F$4:$H$4,Assumptions!$F$9:$H$9)</f>
        <v>0.18</v>
      </c>
      <c r="M633" s="18">
        <f>_xlfn.XLOOKUP(Assumptions!$B$2,Assumptions!$F$4:$H$4,Assumptions!$F$10:$H$10)</f>
        <v>18000</v>
      </c>
      <c r="N633" s="12">
        <f>_xlfn.XLOOKUP(Assumptions!$B$2,Assumptions!$F$4:$H$4,Assumptions!$F$11:$H$11)</f>
        <v>0.3</v>
      </c>
      <c r="O633" s="14">
        <f>Final_Table[[#This Row],[Units Sold]]*Final_Table[[#This Row],[Sale Price]]</f>
        <v>20400</v>
      </c>
      <c r="P633" s="14">
        <f>Final_Table[[#This Row],[Gross Revenue]]*(1-Final_Table[[#This Row],[Discount %]])</f>
        <v>18360</v>
      </c>
      <c r="Q633">
        <f>Final_Table[[#This Row],[Net Revenue]]*Final_Table[[#This Row],[Variable Cost %]]</f>
        <v>3304.7999999999997</v>
      </c>
      <c r="R633">
        <f>Final_Table[[#This Row],[Variable Cost]]+Final_Table[[#This Row],[Fixed Monthly Cost]]</f>
        <v>21304.799999999999</v>
      </c>
      <c r="S633" s="5">
        <f>Final_Table[[#This Row],[Net Revenue]]-Final_Table[[#This Row],[Total Cost (COGS)]]</f>
        <v>-2944.7999999999993</v>
      </c>
      <c r="T633">
        <f>Final_Table[[#This Row],[Gross Profit]]*Final_Table[[#This Row],[Tax Rate]]</f>
        <v>-883.43999999999971</v>
      </c>
      <c r="U633" s="5">
        <f>Final_Table[[#This Row],[Gross Profit]]-Final_Table[[#This Row],[Tax]]</f>
        <v>-2061.3599999999997</v>
      </c>
      <c r="V633" s="12">
        <f>Final_Table[[#This Row],[Net Profit]]/Final_Table[[#This Row],[Gross Revenue]]</f>
        <v>-0.10104705882352939</v>
      </c>
    </row>
    <row r="634" spans="1:22">
      <c r="A634" s="18" t="s">
        <v>72</v>
      </c>
      <c r="B634">
        <v>2014</v>
      </c>
      <c r="C634" t="s">
        <v>123</v>
      </c>
      <c r="D634">
        <v>1</v>
      </c>
      <c r="E634" s="18" t="s">
        <v>30</v>
      </c>
      <c r="F634" s="18" t="s">
        <v>108</v>
      </c>
      <c r="G634" s="18" t="s">
        <v>21</v>
      </c>
      <c r="H634" s="18" t="str">
        <f>Assumptions!$B$2</f>
        <v>Worst</v>
      </c>
      <c r="I634" s="18">
        <f>_xlfn.XLOOKUP(Assumptions!$B$2,Assumptions!$F$4:$H$4,Assumptions!$F$5:$H$5)</f>
        <v>1200</v>
      </c>
      <c r="J634" s="18">
        <f>_xlfn.XLOOKUP(Assumptions!$B$2,Assumptions!$F$4:$H$4,Assumptions!$F$6:$H$6)</f>
        <v>17</v>
      </c>
      <c r="K634" s="12">
        <f>_xlfn.XLOOKUP(Assumptions!$B$2,Assumptions!$F$4:$H$4,Assumptions!$F$8:$H$8)</f>
        <v>0.1</v>
      </c>
      <c r="L634" s="12">
        <f>_xlfn.XLOOKUP(Assumptions!$B$2,Assumptions!$F$4:$H$4,Assumptions!$F$9:$H$9)</f>
        <v>0.18</v>
      </c>
      <c r="M634" s="18">
        <f>_xlfn.XLOOKUP(Assumptions!$B$2,Assumptions!$F$4:$H$4,Assumptions!$F$10:$H$10)</f>
        <v>18000</v>
      </c>
      <c r="N634" s="12">
        <f>_xlfn.XLOOKUP(Assumptions!$B$2,Assumptions!$F$4:$H$4,Assumptions!$F$11:$H$11)</f>
        <v>0.3</v>
      </c>
      <c r="O634" s="14">
        <f>Final_Table[[#This Row],[Units Sold]]*Final_Table[[#This Row],[Sale Price]]</f>
        <v>20400</v>
      </c>
      <c r="P634" s="14">
        <f>Final_Table[[#This Row],[Gross Revenue]]*(1-Final_Table[[#This Row],[Discount %]])</f>
        <v>18360</v>
      </c>
      <c r="Q634">
        <f>Final_Table[[#This Row],[Net Revenue]]*Final_Table[[#This Row],[Variable Cost %]]</f>
        <v>3304.7999999999997</v>
      </c>
      <c r="R634">
        <f>Final_Table[[#This Row],[Variable Cost]]+Final_Table[[#This Row],[Fixed Monthly Cost]]</f>
        <v>21304.799999999999</v>
      </c>
      <c r="S634" s="5">
        <f>Final_Table[[#This Row],[Net Revenue]]-Final_Table[[#This Row],[Total Cost (COGS)]]</f>
        <v>-2944.7999999999993</v>
      </c>
      <c r="T634">
        <f>Final_Table[[#This Row],[Gross Profit]]*Final_Table[[#This Row],[Tax Rate]]</f>
        <v>-883.43999999999971</v>
      </c>
      <c r="U634" s="5">
        <f>Final_Table[[#This Row],[Gross Profit]]-Final_Table[[#This Row],[Tax]]</f>
        <v>-2061.3599999999997</v>
      </c>
      <c r="V634" s="12">
        <f>Final_Table[[#This Row],[Net Profit]]/Final_Table[[#This Row],[Gross Revenue]]</f>
        <v>-0.10104705882352939</v>
      </c>
    </row>
    <row r="635" spans="1:22">
      <c r="A635" s="18" t="s">
        <v>72</v>
      </c>
      <c r="B635">
        <v>2014</v>
      </c>
      <c r="C635" t="s">
        <v>123</v>
      </c>
      <c r="D635">
        <v>1</v>
      </c>
      <c r="E635" s="18" t="s">
        <v>30</v>
      </c>
      <c r="F635" s="18" t="s">
        <v>108</v>
      </c>
      <c r="G635" s="18" t="s">
        <v>25</v>
      </c>
      <c r="H635" s="18" t="str">
        <f>Assumptions!$B$2</f>
        <v>Worst</v>
      </c>
      <c r="I635" s="18">
        <f>_xlfn.XLOOKUP(Assumptions!$B$2,Assumptions!$F$4:$H$4,Assumptions!$F$5:$H$5)</f>
        <v>1200</v>
      </c>
      <c r="J635" s="18">
        <f>_xlfn.XLOOKUP(Assumptions!$B$2,Assumptions!$F$4:$H$4,Assumptions!$F$6:$H$6)</f>
        <v>17</v>
      </c>
      <c r="K635" s="12">
        <f>_xlfn.XLOOKUP(Assumptions!$B$2,Assumptions!$F$4:$H$4,Assumptions!$F$8:$H$8)</f>
        <v>0.1</v>
      </c>
      <c r="L635" s="12">
        <f>_xlfn.XLOOKUP(Assumptions!$B$2,Assumptions!$F$4:$H$4,Assumptions!$F$9:$H$9)</f>
        <v>0.18</v>
      </c>
      <c r="M635" s="18">
        <f>_xlfn.XLOOKUP(Assumptions!$B$2,Assumptions!$F$4:$H$4,Assumptions!$F$10:$H$10)</f>
        <v>18000</v>
      </c>
      <c r="N635" s="12">
        <f>_xlfn.XLOOKUP(Assumptions!$B$2,Assumptions!$F$4:$H$4,Assumptions!$F$11:$H$11)</f>
        <v>0.3</v>
      </c>
      <c r="O635" s="14">
        <f>Final_Table[[#This Row],[Units Sold]]*Final_Table[[#This Row],[Sale Price]]</f>
        <v>20400</v>
      </c>
      <c r="P635" s="14">
        <f>Final_Table[[#This Row],[Gross Revenue]]*(1-Final_Table[[#This Row],[Discount %]])</f>
        <v>18360</v>
      </c>
      <c r="Q635">
        <f>Final_Table[[#This Row],[Net Revenue]]*Final_Table[[#This Row],[Variable Cost %]]</f>
        <v>3304.7999999999997</v>
      </c>
      <c r="R635">
        <f>Final_Table[[#This Row],[Variable Cost]]+Final_Table[[#This Row],[Fixed Monthly Cost]]</f>
        <v>21304.799999999999</v>
      </c>
      <c r="S635" s="5">
        <f>Final_Table[[#This Row],[Net Revenue]]-Final_Table[[#This Row],[Total Cost (COGS)]]</f>
        <v>-2944.7999999999993</v>
      </c>
      <c r="T635">
        <f>Final_Table[[#This Row],[Gross Profit]]*Final_Table[[#This Row],[Tax Rate]]</f>
        <v>-883.43999999999971</v>
      </c>
      <c r="U635" s="5">
        <f>Final_Table[[#This Row],[Gross Profit]]-Final_Table[[#This Row],[Tax]]</f>
        <v>-2061.3599999999997</v>
      </c>
      <c r="V635" s="12">
        <f>Final_Table[[#This Row],[Net Profit]]/Final_Table[[#This Row],[Gross Revenue]]</f>
        <v>-0.10104705882352939</v>
      </c>
    </row>
    <row r="636" spans="1:22">
      <c r="A636" s="18" t="s">
        <v>72</v>
      </c>
      <c r="B636">
        <v>2014</v>
      </c>
      <c r="C636" t="s">
        <v>123</v>
      </c>
      <c r="D636">
        <v>1</v>
      </c>
      <c r="E636" s="18" t="s">
        <v>30</v>
      </c>
      <c r="F636" s="18" t="s">
        <v>108</v>
      </c>
      <c r="G636" s="18" t="s">
        <v>17</v>
      </c>
      <c r="H636" s="18" t="str">
        <f>Assumptions!$B$2</f>
        <v>Worst</v>
      </c>
      <c r="I636" s="18">
        <f>_xlfn.XLOOKUP(Assumptions!$B$2,Assumptions!$F$4:$H$4,Assumptions!$F$5:$H$5)</f>
        <v>1200</v>
      </c>
      <c r="J636" s="18">
        <f>_xlfn.XLOOKUP(Assumptions!$B$2,Assumptions!$F$4:$H$4,Assumptions!$F$6:$H$6)</f>
        <v>17</v>
      </c>
      <c r="K636" s="12">
        <f>_xlfn.XLOOKUP(Assumptions!$B$2,Assumptions!$F$4:$H$4,Assumptions!$F$8:$H$8)</f>
        <v>0.1</v>
      </c>
      <c r="L636" s="12">
        <f>_xlfn.XLOOKUP(Assumptions!$B$2,Assumptions!$F$4:$H$4,Assumptions!$F$9:$H$9)</f>
        <v>0.18</v>
      </c>
      <c r="M636" s="18">
        <f>_xlfn.XLOOKUP(Assumptions!$B$2,Assumptions!$F$4:$H$4,Assumptions!$F$10:$H$10)</f>
        <v>18000</v>
      </c>
      <c r="N636" s="12">
        <f>_xlfn.XLOOKUP(Assumptions!$B$2,Assumptions!$F$4:$H$4,Assumptions!$F$11:$H$11)</f>
        <v>0.3</v>
      </c>
      <c r="O636" s="14">
        <f>Final_Table[[#This Row],[Units Sold]]*Final_Table[[#This Row],[Sale Price]]</f>
        <v>20400</v>
      </c>
      <c r="P636" s="14">
        <f>Final_Table[[#This Row],[Gross Revenue]]*(1-Final_Table[[#This Row],[Discount %]])</f>
        <v>18360</v>
      </c>
      <c r="Q636">
        <f>Final_Table[[#This Row],[Net Revenue]]*Final_Table[[#This Row],[Variable Cost %]]</f>
        <v>3304.7999999999997</v>
      </c>
      <c r="R636">
        <f>Final_Table[[#This Row],[Variable Cost]]+Final_Table[[#This Row],[Fixed Monthly Cost]]</f>
        <v>21304.799999999999</v>
      </c>
      <c r="S636" s="5">
        <f>Final_Table[[#This Row],[Net Revenue]]-Final_Table[[#This Row],[Total Cost (COGS)]]</f>
        <v>-2944.7999999999993</v>
      </c>
      <c r="T636">
        <f>Final_Table[[#This Row],[Gross Profit]]*Final_Table[[#This Row],[Tax Rate]]</f>
        <v>-883.43999999999971</v>
      </c>
      <c r="U636" s="5">
        <f>Final_Table[[#This Row],[Gross Profit]]-Final_Table[[#This Row],[Tax]]</f>
        <v>-2061.3599999999997</v>
      </c>
      <c r="V636" s="12">
        <f>Final_Table[[#This Row],[Net Profit]]/Final_Table[[#This Row],[Gross Revenue]]</f>
        <v>-0.10104705882352939</v>
      </c>
    </row>
    <row r="637" spans="1:22">
      <c r="A637" s="18" t="s">
        <v>72</v>
      </c>
      <c r="B637">
        <v>2014</v>
      </c>
      <c r="C637" t="s">
        <v>123</v>
      </c>
      <c r="D637">
        <v>1</v>
      </c>
      <c r="E637" s="18" t="s">
        <v>30</v>
      </c>
      <c r="F637" s="18" t="s">
        <v>112</v>
      </c>
      <c r="G637" s="18" t="s">
        <v>36</v>
      </c>
      <c r="H637" s="18" t="str">
        <f>Assumptions!$B$2</f>
        <v>Worst</v>
      </c>
      <c r="I637" s="18">
        <f>_xlfn.XLOOKUP(Assumptions!$B$2,Assumptions!$F$4:$H$4,Assumptions!$F$5:$H$5)</f>
        <v>1200</v>
      </c>
      <c r="J637" s="18">
        <f>_xlfn.XLOOKUP(Assumptions!$B$2,Assumptions!$F$4:$H$4,Assumptions!$F$6:$H$6)</f>
        <v>17</v>
      </c>
      <c r="K637" s="12">
        <f>_xlfn.XLOOKUP(Assumptions!$B$2,Assumptions!$F$4:$H$4,Assumptions!$F$8:$H$8)</f>
        <v>0.1</v>
      </c>
      <c r="L637" s="12">
        <f>_xlfn.XLOOKUP(Assumptions!$B$2,Assumptions!$F$4:$H$4,Assumptions!$F$9:$H$9)</f>
        <v>0.18</v>
      </c>
      <c r="M637" s="18">
        <f>_xlfn.XLOOKUP(Assumptions!$B$2,Assumptions!$F$4:$H$4,Assumptions!$F$10:$H$10)</f>
        <v>18000</v>
      </c>
      <c r="N637" s="12">
        <f>_xlfn.XLOOKUP(Assumptions!$B$2,Assumptions!$F$4:$H$4,Assumptions!$F$11:$H$11)</f>
        <v>0.3</v>
      </c>
      <c r="O637" s="14">
        <f>Final_Table[[#This Row],[Units Sold]]*Final_Table[[#This Row],[Sale Price]]</f>
        <v>20400</v>
      </c>
      <c r="P637" s="14">
        <f>Final_Table[[#This Row],[Gross Revenue]]*(1-Final_Table[[#This Row],[Discount %]])</f>
        <v>18360</v>
      </c>
      <c r="Q637">
        <f>Final_Table[[#This Row],[Net Revenue]]*Final_Table[[#This Row],[Variable Cost %]]</f>
        <v>3304.7999999999997</v>
      </c>
      <c r="R637">
        <f>Final_Table[[#This Row],[Variable Cost]]+Final_Table[[#This Row],[Fixed Monthly Cost]]</f>
        <v>21304.799999999999</v>
      </c>
      <c r="S637" s="5">
        <f>Final_Table[[#This Row],[Net Revenue]]-Final_Table[[#This Row],[Total Cost (COGS)]]</f>
        <v>-2944.7999999999993</v>
      </c>
      <c r="T637">
        <f>Final_Table[[#This Row],[Gross Profit]]*Final_Table[[#This Row],[Tax Rate]]</f>
        <v>-883.43999999999971</v>
      </c>
      <c r="U637" s="5">
        <f>Final_Table[[#This Row],[Gross Profit]]-Final_Table[[#This Row],[Tax]]</f>
        <v>-2061.3599999999997</v>
      </c>
      <c r="V637" s="12">
        <f>Final_Table[[#This Row],[Net Profit]]/Final_Table[[#This Row],[Gross Revenue]]</f>
        <v>-0.10104705882352939</v>
      </c>
    </row>
    <row r="638" spans="1:22">
      <c r="A638" s="18" t="s">
        <v>72</v>
      </c>
      <c r="B638">
        <v>2014</v>
      </c>
      <c r="C638" t="s">
        <v>123</v>
      </c>
      <c r="D638">
        <v>1</v>
      </c>
      <c r="E638" s="18" t="s">
        <v>30</v>
      </c>
      <c r="F638" s="18" t="s">
        <v>112</v>
      </c>
      <c r="G638" s="18" t="s">
        <v>23</v>
      </c>
      <c r="H638" s="18" t="str">
        <f>Assumptions!$B$2</f>
        <v>Worst</v>
      </c>
      <c r="I638" s="18">
        <f>_xlfn.XLOOKUP(Assumptions!$B$2,Assumptions!$F$4:$H$4,Assumptions!$F$5:$H$5)</f>
        <v>1200</v>
      </c>
      <c r="J638" s="18">
        <f>_xlfn.XLOOKUP(Assumptions!$B$2,Assumptions!$F$4:$H$4,Assumptions!$F$6:$H$6)</f>
        <v>17</v>
      </c>
      <c r="K638" s="12">
        <f>_xlfn.XLOOKUP(Assumptions!$B$2,Assumptions!$F$4:$H$4,Assumptions!$F$8:$H$8)</f>
        <v>0.1</v>
      </c>
      <c r="L638" s="12">
        <f>_xlfn.XLOOKUP(Assumptions!$B$2,Assumptions!$F$4:$H$4,Assumptions!$F$9:$H$9)</f>
        <v>0.18</v>
      </c>
      <c r="M638" s="18">
        <f>_xlfn.XLOOKUP(Assumptions!$B$2,Assumptions!$F$4:$H$4,Assumptions!$F$10:$H$10)</f>
        <v>18000</v>
      </c>
      <c r="N638" s="12">
        <f>_xlfn.XLOOKUP(Assumptions!$B$2,Assumptions!$F$4:$H$4,Assumptions!$F$11:$H$11)</f>
        <v>0.3</v>
      </c>
      <c r="O638" s="14">
        <f>Final_Table[[#This Row],[Units Sold]]*Final_Table[[#This Row],[Sale Price]]</f>
        <v>20400</v>
      </c>
      <c r="P638" s="14">
        <f>Final_Table[[#This Row],[Gross Revenue]]*(1-Final_Table[[#This Row],[Discount %]])</f>
        <v>18360</v>
      </c>
      <c r="Q638">
        <f>Final_Table[[#This Row],[Net Revenue]]*Final_Table[[#This Row],[Variable Cost %]]</f>
        <v>3304.7999999999997</v>
      </c>
      <c r="R638">
        <f>Final_Table[[#This Row],[Variable Cost]]+Final_Table[[#This Row],[Fixed Monthly Cost]]</f>
        <v>21304.799999999999</v>
      </c>
      <c r="S638" s="5">
        <f>Final_Table[[#This Row],[Net Revenue]]-Final_Table[[#This Row],[Total Cost (COGS)]]</f>
        <v>-2944.7999999999993</v>
      </c>
      <c r="T638">
        <f>Final_Table[[#This Row],[Gross Profit]]*Final_Table[[#This Row],[Tax Rate]]</f>
        <v>-883.43999999999971</v>
      </c>
      <c r="U638" s="5">
        <f>Final_Table[[#This Row],[Gross Profit]]-Final_Table[[#This Row],[Tax]]</f>
        <v>-2061.3599999999997</v>
      </c>
      <c r="V638" s="12">
        <f>Final_Table[[#This Row],[Net Profit]]/Final_Table[[#This Row],[Gross Revenue]]</f>
        <v>-0.10104705882352939</v>
      </c>
    </row>
    <row r="639" spans="1:22">
      <c r="A639" s="18" t="s">
        <v>72</v>
      </c>
      <c r="B639">
        <v>2014</v>
      </c>
      <c r="C639" t="s">
        <v>123</v>
      </c>
      <c r="D639">
        <v>1</v>
      </c>
      <c r="E639" s="18" t="s">
        <v>30</v>
      </c>
      <c r="F639" s="18" t="s">
        <v>112</v>
      </c>
      <c r="G639" s="18" t="s">
        <v>21</v>
      </c>
      <c r="H639" s="18" t="str">
        <f>Assumptions!$B$2</f>
        <v>Worst</v>
      </c>
      <c r="I639" s="18">
        <f>_xlfn.XLOOKUP(Assumptions!$B$2,Assumptions!$F$4:$H$4,Assumptions!$F$5:$H$5)</f>
        <v>1200</v>
      </c>
      <c r="J639" s="18">
        <f>_xlfn.XLOOKUP(Assumptions!$B$2,Assumptions!$F$4:$H$4,Assumptions!$F$6:$H$6)</f>
        <v>17</v>
      </c>
      <c r="K639" s="12">
        <f>_xlfn.XLOOKUP(Assumptions!$B$2,Assumptions!$F$4:$H$4,Assumptions!$F$8:$H$8)</f>
        <v>0.1</v>
      </c>
      <c r="L639" s="12">
        <f>_xlfn.XLOOKUP(Assumptions!$B$2,Assumptions!$F$4:$H$4,Assumptions!$F$9:$H$9)</f>
        <v>0.18</v>
      </c>
      <c r="M639" s="18">
        <f>_xlfn.XLOOKUP(Assumptions!$B$2,Assumptions!$F$4:$H$4,Assumptions!$F$10:$H$10)</f>
        <v>18000</v>
      </c>
      <c r="N639" s="12">
        <f>_xlfn.XLOOKUP(Assumptions!$B$2,Assumptions!$F$4:$H$4,Assumptions!$F$11:$H$11)</f>
        <v>0.3</v>
      </c>
      <c r="O639" s="14">
        <f>Final_Table[[#This Row],[Units Sold]]*Final_Table[[#This Row],[Sale Price]]</f>
        <v>20400</v>
      </c>
      <c r="P639" s="14">
        <f>Final_Table[[#This Row],[Gross Revenue]]*(1-Final_Table[[#This Row],[Discount %]])</f>
        <v>18360</v>
      </c>
      <c r="Q639">
        <f>Final_Table[[#This Row],[Net Revenue]]*Final_Table[[#This Row],[Variable Cost %]]</f>
        <v>3304.7999999999997</v>
      </c>
      <c r="R639">
        <f>Final_Table[[#This Row],[Variable Cost]]+Final_Table[[#This Row],[Fixed Monthly Cost]]</f>
        <v>21304.799999999999</v>
      </c>
      <c r="S639" s="5">
        <f>Final_Table[[#This Row],[Net Revenue]]-Final_Table[[#This Row],[Total Cost (COGS)]]</f>
        <v>-2944.7999999999993</v>
      </c>
      <c r="T639">
        <f>Final_Table[[#This Row],[Gross Profit]]*Final_Table[[#This Row],[Tax Rate]]</f>
        <v>-883.43999999999971</v>
      </c>
      <c r="U639" s="5">
        <f>Final_Table[[#This Row],[Gross Profit]]-Final_Table[[#This Row],[Tax]]</f>
        <v>-2061.3599999999997</v>
      </c>
      <c r="V639" s="12">
        <f>Final_Table[[#This Row],[Net Profit]]/Final_Table[[#This Row],[Gross Revenue]]</f>
        <v>-0.10104705882352939</v>
      </c>
    </row>
    <row r="640" spans="1:22">
      <c r="A640" s="18" t="s">
        <v>72</v>
      </c>
      <c r="B640">
        <v>2014</v>
      </c>
      <c r="C640" t="s">
        <v>123</v>
      </c>
      <c r="D640">
        <v>1</v>
      </c>
      <c r="E640" s="18" t="s">
        <v>30</v>
      </c>
      <c r="F640" s="18" t="s">
        <v>112</v>
      </c>
      <c r="G640" s="18" t="s">
        <v>25</v>
      </c>
      <c r="H640" s="18" t="str">
        <f>Assumptions!$B$2</f>
        <v>Worst</v>
      </c>
      <c r="I640" s="18">
        <f>_xlfn.XLOOKUP(Assumptions!$B$2,Assumptions!$F$4:$H$4,Assumptions!$F$5:$H$5)</f>
        <v>1200</v>
      </c>
      <c r="J640" s="18">
        <f>_xlfn.XLOOKUP(Assumptions!$B$2,Assumptions!$F$4:$H$4,Assumptions!$F$6:$H$6)</f>
        <v>17</v>
      </c>
      <c r="K640" s="12">
        <f>_xlfn.XLOOKUP(Assumptions!$B$2,Assumptions!$F$4:$H$4,Assumptions!$F$8:$H$8)</f>
        <v>0.1</v>
      </c>
      <c r="L640" s="12">
        <f>_xlfn.XLOOKUP(Assumptions!$B$2,Assumptions!$F$4:$H$4,Assumptions!$F$9:$H$9)</f>
        <v>0.18</v>
      </c>
      <c r="M640" s="18">
        <f>_xlfn.XLOOKUP(Assumptions!$B$2,Assumptions!$F$4:$H$4,Assumptions!$F$10:$H$10)</f>
        <v>18000</v>
      </c>
      <c r="N640" s="12">
        <f>_xlfn.XLOOKUP(Assumptions!$B$2,Assumptions!$F$4:$H$4,Assumptions!$F$11:$H$11)</f>
        <v>0.3</v>
      </c>
      <c r="O640" s="14">
        <f>Final_Table[[#This Row],[Units Sold]]*Final_Table[[#This Row],[Sale Price]]</f>
        <v>20400</v>
      </c>
      <c r="P640" s="14">
        <f>Final_Table[[#This Row],[Gross Revenue]]*(1-Final_Table[[#This Row],[Discount %]])</f>
        <v>18360</v>
      </c>
      <c r="Q640">
        <f>Final_Table[[#This Row],[Net Revenue]]*Final_Table[[#This Row],[Variable Cost %]]</f>
        <v>3304.7999999999997</v>
      </c>
      <c r="R640">
        <f>Final_Table[[#This Row],[Variable Cost]]+Final_Table[[#This Row],[Fixed Monthly Cost]]</f>
        <v>21304.799999999999</v>
      </c>
      <c r="S640" s="5">
        <f>Final_Table[[#This Row],[Net Revenue]]-Final_Table[[#This Row],[Total Cost (COGS)]]</f>
        <v>-2944.7999999999993</v>
      </c>
      <c r="T640">
        <f>Final_Table[[#This Row],[Gross Profit]]*Final_Table[[#This Row],[Tax Rate]]</f>
        <v>-883.43999999999971</v>
      </c>
      <c r="U640" s="5">
        <f>Final_Table[[#This Row],[Gross Profit]]-Final_Table[[#This Row],[Tax]]</f>
        <v>-2061.3599999999997</v>
      </c>
      <c r="V640" s="12">
        <f>Final_Table[[#This Row],[Net Profit]]/Final_Table[[#This Row],[Gross Revenue]]</f>
        <v>-0.10104705882352939</v>
      </c>
    </row>
    <row r="641" spans="1:22">
      <c r="A641" s="18" t="s">
        <v>72</v>
      </c>
      <c r="B641">
        <v>2014</v>
      </c>
      <c r="C641" t="s">
        <v>123</v>
      </c>
      <c r="D641">
        <v>1</v>
      </c>
      <c r="E641" s="18" t="s">
        <v>30</v>
      </c>
      <c r="F641" s="18" t="s">
        <v>112</v>
      </c>
      <c r="G641" s="18" t="s">
        <v>17</v>
      </c>
      <c r="H641" s="18" t="str">
        <f>Assumptions!$B$2</f>
        <v>Worst</v>
      </c>
      <c r="I641" s="18">
        <f>_xlfn.XLOOKUP(Assumptions!$B$2,Assumptions!$F$4:$H$4,Assumptions!$F$5:$H$5)</f>
        <v>1200</v>
      </c>
      <c r="J641" s="18">
        <f>_xlfn.XLOOKUP(Assumptions!$B$2,Assumptions!$F$4:$H$4,Assumptions!$F$6:$H$6)</f>
        <v>17</v>
      </c>
      <c r="K641" s="12">
        <f>_xlfn.XLOOKUP(Assumptions!$B$2,Assumptions!$F$4:$H$4,Assumptions!$F$8:$H$8)</f>
        <v>0.1</v>
      </c>
      <c r="L641" s="12">
        <f>_xlfn.XLOOKUP(Assumptions!$B$2,Assumptions!$F$4:$H$4,Assumptions!$F$9:$H$9)</f>
        <v>0.18</v>
      </c>
      <c r="M641" s="18">
        <f>_xlfn.XLOOKUP(Assumptions!$B$2,Assumptions!$F$4:$H$4,Assumptions!$F$10:$H$10)</f>
        <v>18000</v>
      </c>
      <c r="N641" s="12">
        <f>_xlfn.XLOOKUP(Assumptions!$B$2,Assumptions!$F$4:$H$4,Assumptions!$F$11:$H$11)</f>
        <v>0.3</v>
      </c>
      <c r="O641" s="14">
        <f>Final_Table[[#This Row],[Units Sold]]*Final_Table[[#This Row],[Sale Price]]</f>
        <v>20400</v>
      </c>
      <c r="P641" s="14">
        <f>Final_Table[[#This Row],[Gross Revenue]]*(1-Final_Table[[#This Row],[Discount %]])</f>
        <v>18360</v>
      </c>
      <c r="Q641">
        <f>Final_Table[[#This Row],[Net Revenue]]*Final_Table[[#This Row],[Variable Cost %]]</f>
        <v>3304.7999999999997</v>
      </c>
      <c r="R641">
        <f>Final_Table[[#This Row],[Variable Cost]]+Final_Table[[#This Row],[Fixed Monthly Cost]]</f>
        <v>21304.799999999999</v>
      </c>
      <c r="S641" s="5">
        <f>Final_Table[[#This Row],[Net Revenue]]-Final_Table[[#This Row],[Total Cost (COGS)]]</f>
        <v>-2944.7999999999993</v>
      </c>
      <c r="T641">
        <f>Final_Table[[#This Row],[Gross Profit]]*Final_Table[[#This Row],[Tax Rate]]</f>
        <v>-883.43999999999971</v>
      </c>
      <c r="U641" s="5">
        <f>Final_Table[[#This Row],[Gross Profit]]-Final_Table[[#This Row],[Tax]]</f>
        <v>-2061.3599999999997</v>
      </c>
      <c r="V641" s="12">
        <f>Final_Table[[#This Row],[Net Profit]]/Final_Table[[#This Row],[Gross Revenue]]</f>
        <v>-0.10104705882352939</v>
      </c>
    </row>
    <row r="642" spans="1:22">
      <c r="A642" s="18" t="s">
        <v>72</v>
      </c>
      <c r="B642">
        <v>2014</v>
      </c>
      <c r="C642" t="s">
        <v>123</v>
      </c>
      <c r="D642">
        <v>1</v>
      </c>
      <c r="E642" s="18" t="s">
        <v>30</v>
      </c>
      <c r="F642" s="18" t="s">
        <v>113</v>
      </c>
      <c r="G642" s="18" t="s">
        <v>36</v>
      </c>
      <c r="H642" s="18" t="str">
        <f>Assumptions!$B$2</f>
        <v>Worst</v>
      </c>
      <c r="I642" s="18">
        <f>_xlfn.XLOOKUP(Assumptions!$B$2,Assumptions!$F$4:$H$4,Assumptions!$F$5:$H$5)</f>
        <v>1200</v>
      </c>
      <c r="J642" s="18">
        <f>_xlfn.XLOOKUP(Assumptions!$B$2,Assumptions!$F$4:$H$4,Assumptions!$F$6:$H$6)</f>
        <v>17</v>
      </c>
      <c r="K642" s="12">
        <f>_xlfn.XLOOKUP(Assumptions!$B$2,Assumptions!$F$4:$H$4,Assumptions!$F$8:$H$8)</f>
        <v>0.1</v>
      </c>
      <c r="L642" s="12">
        <f>_xlfn.XLOOKUP(Assumptions!$B$2,Assumptions!$F$4:$H$4,Assumptions!$F$9:$H$9)</f>
        <v>0.18</v>
      </c>
      <c r="M642" s="18">
        <f>_xlfn.XLOOKUP(Assumptions!$B$2,Assumptions!$F$4:$H$4,Assumptions!$F$10:$H$10)</f>
        <v>18000</v>
      </c>
      <c r="N642" s="12">
        <f>_xlfn.XLOOKUP(Assumptions!$B$2,Assumptions!$F$4:$H$4,Assumptions!$F$11:$H$11)</f>
        <v>0.3</v>
      </c>
      <c r="O642" s="14">
        <f>Final_Table[[#This Row],[Units Sold]]*Final_Table[[#This Row],[Sale Price]]</f>
        <v>20400</v>
      </c>
      <c r="P642" s="14">
        <f>Final_Table[[#This Row],[Gross Revenue]]*(1-Final_Table[[#This Row],[Discount %]])</f>
        <v>18360</v>
      </c>
      <c r="Q642">
        <f>Final_Table[[#This Row],[Net Revenue]]*Final_Table[[#This Row],[Variable Cost %]]</f>
        <v>3304.7999999999997</v>
      </c>
      <c r="R642">
        <f>Final_Table[[#This Row],[Variable Cost]]+Final_Table[[#This Row],[Fixed Monthly Cost]]</f>
        <v>21304.799999999999</v>
      </c>
      <c r="S642" s="5">
        <f>Final_Table[[#This Row],[Net Revenue]]-Final_Table[[#This Row],[Total Cost (COGS)]]</f>
        <v>-2944.7999999999993</v>
      </c>
      <c r="T642">
        <f>Final_Table[[#This Row],[Gross Profit]]*Final_Table[[#This Row],[Tax Rate]]</f>
        <v>-883.43999999999971</v>
      </c>
      <c r="U642" s="5">
        <f>Final_Table[[#This Row],[Gross Profit]]-Final_Table[[#This Row],[Tax]]</f>
        <v>-2061.3599999999997</v>
      </c>
      <c r="V642" s="12">
        <f>Final_Table[[#This Row],[Net Profit]]/Final_Table[[#This Row],[Gross Revenue]]</f>
        <v>-0.10104705882352939</v>
      </c>
    </row>
    <row r="643" spans="1:22">
      <c r="A643" s="18" t="s">
        <v>72</v>
      </c>
      <c r="B643">
        <v>2014</v>
      </c>
      <c r="C643" t="s">
        <v>123</v>
      </c>
      <c r="D643">
        <v>1</v>
      </c>
      <c r="E643" s="18" t="s">
        <v>30</v>
      </c>
      <c r="F643" s="18" t="s">
        <v>113</v>
      </c>
      <c r="G643" s="18" t="s">
        <v>23</v>
      </c>
      <c r="H643" s="18" t="str">
        <f>Assumptions!$B$2</f>
        <v>Worst</v>
      </c>
      <c r="I643" s="18">
        <f>_xlfn.XLOOKUP(Assumptions!$B$2,Assumptions!$F$4:$H$4,Assumptions!$F$5:$H$5)</f>
        <v>1200</v>
      </c>
      <c r="J643" s="18">
        <f>_xlfn.XLOOKUP(Assumptions!$B$2,Assumptions!$F$4:$H$4,Assumptions!$F$6:$H$6)</f>
        <v>17</v>
      </c>
      <c r="K643" s="12">
        <f>_xlfn.XLOOKUP(Assumptions!$B$2,Assumptions!$F$4:$H$4,Assumptions!$F$8:$H$8)</f>
        <v>0.1</v>
      </c>
      <c r="L643" s="12">
        <f>_xlfn.XLOOKUP(Assumptions!$B$2,Assumptions!$F$4:$H$4,Assumptions!$F$9:$H$9)</f>
        <v>0.18</v>
      </c>
      <c r="M643" s="18">
        <f>_xlfn.XLOOKUP(Assumptions!$B$2,Assumptions!$F$4:$H$4,Assumptions!$F$10:$H$10)</f>
        <v>18000</v>
      </c>
      <c r="N643" s="12">
        <f>_xlfn.XLOOKUP(Assumptions!$B$2,Assumptions!$F$4:$H$4,Assumptions!$F$11:$H$11)</f>
        <v>0.3</v>
      </c>
      <c r="O643" s="14">
        <f>Final_Table[[#This Row],[Units Sold]]*Final_Table[[#This Row],[Sale Price]]</f>
        <v>20400</v>
      </c>
      <c r="P643" s="14">
        <f>Final_Table[[#This Row],[Gross Revenue]]*(1-Final_Table[[#This Row],[Discount %]])</f>
        <v>18360</v>
      </c>
      <c r="Q643">
        <f>Final_Table[[#This Row],[Net Revenue]]*Final_Table[[#This Row],[Variable Cost %]]</f>
        <v>3304.7999999999997</v>
      </c>
      <c r="R643">
        <f>Final_Table[[#This Row],[Variable Cost]]+Final_Table[[#This Row],[Fixed Monthly Cost]]</f>
        <v>21304.799999999999</v>
      </c>
      <c r="S643" s="5">
        <f>Final_Table[[#This Row],[Net Revenue]]-Final_Table[[#This Row],[Total Cost (COGS)]]</f>
        <v>-2944.7999999999993</v>
      </c>
      <c r="T643">
        <f>Final_Table[[#This Row],[Gross Profit]]*Final_Table[[#This Row],[Tax Rate]]</f>
        <v>-883.43999999999971</v>
      </c>
      <c r="U643" s="5">
        <f>Final_Table[[#This Row],[Gross Profit]]-Final_Table[[#This Row],[Tax]]</f>
        <v>-2061.3599999999997</v>
      </c>
      <c r="V643" s="12">
        <f>Final_Table[[#This Row],[Net Profit]]/Final_Table[[#This Row],[Gross Revenue]]</f>
        <v>-0.10104705882352939</v>
      </c>
    </row>
    <row r="644" spans="1:22">
      <c r="A644" s="18" t="s">
        <v>72</v>
      </c>
      <c r="B644">
        <v>2014</v>
      </c>
      <c r="C644" t="s">
        <v>123</v>
      </c>
      <c r="D644">
        <v>1</v>
      </c>
      <c r="E644" s="18" t="s">
        <v>30</v>
      </c>
      <c r="F644" s="18" t="s">
        <v>113</v>
      </c>
      <c r="G644" s="18" t="s">
        <v>21</v>
      </c>
      <c r="H644" s="18" t="str">
        <f>Assumptions!$B$2</f>
        <v>Worst</v>
      </c>
      <c r="I644" s="18">
        <f>_xlfn.XLOOKUP(Assumptions!$B$2,Assumptions!$F$4:$H$4,Assumptions!$F$5:$H$5)</f>
        <v>1200</v>
      </c>
      <c r="J644" s="18">
        <f>_xlfn.XLOOKUP(Assumptions!$B$2,Assumptions!$F$4:$H$4,Assumptions!$F$6:$H$6)</f>
        <v>17</v>
      </c>
      <c r="K644" s="12">
        <f>_xlfn.XLOOKUP(Assumptions!$B$2,Assumptions!$F$4:$H$4,Assumptions!$F$8:$H$8)</f>
        <v>0.1</v>
      </c>
      <c r="L644" s="12">
        <f>_xlfn.XLOOKUP(Assumptions!$B$2,Assumptions!$F$4:$H$4,Assumptions!$F$9:$H$9)</f>
        <v>0.18</v>
      </c>
      <c r="M644" s="18">
        <f>_xlfn.XLOOKUP(Assumptions!$B$2,Assumptions!$F$4:$H$4,Assumptions!$F$10:$H$10)</f>
        <v>18000</v>
      </c>
      <c r="N644" s="12">
        <f>_xlfn.XLOOKUP(Assumptions!$B$2,Assumptions!$F$4:$H$4,Assumptions!$F$11:$H$11)</f>
        <v>0.3</v>
      </c>
      <c r="O644" s="14">
        <f>Final_Table[[#This Row],[Units Sold]]*Final_Table[[#This Row],[Sale Price]]</f>
        <v>20400</v>
      </c>
      <c r="P644" s="14">
        <f>Final_Table[[#This Row],[Gross Revenue]]*(1-Final_Table[[#This Row],[Discount %]])</f>
        <v>18360</v>
      </c>
      <c r="Q644">
        <f>Final_Table[[#This Row],[Net Revenue]]*Final_Table[[#This Row],[Variable Cost %]]</f>
        <v>3304.7999999999997</v>
      </c>
      <c r="R644">
        <f>Final_Table[[#This Row],[Variable Cost]]+Final_Table[[#This Row],[Fixed Monthly Cost]]</f>
        <v>21304.799999999999</v>
      </c>
      <c r="S644" s="5">
        <f>Final_Table[[#This Row],[Net Revenue]]-Final_Table[[#This Row],[Total Cost (COGS)]]</f>
        <v>-2944.7999999999993</v>
      </c>
      <c r="T644">
        <f>Final_Table[[#This Row],[Gross Profit]]*Final_Table[[#This Row],[Tax Rate]]</f>
        <v>-883.43999999999971</v>
      </c>
      <c r="U644" s="5">
        <f>Final_Table[[#This Row],[Gross Profit]]-Final_Table[[#This Row],[Tax]]</f>
        <v>-2061.3599999999997</v>
      </c>
      <c r="V644" s="12">
        <f>Final_Table[[#This Row],[Net Profit]]/Final_Table[[#This Row],[Gross Revenue]]</f>
        <v>-0.10104705882352939</v>
      </c>
    </row>
    <row r="645" spans="1:22">
      <c r="A645" s="18" t="s">
        <v>72</v>
      </c>
      <c r="B645">
        <v>2014</v>
      </c>
      <c r="C645" t="s">
        <v>123</v>
      </c>
      <c r="D645">
        <v>1</v>
      </c>
      <c r="E645" s="18" t="s">
        <v>30</v>
      </c>
      <c r="F645" s="18" t="s">
        <v>113</v>
      </c>
      <c r="G645" s="18" t="s">
        <v>25</v>
      </c>
      <c r="H645" s="18" t="str">
        <f>Assumptions!$B$2</f>
        <v>Worst</v>
      </c>
      <c r="I645" s="18">
        <f>_xlfn.XLOOKUP(Assumptions!$B$2,Assumptions!$F$4:$H$4,Assumptions!$F$5:$H$5)</f>
        <v>1200</v>
      </c>
      <c r="J645" s="18">
        <f>_xlfn.XLOOKUP(Assumptions!$B$2,Assumptions!$F$4:$H$4,Assumptions!$F$6:$H$6)</f>
        <v>17</v>
      </c>
      <c r="K645" s="12">
        <f>_xlfn.XLOOKUP(Assumptions!$B$2,Assumptions!$F$4:$H$4,Assumptions!$F$8:$H$8)</f>
        <v>0.1</v>
      </c>
      <c r="L645" s="12">
        <f>_xlfn.XLOOKUP(Assumptions!$B$2,Assumptions!$F$4:$H$4,Assumptions!$F$9:$H$9)</f>
        <v>0.18</v>
      </c>
      <c r="M645" s="18">
        <f>_xlfn.XLOOKUP(Assumptions!$B$2,Assumptions!$F$4:$H$4,Assumptions!$F$10:$H$10)</f>
        <v>18000</v>
      </c>
      <c r="N645" s="12">
        <f>_xlfn.XLOOKUP(Assumptions!$B$2,Assumptions!$F$4:$H$4,Assumptions!$F$11:$H$11)</f>
        <v>0.3</v>
      </c>
      <c r="O645" s="14">
        <f>Final_Table[[#This Row],[Units Sold]]*Final_Table[[#This Row],[Sale Price]]</f>
        <v>20400</v>
      </c>
      <c r="P645" s="14">
        <f>Final_Table[[#This Row],[Gross Revenue]]*(1-Final_Table[[#This Row],[Discount %]])</f>
        <v>18360</v>
      </c>
      <c r="Q645">
        <f>Final_Table[[#This Row],[Net Revenue]]*Final_Table[[#This Row],[Variable Cost %]]</f>
        <v>3304.7999999999997</v>
      </c>
      <c r="R645">
        <f>Final_Table[[#This Row],[Variable Cost]]+Final_Table[[#This Row],[Fixed Monthly Cost]]</f>
        <v>21304.799999999999</v>
      </c>
      <c r="S645" s="5">
        <f>Final_Table[[#This Row],[Net Revenue]]-Final_Table[[#This Row],[Total Cost (COGS)]]</f>
        <v>-2944.7999999999993</v>
      </c>
      <c r="T645">
        <f>Final_Table[[#This Row],[Gross Profit]]*Final_Table[[#This Row],[Tax Rate]]</f>
        <v>-883.43999999999971</v>
      </c>
      <c r="U645" s="5">
        <f>Final_Table[[#This Row],[Gross Profit]]-Final_Table[[#This Row],[Tax]]</f>
        <v>-2061.3599999999997</v>
      </c>
      <c r="V645" s="12">
        <f>Final_Table[[#This Row],[Net Profit]]/Final_Table[[#This Row],[Gross Revenue]]</f>
        <v>-0.10104705882352939</v>
      </c>
    </row>
    <row r="646" spans="1:22">
      <c r="A646" s="18" t="s">
        <v>72</v>
      </c>
      <c r="B646">
        <v>2014</v>
      </c>
      <c r="C646" t="s">
        <v>123</v>
      </c>
      <c r="D646">
        <v>1</v>
      </c>
      <c r="E646" s="18" t="s">
        <v>30</v>
      </c>
      <c r="F646" s="18" t="s">
        <v>113</v>
      </c>
      <c r="G646" s="18" t="s">
        <v>17</v>
      </c>
      <c r="H646" s="18" t="str">
        <f>Assumptions!$B$2</f>
        <v>Worst</v>
      </c>
      <c r="I646" s="18">
        <f>_xlfn.XLOOKUP(Assumptions!$B$2,Assumptions!$F$4:$H$4,Assumptions!$F$5:$H$5)</f>
        <v>1200</v>
      </c>
      <c r="J646" s="18">
        <f>_xlfn.XLOOKUP(Assumptions!$B$2,Assumptions!$F$4:$H$4,Assumptions!$F$6:$H$6)</f>
        <v>17</v>
      </c>
      <c r="K646" s="12">
        <f>_xlfn.XLOOKUP(Assumptions!$B$2,Assumptions!$F$4:$H$4,Assumptions!$F$8:$H$8)</f>
        <v>0.1</v>
      </c>
      <c r="L646" s="12">
        <f>_xlfn.XLOOKUP(Assumptions!$B$2,Assumptions!$F$4:$H$4,Assumptions!$F$9:$H$9)</f>
        <v>0.18</v>
      </c>
      <c r="M646" s="18">
        <f>_xlfn.XLOOKUP(Assumptions!$B$2,Assumptions!$F$4:$H$4,Assumptions!$F$10:$H$10)</f>
        <v>18000</v>
      </c>
      <c r="N646" s="12">
        <f>_xlfn.XLOOKUP(Assumptions!$B$2,Assumptions!$F$4:$H$4,Assumptions!$F$11:$H$11)</f>
        <v>0.3</v>
      </c>
      <c r="O646" s="14">
        <f>Final_Table[[#This Row],[Units Sold]]*Final_Table[[#This Row],[Sale Price]]</f>
        <v>20400</v>
      </c>
      <c r="P646" s="14">
        <f>Final_Table[[#This Row],[Gross Revenue]]*(1-Final_Table[[#This Row],[Discount %]])</f>
        <v>18360</v>
      </c>
      <c r="Q646">
        <f>Final_Table[[#This Row],[Net Revenue]]*Final_Table[[#This Row],[Variable Cost %]]</f>
        <v>3304.7999999999997</v>
      </c>
      <c r="R646">
        <f>Final_Table[[#This Row],[Variable Cost]]+Final_Table[[#This Row],[Fixed Monthly Cost]]</f>
        <v>21304.799999999999</v>
      </c>
      <c r="S646" s="5">
        <f>Final_Table[[#This Row],[Net Revenue]]-Final_Table[[#This Row],[Total Cost (COGS)]]</f>
        <v>-2944.7999999999993</v>
      </c>
      <c r="T646">
        <f>Final_Table[[#This Row],[Gross Profit]]*Final_Table[[#This Row],[Tax Rate]]</f>
        <v>-883.43999999999971</v>
      </c>
      <c r="U646" s="5">
        <f>Final_Table[[#This Row],[Gross Profit]]-Final_Table[[#This Row],[Tax]]</f>
        <v>-2061.3599999999997</v>
      </c>
      <c r="V646" s="12">
        <f>Final_Table[[#This Row],[Net Profit]]/Final_Table[[#This Row],[Gross Revenue]]</f>
        <v>-0.10104705882352939</v>
      </c>
    </row>
    <row r="647" spans="1:22">
      <c r="A647" s="18" t="s">
        <v>72</v>
      </c>
      <c r="B647">
        <v>2014</v>
      </c>
      <c r="C647" t="s">
        <v>123</v>
      </c>
      <c r="D647">
        <v>1</v>
      </c>
      <c r="E647" s="18" t="s">
        <v>30</v>
      </c>
      <c r="F647" s="18" t="s">
        <v>114</v>
      </c>
      <c r="G647" s="18" t="s">
        <v>36</v>
      </c>
      <c r="H647" s="18" t="str">
        <f>Assumptions!$B$2</f>
        <v>Worst</v>
      </c>
      <c r="I647" s="18">
        <f>_xlfn.XLOOKUP(Assumptions!$B$2,Assumptions!$F$4:$H$4,Assumptions!$F$5:$H$5)</f>
        <v>1200</v>
      </c>
      <c r="J647" s="18">
        <f>_xlfn.XLOOKUP(Assumptions!$B$2,Assumptions!$F$4:$H$4,Assumptions!$F$6:$H$6)</f>
        <v>17</v>
      </c>
      <c r="K647" s="12">
        <f>_xlfn.XLOOKUP(Assumptions!$B$2,Assumptions!$F$4:$H$4,Assumptions!$F$8:$H$8)</f>
        <v>0.1</v>
      </c>
      <c r="L647" s="12">
        <f>_xlfn.XLOOKUP(Assumptions!$B$2,Assumptions!$F$4:$H$4,Assumptions!$F$9:$H$9)</f>
        <v>0.18</v>
      </c>
      <c r="M647" s="18">
        <f>_xlfn.XLOOKUP(Assumptions!$B$2,Assumptions!$F$4:$H$4,Assumptions!$F$10:$H$10)</f>
        <v>18000</v>
      </c>
      <c r="N647" s="12">
        <f>_xlfn.XLOOKUP(Assumptions!$B$2,Assumptions!$F$4:$H$4,Assumptions!$F$11:$H$11)</f>
        <v>0.3</v>
      </c>
      <c r="O647" s="14">
        <f>Final_Table[[#This Row],[Units Sold]]*Final_Table[[#This Row],[Sale Price]]</f>
        <v>20400</v>
      </c>
      <c r="P647" s="14">
        <f>Final_Table[[#This Row],[Gross Revenue]]*(1-Final_Table[[#This Row],[Discount %]])</f>
        <v>18360</v>
      </c>
      <c r="Q647">
        <f>Final_Table[[#This Row],[Net Revenue]]*Final_Table[[#This Row],[Variable Cost %]]</f>
        <v>3304.7999999999997</v>
      </c>
      <c r="R647">
        <f>Final_Table[[#This Row],[Variable Cost]]+Final_Table[[#This Row],[Fixed Monthly Cost]]</f>
        <v>21304.799999999999</v>
      </c>
      <c r="S647" s="5">
        <f>Final_Table[[#This Row],[Net Revenue]]-Final_Table[[#This Row],[Total Cost (COGS)]]</f>
        <v>-2944.7999999999993</v>
      </c>
      <c r="T647">
        <f>Final_Table[[#This Row],[Gross Profit]]*Final_Table[[#This Row],[Tax Rate]]</f>
        <v>-883.43999999999971</v>
      </c>
      <c r="U647" s="5">
        <f>Final_Table[[#This Row],[Gross Profit]]-Final_Table[[#This Row],[Tax]]</f>
        <v>-2061.3599999999997</v>
      </c>
      <c r="V647" s="12">
        <f>Final_Table[[#This Row],[Net Profit]]/Final_Table[[#This Row],[Gross Revenue]]</f>
        <v>-0.10104705882352939</v>
      </c>
    </row>
    <row r="648" spans="1:22">
      <c r="A648" s="18" t="s">
        <v>72</v>
      </c>
      <c r="B648">
        <v>2014</v>
      </c>
      <c r="C648" t="s">
        <v>123</v>
      </c>
      <c r="D648">
        <v>1</v>
      </c>
      <c r="E648" s="18" t="s">
        <v>30</v>
      </c>
      <c r="F648" s="18" t="s">
        <v>114</v>
      </c>
      <c r="G648" s="18" t="s">
        <v>23</v>
      </c>
      <c r="H648" s="18" t="str">
        <f>Assumptions!$B$2</f>
        <v>Worst</v>
      </c>
      <c r="I648" s="18">
        <f>_xlfn.XLOOKUP(Assumptions!$B$2,Assumptions!$F$4:$H$4,Assumptions!$F$5:$H$5)</f>
        <v>1200</v>
      </c>
      <c r="J648" s="18">
        <f>_xlfn.XLOOKUP(Assumptions!$B$2,Assumptions!$F$4:$H$4,Assumptions!$F$6:$H$6)</f>
        <v>17</v>
      </c>
      <c r="K648" s="12">
        <f>_xlfn.XLOOKUP(Assumptions!$B$2,Assumptions!$F$4:$H$4,Assumptions!$F$8:$H$8)</f>
        <v>0.1</v>
      </c>
      <c r="L648" s="12">
        <f>_xlfn.XLOOKUP(Assumptions!$B$2,Assumptions!$F$4:$H$4,Assumptions!$F$9:$H$9)</f>
        <v>0.18</v>
      </c>
      <c r="M648" s="18">
        <f>_xlfn.XLOOKUP(Assumptions!$B$2,Assumptions!$F$4:$H$4,Assumptions!$F$10:$H$10)</f>
        <v>18000</v>
      </c>
      <c r="N648" s="12">
        <f>_xlfn.XLOOKUP(Assumptions!$B$2,Assumptions!$F$4:$H$4,Assumptions!$F$11:$H$11)</f>
        <v>0.3</v>
      </c>
      <c r="O648" s="14">
        <f>Final_Table[[#This Row],[Units Sold]]*Final_Table[[#This Row],[Sale Price]]</f>
        <v>20400</v>
      </c>
      <c r="P648" s="14">
        <f>Final_Table[[#This Row],[Gross Revenue]]*(1-Final_Table[[#This Row],[Discount %]])</f>
        <v>18360</v>
      </c>
      <c r="Q648">
        <f>Final_Table[[#This Row],[Net Revenue]]*Final_Table[[#This Row],[Variable Cost %]]</f>
        <v>3304.7999999999997</v>
      </c>
      <c r="R648">
        <f>Final_Table[[#This Row],[Variable Cost]]+Final_Table[[#This Row],[Fixed Monthly Cost]]</f>
        <v>21304.799999999999</v>
      </c>
      <c r="S648" s="5">
        <f>Final_Table[[#This Row],[Net Revenue]]-Final_Table[[#This Row],[Total Cost (COGS)]]</f>
        <v>-2944.7999999999993</v>
      </c>
      <c r="T648">
        <f>Final_Table[[#This Row],[Gross Profit]]*Final_Table[[#This Row],[Tax Rate]]</f>
        <v>-883.43999999999971</v>
      </c>
      <c r="U648" s="5">
        <f>Final_Table[[#This Row],[Gross Profit]]-Final_Table[[#This Row],[Tax]]</f>
        <v>-2061.3599999999997</v>
      </c>
      <c r="V648" s="12">
        <f>Final_Table[[#This Row],[Net Profit]]/Final_Table[[#This Row],[Gross Revenue]]</f>
        <v>-0.10104705882352939</v>
      </c>
    </row>
    <row r="649" spans="1:22">
      <c r="A649" s="18" t="s">
        <v>72</v>
      </c>
      <c r="B649">
        <v>2014</v>
      </c>
      <c r="C649" t="s">
        <v>123</v>
      </c>
      <c r="D649">
        <v>1</v>
      </c>
      <c r="E649" s="18" t="s">
        <v>30</v>
      </c>
      <c r="F649" s="18" t="s">
        <v>114</v>
      </c>
      <c r="G649" s="18" t="s">
        <v>21</v>
      </c>
      <c r="H649" s="18" t="str">
        <f>Assumptions!$B$2</f>
        <v>Worst</v>
      </c>
      <c r="I649" s="18">
        <f>_xlfn.XLOOKUP(Assumptions!$B$2,Assumptions!$F$4:$H$4,Assumptions!$F$5:$H$5)</f>
        <v>1200</v>
      </c>
      <c r="J649" s="18">
        <f>_xlfn.XLOOKUP(Assumptions!$B$2,Assumptions!$F$4:$H$4,Assumptions!$F$6:$H$6)</f>
        <v>17</v>
      </c>
      <c r="K649" s="12">
        <f>_xlfn.XLOOKUP(Assumptions!$B$2,Assumptions!$F$4:$H$4,Assumptions!$F$8:$H$8)</f>
        <v>0.1</v>
      </c>
      <c r="L649" s="12">
        <f>_xlfn.XLOOKUP(Assumptions!$B$2,Assumptions!$F$4:$H$4,Assumptions!$F$9:$H$9)</f>
        <v>0.18</v>
      </c>
      <c r="M649" s="18">
        <f>_xlfn.XLOOKUP(Assumptions!$B$2,Assumptions!$F$4:$H$4,Assumptions!$F$10:$H$10)</f>
        <v>18000</v>
      </c>
      <c r="N649" s="12">
        <f>_xlfn.XLOOKUP(Assumptions!$B$2,Assumptions!$F$4:$H$4,Assumptions!$F$11:$H$11)</f>
        <v>0.3</v>
      </c>
      <c r="O649" s="14">
        <f>Final_Table[[#This Row],[Units Sold]]*Final_Table[[#This Row],[Sale Price]]</f>
        <v>20400</v>
      </c>
      <c r="P649" s="14">
        <f>Final_Table[[#This Row],[Gross Revenue]]*(1-Final_Table[[#This Row],[Discount %]])</f>
        <v>18360</v>
      </c>
      <c r="Q649">
        <f>Final_Table[[#This Row],[Net Revenue]]*Final_Table[[#This Row],[Variable Cost %]]</f>
        <v>3304.7999999999997</v>
      </c>
      <c r="R649">
        <f>Final_Table[[#This Row],[Variable Cost]]+Final_Table[[#This Row],[Fixed Monthly Cost]]</f>
        <v>21304.799999999999</v>
      </c>
      <c r="S649" s="5">
        <f>Final_Table[[#This Row],[Net Revenue]]-Final_Table[[#This Row],[Total Cost (COGS)]]</f>
        <v>-2944.7999999999993</v>
      </c>
      <c r="T649">
        <f>Final_Table[[#This Row],[Gross Profit]]*Final_Table[[#This Row],[Tax Rate]]</f>
        <v>-883.43999999999971</v>
      </c>
      <c r="U649" s="5">
        <f>Final_Table[[#This Row],[Gross Profit]]-Final_Table[[#This Row],[Tax]]</f>
        <v>-2061.3599999999997</v>
      </c>
      <c r="V649" s="12">
        <f>Final_Table[[#This Row],[Net Profit]]/Final_Table[[#This Row],[Gross Revenue]]</f>
        <v>-0.10104705882352939</v>
      </c>
    </row>
    <row r="650" spans="1:22">
      <c r="A650" s="18" t="s">
        <v>72</v>
      </c>
      <c r="B650">
        <v>2014</v>
      </c>
      <c r="C650" t="s">
        <v>123</v>
      </c>
      <c r="D650">
        <v>1</v>
      </c>
      <c r="E650" s="18" t="s">
        <v>30</v>
      </c>
      <c r="F650" s="18" t="s">
        <v>114</v>
      </c>
      <c r="G650" s="18" t="s">
        <v>25</v>
      </c>
      <c r="H650" s="18" t="str">
        <f>Assumptions!$B$2</f>
        <v>Worst</v>
      </c>
      <c r="I650" s="18">
        <f>_xlfn.XLOOKUP(Assumptions!$B$2,Assumptions!$F$4:$H$4,Assumptions!$F$5:$H$5)</f>
        <v>1200</v>
      </c>
      <c r="J650" s="18">
        <f>_xlfn.XLOOKUP(Assumptions!$B$2,Assumptions!$F$4:$H$4,Assumptions!$F$6:$H$6)</f>
        <v>17</v>
      </c>
      <c r="K650" s="12">
        <f>_xlfn.XLOOKUP(Assumptions!$B$2,Assumptions!$F$4:$H$4,Assumptions!$F$8:$H$8)</f>
        <v>0.1</v>
      </c>
      <c r="L650" s="12">
        <f>_xlfn.XLOOKUP(Assumptions!$B$2,Assumptions!$F$4:$H$4,Assumptions!$F$9:$H$9)</f>
        <v>0.18</v>
      </c>
      <c r="M650" s="18">
        <f>_xlfn.XLOOKUP(Assumptions!$B$2,Assumptions!$F$4:$H$4,Assumptions!$F$10:$H$10)</f>
        <v>18000</v>
      </c>
      <c r="N650" s="12">
        <f>_xlfn.XLOOKUP(Assumptions!$B$2,Assumptions!$F$4:$H$4,Assumptions!$F$11:$H$11)</f>
        <v>0.3</v>
      </c>
      <c r="O650" s="14">
        <f>Final_Table[[#This Row],[Units Sold]]*Final_Table[[#This Row],[Sale Price]]</f>
        <v>20400</v>
      </c>
      <c r="P650" s="14">
        <f>Final_Table[[#This Row],[Gross Revenue]]*(1-Final_Table[[#This Row],[Discount %]])</f>
        <v>18360</v>
      </c>
      <c r="Q650">
        <f>Final_Table[[#This Row],[Net Revenue]]*Final_Table[[#This Row],[Variable Cost %]]</f>
        <v>3304.7999999999997</v>
      </c>
      <c r="R650">
        <f>Final_Table[[#This Row],[Variable Cost]]+Final_Table[[#This Row],[Fixed Monthly Cost]]</f>
        <v>21304.799999999999</v>
      </c>
      <c r="S650" s="5">
        <f>Final_Table[[#This Row],[Net Revenue]]-Final_Table[[#This Row],[Total Cost (COGS)]]</f>
        <v>-2944.7999999999993</v>
      </c>
      <c r="T650">
        <f>Final_Table[[#This Row],[Gross Profit]]*Final_Table[[#This Row],[Tax Rate]]</f>
        <v>-883.43999999999971</v>
      </c>
      <c r="U650" s="5">
        <f>Final_Table[[#This Row],[Gross Profit]]-Final_Table[[#This Row],[Tax]]</f>
        <v>-2061.3599999999997</v>
      </c>
      <c r="V650" s="12">
        <f>Final_Table[[#This Row],[Net Profit]]/Final_Table[[#This Row],[Gross Revenue]]</f>
        <v>-0.10104705882352939</v>
      </c>
    </row>
    <row r="651" spans="1:22">
      <c r="A651" s="18" t="s">
        <v>72</v>
      </c>
      <c r="B651">
        <v>2014</v>
      </c>
      <c r="C651" t="s">
        <v>123</v>
      </c>
      <c r="D651">
        <v>1</v>
      </c>
      <c r="E651" s="18" t="s">
        <v>30</v>
      </c>
      <c r="F651" s="18" t="s">
        <v>114</v>
      </c>
      <c r="G651" s="18" t="s">
        <v>17</v>
      </c>
      <c r="H651" s="18" t="str">
        <f>Assumptions!$B$2</f>
        <v>Worst</v>
      </c>
      <c r="I651" s="18">
        <f>_xlfn.XLOOKUP(Assumptions!$B$2,Assumptions!$F$4:$H$4,Assumptions!$F$5:$H$5)</f>
        <v>1200</v>
      </c>
      <c r="J651" s="18">
        <f>_xlfn.XLOOKUP(Assumptions!$B$2,Assumptions!$F$4:$H$4,Assumptions!$F$6:$H$6)</f>
        <v>17</v>
      </c>
      <c r="K651" s="12">
        <f>_xlfn.XLOOKUP(Assumptions!$B$2,Assumptions!$F$4:$H$4,Assumptions!$F$8:$H$8)</f>
        <v>0.1</v>
      </c>
      <c r="L651" s="12">
        <f>_xlfn.XLOOKUP(Assumptions!$B$2,Assumptions!$F$4:$H$4,Assumptions!$F$9:$H$9)</f>
        <v>0.18</v>
      </c>
      <c r="M651" s="18">
        <f>_xlfn.XLOOKUP(Assumptions!$B$2,Assumptions!$F$4:$H$4,Assumptions!$F$10:$H$10)</f>
        <v>18000</v>
      </c>
      <c r="N651" s="12">
        <f>_xlfn.XLOOKUP(Assumptions!$B$2,Assumptions!$F$4:$H$4,Assumptions!$F$11:$H$11)</f>
        <v>0.3</v>
      </c>
      <c r="O651" s="14">
        <f>Final_Table[[#This Row],[Units Sold]]*Final_Table[[#This Row],[Sale Price]]</f>
        <v>20400</v>
      </c>
      <c r="P651" s="14">
        <f>Final_Table[[#This Row],[Gross Revenue]]*(1-Final_Table[[#This Row],[Discount %]])</f>
        <v>18360</v>
      </c>
      <c r="Q651">
        <f>Final_Table[[#This Row],[Net Revenue]]*Final_Table[[#This Row],[Variable Cost %]]</f>
        <v>3304.7999999999997</v>
      </c>
      <c r="R651">
        <f>Final_Table[[#This Row],[Variable Cost]]+Final_Table[[#This Row],[Fixed Monthly Cost]]</f>
        <v>21304.799999999999</v>
      </c>
      <c r="S651" s="5">
        <f>Final_Table[[#This Row],[Net Revenue]]-Final_Table[[#This Row],[Total Cost (COGS)]]</f>
        <v>-2944.7999999999993</v>
      </c>
      <c r="T651">
        <f>Final_Table[[#This Row],[Gross Profit]]*Final_Table[[#This Row],[Tax Rate]]</f>
        <v>-883.43999999999971</v>
      </c>
      <c r="U651" s="5">
        <f>Final_Table[[#This Row],[Gross Profit]]-Final_Table[[#This Row],[Tax]]</f>
        <v>-2061.3599999999997</v>
      </c>
      <c r="V651" s="12">
        <f>Final_Table[[#This Row],[Net Profit]]/Final_Table[[#This Row],[Gross Revenue]]</f>
        <v>-0.10104705882352939</v>
      </c>
    </row>
    <row r="652" spans="1:22">
      <c r="A652" s="18" t="s">
        <v>72</v>
      </c>
      <c r="B652">
        <v>2014</v>
      </c>
      <c r="C652" t="s">
        <v>123</v>
      </c>
      <c r="D652">
        <v>1</v>
      </c>
      <c r="E652" s="18" t="s">
        <v>29</v>
      </c>
      <c r="F652" s="18" t="s">
        <v>80</v>
      </c>
      <c r="G652" s="18" t="s">
        <v>36</v>
      </c>
      <c r="H652" s="18" t="str">
        <f>Assumptions!$B$2</f>
        <v>Worst</v>
      </c>
      <c r="I652" s="18">
        <f>_xlfn.XLOOKUP(Assumptions!$B$2,Assumptions!$F$4:$H$4,Assumptions!$F$5:$H$5)</f>
        <v>1200</v>
      </c>
      <c r="J652" s="18">
        <f>_xlfn.XLOOKUP(Assumptions!$B$2,Assumptions!$F$4:$H$4,Assumptions!$F$6:$H$6)</f>
        <v>17</v>
      </c>
      <c r="K652" s="12">
        <f>_xlfn.XLOOKUP(Assumptions!$B$2,Assumptions!$F$4:$H$4,Assumptions!$F$8:$H$8)</f>
        <v>0.1</v>
      </c>
      <c r="L652" s="12">
        <f>_xlfn.XLOOKUP(Assumptions!$B$2,Assumptions!$F$4:$H$4,Assumptions!$F$9:$H$9)</f>
        <v>0.18</v>
      </c>
      <c r="M652" s="18">
        <f>_xlfn.XLOOKUP(Assumptions!$B$2,Assumptions!$F$4:$H$4,Assumptions!$F$10:$H$10)</f>
        <v>18000</v>
      </c>
      <c r="N652" s="12">
        <f>_xlfn.XLOOKUP(Assumptions!$B$2,Assumptions!$F$4:$H$4,Assumptions!$F$11:$H$11)</f>
        <v>0.3</v>
      </c>
      <c r="O652" s="14">
        <f>Final_Table[[#This Row],[Units Sold]]*Final_Table[[#This Row],[Sale Price]]</f>
        <v>20400</v>
      </c>
      <c r="P652" s="14">
        <f>Final_Table[[#This Row],[Gross Revenue]]*(1-Final_Table[[#This Row],[Discount %]])</f>
        <v>18360</v>
      </c>
      <c r="Q652">
        <f>Final_Table[[#This Row],[Net Revenue]]*Final_Table[[#This Row],[Variable Cost %]]</f>
        <v>3304.7999999999997</v>
      </c>
      <c r="R652">
        <f>Final_Table[[#This Row],[Variable Cost]]+Final_Table[[#This Row],[Fixed Monthly Cost]]</f>
        <v>21304.799999999999</v>
      </c>
      <c r="S652" s="5">
        <f>Final_Table[[#This Row],[Net Revenue]]-Final_Table[[#This Row],[Total Cost (COGS)]]</f>
        <v>-2944.7999999999993</v>
      </c>
      <c r="T652">
        <f>Final_Table[[#This Row],[Gross Profit]]*Final_Table[[#This Row],[Tax Rate]]</f>
        <v>-883.43999999999971</v>
      </c>
      <c r="U652" s="5">
        <f>Final_Table[[#This Row],[Gross Profit]]-Final_Table[[#This Row],[Tax]]</f>
        <v>-2061.3599999999997</v>
      </c>
      <c r="V652" s="12">
        <f>Final_Table[[#This Row],[Net Profit]]/Final_Table[[#This Row],[Gross Revenue]]</f>
        <v>-0.10104705882352939</v>
      </c>
    </row>
    <row r="653" spans="1:22">
      <c r="A653" s="18" t="s">
        <v>72</v>
      </c>
      <c r="B653">
        <v>2014</v>
      </c>
      <c r="C653" t="s">
        <v>123</v>
      </c>
      <c r="D653">
        <v>1</v>
      </c>
      <c r="E653" s="18" t="s">
        <v>29</v>
      </c>
      <c r="F653" s="18" t="s">
        <v>80</v>
      </c>
      <c r="G653" s="18" t="s">
        <v>23</v>
      </c>
      <c r="H653" s="18" t="str">
        <f>Assumptions!$B$2</f>
        <v>Worst</v>
      </c>
      <c r="I653" s="18">
        <f>_xlfn.XLOOKUP(Assumptions!$B$2,Assumptions!$F$4:$H$4,Assumptions!$F$5:$H$5)</f>
        <v>1200</v>
      </c>
      <c r="J653" s="18">
        <f>_xlfn.XLOOKUP(Assumptions!$B$2,Assumptions!$F$4:$H$4,Assumptions!$F$6:$H$6)</f>
        <v>17</v>
      </c>
      <c r="K653" s="12">
        <f>_xlfn.XLOOKUP(Assumptions!$B$2,Assumptions!$F$4:$H$4,Assumptions!$F$8:$H$8)</f>
        <v>0.1</v>
      </c>
      <c r="L653" s="12">
        <f>_xlfn.XLOOKUP(Assumptions!$B$2,Assumptions!$F$4:$H$4,Assumptions!$F$9:$H$9)</f>
        <v>0.18</v>
      </c>
      <c r="M653" s="18">
        <f>_xlfn.XLOOKUP(Assumptions!$B$2,Assumptions!$F$4:$H$4,Assumptions!$F$10:$H$10)</f>
        <v>18000</v>
      </c>
      <c r="N653" s="12">
        <f>_xlfn.XLOOKUP(Assumptions!$B$2,Assumptions!$F$4:$H$4,Assumptions!$F$11:$H$11)</f>
        <v>0.3</v>
      </c>
      <c r="O653" s="14">
        <f>Final_Table[[#This Row],[Units Sold]]*Final_Table[[#This Row],[Sale Price]]</f>
        <v>20400</v>
      </c>
      <c r="P653" s="14">
        <f>Final_Table[[#This Row],[Gross Revenue]]*(1-Final_Table[[#This Row],[Discount %]])</f>
        <v>18360</v>
      </c>
      <c r="Q653">
        <f>Final_Table[[#This Row],[Net Revenue]]*Final_Table[[#This Row],[Variable Cost %]]</f>
        <v>3304.7999999999997</v>
      </c>
      <c r="R653">
        <f>Final_Table[[#This Row],[Variable Cost]]+Final_Table[[#This Row],[Fixed Monthly Cost]]</f>
        <v>21304.799999999999</v>
      </c>
      <c r="S653" s="5">
        <f>Final_Table[[#This Row],[Net Revenue]]-Final_Table[[#This Row],[Total Cost (COGS)]]</f>
        <v>-2944.7999999999993</v>
      </c>
      <c r="T653">
        <f>Final_Table[[#This Row],[Gross Profit]]*Final_Table[[#This Row],[Tax Rate]]</f>
        <v>-883.43999999999971</v>
      </c>
      <c r="U653" s="5">
        <f>Final_Table[[#This Row],[Gross Profit]]-Final_Table[[#This Row],[Tax]]</f>
        <v>-2061.3599999999997</v>
      </c>
      <c r="V653" s="12">
        <f>Final_Table[[#This Row],[Net Profit]]/Final_Table[[#This Row],[Gross Revenue]]</f>
        <v>-0.10104705882352939</v>
      </c>
    </row>
    <row r="654" spans="1:22">
      <c r="A654" s="18" t="s">
        <v>72</v>
      </c>
      <c r="B654">
        <v>2014</v>
      </c>
      <c r="C654" t="s">
        <v>123</v>
      </c>
      <c r="D654">
        <v>1</v>
      </c>
      <c r="E654" s="18" t="s">
        <v>29</v>
      </c>
      <c r="F654" s="18" t="s">
        <v>80</v>
      </c>
      <c r="G654" s="18" t="s">
        <v>21</v>
      </c>
      <c r="H654" s="18" t="str">
        <f>Assumptions!$B$2</f>
        <v>Worst</v>
      </c>
      <c r="I654" s="18">
        <f>_xlfn.XLOOKUP(Assumptions!$B$2,Assumptions!$F$4:$H$4,Assumptions!$F$5:$H$5)</f>
        <v>1200</v>
      </c>
      <c r="J654" s="18">
        <f>_xlfn.XLOOKUP(Assumptions!$B$2,Assumptions!$F$4:$H$4,Assumptions!$F$6:$H$6)</f>
        <v>17</v>
      </c>
      <c r="K654" s="12">
        <f>_xlfn.XLOOKUP(Assumptions!$B$2,Assumptions!$F$4:$H$4,Assumptions!$F$8:$H$8)</f>
        <v>0.1</v>
      </c>
      <c r="L654" s="12">
        <f>_xlfn.XLOOKUP(Assumptions!$B$2,Assumptions!$F$4:$H$4,Assumptions!$F$9:$H$9)</f>
        <v>0.18</v>
      </c>
      <c r="M654" s="18">
        <f>_xlfn.XLOOKUP(Assumptions!$B$2,Assumptions!$F$4:$H$4,Assumptions!$F$10:$H$10)</f>
        <v>18000</v>
      </c>
      <c r="N654" s="12">
        <f>_xlfn.XLOOKUP(Assumptions!$B$2,Assumptions!$F$4:$H$4,Assumptions!$F$11:$H$11)</f>
        <v>0.3</v>
      </c>
      <c r="O654" s="14">
        <f>Final_Table[[#This Row],[Units Sold]]*Final_Table[[#This Row],[Sale Price]]</f>
        <v>20400</v>
      </c>
      <c r="P654" s="14">
        <f>Final_Table[[#This Row],[Gross Revenue]]*(1-Final_Table[[#This Row],[Discount %]])</f>
        <v>18360</v>
      </c>
      <c r="Q654">
        <f>Final_Table[[#This Row],[Net Revenue]]*Final_Table[[#This Row],[Variable Cost %]]</f>
        <v>3304.7999999999997</v>
      </c>
      <c r="R654">
        <f>Final_Table[[#This Row],[Variable Cost]]+Final_Table[[#This Row],[Fixed Monthly Cost]]</f>
        <v>21304.799999999999</v>
      </c>
      <c r="S654" s="5">
        <f>Final_Table[[#This Row],[Net Revenue]]-Final_Table[[#This Row],[Total Cost (COGS)]]</f>
        <v>-2944.7999999999993</v>
      </c>
      <c r="T654">
        <f>Final_Table[[#This Row],[Gross Profit]]*Final_Table[[#This Row],[Tax Rate]]</f>
        <v>-883.43999999999971</v>
      </c>
      <c r="U654" s="5">
        <f>Final_Table[[#This Row],[Gross Profit]]-Final_Table[[#This Row],[Tax]]</f>
        <v>-2061.3599999999997</v>
      </c>
      <c r="V654" s="12">
        <f>Final_Table[[#This Row],[Net Profit]]/Final_Table[[#This Row],[Gross Revenue]]</f>
        <v>-0.10104705882352939</v>
      </c>
    </row>
    <row r="655" spans="1:22">
      <c r="A655" s="18" t="s">
        <v>72</v>
      </c>
      <c r="B655">
        <v>2014</v>
      </c>
      <c r="C655" t="s">
        <v>123</v>
      </c>
      <c r="D655">
        <v>1</v>
      </c>
      <c r="E655" s="18" t="s">
        <v>29</v>
      </c>
      <c r="F655" s="18" t="s">
        <v>80</v>
      </c>
      <c r="G655" s="18" t="s">
        <v>25</v>
      </c>
      <c r="H655" s="18" t="str">
        <f>Assumptions!$B$2</f>
        <v>Worst</v>
      </c>
      <c r="I655" s="18">
        <f>_xlfn.XLOOKUP(Assumptions!$B$2,Assumptions!$F$4:$H$4,Assumptions!$F$5:$H$5)</f>
        <v>1200</v>
      </c>
      <c r="J655" s="18">
        <f>_xlfn.XLOOKUP(Assumptions!$B$2,Assumptions!$F$4:$H$4,Assumptions!$F$6:$H$6)</f>
        <v>17</v>
      </c>
      <c r="K655" s="12">
        <f>_xlfn.XLOOKUP(Assumptions!$B$2,Assumptions!$F$4:$H$4,Assumptions!$F$8:$H$8)</f>
        <v>0.1</v>
      </c>
      <c r="L655" s="12">
        <f>_xlfn.XLOOKUP(Assumptions!$B$2,Assumptions!$F$4:$H$4,Assumptions!$F$9:$H$9)</f>
        <v>0.18</v>
      </c>
      <c r="M655" s="18">
        <f>_xlfn.XLOOKUP(Assumptions!$B$2,Assumptions!$F$4:$H$4,Assumptions!$F$10:$H$10)</f>
        <v>18000</v>
      </c>
      <c r="N655" s="12">
        <f>_xlfn.XLOOKUP(Assumptions!$B$2,Assumptions!$F$4:$H$4,Assumptions!$F$11:$H$11)</f>
        <v>0.3</v>
      </c>
      <c r="O655" s="14">
        <f>Final_Table[[#This Row],[Units Sold]]*Final_Table[[#This Row],[Sale Price]]</f>
        <v>20400</v>
      </c>
      <c r="P655" s="14">
        <f>Final_Table[[#This Row],[Gross Revenue]]*(1-Final_Table[[#This Row],[Discount %]])</f>
        <v>18360</v>
      </c>
      <c r="Q655">
        <f>Final_Table[[#This Row],[Net Revenue]]*Final_Table[[#This Row],[Variable Cost %]]</f>
        <v>3304.7999999999997</v>
      </c>
      <c r="R655">
        <f>Final_Table[[#This Row],[Variable Cost]]+Final_Table[[#This Row],[Fixed Monthly Cost]]</f>
        <v>21304.799999999999</v>
      </c>
      <c r="S655" s="5">
        <f>Final_Table[[#This Row],[Net Revenue]]-Final_Table[[#This Row],[Total Cost (COGS)]]</f>
        <v>-2944.7999999999993</v>
      </c>
      <c r="T655">
        <f>Final_Table[[#This Row],[Gross Profit]]*Final_Table[[#This Row],[Tax Rate]]</f>
        <v>-883.43999999999971</v>
      </c>
      <c r="U655" s="5">
        <f>Final_Table[[#This Row],[Gross Profit]]-Final_Table[[#This Row],[Tax]]</f>
        <v>-2061.3599999999997</v>
      </c>
      <c r="V655" s="12">
        <f>Final_Table[[#This Row],[Net Profit]]/Final_Table[[#This Row],[Gross Revenue]]</f>
        <v>-0.10104705882352939</v>
      </c>
    </row>
    <row r="656" spans="1:22">
      <c r="A656" s="18" t="s">
        <v>72</v>
      </c>
      <c r="B656">
        <v>2014</v>
      </c>
      <c r="C656" t="s">
        <v>123</v>
      </c>
      <c r="D656">
        <v>1</v>
      </c>
      <c r="E656" s="18" t="s">
        <v>29</v>
      </c>
      <c r="F656" s="18" t="s">
        <v>80</v>
      </c>
      <c r="G656" s="18" t="s">
        <v>17</v>
      </c>
      <c r="H656" s="18" t="str">
        <f>Assumptions!$B$2</f>
        <v>Worst</v>
      </c>
      <c r="I656" s="18">
        <f>_xlfn.XLOOKUP(Assumptions!$B$2,Assumptions!$F$4:$H$4,Assumptions!$F$5:$H$5)</f>
        <v>1200</v>
      </c>
      <c r="J656" s="18">
        <f>_xlfn.XLOOKUP(Assumptions!$B$2,Assumptions!$F$4:$H$4,Assumptions!$F$6:$H$6)</f>
        <v>17</v>
      </c>
      <c r="K656" s="12">
        <f>_xlfn.XLOOKUP(Assumptions!$B$2,Assumptions!$F$4:$H$4,Assumptions!$F$8:$H$8)</f>
        <v>0.1</v>
      </c>
      <c r="L656" s="12">
        <f>_xlfn.XLOOKUP(Assumptions!$B$2,Assumptions!$F$4:$H$4,Assumptions!$F$9:$H$9)</f>
        <v>0.18</v>
      </c>
      <c r="M656" s="18">
        <f>_xlfn.XLOOKUP(Assumptions!$B$2,Assumptions!$F$4:$H$4,Assumptions!$F$10:$H$10)</f>
        <v>18000</v>
      </c>
      <c r="N656" s="12">
        <f>_xlfn.XLOOKUP(Assumptions!$B$2,Assumptions!$F$4:$H$4,Assumptions!$F$11:$H$11)</f>
        <v>0.3</v>
      </c>
      <c r="O656" s="14">
        <f>Final_Table[[#This Row],[Units Sold]]*Final_Table[[#This Row],[Sale Price]]</f>
        <v>20400</v>
      </c>
      <c r="P656" s="14">
        <f>Final_Table[[#This Row],[Gross Revenue]]*(1-Final_Table[[#This Row],[Discount %]])</f>
        <v>18360</v>
      </c>
      <c r="Q656">
        <f>Final_Table[[#This Row],[Net Revenue]]*Final_Table[[#This Row],[Variable Cost %]]</f>
        <v>3304.7999999999997</v>
      </c>
      <c r="R656">
        <f>Final_Table[[#This Row],[Variable Cost]]+Final_Table[[#This Row],[Fixed Monthly Cost]]</f>
        <v>21304.799999999999</v>
      </c>
      <c r="S656" s="5">
        <f>Final_Table[[#This Row],[Net Revenue]]-Final_Table[[#This Row],[Total Cost (COGS)]]</f>
        <v>-2944.7999999999993</v>
      </c>
      <c r="T656">
        <f>Final_Table[[#This Row],[Gross Profit]]*Final_Table[[#This Row],[Tax Rate]]</f>
        <v>-883.43999999999971</v>
      </c>
      <c r="U656" s="5">
        <f>Final_Table[[#This Row],[Gross Profit]]-Final_Table[[#This Row],[Tax]]</f>
        <v>-2061.3599999999997</v>
      </c>
      <c r="V656" s="12">
        <f>Final_Table[[#This Row],[Net Profit]]/Final_Table[[#This Row],[Gross Revenue]]</f>
        <v>-0.10104705882352939</v>
      </c>
    </row>
    <row r="657" spans="1:22">
      <c r="A657" s="18" t="s">
        <v>72</v>
      </c>
      <c r="B657">
        <v>2014</v>
      </c>
      <c r="C657" t="s">
        <v>123</v>
      </c>
      <c r="D657">
        <v>1</v>
      </c>
      <c r="E657" s="18" t="s">
        <v>29</v>
      </c>
      <c r="F657" s="18" t="s">
        <v>108</v>
      </c>
      <c r="G657" s="18" t="s">
        <v>36</v>
      </c>
      <c r="H657" s="18" t="str">
        <f>Assumptions!$B$2</f>
        <v>Worst</v>
      </c>
      <c r="I657" s="18">
        <f>_xlfn.XLOOKUP(Assumptions!$B$2,Assumptions!$F$4:$H$4,Assumptions!$F$5:$H$5)</f>
        <v>1200</v>
      </c>
      <c r="J657" s="18">
        <f>_xlfn.XLOOKUP(Assumptions!$B$2,Assumptions!$F$4:$H$4,Assumptions!$F$6:$H$6)</f>
        <v>17</v>
      </c>
      <c r="K657" s="12">
        <f>_xlfn.XLOOKUP(Assumptions!$B$2,Assumptions!$F$4:$H$4,Assumptions!$F$8:$H$8)</f>
        <v>0.1</v>
      </c>
      <c r="L657" s="12">
        <f>_xlfn.XLOOKUP(Assumptions!$B$2,Assumptions!$F$4:$H$4,Assumptions!$F$9:$H$9)</f>
        <v>0.18</v>
      </c>
      <c r="M657" s="18">
        <f>_xlfn.XLOOKUP(Assumptions!$B$2,Assumptions!$F$4:$H$4,Assumptions!$F$10:$H$10)</f>
        <v>18000</v>
      </c>
      <c r="N657" s="12">
        <f>_xlfn.XLOOKUP(Assumptions!$B$2,Assumptions!$F$4:$H$4,Assumptions!$F$11:$H$11)</f>
        <v>0.3</v>
      </c>
      <c r="O657" s="14">
        <f>Final_Table[[#This Row],[Units Sold]]*Final_Table[[#This Row],[Sale Price]]</f>
        <v>20400</v>
      </c>
      <c r="P657" s="14">
        <f>Final_Table[[#This Row],[Gross Revenue]]*(1-Final_Table[[#This Row],[Discount %]])</f>
        <v>18360</v>
      </c>
      <c r="Q657">
        <f>Final_Table[[#This Row],[Net Revenue]]*Final_Table[[#This Row],[Variable Cost %]]</f>
        <v>3304.7999999999997</v>
      </c>
      <c r="R657">
        <f>Final_Table[[#This Row],[Variable Cost]]+Final_Table[[#This Row],[Fixed Monthly Cost]]</f>
        <v>21304.799999999999</v>
      </c>
      <c r="S657" s="5">
        <f>Final_Table[[#This Row],[Net Revenue]]-Final_Table[[#This Row],[Total Cost (COGS)]]</f>
        <v>-2944.7999999999993</v>
      </c>
      <c r="T657">
        <f>Final_Table[[#This Row],[Gross Profit]]*Final_Table[[#This Row],[Tax Rate]]</f>
        <v>-883.43999999999971</v>
      </c>
      <c r="U657" s="5">
        <f>Final_Table[[#This Row],[Gross Profit]]-Final_Table[[#This Row],[Tax]]</f>
        <v>-2061.3599999999997</v>
      </c>
      <c r="V657" s="12">
        <f>Final_Table[[#This Row],[Net Profit]]/Final_Table[[#This Row],[Gross Revenue]]</f>
        <v>-0.10104705882352939</v>
      </c>
    </row>
    <row r="658" spans="1:22">
      <c r="A658" s="18" t="s">
        <v>72</v>
      </c>
      <c r="B658">
        <v>2014</v>
      </c>
      <c r="C658" t="s">
        <v>123</v>
      </c>
      <c r="D658">
        <v>1</v>
      </c>
      <c r="E658" s="18" t="s">
        <v>29</v>
      </c>
      <c r="F658" s="18" t="s">
        <v>108</v>
      </c>
      <c r="G658" s="18" t="s">
        <v>23</v>
      </c>
      <c r="H658" s="18" t="str">
        <f>Assumptions!$B$2</f>
        <v>Worst</v>
      </c>
      <c r="I658" s="18">
        <f>_xlfn.XLOOKUP(Assumptions!$B$2,Assumptions!$F$4:$H$4,Assumptions!$F$5:$H$5)</f>
        <v>1200</v>
      </c>
      <c r="J658" s="18">
        <f>_xlfn.XLOOKUP(Assumptions!$B$2,Assumptions!$F$4:$H$4,Assumptions!$F$6:$H$6)</f>
        <v>17</v>
      </c>
      <c r="K658" s="12">
        <f>_xlfn.XLOOKUP(Assumptions!$B$2,Assumptions!$F$4:$H$4,Assumptions!$F$8:$H$8)</f>
        <v>0.1</v>
      </c>
      <c r="L658" s="12">
        <f>_xlfn.XLOOKUP(Assumptions!$B$2,Assumptions!$F$4:$H$4,Assumptions!$F$9:$H$9)</f>
        <v>0.18</v>
      </c>
      <c r="M658" s="18">
        <f>_xlfn.XLOOKUP(Assumptions!$B$2,Assumptions!$F$4:$H$4,Assumptions!$F$10:$H$10)</f>
        <v>18000</v>
      </c>
      <c r="N658" s="12">
        <f>_xlfn.XLOOKUP(Assumptions!$B$2,Assumptions!$F$4:$H$4,Assumptions!$F$11:$H$11)</f>
        <v>0.3</v>
      </c>
      <c r="O658" s="14">
        <f>Final_Table[[#This Row],[Units Sold]]*Final_Table[[#This Row],[Sale Price]]</f>
        <v>20400</v>
      </c>
      <c r="P658" s="14">
        <f>Final_Table[[#This Row],[Gross Revenue]]*(1-Final_Table[[#This Row],[Discount %]])</f>
        <v>18360</v>
      </c>
      <c r="Q658">
        <f>Final_Table[[#This Row],[Net Revenue]]*Final_Table[[#This Row],[Variable Cost %]]</f>
        <v>3304.7999999999997</v>
      </c>
      <c r="R658">
        <f>Final_Table[[#This Row],[Variable Cost]]+Final_Table[[#This Row],[Fixed Monthly Cost]]</f>
        <v>21304.799999999999</v>
      </c>
      <c r="S658" s="5">
        <f>Final_Table[[#This Row],[Net Revenue]]-Final_Table[[#This Row],[Total Cost (COGS)]]</f>
        <v>-2944.7999999999993</v>
      </c>
      <c r="T658">
        <f>Final_Table[[#This Row],[Gross Profit]]*Final_Table[[#This Row],[Tax Rate]]</f>
        <v>-883.43999999999971</v>
      </c>
      <c r="U658" s="5">
        <f>Final_Table[[#This Row],[Gross Profit]]-Final_Table[[#This Row],[Tax]]</f>
        <v>-2061.3599999999997</v>
      </c>
      <c r="V658" s="12">
        <f>Final_Table[[#This Row],[Net Profit]]/Final_Table[[#This Row],[Gross Revenue]]</f>
        <v>-0.10104705882352939</v>
      </c>
    </row>
    <row r="659" spans="1:22">
      <c r="A659" s="18" t="s">
        <v>72</v>
      </c>
      <c r="B659">
        <v>2014</v>
      </c>
      <c r="C659" t="s">
        <v>123</v>
      </c>
      <c r="D659">
        <v>1</v>
      </c>
      <c r="E659" s="18" t="s">
        <v>29</v>
      </c>
      <c r="F659" s="18" t="s">
        <v>108</v>
      </c>
      <c r="G659" s="18" t="s">
        <v>21</v>
      </c>
      <c r="H659" s="18" t="str">
        <f>Assumptions!$B$2</f>
        <v>Worst</v>
      </c>
      <c r="I659" s="18">
        <f>_xlfn.XLOOKUP(Assumptions!$B$2,Assumptions!$F$4:$H$4,Assumptions!$F$5:$H$5)</f>
        <v>1200</v>
      </c>
      <c r="J659" s="18">
        <f>_xlfn.XLOOKUP(Assumptions!$B$2,Assumptions!$F$4:$H$4,Assumptions!$F$6:$H$6)</f>
        <v>17</v>
      </c>
      <c r="K659" s="12">
        <f>_xlfn.XLOOKUP(Assumptions!$B$2,Assumptions!$F$4:$H$4,Assumptions!$F$8:$H$8)</f>
        <v>0.1</v>
      </c>
      <c r="L659" s="12">
        <f>_xlfn.XLOOKUP(Assumptions!$B$2,Assumptions!$F$4:$H$4,Assumptions!$F$9:$H$9)</f>
        <v>0.18</v>
      </c>
      <c r="M659" s="18">
        <f>_xlfn.XLOOKUP(Assumptions!$B$2,Assumptions!$F$4:$H$4,Assumptions!$F$10:$H$10)</f>
        <v>18000</v>
      </c>
      <c r="N659" s="12">
        <f>_xlfn.XLOOKUP(Assumptions!$B$2,Assumptions!$F$4:$H$4,Assumptions!$F$11:$H$11)</f>
        <v>0.3</v>
      </c>
      <c r="O659" s="14">
        <f>Final_Table[[#This Row],[Units Sold]]*Final_Table[[#This Row],[Sale Price]]</f>
        <v>20400</v>
      </c>
      <c r="P659" s="14">
        <f>Final_Table[[#This Row],[Gross Revenue]]*(1-Final_Table[[#This Row],[Discount %]])</f>
        <v>18360</v>
      </c>
      <c r="Q659">
        <f>Final_Table[[#This Row],[Net Revenue]]*Final_Table[[#This Row],[Variable Cost %]]</f>
        <v>3304.7999999999997</v>
      </c>
      <c r="R659">
        <f>Final_Table[[#This Row],[Variable Cost]]+Final_Table[[#This Row],[Fixed Monthly Cost]]</f>
        <v>21304.799999999999</v>
      </c>
      <c r="S659" s="5">
        <f>Final_Table[[#This Row],[Net Revenue]]-Final_Table[[#This Row],[Total Cost (COGS)]]</f>
        <v>-2944.7999999999993</v>
      </c>
      <c r="T659">
        <f>Final_Table[[#This Row],[Gross Profit]]*Final_Table[[#This Row],[Tax Rate]]</f>
        <v>-883.43999999999971</v>
      </c>
      <c r="U659" s="5">
        <f>Final_Table[[#This Row],[Gross Profit]]-Final_Table[[#This Row],[Tax]]</f>
        <v>-2061.3599999999997</v>
      </c>
      <c r="V659" s="12">
        <f>Final_Table[[#This Row],[Net Profit]]/Final_Table[[#This Row],[Gross Revenue]]</f>
        <v>-0.10104705882352939</v>
      </c>
    </row>
    <row r="660" spans="1:22">
      <c r="A660" s="18" t="s">
        <v>72</v>
      </c>
      <c r="B660">
        <v>2014</v>
      </c>
      <c r="C660" t="s">
        <v>123</v>
      </c>
      <c r="D660">
        <v>1</v>
      </c>
      <c r="E660" s="18" t="s">
        <v>29</v>
      </c>
      <c r="F660" s="18" t="s">
        <v>108</v>
      </c>
      <c r="G660" s="18" t="s">
        <v>25</v>
      </c>
      <c r="H660" s="18" t="str">
        <f>Assumptions!$B$2</f>
        <v>Worst</v>
      </c>
      <c r="I660" s="18">
        <f>_xlfn.XLOOKUP(Assumptions!$B$2,Assumptions!$F$4:$H$4,Assumptions!$F$5:$H$5)</f>
        <v>1200</v>
      </c>
      <c r="J660" s="18">
        <f>_xlfn.XLOOKUP(Assumptions!$B$2,Assumptions!$F$4:$H$4,Assumptions!$F$6:$H$6)</f>
        <v>17</v>
      </c>
      <c r="K660" s="12">
        <f>_xlfn.XLOOKUP(Assumptions!$B$2,Assumptions!$F$4:$H$4,Assumptions!$F$8:$H$8)</f>
        <v>0.1</v>
      </c>
      <c r="L660" s="12">
        <f>_xlfn.XLOOKUP(Assumptions!$B$2,Assumptions!$F$4:$H$4,Assumptions!$F$9:$H$9)</f>
        <v>0.18</v>
      </c>
      <c r="M660" s="18">
        <f>_xlfn.XLOOKUP(Assumptions!$B$2,Assumptions!$F$4:$H$4,Assumptions!$F$10:$H$10)</f>
        <v>18000</v>
      </c>
      <c r="N660" s="12">
        <f>_xlfn.XLOOKUP(Assumptions!$B$2,Assumptions!$F$4:$H$4,Assumptions!$F$11:$H$11)</f>
        <v>0.3</v>
      </c>
      <c r="O660" s="14">
        <f>Final_Table[[#This Row],[Units Sold]]*Final_Table[[#This Row],[Sale Price]]</f>
        <v>20400</v>
      </c>
      <c r="P660" s="14">
        <f>Final_Table[[#This Row],[Gross Revenue]]*(1-Final_Table[[#This Row],[Discount %]])</f>
        <v>18360</v>
      </c>
      <c r="Q660">
        <f>Final_Table[[#This Row],[Net Revenue]]*Final_Table[[#This Row],[Variable Cost %]]</f>
        <v>3304.7999999999997</v>
      </c>
      <c r="R660">
        <f>Final_Table[[#This Row],[Variable Cost]]+Final_Table[[#This Row],[Fixed Monthly Cost]]</f>
        <v>21304.799999999999</v>
      </c>
      <c r="S660" s="5">
        <f>Final_Table[[#This Row],[Net Revenue]]-Final_Table[[#This Row],[Total Cost (COGS)]]</f>
        <v>-2944.7999999999993</v>
      </c>
      <c r="T660">
        <f>Final_Table[[#This Row],[Gross Profit]]*Final_Table[[#This Row],[Tax Rate]]</f>
        <v>-883.43999999999971</v>
      </c>
      <c r="U660" s="5">
        <f>Final_Table[[#This Row],[Gross Profit]]-Final_Table[[#This Row],[Tax]]</f>
        <v>-2061.3599999999997</v>
      </c>
      <c r="V660" s="12">
        <f>Final_Table[[#This Row],[Net Profit]]/Final_Table[[#This Row],[Gross Revenue]]</f>
        <v>-0.10104705882352939</v>
      </c>
    </row>
    <row r="661" spans="1:22">
      <c r="A661" s="18" t="s">
        <v>72</v>
      </c>
      <c r="B661">
        <v>2014</v>
      </c>
      <c r="C661" t="s">
        <v>123</v>
      </c>
      <c r="D661">
        <v>1</v>
      </c>
      <c r="E661" s="18" t="s">
        <v>29</v>
      </c>
      <c r="F661" s="18" t="s">
        <v>108</v>
      </c>
      <c r="G661" s="18" t="s">
        <v>17</v>
      </c>
      <c r="H661" s="18" t="str">
        <f>Assumptions!$B$2</f>
        <v>Worst</v>
      </c>
      <c r="I661" s="18">
        <f>_xlfn.XLOOKUP(Assumptions!$B$2,Assumptions!$F$4:$H$4,Assumptions!$F$5:$H$5)</f>
        <v>1200</v>
      </c>
      <c r="J661" s="18">
        <f>_xlfn.XLOOKUP(Assumptions!$B$2,Assumptions!$F$4:$H$4,Assumptions!$F$6:$H$6)</f>
        <v>17</v>
      </c>
      <c r="K661" s="12">
        <f>_xlfn.XLOOKUP(Assumptions!$B$2,Assumptions!$F$4:$H$4,Assumptions!$F$8:$H$8)</f>
        <v>0.1</v>
      </c>
      <c r="L661" s="12">
        <f>_xlfn.XLOOKUP(Assumptions!$B$2,Assumptions!$F$4:$H$4,Assumptions!$F$9:$H$9)</f>
        <v>0.18</v>
      </c>
      <c r="M661" s="18">
        <f>_xlfn.XLOOKUP(Assumptions!$B$2,Assumptions!$F$4:$H$4,Assumptions!$F$10:$H$10)</f>
        <v>18000</v>
      </c>
      <c r="N661" s="12">
        <f>_xlfn.XLOOKUP(Assumptions!$B$2,Assumptions!$F$4:$H$4,Assumptions!$F$11:$H$11)</f>
        <v>0.3</v>
      </c>
      <c r="O661" s="14">
        <f>Final_Table[[#This Row],[Units Sold]]*Final_Table[[#This Row],[Sale Price]]</f>
        <v>20400</v>
      </c>
      <c r="P661" s="14">
        <f>Final_Table[[#This Row],[Gross Revenue]]*(1-Final_Table[[#This Row],[Discount %]])</f>
        <v>18360</v>
      </c>
      <c r="Q661">
        <f>Final_Table[[#This Row],[Net Revenue]]*Final_Table[[#This Row],[Variable Cost %]]</f>
        <v>3304.7999999999997</v>
      </c>
      <c r="R661">
        <f>Final_Table[[#This Row],[Variable Cost]]+Final_Table[[#This Row],[Fixed Monthly Cost]]</f>
        <v>21304.799999999999</v>
      </c>
      <c r="S661" s="5">
        <f>Final_Table[[#This Row],[Net Revenue]]-Final_Table[[#This Row],[Total Cost (COGS)]]</f>
        <v>-2944.7999999999993</v>
      </c>
      <c r="T661">
        <f>Final_Table[[#This Row],[Gross Profit]]*Final_Table[[#This Row],[Tax Rate]]</f>
        <v>-883.43999999999971</v>
      </c>
      <c r="U661" s="5">
        <f>Final_Table[[#This Row],[Gross Profit]]-Final_Table[[#This Row],[Tax]]</f>
        <v>-2061.3599999999997</v>
      </c>
      <c r="V661" s="12">
        <f>Final_Table[[#This Row],[Net Profit]]/Final_Table[[#This Row],[Gross Revenue]]</f>
        <v>-0.10104705882352939</v>
      </c>
    </row>
    <row r="662" spans="1:22">
      <c r="A662" s="18" t="s">
        <v>72</v>
      </c>
      <c r="B662">
        <v>2014</v>
      </c>
      <c r="C662" t="s">
        <v>123</v>
      </c>
      <c r="D662">
        <v>1</v>
      </c>
      <c r="E662" s="18" t="s">
        <v>29</v>
      </c>
      <c r="F662" s="18" t="s">
        <v>112</v>
      </c>
      <c r="G662" s="18" t="s">
        <v>36</v>
      </c>
      <c r="H662" s="18" t="str">
        <f>Assumptions!$B$2</f>
        <v>Worst</v>
      </c>
      <c r="I662" s="18">
        <f>_xlfn.XLOOKUP(Assumptions!$B$2,Assumptions!$F$4:$H$4,Assumptions!$F$5:$H$5)</f>
        <v>1200</v>
      </c>
      <c r="J662" s="18">
        <f>_xlfn.XLOOKUP(Assumptions!$B$2,Assumptions!$F$4:$H$4,Assumptions!$F$6:$H$6)</f>
        <v>17</v>
      </c>
      <c r="K662" s="12">
        <f>_xlfn.XLOOKUP(Assumptions!$B$2,Assumptions!$F$4:$H$4,Assumptions!$F$8:$H$8)</f>
        <v>0.1</v>
      </c>
      <c r="L662" s="12">
        <f>_xlfn.XLOOKUP(Assumptions!$B$2,Assumptions!$F$4:$H$4,Assumptions!$F$9:$H$9)</f>
        <v>0.18</v>
      </c>
      <c r="M662" s="18">
        <f>_xlfn.XLOOKUP(Assumptions!$B$2,Assumptions!$F$4:$H$4,Assumptions!$F$10:$H$10)</f>
        <v>18000</v>
      </c>
      <c r="N662" s="12">
        <f>_xlfn.XLOOKUP(Assumptions!$B$2,Assumptions!$F$4:$H$4,Assumptions!$F$11:$H$11)</f>
        <v>0.3</v>
      </c>
      <c r="O662" s="14">
        <f>Final_Table[[#This Row],[Units Sold]]*Final_Table[[#This Row],[Sale Price]]</f>
        <v>20400</v>
      </c>
      <c r="P662" s="14">
        <f>Final_Table[[#This Row],[Gross Revenue]]*(1-Final_Table[[#This Row],[Discount %]])</f>
        <v>18360</v>
      </c>
      <c r="Q662">
        <f>Final_Table[[#This Row],[Net Revenue]]*Final_Table[[#This Row],[Variable Cost %]]</f>
        <v>3304.7999999999997</v>
      </c>
      <c r="R662">
        <f>Final_Table[[#This Row],[Variable Cost]]+Final_Table[[#This Row],[Fixed Monthly Cost]]</f>
        <v>21304.799999999999</v>
      </c>
      <c r="S662" s="5">
        <f>Final_Table[[#This Row],[Net Revenue]]-Final_Table[[#This Row],[Total Cost (COGS)]]</f>
        <v>-2944.7999999999993</v>
      </c>
      <c r="T662">
        <f>Final_Table[[#This Row],[Gross Profit]]*Final_Table[[#This Row],[Tax Rate]]</f>
        <v>-883.43999999999971</v>
      </c>
      <c r="U662" s="5">
        <f>Final_Table[[#This Row],[Gross Profit]]-Final_Table[[#This Row],[Tax]]</f>
        <v>-2061.3599999999997</v>
      </c>
      <c r="V662" s="12">
        <f>Final_Table[[#This Row],[Net Profit]]/Final_Table[[#This Row],[Gross Revenue]]</f>
        <v>-0.10104705882352939</v>
      </c>
    </row>
    <row r="663" spans="1:22">
      <c r="A663" s="18" t="s">
        <v>72</v>
      </c>
      <c r="B663">
        <v>2014</v>
      </c>
      <c r="C663" t="s">
        <v>123</v>
      </c>
      <c r="D663">
        <v>1</v>
      </c>
      <c r="E663" s="18" t="s">
        <v>29</v>
      </c>
      <c r="F663" s="18" t="s">
        <v>112</v>
      </c>
      <c r="G663" s="18" t="s">
        <v>23</v>
      </c>
      <c r="H663" s="18" t="str">
        <f>Assumptions!$B$2</f>
        <v>Worst</v>
      </c>
      <c r="I663" s="18">
        <f>_xlfn.XLOOKUP(Assumptions!$B$2,Assumptions!$F$4:$H$4,Assumptions!$F$5:$H$5)</f>
        <v>1200</v>
      </c>
      <c r="J663" s="18">
        <f>_xlfn.XLOOKUP(Assumptions!$B$2,Assumptions!$F$4:$H$4,Assumptions!$F$6:$H$6)</f>
        <v>17</v>
      </c>
      <c r="K663" s="12">
        <f>_xlfn.XLOOKUP(Assumptions!$B$2,Assumptions!$F$4:$H$4,Assumptions!$F$8:$H$8)</f>
        <v>0.1</v>
      </c>
      <c r="L663" s="12">
        <f>_xlfn.XLOOKUP(Assumptions!$B$2,Assumptions!$F$4:$H$4,Assumptions!$F$9:$H$9)</f>
        <v>0.18</v>
      </c>
      <c r="M663" s="18">
        <f>_xlfn.XLOOKUP(Assumptions!$B$2,Assumptions!$F$4:$H$4,Assumptions!$F$10:$H$10)</f>
        <v>18000</v>
      </c>
      <c r="N663" s="12">
        <f>_xlfn.XLOOKUP(Assumptions!$B$2,Assumptions!$F$4:$H$4,Assumptions!$F$11:$H$11)</f>
        <v>0.3</v>
      </c>
      <c r="O663" s="14">
        <f>Final_Table[[#This Row],[Units Sold]]*Final_Table[[#This Row],[Sale Price]]</f>
        <v>20400</v>
      </c>
      <c r="P663" s="14">
        <f>Final_Table[[#This Row],[Gross Revenue]]*(1-Final_Table[[#This Row],[Discount %]])</f>
        <v>18360</v>
      </c>
      <c r="Q663">
        <f>Final_Table[[#This Row],[Net Revenue]]*Final_Table[[#This Row],[Variable Cost %]]</f>
        <v>3304.7999999999997</v>
      </c>
      <c r="R663">
        <f>Final_Table[[#This Row],[Variable Cost]]+Final_Table[[#This Row],[Fixed Monthly Cost]]</f>
        <v>21304.799999999999</v>
      </c>
      <c r="S663" s="5">
        <f>Final_Table[[#This Row],[Net Revenue]]-Final_Table[[#This Row],[Total Cost (COGS)]]</f>
        <v>-2944.7999999999993</v>
      </c>
      <c r="T663">
        <f>Final_Table[[#This Row],[Gross Profit]]*Final_Table[[#This Row],[Tax Rate]]</f>
        <v>-883.43999999999971</v>
      </c>
      <c r="U663" s="5">
        <f>Final_Table[[#This Row],[Gross Profit]]-Final_Table[[#This Row],[Tax]]</f>
        <v>-2061.3599999999997</v>
      </c>
      <c r="V663" s="12">
        <f>Final_Table[[#This Row],[Net Profit]]/Final_Table[[#This Row],[Gross Revenue]]</f>
        <v>-0.10104705882352939</v>
      </c>
    </row>
    <row r="664" spans="1:22">
      <c r="A664" s="18" t="s">
        <v>72</v>
      </c>
      <c r="B664">
        <v>2014</v>
      </c>
      <c r="C664" t="s">
        <v>123</v>
      </c>
      <c r="D664">
        <v>1</v>
      </c>
      <c r="E664" s="18" t="s">
        <v>29</v>
      </c>
      <c r="F664" s="18" t="s">
        <v>112</v>
      </c>
      <c r="G664" s="18" t="s">
        <v>21</v>
      </c>
      <c r="H664" s="18" t="str">
        <f>Assumptions!$B$2</f>
        <v>Worst</v>
      </c>
      <c r="I664" s="18">
        <f>_xlfn.XLOOKUP(Assumptions!$B$2,Assumptions!$F$4:$H$4,Assumptions!$F$5:$H$5)</f>
        <v>1200</v>
      </c>
      <c r="J664" s="18">
        <f>_xlfn.XLOOKUP(Assumptions!$B$2,Assumptions!$F$4:$H$4,Assumptions!$F$6:$H$6)</f>
        <v>17</v>
      </c>
      <c r="K664" s="12">
        <f>_xlfn.XLOOKUP(Assumptions!$B$2,Assumptions!$F$4:$H$4,Assumptions!$F$8:$H$8)</f>
        <v>0.1</v>
      </c>
      <c r="L664" s="12">
        <f>_xlfn.XLOOKUP(Assumptions!$B$2,Assumptions!$F$4:$H$4,Assumptions!$F$9:$H$9)</f>
        <v>0.18</v>
      </c>
      <c r="M664" s="18">
        <f>_xlfn.XLOOKUP(Assumptions!$B$2,Assumptions!$F$4:$H$4,Assumptions!$F$10:$H$10)</f>
        <v>18000</v>
      </c>
      <c r="N664" s="12">
        <f>_xlfn.XLOOKUP(Assumptions!$B$2,Assumptions!$F$4:$H$4,Assumptions!$F$11:$H$11)</f>
        <v>0.3</v>
      </c>
      <c r="O664" s="14">
        <f>Final_Table[[#This Row],[Units Sold]]*Final_Table[[#This Row],[Sale Price]]</f>
        <v>20400</v>
      </c>
      <c r="P664" s="14">
        <f>Final_Table[[#This Row],[Gross Revenue]]*(1-Final_Table[[#This Row],[Discount %]])</f>
        <v>18360</v>
      </c>
      <c r="Q664">
        <f>Final_Table[[#This Row],[Net Revenue]]*Final_Table[[#This Row],[Variable Cost %]]</f>
        <v>3304.7999999999997</v>
      </c>
      <c r="R664">
        <f>Final_Table[[#This Row],[Variable Cost]]+Final_Table[[#This Row],[Fixed Monthly Cost]]</f>
        <v>21304.799999999999</v>
      </c>
      <c r="S664" s="5">
        <f>Final_Table[[#This Row],[Net Revenue]]-Final_Table[[#This Row],[Total Cost (COGS)]]</f>
        <v>-2944.7999999999993</v>
      </c>
      <c r="T664">
        <f>Final_Table[[#This Row],[Gross Profit]]*Final_Table[[#This Row],[Tax Rate]]</f>
        <v>-883.43999999999971</v>
      </c>
      <c r="U664" s="5">
        <f>Final_Table[[#This Row],[Gross Profit]]-Final_Table[[#This Row],[Tax]]</f>
        <v>-2061.3599999999997</v>
      </c>
      <c r="V664" s="12">
        <f>Final_Table[[#This Row],[Net Profit]]/Final_Table[[#This Row],[Gross Revenue]]</f>
        <v>-0.10104705882352939</v>
      </c>
    </row>
    <row r="665" spans="1:22">
      <c r="A665" s="18" t="s">
        <v>72</v>
      </c>
      <c r="B665">
        <v>2014</v>
      </c>
      <c r="C665" t="s">
        <v>123</v>
      </c>
      <c r="D665">
        <v>1</v>
      </c>
      <c r="E665" s="18" t="s">
        <v>29</v>
      </c>
      <c r="F665" s="18" t="s">
        <v>112</v>
      </c>
      <c r="G665" s="18" t="s">
        <v>25</v>
      </c>
      <c r="H665" s="18" t="str">
        <f>Assumptions!$B$2</f>
        <v>Worst</v>
      </c>
      <c r="I665" s="18">
        <f>_xlfn.XLOOKUP(Assumptions!$B$2,Assumptions!$F$4:$H$4,Assumptions!$F$5:$H$5)</f>
        <v>1200</v>
      </c>
      <c r="J665" s="18">
        <f>_xlfn.XLOOKUP(Assumptions!$B$2,Assumptions!$F$4:$H$4,Assumptions!$F$6:$H$6)</f>
        <v>17</v>
      </c>
      <c r="K665" s="12">
        <f>_xlfn.XLOOKUP(Assumptions!$B$2,Assumptions!$F$4:$H$4,Assumptions!$F$8:$H$8)</f>
        <v>0.1</v>
      </c>
      <c r="L665" s="12">
        <f>_xlfn.XLOOKUP(Assumptions!$B$2,Assumptions!$F$4:$H$4,Assumptions!$F$9:$H$9)</f>
        <v>0.18</v>
      </c>
      <c r="M665" s="18">
        <f>_xlfn.XLOOKUP(Assumptions!$B$2,Assumptions!$F$4:$H$4,Assumptions!$F$10:$H$10)</f>
        <v>18000</v>
      </c>
      <c r="N665" s="12">
        <f>_xlfn.XLOOKUP(Assumptions!$B$2,Assumptions!$F$4:$H$4,Assumptions!$F$11:$H$11)</f>
        <v>0.3</v>
      </c>
      <c r="O665" s="14">
        <f>Final_Table[[#This Row],[Units Sold]]*Final_Table[[#This Row],[Sale Price]]</f>
        <v>20400</v>
      </c>
      <c r="P665" s="14">
        <f>Final_Table[[#This Row],[Gross Revenue]]*(1-Final_Table[[#This Row],[Discount %]])</f>
        <v>18360</v>
      </c>
      <c r="Q665">
        <f>Final_Table[[#This Row],[Net Revenue]]*Final_Table[[#This Row],[Variable Cost %]]</f>
        <v>3304.7999999999997</v>
      </c>
      <c r="R665">
        <f>Final_Table[[#This Row],[Variable Cost]]+Final_Table[[#This Row],[Fixed Monthly Cost]]</f>
        <v>21304.799999999999</v>
      </c>
      <c r="S665" s="5">
        <f>Final_Table[[#This Row],[Net Revenue]]-Final_Table[[#This Row],[Total Cost (COGS)]]</f>
        <v>-2944.7999999999993</v>
      </c>
      <c r="T665">
        <f>Final_Table[[#This Row],[Gross Profit]]*Final_Table[[#This Row],[Tax Rate]]</f>
        <v>-883.43999999999971</v>
      </c>
      <c r="U665" s="5">
        <f>Final_Table[[#This Row],[Gross Profit]]-Final_Table[[#This Row],[Tax]]</f>
        <v>-2061.3599999999997</v>
      </c>
      <c r="V665" s="12">
        <f>Final_Table[[#This Row],[Net Profit]]/Final_Table[[#This Row],[Gross Revenue]]</f>
        <v>-0.10104705882352939</v>
      </c>
    </row>
    <row r="666" spans="1:22">
      <c r="A666" s="18" t="s">
        <v>72</v>
      </c>
      <c r="B666">
        <v>2014</v>
      </c>
      <c r="C666" t="s">
        <v>123</v>
      </c>
      <c r="D666">
        <v>1</v>
      </c>
      <c r="E666" s="18" t="s">
        <v>29</v>
      </c>
      <c r="F666" s="18" t="s">
        <v>112</v>
      </c>
      <c r="G666" s="18" t="s">
        <v>17</v>
      </c>
      <c r="H666" s="18" t="str">
        <f>Assumptions!$B$2</f>
        <v>Worst</v>
      </c>
      <c r="I666" s="18">
        <f>_xlfn.XLOOKUP(Assumptions!$B$2,Assumptions!$F$4:$H$4,Assumptions!$F$5:$H$5)</f>
        <v>1200</v>
      </c>
      <c r="J666" s="18">
        <f>_xlfn.XLOOKUP(Assumptions!$B$2,Assumptions!$F$4:$H$4,Assumptions!$F$6:$H$6)</f>
        <v>17</v>
      </c>
      <c r="K666" s="12">
        <f>_xlfn.XLOOKUP(Assumptions!$B$2,Assumptions!$F$4:$H$4,Assumptions!$F$8:$H$8)</f>
        <v>0.1</v>
      </c>
      <c r="L666" s="12">
        <f>_xlfn.XLOOKUP(Assumptions!$B$2,Assumptions!$F$4:$H$4,Assumptions!$F$9:$H$9)</f>
        <v>0.18</v>
      </c>
      <c r="M666" s="18">
        <f>_xlfn.XLOOKUP(Assumptions!$B$2,Assumptions!$F$4:$H$4,Assumptions!$F$10:$H$10)</f>
        <v>18000</v>
      </c>
      <c r="N666" s="12">
        <f>_xlfn.XLOOKUP(Assumptions!$B$2,Assumptions!$F$4:$H$4,Assumptions!$F$11:$H$11)</f>
        <v>0.3</v>
      </c>
      <c r="O666" s="14">
        <f>Final_Table[[#This Row],[Units Sold]]*Final_Table[[#This Row],[Sale Price]]</f>
        <v>20400</v>
      </c>
      <c r="P666" s="14">
        <f>Final_Table[[#This Row],[Gross Revenue]]*(1-Final_Table[[#This Row],[Discount %]])</f>
        <v>18360</v>
      </c>
      <c r="Q666">
        <f>Final_Table[[#This Row],[Net Revenue]]*Final_Table[[#This Row],[Variable Cost %]]</f>
        <v>3304.7999999999997</v>
      </c>
      <c r="R666">
        <f>Final_Table[[#This Row],[Variable Cost]]+Final_Table[[#This Row],[Fixed Monthly Cost]]</f>
        <v>21304.799999999999</v>
      </c>
      <c r="S666" s="5">
        <f>Final_Table[[#This Row],[Net Revenue]]-Final_Table[[#This Row],[Total Cost (COGS)]]</f>
        <v>-2944.7999999999993</v>
      </c>
      <c r="T666">
        <f>Final_Table[[#This Row],[Gross Profit]]*Final_Table[[#This Row],[Tax Rate]]</f>
        <v>-883.43999999999971</v>
      </c>
      <c r="U666" s="5">
        <f>Final_Table[[#This Row],[Gross Profit]]-Final_Table[[#This Row],[Tax]]</f>
        <v>-2061.3599999999997</v>
      </c>
      <c r="V666" s="12">
        <f>Final_Table[[#This Row],[Net Profit]]/Final_Table[[#This Row],[Gross Revenue]]</f>
        <v>-0.10104705882352939</v>
      </c>
    </row>
    <row r="667" spans="1:22">
      <c r="A667" s="18" t="s">
        <v>72</v>
      </c>
      <c r="B667">
        <v>2014</v>
      </c>
      <c r="C667" t="s">
        <v>123</v>
      </c>
      <c r="D667">
        <v>1</v>
      </c>
      <c r="E667" s="18" t="s">
        <v>29</v>
      </c>
      <c r="F667" s="18" t="s">
        <v>113</v>
      </c>
      <c r="G667" s="18" t="s">
        <v>36</v>
      </c>
      <c r="H667" s="18" t="str">
        <f>Assumptions!$B$2</f>
        <v>Worst</v>
      </c>
      <c r="I667" s="18">
        <f>_xlfn.XLOOKUP(Assumptions!$B$2,Assumptions!$F$4:$H$4,Assumptions!$F$5:$H$5)</f>
        <v>1200</v>
      </c>
      <c r="J667" s="18">
        <f>_xlfn.XLOOKUP(Assumptions!$B$2,Assumptions!$F$4:$H$4,Assumptions!$F$6:$H$6)</f>
        <v>17</v>
      </c>
      <c r="K667" s="12">
        <f>_xlfn.XLOOKUP(Assumptions!$B$2,Assumptions!$F$4:$H$4,Assumptions!$F$8:$H$8)</f>
        <v>0.1</v>
      </c>
      <c r="L667" s="12">
        <f>_xlfn.XLOOKUP(Assumptions!$B$2,Assumptions!$F$4:$H$4,Assumptions!$F$9:$H$9)</f>
        <v>0.18</v>
      </c>
      <c r="M667" s="18">
        <f>_xlfn.XLOOKUP(Assumptions!$B$2,Assumptions!$F$4:$H$4,Assumptions!$F$10:$H$10)</f>
        <v>18000</v>
      </c>
      <c r="N667" s="12">
        <f>_xlfn.XLOOKUP(Assumptions!$B$2,Assumptions!$F$4:$H$4,Assumptions!$F$11:$H$11)</f>
        <v>0.3</v>
      </c>
      <c r="O667" s="14">
        <f>Final_Table[[#This Row],[Units Sold]]*Final_Table[[#This Row],[Sale Price]]</f>
        <v>20400</v>
      </c>
      <c r="P667" s="14">
        <f>Final_Table[[#This Row],[Gross Revenue]]*(1-Final_Table[[#This Row],[Discount %]])</f>
        <v>18360</v>
      </c>
      <c r="Q667">
        <f>Final_Table[[#This Row],[Net Revenue]]*Final_Table[[#This Row],[Variable Cost %]]</f>
        <v>3304.7999999999997</v>
      </c>
      <c r="R667">
        <f>Final_Table[[#This Row],[Variable Cost]]+Final_Table[[#This Row],[Fixed Monthly Cost]]</f>
        <v>21304.799999999999</v>
      </c>
      <c r="S667" s="5">
        <f>Final_Table[[#This Row],[Net Revenue]]-Final_Table[[#This Row],[Total Cost (COGS)]]</f>
        <v>-2944.7999999999993</v>
      </c>
      <c r="T667">
        <f>Final_Table[[#This Row],[Gross Profit]]*Final_Table[[#This Row],[Tax Rate]]</f>
        <v>-883.43999999999971</v>
      </c>
      <c r="U667" s="5">
        <f>Final_Table[[#This Row],[Gross Profit]]-Final_Table[[#This Row],[Tax]]</f>
        <v>-2061.3599999999997</v>
      </c>
      <c r="V667" s="12">
        <f>Final_Table[[#This Row],[Net Profit]]/Final_Table[[#This Row],[Gross Revenue]]</f>
        <v>-0.10104705882352939</v>
      </c>
    </row>
    <row r="668" spans="1:22">
      <c r="A668" s="18" t="s">
        <v>72</v>
      </c>
      <c r="B668">
        <v>2014</v>
      </c>
      <c r="C668" t="s">
        <v>123</v>
      </c>
      <c r="D668">
        <v>1</v>
      </c>
      <c r="E668" s="18" t="s">
        <v>29</v>
      </c>
      <c r="F668" s="18" t="s">
        <v>113</v>
      </c>
      <c r="G668" s="18" t="s">
        <v>23</v>
      </c>
      <c r="H668" s="18" t="str">
        <f>Assumptions!$B$2</f>
        <v>Worst</v>
      </c>
      <c r="I668" s="18">
        <f>_xlfn.XLOOKUP(Assumptions!$B$2,Assumptions!$F$4:$H$4,Assumptions!$F$5:$H$5)</f>
        <v>1200</v>
      </c>
      <c r="J668" s="18">
        <f>_xlfn.XLOOKUP(Assumptions!$B$2,Assumptions!$F$4:$H$4,Assumptions!$F$6:$H$6)</f>
        <v>17</v>
      </c>
      <c r="K668" s="12">
        <f>_xlfn.XLOOKUP(Assumptions!$B$2,Assumptions!$F$4:$H$4,Assumptions!$F$8:$H$8)</f>
        <v>0.1</v>
      </c>
      <c r="L668" s="12">
        <f>_xlfn.XLOOKUP(Assumptions!$B$2,Assumptions!$F$4:$H$4,Assumptions!$F$9:$H$9)</f>
        <v>0.18</v>
      </c>
      <c r="M668" s="18">
        <f>_xlfn.XLOOKUP(Assumptions!$B$2,Assumptions!$F$4:$H$4,Assumptions!$F$10:$H$10)</f>
        <v>18000</v>
      </c>
      <c r="N668" s="12">
        <f>_xlfn.XLOOKUP(Assumptions!$B$2,Assumptions!$F$4:$H$4,Assumptions!$F$11:$H$11)</f>
        <v>0.3</v>
      </c>
      <c r="O668" s="14">
        <f>Final_Table[[#This Row],[Units Sold]]*Final_Table[[#This Row],[Sale Price]]</f>
        <v>20400</v>
      </c>
      <c r="P668" s="14">
        <f>Final_Table[[#This Row],[Gross Revenue]]*(1-Final_Table[[#This Row],[Discount %]])</f>
        <v>18360</v>
      </c>
      <c r="Q668">
        <f>Final_Table[[#This Row],[Net Revenue]]*Final_Table[[#This Row],[Variable Cost %]]</f>
        <v>3304.7999999999997</v>
      </c>
      <c r="R668">
        <f>Final_Table[[#This Row],[Variable Cost]]+Final_Table[[#This Row],[Fixed Monthly Cost]]</f>
        <v>21304.799999999999</v>
      </c>
      <c r="S668" s="5">
        <f>Final_Table[[#This Row],[Net Revenue]]-Final_Table[[#This Row],[Total Cost (COGS)]]</f>
        <v>-2944.7999999999993</v>
      </c>
      <c r="T668">
        <f>Final_Table[[#This Row],[Gross Profit]]*Final_Table[[#This Row],[Tax Rate]]</f>
        <v>-883.43999999999971</v>
      </c>
      <c r="U668" s="5">
        <f>Final_Table[[#This Row],[Gross Profit]]-Final_Table[[#This Row],[Tax]]</f>
        <v>-2061.3599999999997</v>
      </c>
      <c r="V668" s="12">
        <f>Final_Table[[#This Row],[Net Profit]]/Final_Table[[#This Row],[Gross Revenue]]</f>
        <v>-0.10104705882352939</v>
      </c>
    </row>
    <row r="669" spans="1:22">
      <c r="A669" s="18" t="s">
        <v>72</v>
      </c>
      <c r="B669">
        <v>2014</v>
      </c>
      <c r="C669" t="s">
        <v>123</v>
      </c>
      <c r="D669">
        <v>1</v>
      </c>
      <c r="E669" s="18" t="s">
        <v>29</v>
      </c>
      <c r="F669" s="18" t="s">
        <v>113</v>
      </c>
      <c r="G669" s="18" t="s">
        <v>21</v>
      </c>
      <c r="H669" s="18" t="str">
        <f>Assumptions!$B$2</f>
        <v>Worst</v>
      </c>
      <c r="I669" s="18">
        <f>_xlfn.XLOOKUP(Assumptions!$B$2,Assumptions!$F$4:$H$4,Assumptions!$F$5:$H$5)</f>
        <v>1200</v>
      </c>
      <c r="J669" s="18">
        <f>_xlfn.XLOOKUP(Assumptions!$B$2,Assumptions!$F$4:$H$4,Assumptions!$F$6:$H$6)</f>
        <v>17</v>
      </c>
      <c r="K669" s="12">
        <f>_xlfn.XLOOKUP(Assumptions!$B$2,Assumptions!$F$4:$H$4,Assumptions!$F$8:$H$8)</f>
        <v>0.1</v>
      </c>
      <c r="L669" s="12">
        <f>_xlfn.XLOOKUP(Assumptions!$B$2,Assumptions!$F$4:$H$4,Assumptions!$F$9:$H$9)</f>
        <v>0.18</v>
      </c>
      <c r="M669" s="18">
        <f>_xlfn.XLOOKUP(Assumptions!$B$2,Assumptions!$F$4:$H$4,Assumptions!$F$10:$H$10)</f>
        <v>18000</v>
      </c>
      <c r="N669" s="12">
        <f>_xlfn.XLOOKUP(Assumptions!$B$2,Assumptions!$F$4:$H$4,Assumptions!$F$11:$H$11)</f>
        <v>0.3</v>
      </c>
      <c r="O669" s="14">
        <f>Final_Table[[#This Row],[Units Sold]]*Final_Table[[#This Row],[Sale Price]]</f>
        <v>20400</v>
      </c>
      <c r="P669" s="14">
        <f>Final_Table[[#This Row],[Gross Revenue]]*(1-Final_Table[[#This Row],[Discount %]])</f>
        <v>18360</v>
      </c>
      <c r="Q669">
        <f>Final_Table[[#This Row],[Net Revenue]]*Final_Table[[#This Row],[Variable Cost %]]</f>
        <v>3304.7999999999997</v>
      </c>
      <c r="R669">
        <f>Final_Table[[#This Row],[Variable Cost]]+Final_Table[[#This Row],[Fixed Monthly Cost]]</f>
        <v>21304.799999999999</v>
      </c>
      <c r="S669" s="5">
        <f>Final_Table[[#This Row],[Net Revenue]]-Final_Table[[#This Row],[Total Cost (COGS)]]</f>
        <v>-2944.7999999999993</v>
      </c>
      <c r="T669">
        <f>Final_Table[[#This Row],[Gross Profit]]*Final_Table[[#This Row],[Tax Rate]]</f>
        <v>-883.43999999999971</v>
      </c>
      <c r="U669" s="5">
        <f>Final_Table[[#This Row],[Gross Profit]]-Final_Table[[#This Row],[Tax]]</f>
        <v>-2061.3599999999997</v>
      </c>
      <c r="V669" s="12">
        <f>Final_Table[[#This Row],[Net Profit]]/Final_Table[[#This Row],[Gross Revenue]]</f>
        <v>-0.10104705882352939</v>
      </c>
    </row>
    <row r="670" spans="1:22">
      <c r="A670" s="18" t="s">
        <v>72</v>
      </c>
      <c r="B670">
        <v>2014</v>
      </c>
      <c r="C670" t="s">
        <v>123</v>
      </c>
      <c r="D670">
        <v>1</v>
      </c>
      <c r="E670" s="18" t="s">
        <v>29</v>
      </c>
      <c r="F670" s="18" t="s">
        <v>113</v>
      </c>
      <c r="G670" s="18" t="s">
        <v>25</v>
      </c>
      <c r="H670" s="18" t="str">
        <f>Assumptions!$B$2</f>
        <v>Worst</v>
      </c>
      <c r="I670" s="18">
        <f>_xlfn.XLOOKUP(Assumptions!$B$2,Assumptions!$F$4:$H$4,Assumptions!$F$5:$H$5)</f>
        <v>1200</v>
      </c>
      <c r="J670" s="18">
        <f>_xlfn.XLOOKUP(Assumptions!$B$2,Assumptions!$F$4:$H$4,Assumptions!$F$6:$H$6)</f>
        <v>17</v>
      </c>
      <c r="K670" s="12">
        <f>_xlfn.XLOOKUP(Assumptions!$B$2,Assumptions!$F$4:$H$4,Assumptions!$F$8:$H$8)</f>
        <v>0.1</v>
      </c>
      <c r="L670" s="12">
        <f>_xlfn.XLOOKUP(Assumptions!$B$2,Assumptions!$F$4:$H$4,Assumptions!$F$9:$H$9)</f>
        <v>0.18</v>
      </c>
      <c r="M670" s="18">
        <f>_xlfn.XLOOKUP(Assumptions!$B$2,Assumptions!$F$4:$H$4,Assumptions!$F$10:$H$10)</f>
        <v>18000</v>
      </c>
      <c r="N670" s="12">
        <f>_xlfn.XLOOKUP(Assumptions!$B$2,Assumptions!$F$4:$H$4,Assumptions!$F$11:$H$11)</f>
        <v>0.3</v>
      </c>
      <c r="O670" s="14">
        <f>Final_Table[[#This Row],[Units Sold]]*Final_Table[[#This Row],[Sale Price]]</f>
        <v>20400</v>
      </c>
      <c r="P670" s="14">
        <f>Final_Table[[#This Row],[Gross Revenue]]*(1-Final_Table[[#This Row],[Discount %]])</f>
        <v>18360</v>
      </c>
      <c r="Q670">
        <f>Final_Table[[#This Row],[Net Revenue]]*Final_Table[[#This Row],[Variable Cost %]]</f>
        <v>3304.7999999999997</v>
      </c>
      <c r="R670">
        <f>Final_Table[[#This Row],[Variable Cost]]+Final_Table[[#This Row],[Fixed Monthly Cost]]</f>
        <v>21304.799999999999</v>
      </c>
      <c r="S670" s="5">
        <f>Final_Table[[#This Row],[Net Revenue]]-Final_Table[[#This Row],[Total Cost (COGS)]]</f>
        <v>-2944.7999999999993</v>
      </c>
      <c r="T670">
        <f>Final_Table[[#This Row],[Gross Profit]]*Final_Table[[#This Row],[Tax Rate]]</f>
        <v>-883.43999999999971</v>
      </c>
      <c r="U670" s="5">
        <f>Final_Table[[#This Row],[Gross Profit]]-Final_Table[[#This Row],[Tax]]</f>
        <v>-2061.3599999999997</v>
      </c>
      <c r="V670" s="12">
        <f>Final_Table[[#This Row],[Net Profit]]/Final_Table[[#This Row],[Gross Revenue]]</f>
        <v>-0.10104705882352939</v>
      </c>
    </row>
    <row r="671" spans="1:22">
      <c r="A671" s="18" t="s">
        <v>72</v>
      </c>
      <c r="B671">
        <v>2014</v>
      </c>
      <c r="C671" t="s">
        <v>123</v>
      </c>
      <c r="D671">
        <v>1</v>
      </c>
      <c r="E671" s="18" t="s">
        <v>29</v>
      </c>
      <c r="F671" s="18" t="s">
        <v>113</v>
      </c>
      <c r="G671" s="18" t="s">
        <v>17</v>
      </c>
      <c r="H671" s="18" t="str">
        <f>Assumptions!$B$2</f>
        <v>Worst</v>
      </c>
      <c r="I671" s="18">
        <f>_xlfn.XLOOKUP(Assumptions!$B$2,Assumptions!$F$4:$H$4,Assumptions!$F$5:$H$5)</f>
        <v>1200</v>
      </c>
      <c r="J671" s="18">
        <f>_xlfn.XLOOKUP(Assumptions!$B$2,Assumptions!$F$4:$H$4,Assumptions!$F$6:$H$6)</f>
        <v>17</v>
      </c>
      <c r="K671" s="12">
        <f>_xlfn.XLOOKUP(Assumptions!$B$2,Assumptions!$F$4:$H$4,Assumptions!$F$8:$H$8)</f>
        <v>0.1</v>
      </c>
      <c r="L671" s="12">
        <f>_xlfn.XLOOKUP(Assumptions!$B$2,Assumptions!$F$4:$H$4,Assumptions!$F$9:$H$9)</f>
        <v>0.18</v>
      </c>
      <c r="M671" s="18">
        <f>_xlfn.XLOOKUP(Assumptions!$B$2,Assumptions!$F$4:$H$4,Assumptions!$F$10:$H$10)</f>
        <v>18000</v>
      </c>
      <c r="N671" s="12">
        <f>_xlfn.XLOOKUP(Assumptions!$B$2,Assumptions!$F$4:$H$4,Assumptions!$F$11:$H$11)</f>
        <v>0.3</v>
      </c>
      <c r="O671" s="14">
        <f>Final_Table[[#This Row],[Units Sold]]*Final_Table[[#This Row],[Sale Price]]</f>
        <v>20400</v>
      </c>
      <c r="P671" s="14">
        <f>Final_Table[[#This Row],[Gross Revenue]]*(1-Final_Table[[#This Row],[Discount %]])</f>
        <v>18360</v>
      </c>
      <c r="Q671">
        <f>Final_Table[[#This Row],[Net Revenue]]*Final_Table[[#This Row],[Variable Cost %]]</f>
        <v>3304.7999999999997</v>
      </c>
      <c r="R671">
        <f>Final_Table[[#This Row],[Variable Cost]]+Final_Table[[#This Row],[Fixed Monthly Cost]]</f>
        <v>21304.799999999999</v>
      </c>
      <c r="S671" s="5">
        <f>Final_Table[[#This Row],[Net Revenue]]-Final_Table[[#This Row],[Total Cost (COGS)]]</f>
        <v>-2944.7999999999993</v>
      </c>
      <c r="T671">
        <f>Final_Table[[#This Row],[Gross Profit]]*Final_Table[[#This Row],[Tax Rate]]</f>
        <v>-883.43999999999971</v>
      </c>
      <c r="U671" s="5">
        <f>Final_Table[[#This Row],[Gross Profit]]-Final_Table[[#This Row],[Tax]]</f>
        <v>-2061.3599999999997</v>
      </c>
      <c r="V671" s="12">
        <f>Final_Table[[#This Row],[Net Profit]]/Final_Table[[#This Row],[Gross Revenue]]</f>
        <v>-0.10104705882352939</v>
      </c>
    </row>
    <row r="672" spans="1:22">
      <c r="A672" s="18" t="s">
        <v>72</v>
      </c>
      <c r="B672">
        <v>2014</v>
      </c>
      <c r="C672" t="s">
        <v>123</v>
      </c>
      <c r="D672">
        <v>1</v>
      </c>
      <c r="E672" s="18" t="s">
        <v>29</v>
      </c>
      <c r="F672" s="18" t="s">
        <v>114</v>
      </c>
      <c r="G672" s="18" t="s">
        <v>36</v>
      </c>
      <c r="H672" s="18" t="str">
        <f>Assumptions!$B$2</f>
        <v>Worst</v>
      </c>
      <c r="I672" s="18">
        <f>_xlfn.XLOOKUP(Assumptions!$B$2,Assumptions!$F$4:$H$4,Assumptions!$F$5:$H$5)</f>
        <v>1200</v>
      </c>
      <c r="J672" s="18">
        <f>_xlfn.XLOOKUP(Assumptions!$B$2,Assumptions!$F$4:$H$4,Assumptions!$F$6:$H$6)</f>
        <v>17</v>
      </c>
      <c r="K672" s="12">
        <f>_xlfn.XLOOKUP(Assumptions!$B$2,Assumptions!$F$4:$H$4,Assumptions!$F$8:$H$8)</f>
        <v>0.1</v>
      </c>
      <c r="L672" s="12">
        <f>_xlfn.XLOOKUP(Assumptions!$B$2,Assumptions!$F$4:$H$4,Assumptions!$F$9:$H$9)</f>
        <v>0.18</v>
      </c>
      <c r="M672" s="18">
        <f>_xlfn.XLOOKUP(Assumptions!$B$2,Assumptions!$F$4:$H$4,Assumptions!$F$10:$H$10)</f>
        <v>18000</v>
      </c>
      <c r="N672" s="12">
        <f>_xlfn.XLOOKUP(Assumptions!$B$2,Assumptions!$F$4:$H$4,Assumptions!$F$11:$H$11)</f>
        <v>0.3</v>
      </c>
      <c r="O672" s="14">
        <f>Final_Table[[#This Row],[Units Sold]]*Final_Table[[#This Row],[Sale Price]]</f>
        <v>20400</v>
      </c>
      <c r="P672" s="14">
        <f>Final_Table[[#This Row],[Gross Revenue]]*(1-Final_Table[[#This Row],[Discount %]])</f>
        <v>18360</v>
      </c>
      <c r="Q672">
        <f>Final_Table[[#This Row],[Net Revenue]]*Final_Table[[#This Row],[Variable Cost %]]</f>
        <v>3304.7999999999997</v>
      </c>
      <c r="R672">
        <f>Final_Table[[#This Row],[Variable Cost]]+Final_Table[[#This Row],[Fixed Monthly Cost]]</f>
        <v>21304.799999999999</v>
      </c>
      <c r="S672" s="5">
        <f>Final_Table[[#This Row],[Net Revenue]]-Final_Table[[#This Row],[Total Cost (COGS)]]</f>
        <v>-2944.7999999999993</v>
      </c>
      <c r="T672">
        <f>Final_Table[[#This Row],[Gross Profit]]*Final_Table[[#This Row],[Tax Rate]]</f>
        <v>-883.43999999999971</v>
      </c>
      <c r="U672" s="5">
        <f>Final_Table[[#This Row],[Gross Profit]]-Final_Table[[#This Row],[Tax]]</f>
        <v>-2061.3599999999997</v>
      </c>
      <c r="V672" s="12">
        <f>Final_Table[[#This Row],[Net Profit]]/Final_Table[[#This Row],[Gross Revenue]]</f>
        <v>-0.10104705882352939</v>
      </c>
    </row>
    <row r="673" spans="1:22">
      <c r="A673" s="18" t="s">
        <v>72</v>
      </c>
      <c r="B673">
        <v>2014</v>
      </c>
      <c r="C673" t="s">
        <v>123</v>
      </c>
      <c r="D673">
        <v>1</v>
      </c>
      <c r="E673" s="18" t="s">
        <v>29</v>
      </c>
      <c r="F673" s="18" t="s">
        <v>114</v>
      </c>
      <c r="G673" s="18" t="s">
        <v>23</v>
      </c>
      <c r="H673" s="18" t="str">
        <f>Assumptions!$B$2</f>
        <v>Worst</v>
      </c>
      <c r="I673" s="18">
        <f>_xlfn.XLOOKUP(Assumptions!$B$2,Assumptions!$F$4:$H$4,Assumptions!$F$5:$H$5)</f>
        <v>1200</v>
      </c>
      <c r="J673" s="18">
        <f>_xlfn.XLOOKUP(Assumptions!$B$2,Assumptions!$F$4:$H$4,Assumptions!$F$6:$H$6)</f>
        <v>17</v>
      </c>
      <c r="K673" s="12">
        <f>_xlfn.XLOOKUP(Assumptions!$B$2,Assumptions!$F$4:$H$4,Assumptions!$F$8:$H$8)</f>
        <v>0.1</v>
      </c>
      <c r="L673" s="12">
        <f>_xlfn.XLOOKUP(Assumptions!$B$2,Assumptions!$F$4:$H$4,Assumptions!$F$9:$H$9)</f>
        <v>0.18</v>
      </c>
      <c r="M673" s="18">
        <f>_xlfn.XLOOKUP(Assumptions!$B$2,Assumptions!$F$4:$H$4,Assumptions!$F$10:$H$10)</f>
        <v>18000</v>
      </c>
      <c r="N673" s="12">
        <f>_xlfn.XLOOKUP(Assumptions!$B$2,Assumptions!$F$4:$H$4,Assumptions!$F$11:$H$11)</f>
        <v>0.3</v>
      </c>
      <c r="O673" s="14">
        <f>Final_Table[[#This Row],[Units Sold]]*Final_Table[[#This Row],[Sale Price]]</f>
        <v>20400</v>
      </c>
      <c r="P673" s="14">
        <f>Final_Table[[#This Row],[Gross Revenue]]*(1-Final_Table[[#This Row],[Discount %]])</f>
        <v>18360</v>
      </c>
      <c r="Q673">
        <f>Final_Table[[#This Row],[Net Revenue]]*Final_Table[[#This Row],[Variable Cost %]]</f>
        <v>3304.7999999999997</v>
      </c>
      <c r="R673">
        <f>Final_Table[[#This Row],[Variable Cost]]+Final_Table[[#This Row],[Fixed Monthly Cost]]</f>
        <v>21304.799999999999</v>
      </c>
      <c r="S673" s="5">
        <f>Final_Table[[#This Row],[Net Revenue]]-Final_Table[[#This Row],[Total Cost (COGS)]]</f>
        <v>-2944.7999999999993</v>
      </c>
      <c r="T673">
        <f>Final_Table[[#This Row],[Gross Profit]]*Final_Table[[#This Row],[Tax Rate]]</f>
        <v>-883.43999999999971</v>
      </c>
      <c r="U673" s="5">
        <f>Final_Table[[#This Row],[Gross Profit]]-Final_Table[[#This Row],[Tax]]</f>
        <v>-2061.3599999999997</v>
      </c>
      <c r="V673" s="12">
        <f>Final_Table[[#This Row],[Net Profit]]/Final_Table[[#This Row],[Gross Revenue]]</f>
        <v>-0.10104705882352939</v>
      </c>
    </row>
    <row r="674" spans="1:22">
      <c r="A674" s="18" t="s">
        <v>72</v>
      </c>
      <c r="B674">
        <v>2014</v>
      </c>
      <c r="C674" t="s">
        <v>123</v>
      </c>
      <c r="D674">
        <v>1</v>
      </c>
      <c r="E674" s="18" t="s">
        <v>29</v>
      </c>
      <c r="F674" s="18" t="s">
        <v>114</v>
      </c>
      <c r="G674" s="18" t="s">
        <v>21</v>
      </c>
      <c r="H674" s="18" t="str">
        <f>Assumptions!$B$2</f>
        <v>Worst</v>
      </c>
      <c r="I674" s="18">
        <f>_xlfn.XLOOKUP(Assumptions!$B$2,Assumptions!$F$4:$H$4,Assumptions!$F$5:$H$5)</f>
        <v>1200</v>
      </c>
      <c r="J674" s="18">
        <f>_xlfn.XLOOKUP(Assumptions!$B$2,Assumptions!$F$4:$H$4,Assumptions!$F$6:$H$6)</f>
        <v>17</v>
      </c>
      <c r="K674" s="12">
        <f>_xlfn.XLOOKUP(Assumptions!$B$2,Assumptions!$F$4:$H$4,Assumptions!$F$8:$H$8)</f>
        <v>0.1</v>
      </c>
      <c r="L674" s="12">
        <f>_xlfn.XLOOKUP(Assumptions!$B$2,Assumptions!$F$4:$H$4,Assumptions!$F$9:$H$9)</f>
        <v>0.18</v>
      </c>
      <c r="M674" s="18">
        <f>_xlfn.XLOOKUP(Assumptions!$B$2,Assumptions!$F$4:$H$4,Assumptions!$F$10:$H$10)</f>
        <v>18000</v>
      </c>
      <c r="N674" s="12">
        <f>_xlfn.XLOOKUP(Assumptions!$B$2,Assumptions!$F$4:$H$4,Assumptions!$F$11:$H$11)</f>
        <v>0.3</v>
      </c>
      <c r="O674" s="14">
        <f>Final_Table[[#This Row],[Units Sold]]*Final_Table[[#This Row],[Sale Price]]</f>
        <v>20400</v>
      </c>
      <c r="P674" s="14">
        <f>Final_Table[[#This Row],[Gross Revenue]]*(1-Final_Table[[#This Row],[Discount %]])</f>
        <v>18360</v>
      </c>
      <c r="Q674">
        <f>Final_Table[[#This Row],[Net Revenue]]*Final_Table[[#This Row],[Variable Cost %]]</f>
        <v>3304.7999999999997</v>
      </c>
      <c r="R674">
        <f>Final_Table[[#This Row],[Variable Cost]]+Final_Table[[#This Row],[Fixed Monthly Cost]]</f>
        <v>21304.799999999999</v>
      </c>
      <c r="S674" s="5">
        <f>Final_Table[[#This Row],[Net Revenue]]-Final_Table[[#This Row],[Total Cost (COGS)]]</f>
        <v>-2944.7999999999993</v>
      </c>
      <c r="T674">
        <f>Final_Table[[#This Row],[Gross Profit]]*Final_Table[[#This Row],[Tax Rate]]</f>
        <v>-883.43999999999971</v>
      </c>
      <c r="U674" s="5">
        <f>Final_Table[[#This Row],[Gross Profit]]-Final_Table[[#This Row],[Tax]]</f>
        <v>-2061.3599999999997</v>
      </c>
      <c r="V674" s="12">
        <f>Final_Table[[#This Row],[Net Profit]]/Final_Table[[#This Row],[Gross Revenue]]</f>
        <v>-0.10104705882352939</v>
      </c>
    </row>
    <row r="675" spans="1:22">
      <c r="A675" s="18" t="s">
        <v>72</v>
      </c>
      <c r="B675">
        <v>2014</v>
      </c>
      <c r="C675" t="s">
        <v>123</v>
      </c>
      <c r="D675">
        <v>1</v>
      </c>
      <c r="E675" s="18" t="s">
        <v>29</v>
      </c>
      <c r="F675" s="18" t="s">
        <v>114</v>
      </c>
      <c r="G675" s="18" t="s">
        <v>25</v>
      </c>
      <c r="H675" s="18" t="str">
        <f>Assumptions!$B$2</f>
        <v>Worst</v>
      </c>
      <c r="I675" s="18">
        <f>_xlfn.XLOOKUP(Assumptions!$B$2,Assumptions!$F$4:$H$4,Assumptions!$F$5:$H$5)</f>
        <v>1200</v>
      </c>
      <c r="J675" s="18">
        <f>_xlfn.XLOOKUP(Assumptions!$B$2,Assumptions!$F$4:$H$4,Assumptions!$F$6:$H$6)</f>
        <v>17</v>
      </c>
      <c r="K675" s="12">
        <f>_xlfn.XLOOKUP(Assumptions!$B$2,Assumptions!$F$4:$H$4,Assumptions!$F$8:$H$8)</f>
        <v>0.1</v>
      </c>
      <c r="L675" s="12">
        <f>_xlfn.XLOOKUP(Assumptions!$B$2,Assumptions!$F$4:$H$4,Assumptions!$F$9:$H$9)</f>
        <v>0.18</v>
      </c>
      <c r="M675" s="18">
        <f>_xlfn.XLOOKUP(Assumptions!$B$2,Assumptions!$F$4:$H$4,Assumptions!$F$10:$H$10)</f>
        <v>18000</v>
      </c>
      <c r="N675" s="12">
        <f>_xlfn.XLOOKUP(Assumptions!$B$2,Assumptions!$F$4:$H$4,Assumptions!$F$11:$H$11)</f>
        <v>0.3</v>
      </c>
      <c r="O675" s="14">
        <f>Final_Table[[#This Row],[Units Sold]]*Final_Table[[#This Row],[Sale Price]]</f>
        <v>20400</v>
      </c>
      <c r="P675" s="14">
        <f>Final_Table[[#This Row],[Gross Revenue]]*(1-Final_Table[[#This Row],[Discount %]])</f>
        <v>18360</v>
      </c>
      <c r="Q675">
        <f>Final_Table[[#This Row],[Net Revenue]]*Final_Table[[#This Row],[Variable Cost %]]</f>
        <v>3304.7999999999997</v>
      </c>
      <c r="R675">
        <f>Final_Table[[#This Row],[Variable Cost]]+Final_Table[[#This Row],[Fixed Monthly Cost]]</f>
        <v>21304.799999999999</v>
      </c>
      <c r="S675" s="5">
        <f>Final_Table[[#This Row],[Net Revenue]]-Final_Table[[#This Row],[Total Cost (COGS)]]</f>
        <v>-2944.7999999999993</v>
      </c>
      <c r="T675">
        <f>Final_Table[[#This Row],[Gross Profit]]*Final_Table[[#This Row],[Tax Rate]]</f>
        <v>-883.43999999999971</v>
      </c>
      <c r="U675" s="5">
        <f>Final_Table[[#This Row],[Gross Profit]]-Final_Table[[#This Row],[Tax]]</f>
        <v>-2061.3599999999997</v>
      </c>
      <c r="V675" s="12">
        <f>Final_Table[[#This Row],[Net Profit]]/Final_Table[[#This Row],[Gross Revenue]]</f>
        <v>-0.10104705882352939</v>
      </c>
    </row>
    <row r="676" spans="1:22">
      <c r="A676" s="18" t="s">
        <v>72</v>
      </c>
      <c r="B676">
        <v>2014</v>
      </c>
      <c r="C676" t="s">
        <v>123</v>
      </c>
      <c r="D676">
        <v>1</v>
      </c>
      <c r="E676" s="18" t="s">
        <v>29</v>
      </c>
      <c r="F676" s="18" t="s">
        <v>114</v>
      </c>
      <c r="G676" s="18" t="s">
        <v>17</v>
      </c>
      <c r="H676" s="18" t="str">
        <f>Assumptions!$B$2</f>
        <v>Worst</v>
      </c>
      <c r="I676" s="18">
        <f>_xlfn.XLOOKUP(Assumptions!$B$2,Assumptions!$F$4:$H$4,Assumptions!$F$5:$H$5)</f>
        <v>1200</v>
      </c>
      <c r="J676" s="18">
        <f>_xlfn.XLOOKUP(Assumptions!$B$2,Assumptions!$F$4:$H$4,Assumptions!$F$6:$H$6)</f>
        <v>17</v>
      </c>
      <c r="K676" s="12">
        <f>_xlfn.XLOOKUP(Assumptions!$B$2,Assumptions!$F$4:$H$4,Assumptions!$F$8:$H$8)</f>
        <v>0.1</v>
      </c>
      <c r="L676" s="12">
        <f>_xlfn.XLOOKUP(Assumptions!$B$2,Assumptions!$F$4:$H$4,Assumptions!$F$9:$H$9)</f>
        <v>0.18</v>
      </c>
      <c r="M676" s="18">
        <f>_xlfn.XLOOKUP(Assumptions!$B$2,Assumptions!$F$4:$H$4,Assumptions!$F$10:$H$10)</f>
        <v>18000</v>
      </c>
      <c r="N676" s="12">
        <f>_xlfn.XLOOKUP(Assumptions!$B$2,Assumptions!$F$4:$H$4,Assumptions!$F$11:$H$11)</f>
        <v>0.3</v>
      </c>
      <c r="O676" s="14">
        <f>Final_Table[[#This Row],[Units Sold]]*Final_Table[[#This Row],[Sale Price]]</f>
        <v>20400</v>
      </c>
      <c r="P676" s="14">
        <f>Final_Table[[#This Row],[Gross Revenue]]*(1-Final_Table[[#This Row],[Discount %]])</f>
        <v>18360</v>
      </c>
      <c r="Q676">
        <f>Final_Table[[#This Row],[Net Revenue]]*Final_Table[[#This Row],[Variable Cost %]]</f>
        <v>3304.7999999999997</v>
      </c>
      <c r="R676">
        <f>Final_Table[[#This Row],[Variable Cost]]+Final_Table[[#This Row],[Fixed Monthly Cost]]</f>
        <v>21304.799999999999</v>
      </c>
      <c r="S676" s="5">
        <f>Final_Table[[#This Row],[Net Revenue]]-Final_Table[[#This Row],[Total Cost (COGS)]]</f>
        <v>-2944.7999999999993</v>
      </c>
      <c r="T676">
        <f>Final_Table[[#This Row],[Gross Profit]]*Final_Table[[#This Row],[Tax Rate]]</f>
        <v>-883.43999999999971</v>
      </c>
      <c r="U676" s="5">
        <f>Final_Table[[#This Row],[Gross Profit]]-Final_Table[[#This Row],[Tax]]</f>
        <v>-2061.3599999999997</v>
      </c>
      <c r="V676" s="12">
        <f>Final_Table[[#This Row],[Net Profit]]/Final_Table[[#This Row],[Gross Revenue]]</f>
        <v>-0.10104705882352939</v>
      </c>
    </row>
    <row r="677" spans="1:22">
      <c r="A677" s="18" t="s">
        <v>72</v>
      </c>
      <c r="B677">
        <v>2014</v>
      </c>
      <c r="C677" t="s">
        <v>123</v>
      </c>
      <c r="D677">
        <v>1</v>
      </c>
      <c r="E677" s="18" t="s">
        <v>22</v>
      </c>
      <c r="F677" s="18" t="s">
        <v>80</v>
      </c>
      <c r="G677" s="18" t="s">
        <v>36</v>
      </c>
      <c r="H677" s="18" t="str">
        <f>Assumptions!$B$2</f>
        <v>Worst</v>
      </c>
      <c r="I677" s="18">
        <f>_xlfn.XLOOKUP(Assumptions!$B$2,Assumptions!$F$4:$H$4,Assumptions!$F$5:$H$5)</f>
        <v>1200</v>
      </c>
      <c r="J677" s="18">
        <f>_xlfn.XLOOKUP(Assumptions!$B$2,Assumptions!$F$4:$H$4,Assumptions!$F$6:$H$6)</f>
        <v>17</v>
      </c>
      <c r="K677" s="12">
        <f>_xlfn.XLOOKUP(Assumptions!$B$2,Assumptions!$F$4:$H$4,Assumptions!$F$8:$H$8)</f>
        <v>0.1</v>
      </c>
      <c r="L677" s="12">
        <f>_xlfn.XLOOKUP(Assumptions!$B$2,Assumptions!$F$4:$H$4,Assumptions!$F$9:$H$9)</f>
        <v>0.18</v>
      </c>
      <c r="M677" s="18">
        <f>_xlfn.XLOOKUP(Assumptions!$B$2,Assumptions!$F$4:$H$4,Assumptions!$F$10:$H$10)</f>
        <v>18000</v>
      </c>
      <c r="N677" s="12">
        <f>_xlfn.XLOOKUP(Assumptions!$B$2,Assumptions!$F$4:$H$4,Assumptions!$F$11:$H$11)</f>
        <v>0.3</v>
      </c>
      <c r="O677" s="14">
        <f>Final_Table[[#This Row],[Units Sold]]*Final_Table[[#This Row],[Sale Price]]</f>
        <v>20400</v>
      </c>
      <c r="P677" s="14">
        <f>Final_Table[[#This Row],[Gross Revenue]]*(1-Final_Table[[#This Row],[Discount %]])</f>
        <v>18360</v>
      </c>
      <c r="Q677">
        <f>Final_Table[[#This Row],[Net Revenue]]*Final_Table[[#This Row],[Variable Cost %]]</f>
        <v>3304.7999999999997</v>
      </c>
      <c r="R677">
        <f>Final_Table[[#This Row],[Variable Cost]]+Final_Table[[#This Row],[Fixed Monthly Cost]]</f>
        <v>21304.799999999999</v>
      </c>
      <c r="S677" s="5">
        <f>Final_Table[[#This Row],[Net Revenue]]-Final_Table[[#This Row],[Total Cost (COGS)]]</f>
        <v>-2944.7999999999993</v>
      </c>
      <c r="T677">
        <f>Final_Table[[#This Row],[Gross Profit]]*Final_Table[[#This Row],[Tax Rate]]</f>
        <v>-883.43999999999971</v>
      </c>
      <c r="U677" s="5">
        <f>Final_Table[[#This Row],[Gross Profit]]-Final_Table[[#This Row],[Tax]]</f>
        <v>-2061.3599999999997</v>
      </c>
      <c r="V677" s="12">
        <f>Final_Table[[#This Row],[Net Profit]]/Final_Table[[#This Row],[Gross Revenue]]</f>
        <v>-0.10104705882352939</v>
      </c>
    </row>
    <row r="678" spans="1:22">
      <c r="A678" s="18" t="s">
        <v>72</v>
      </c>
      <c r="B678">
        <v>2014</v>
      </c>
      <c r="C678" t="s">
        <v>123</v>
      </c>
      <c r="D678">
        <v>1</v>
      </c>
      <c r="E678" s="18" t="s">
        <v>22</v>
      </c>
      <c r="F678" s="18" t="s">
        <v>80</v>
      </c>
      <c r="G678" s="18" t="s">
        <v>23</v>
      </c>
      <c r="H678" s="18" t="str">
        <f>Assumptions!$B$2</f>
        <v>Worst</v>
      </c>
      <c r="I678" s="18">
        <f>_xlfn.XLOOKUP(Assumptions!$B$2,Assumptions!$F$4:$H$4,Assumptions!$F$5:$H$5)</f>
        <v>1200</v>
      </c>
      <c r="J678" s="18">
        <f>_xlfn.XLOOKUP(Assumptions!$B$2,Assumptions!$F$4:$H$4,Assumptions!$F$6:$H$6)</f>
        <v>17</v>
      </c>
      <c r="K678" s="12">
        <f>_xlfn.XLOOKUP(Assumptions!$B$2,Assumptions!$F$4:$H$4,Assumptions!$F$8:$H$8)</f>
        <v>0.1</v>
      </c>
      <c r="L678" s="12">
        <f>_xlfn.XLOOKUP(Assumptions!$B$2,Assumptions!$F$4:$H$4,Assumptions!$F$9:$H$9)</f>
        <v>0.18</v>
      </c>
      <c r="M678" s="18">
        <f>_xlfn.XLOOKUP(Assumptions!$B$2,Assumptions!$F$4:$H$4,Assumptions!$F$10:$H$10)</f>
        <v>18000</v>
      </c>
      <c r="N678" s="12">
        <f>_xlfn.XLOOKUP(Assumptions!$B$2,Assumptions!$F$4:$H$4,Assumptions!$F$11:$H$11)</f>
        <v>0.3</v>
      </c>
      <c r="O678" s="14">
        <f>Final_Table[[#This Row],[Units Sold]]*Final_Table[[#This Row],[Sale Price]]</f>
        <v>20400</v>
      </c>
      <c r="P678" s="14">
        <f>Final_Table[[#This Row],[Gross Revenue]]*(1-Final_Table[[#This Row],[Discount %]])</f>
        <v>18360</v>
      </c>
      <c r="Q678">
        <f>Final_Table[[#This Row],[Net Revenue]]*Final_Table[[#This Row],[Variable Cost %]]</f>
        <v>3304.7999999999997</v>
      </c>
      <c r="R678">
        <f>Final_Table[[#This Row],[Variable Cost]]+Final_Table[[#This Row],[Fixed Monthly Cost]]</f>
        <v>21304.799999999999</v>
      </c>
      <c r="S678" s="5">
        <f>Final_Table[[#This Row],[Net Revenue]]-Final_Table[[#This Row],[Total Cost (COGS)]]</f>
        <v>-2944.7999999999993</v>
      </c>
      <c r="T678">
        <f>Final_Table[[#This Row],[Gross Profit]]*Final_Table[[#This Row],[Tax Rate]]</f>
        <v>-883.43999999999971</v>
      </c>
      <c r="U678" s="5">
        <f>Final_Table[[#This Row],[Gross Profit]]-Final_Table[[#This Row],[Tax]]</f>
        <v>-2061.3599999999997</v>
      </c>
      <c r="V678" s="12">
        <f>Final_Table[[#This Row],[Net Profit]]/Final_Table[[#This Row],[Gross Revenue]]</f>
        <v>-0.10104705882352939</v>
      </c>
    </row>
    <row r="679" spans="1:22">
      <c r="A679" s="18" t="s">
        <v>72</v>
      </c>
      <c r="B679">
        <v>2014</v>
      </c>
      <c r="C679" t="s">
        <v>123</v>
      </c>
      <c r="D679">
        <v>1</v>
      </c>
      <c r="E679" s="18" t="s">
        <v>22</v>
      </c>
      <c r="F679" s="18" t="s">
        <v>80</v>
      </c>
      <c r="G679" s="18" t="s">
        <v>21</v>
      </c>
      <c r="H679" s="18" t="str">
        <f>Assumptions!$B$2</f>
        <v>Worst</v>
      </c>
      <c r="I679" s="18">
        <f>_xlfn.XLOOKUP(Assumptions!$B$2,Assumptions!$F$4:$H$4,Assumptions!$F$5:$H$5)</f>
        <v>1200</v>
      </c>
      <c r="J679" s="18">
        <f>_xlfn.XLOOKUP(Assumptions!$B$2,Assumptions!$F$4:$H$4,Assumptions!$F$6:$H$6)</f>
        <v>17</v>
      </c>
      <c r="K679" s="12">
        <f>_xlfn.XLOOKUP(Assumptions!$B$2,Assumptions!$F$4:$H$4,Assumptions!$F$8:$H$8)</f>
        <v>0.1</v>
      </c>
      <c r="L679" s="12">
        <f>_xlfn.XLOOKUP(Assumptions!$B$2,Assumptions!$F$4:$H$4,Assumptions!$F$9:$H$9)</f>
        <v>0.18</v>
      </c>
      <c r="M679" s="18">
        <f>_xlfn.XLOOKUP(Assumptions!$B$2,Assumptions!$F$4:$H$4,Assumptions!$F$10:$H$10)</f>
        <v>18000</v>
      </c>
      <c r="N679" s="12">
        <f>_xlfn.XLOOKUP(Assumptions!$B$2,Assumptions!$F$4:$H$4,Assumptions!$F$11:$H$11)</f>
        <v>0.3</v>
      </c>
      <c r="O679" s="14">
        <f>Final_Table[[#This Row],[Units Sold]]*Final_Table[[#This Row],[Sale Price]]</f>
        <v>20400</v>
      </c>
      <c r="P679" s="14">
        <f>Final_Table[[#This Row],[Gross Revenue]]*(1-Final_Table[[#This Row],[Discount %]])</f>
        <v>18360</v>
      </c>
      <c r="Q679">
        <f>Final_Table[[#This Row],[Net Revenue]]*Final_Table[[#This Row],[Variable Cost %]]</f>
        <v>3304.7999999999997</v>
      </c>
      <c r="R679">
        <f>Final_Table[[#This Row],[Variable Cost]]+Final_Table[[#This Row],[Fixed Monthly Cost]]</f>
        <v>21304.799999999999</v>
      </c>
      <c r="S679" s="5">
        <f>Final_Table[[#This Row],[Net Revenue]]-Final_Table[[#This Row],[Total Cost (COGS)]]</f>
        <v>-2944.7999999999993</v>
      </c>
      <c r="T679">
        <f>Final_Table[[#This Row],[Gross Profit]]*Final_Table[[#This Row],[Tax Rate]]</f>
        <v>-883.43999999999971</v>
      </c>
      <c r="U679" s="5">
        <f>Final_Table[[#This Row],[Gross Profit]]-Final_Table[[#This Row],[Tax]]</f>
        <v>-2061.3599999999997</v>
      </c>
      <c r="V679" s="12">
        <f>Final_Table[[#This Row],[Net Profit]]/Final_Table[[#This Row],[Gross Revenue]]</f>
        <v>-0.10104705882352939</v>
      </c>
    </row>
    <row r="680" spans="1:22">
      <c r="A680" s="18" t="s">
        <v>72</v>
      </c>
      <c r="B680">
        <v>2014</v>
      </c>
      <c r="C680" t="s">
        <v>123</v>
      </c>
      <c r="D680">
        <v>1</v>
      </c>
      <c r="E680" s="18" t="s">
        <v>22</v>
      </c>
      <c r="F680" s="18" t="s">
        <v>80</v>
      </c>
      <c r="G680" s="18" t="s">
        <v>25</v>
      </c>
      <c r="H680" s="18" t="str">
        <f>Assumptions!$B$2</f>
        <v>Worst</v>
      </c>
      <c r="I680" s="18">
        <f>_xlfn.XLOOKUP(Assumptions!$B$2,Assumptions!$F$4:$H$4,Assumptions!$F$5:$H$5)</f>
        <v>1200</v>
      </c>
      <c r="J680" s="18">
        <f>_xlfn.XLOOKUP(Assumptions!$B$2,Assumptions!$F$4:$H$4,Assumptions!$F$6:$H$6)</f>
        <v>17</v>
      </c>
      <c r="K680" s="12">
        <f>_xlfn.XLOOKUP(Assumptions!$B$2,Assumptions!$F$4:$H$4,Assumptions!$F$8:$H$8)</f>
        <v>0.1</v>
      </c>
      <c r="L680" s="12">
        <f>_xlfn.XLOOKUP(Assumptions!$B$2,Assumptions!$F$4:$H$4,Assumptions!$F$9:$H$9)</f>
        <v>0.18</v>
      </c>
      <c r="M680" s="18">
        <f>_xlfn.XLOOKUP(Assumptions!$B$2,Assumptions!$F$4:$H$4,Assumptions!$F$10:$H$10)</f>
        <v>18000</v>
      </c>
      <c r="N680" s="12">
        <f>_xlfn.XLOOKUP(Assumptions!$B$2,Assumptions!$F$4:$H$4,Assumptions!$F$11:$H$11)</f>
        <v>0.3</v>
      </c>
      <c r="O680" s="14">
        <f>Final_Table[[#This Row],[Units Sold]]*Final_Table[[#This Row],[Sale Price]]</f>
        <v>20400</v>
      </c>
      <c r="P680" s="14">
        <f>Final_Table[[#This Row],[Gross Revenue]]*(1-Final_Table[[#This Row],[Discount %]])</f>
        <v>18360</v>
      </c>
      <c r="Q680">
        <f>Final_Table[[#This Row],[Net Revenue]]*Final_Table[[#This Row],[Variable Cost %]]</f>
        <v>3304.7999999999997</v>
      </c>
      <c r="R680">
        <f>Final_Table[[#This Row],[Variable Cost]]+Final_Table[[#This Row],[Fixed Monthly Cost]]</f>
        <v>21304.799999999999</v>
      </c>
      <c r="S680" s="5">
        <f>Final_Table[[#This Row],[Net Revenue]]-Final_Table[[#This Row],[Total Cost (COGS)]]</f>
        <v>-2944.7999999999993</v>
      </c>
      <c r="T680">
        <f>Final_Table[[#This Row],[Gross Profit]]*Final_Table[[#This Row],[Tax Rate]]</f>
        <v>-883.43999999999971</v>
      </c>
      <c r="U680" s="5">
        <f>Final_Table[[#This Row],[Gross Profit]]-Final_Table[[#This Row],[Tax]]</f>
        <v>-2061.3599999999997</v>
      </c>
      <c r="V680" s="12">
        <f>Final_Table[[#This Row],[Net Profit]]/Final_Table[[#This Row],[Gross Revenue]]</f>
        <v>-0.10104705882352939</v>
      </c>
    </row>
    <row r="681" spans="1:22">
      <c r="A681" s="18" t="s">
        <v>72</v>
      </c>
      <c r="B681">
        <v>2014</v>
      </c>
      <c r="C681" t="s">
        <v>123</v>
      </c>
      <c r="D681">
        <v>1</v>
      </c>
      <c r="E681" s="18" t="s">
        <v>22</v>
      </c>
      <c r="F681" s="18" t="s">
        <v>80</v>
      </c>
      <c r="G681" s="18" t="s">
        <v>17</v>
      </c>
      <c r="H681" s="18" t="str">
        <f>Assumptions!$B$2</f>
        <v>Worst</v>
      </c>
      <c r="I681" s="18">
        <f>_xlfn.XLOOKUP(Assumptions!$B$2,Assumptions!$F$4:$H$4,Assumptions!$F$5:$H$5)</f>
        <v>1200</v>
      </c>
      <c r="J681" s="18">
        <f>_xlfn.XLOOKUP(Assumptions!$B$2,Assumptions!$F$4:$H$4,Assumptions!$F$6:$H$6)</f>
        <v>17</v>
      </c>
      <c r="K681" s="12">
        <f>_xlfn.XLOOKUP(Assumptions!$B$2,Assumptions!$F$4:$H$4,Assumptions!$F$8:$H$8)</f>
        <v>0.1</v>
      </c>
      <c r="L681" s="12">
        <f>_xlfn.XLOOKUP(Assumptions!$B$2,Assumptions!$F$4:$H$4,Assumptions!$F$9:$H$9)</f>
        <v>0.18</v>
      </c>
      <c r="M681" s="18">
        <f>_xlfn.XLOOKUP(Assumptions!$B$2,Assumptions!$F$4:$H$4,Assumptions!$F$10:$H$10)</f>
        <v>18000</v>
      </c>
      <c r="N681" s="12">
        <f>_xlfn.XLOOKUP(Assumptions!$B$2,Assumptions!$F$4:$H$4,Assumptions!$F$11:$H$11)</f>
        <v>0.3</v>
      </c>
      <c r="O681" s="14">
        <f>Final_Table[[#This Row],[Units Sold]]*Final_Table[[#This Row],[Sale Price]]</f>
        <v>20400</v>
      </c>
      <c r="P681" s="14">
        <f>Final_Table[[#This Row],[Gross Revenue]]*(1-Final_Table[[#This Row],[Discount %]])</f>
        <v>18360</v>
      </c>
      <c r="Q681">
        <f>Final_Table[[#This Row],[Net Revenue]]*Final_Table[[#This Row],[Variable Cost %]]</f>
        <v>3304.7999999999997</v>
      </c>
      <c r="R681">
        <f>Final_Table[[#This Row],[Variable Cost]]+Final_Table[[#This Row],[Fixed Monthly Cost]]</f>
        <v>21304.799999999999</v>
      </c>
      <c r="S681" s="5">
        <f>Final_Table[[#This Row],[Net Revenue]]-Final_Table[[#This Row],[Total Cost (COGS)]]</f>
        <v>-2944.7999999999993</v>
      </c>
      <c r="T681">
        <f>Final_Table[[#This Row],[Gross Profit]]*Final_Table[[#This Row],[Tax Rate]]</f>
        <v>-883.43999999999971</v>
      </c>
      <c r="U681" s="5">
        <f>Final_Table[[#This Row],[Gross Profit]]-Final_Table[[#This Row],[Tax]]</f>
        <v>-2061.3599999999997</v>
      </c>
      <c r="V681" s="12">
        <f>Final_Table[[#This Row],[Net Profit]]/Final_Table[[#This Row],[Gross Revenue]]</f>
        <v>-0.10104705882352939</v>
      </c>
    </row>
    <row r="682" spans="1:22">
      <c r="A682" s="18" t="s">
        <v>72</v>
      </c>
      <c r="B682">
        <v>2014</v>
      </c>
      <c r="C682" t="s">
        <v>123</v>
      </c>
      <c r="D682">
        <v>1</v>
      </c>
      <c r="E682" s="18" t="s">
        <v>22</v>
      </c>
      <c r="F682" s="18" t="s">
        <v>108</v>
      </c>
      <c r="G682" s="18" t="s">
        <v>36</v>
      </c>
      <c r="H682" s="18" t="str">
        <f>Assumptions!$B$2</f>
        <v>Worst</v>
      </c>
      <c r="I682" s="18">
        <f>_xlfn.XLOOKUP(Assumptions!$B$2,Assumptions!$F$4:$H$4,Assumptions!$F$5:$H$5)</f>
        <v>1200</v>
      </c>
      <c r="J682" s="18">
        <f>_xlfn.XLOOKUP(Assumptions!$B$2,Assumptions!$F$4:$H$4,Assumptions!$F$6:$H$6)</f>
        <v>17</v>
      </c>
      <c r="K682" s="12">
        <f>_xlfn.XLOOKUP(Assumptions!$B$2,Assumptions!$F$4:$H$4,Assumptions!$F$8:$H$8)</f>
        <v>0.1</v>
      </c>
      <c r="L682" s="12">
        <f>_xlfn.XLOOKUP(Assumptions!$B$2,Assumptions!$F$4:$H$4,Assumptions!$F$9:$H$9)</f>
        <v>0.18</v>
      </c>
      <c r="M682" s="18">
        <f>_xlfn.XLOOKUP(Assumptions!$B$2,Assumptions!$F$4:$H$4,Assumptions!$F$10:$H$10)</f>
        <v>18000</v>
      </c>
      <c r="N682" s="12">
        <f>_xlfn.XLOOKUP(Assumptions!$B$2,Assumptions!$F$4:$H$4,Assumptions!$F$11:$H$11)</f>
        <v>0.3</v>
      </c>
      <c r="O682" s="14">
        <f>Final_Table[[#This Row],[Units Sold]]*Final_Table[[#This Row],[Sale Price]]</f>
        <v>20400</v>
      </c>
      <c r="P682" s="14">
        <f>Final_Table[[#This Row],[Gross Revenue]]*(1-Final_Table[[#This Row],[Discount %]])</f>
        <v>18360</v>
      </c>
      <c r="Q682">
        <f>Final_Table[[#This Row],[Net Revenue]]*Final_Table[[#This Row],[Variable Cost %]]</f>
        <v>3304.7999999999997</v>
      </c>
      <c r="R682">
        <f>Final_Table[[#This Row],[Variable Cost]]+Final_Table[[#This Row],[Fixed Monthly Cost]]</f>
        <v>21304.799999999999</v>
      </c>
      <c r="S682" s="5">
        <f>Final_Table[[#This Row],[Net Revenue]]-Final_Table[[#This Row],[Total Cost (COGS)]]</f>
        <v>-2944.7999999999993</v>
      </c>
      <c r="T682">
        <f>Final_Table[[#This Row],[Gross Profit]]*Final_Table[[#This Row],[Tax Rate]]</f>
        <v>-883.43999999999971</v>
      </c>
      <c r="U682" s="5">
        <f>Final_Table[[#This Row],[Gross Profit]]-Final_Table[[#This Row],[Tax]]</f>
        <v>-2061.3599999999997</v>
      </c>
      <c r="V682" s="12">
        <f>Final_Table[[#This Row],[Net Profit]]/Final_Table[[#This Row],[Gross Revenue]]</f>
        <v>-0.10104705882352939</v>
      </c>
    </row>
    <row r="683" spans="1:22">
      <c r="A683" s="18" t="s">
        <v>72</v>
      </c>
      <c r="B683">
        <v>2014</v>
      </c>
      <c r="C683" t="s">
        <v>123</v>
      </c>
      <c r="D683">
        <v>1</v>
      </c>
      <c r="E683" s="18" t="s">
        <v>22</v>
      </c>
      <c r="F683" s="18" t="s">
        <v>108</v>
      </c>
      <c r="G683" s="18" t="s">
        <v>23</v>
      </c>
      <c r="H683" s="18" t="str">
        <f>Assumptions!$B$2</f>
        <v>Worst</v>
      </c>
      <c r="I683" s="18">
        <f>_xlfn.XLOOKUP(Assumptions!$B$2,Assumptions!$F$4:$H$4,Assumptions!$F$5:$H$5)</f>
        <v>1200</v>
      </c>
      <c r="J683" s="18">
        <f>_xlfn.XLOOKUP(Assumptions!$B$2,Assumptions!$F$4:$H$4,Assumptions!$F$6:$H$6)</f>
        <v>17</v>
      </c>
      <c r="K683" s="12">
        <f>_xlfn.XLOOKUP(Assumptions!$B$2,Assumptions!$F$4:$H$4,Assumptions!$F$8:$H$8)</f>
        <v>0.1</v>
      </c>
      <c r="L683" s="12">
        <f>_xlfn.XLOOKUP(Assumptions!$B$2,Assumptions!$F$4:$H$4,Assumptions!$F$9:$H$9)</f>
        <v>0.18</v>
      </c>
      <c r="M683" s="18">
        <f>_xlfn.XLOOKUP(Assumptions!$B$2,Assumptions!$F$4:$H$4,Assumptions!$F$10:$H$10)</f>
        <v>18000</v>
      </c>
      <c r="N683" s="12">
        <f>_xlfn.XLOOKUP(Assumptions!$B$2,Assumptions!$F$4:$H$4,Assumptions!$F$11:$H$11)</f>
        <v>0.3</v>
      </c>
      <c r="O683" s="14">
        <f>Final_Table[[#This Row],[Units Sold]]*Final_Table[[#This Row],[Sale Price]]</f>
        <v>20400</v>
      </c>
      <c r="P683" s="14">
        <f>Final_Table[[#This Row],[Gross Revenue]]*(1-Final_Table[[#This Row],[Discount %]])</f>
        <v>18360</v>
      </c>
      <c r="Q683">
        <f>Final_Table[[#This Row],[Net Revenue]]*Final_Table[[#This Row],[Variable Cost %]]</f>
        <v>3304.7999999999997</v>
      </c>
      <c r="R683">
        <f>Final_Table[[#This Row],[Variable Cost]]+Final_Table[[#This Row],[Fixed Monthly Cost]]</f>
        <v>21304.799999999999</v>
      </c>
      <c r="S683" s="5">
        <f>Final_Table[[#This Row],[Net Revenue]]-Final_Table[[#This Row],[Total Cost (COGS)]]</f>
        <v>-2944.7999999999993</v>
      </c>
      <c r="T683">
        <f>Final_Table[[#This Row],[Gross Profit]]*Final_Table[[#This Row],[Tax Rate]]</f>
        <v>-883.43999999999971</v>
      </c>
      <c r="U683" s="5">
        <f>Final_Table[[#This Row],[Gross Profit]]-Final_Table[[#This Row],[Tax]]</f>
        <v>-2061.3599999999997</v>
      </c>
      <c r="V683" s="12">
        <f>Final_Table[[#This Row],[Net Profit]]/Final_Table[[#This Row],[Gross Revenue]]</f>
        <v>-0.10104705882352939</v>
      </c>
    </row>
    <row r="684" spans="1:22">
      <c r="A684" s="18" t="s">
        <v>72</v>
      </c>
      <c r="B684">
        <v>2014</v>
      </c>
      <c r="C684" t="s">
        <v>123</v>
      </c>
      <c r="D684">
        <v>1</v>
      </c>
      <c r="E684" s="18" t="s">
        <v>22</v>
      </c>
      <c r="F684" s="18" t="s">
        <v>108</v>
      </c>
      <c r="G684" s="18" t="s">
        <v>21</v>
      </c>
      <c r="H684" s="18" t="str">
        <f>Assumptions!$B$2</f>
        <v>Worst</v>
      </c>
      <c r="I684" s="18">
        <f>_xlfn.XLOOKUP(Assumptions!$B$2,Assumptions!$F$4:$H$4,Assumptions!$F$5:$H$5)</f>
        <v>1200</v>
      </c>
      <c r="J684" s="18">
        <f>_xlfn.XLOOKUP(Assumptions!$B$2,Assumptions!$F$4:$H$4,Assumptions!$F$6:$H$6)</f>
        <v>17</v>
      </c>
      <c r="K684" s="12">
        <f>_xlfn.XLOOKUP(Assumptions!$B$2,Assumptions!$F$4:$H$4,Assumptions!$F$8:$H$8)</f>
        <v>0.1</v>
      </c>
      <c r="L684" s="12">
        <f>_xlfn.XLOOKUP(Assumptions!$B$2,Assumptions!$F$4:$H$4,Assumptions!$F$9:$H$9)</f>
        <v>0.18</v>
      </c>
      <c r="M684" s="18">
        <f>_xlfn.XLOOKUP(Assumptions!$B$2,Assumptions!$F$4:$H$4,Assumptions!$F$10:$H$10)</f>
        <v>18000</v>
      </c>
      <c r="N684" s="12">
        <f>_xlfn.XLOOKUP(Assumptions!$B$2,Assumptions!$F$4:$H$4,Assumptions!$F$11:$H$11)</f>
        <v>0.3</v>
      </c>
      <c r="O684" s="14">
        <f>Final_Table[[#This Row],[Units Sold]]*Final_Table[[#This Row],[Sale Price]]</f>
        <v>20400</v>
      </c>
      <c r="P684" s="14">
        <f>Final_Table[[#This Row],[Gross Revenue]]*(1-Final_Table[[#This Row],[Discount %]])</f>
        <v>18360</v>
      </c>
      <c r="Q684">
        <f>Final_Table[[#This Row],[Net Revenue]]*Final_Table[[#This Row],[Variable Cost %]]</f>
        <v>3304.7999999999997</v>
      </c>
      <c r="R684">
        <f>Final_Table[[#This Row],[Variable Cost]]+Final_Table[[#This Row],[Fixed Monthly Cost]]</f>
        <v>21304.799999999999</v>
      </c>
      <c r="S684" s="5">
        <f>Final_Table[[#This Row],[Net Revenue]]-Final_Table[[#This Row],[Total Cost (COGS)]]</f>
        <v>-2944.7999999999993</v>
      </c>
      <c r="T684">
        <f>Final_Table[[#This Row],[Gross Profit]]*Final_Table[[#This Row],[Tax Rate]]</f>
        <v>-883.43999999999971</v>
      </c>
      <c r="U684" s="5">
        <f>Final_Table[[#This Row],[Gross Profit]]-Final_Table[[#This Row],[Tax]]</f>
        <v>-2061.3599999999997</v>
      </c>
      <c r="V684" s="12">
        <f>Final_Table[[#This Row],[Net Profit]]/Final_Table[[#This Row],[Gross Revenue]]</f>
        <v>-0.10104705882352939</v>
      </c>
    </row>
    <row r="685" spans="1:22">
      <c r="A685" s="18" t="s">
        <v>72</v>
      </c>
      <c r="B685">
        <v>2014</v>
      </c>
      <c r="C685" t="s">
        <v>123</v>
      </c>
      <c r="D685">
        <v>1</v>
      </c>
      <c r="E685" s="18" t="s">
        <v>22</v>
      </c>
      <c r="F685" s="18" t="s">
        <v>108</v>
      </c>
      <c r="G685" s="18" t="s">
        <v>25</v>
      </c>
      <c r="H685" s="18" t="str">
        <f>Assumptions!$B$2</f>
        <v>Worst</v>
      </c>
      <c r="I685" s="18">
        <f>_xlfn.XLOOKUP(Assumptions!$B$2,Assumptions!$F$4:$H$4,Assumptions!$F$5:$H$5)</f>
        <v>1200</v>
      </c>
      <c r="J685" s="18">
        <f>_xlfn.XLOOKUP(Assumptions!$B$2,Assumptions!$F$4:$H$4,Assumptions!$F$6:$H$6)</f>
        <v>17</v>
      </c>
      <c r="K685" s="12">
        <f>_xlfn.XLOOKUP(Assumptions!$B$2,Assumptions!$F$4:$H$4,Assumptions!$F$8:$H$8)</f>
        <v>0.1</v>
      </c>
      <c r="L685" s="12">
        <f>_xlfn.XLOOKUP(Assumptions!$B$2,Assumptions!$F$4:$H$4,Assumptions!$F$9:$H$9)</f>
        <v>0.18</v>
      </c>
      <c r="M685" s="18">
        <f>_xlfn.XLOOKUP(Assumptions!$B$2,Assumptions!$F$4:$H$4,Assumptions!$F$10:$H$10)</f>
        <v>18000</v>
      </c>
      <c r="N685" s="12">
        <f>_xlfn.XLOOKUP(Assumptions!$B$2,Assumptions!$F$4:$H$4,Assumptions!$F$11:$H$11)</f>
        <v>0.3</v>
      </c>
      <c r="O685" s="14">
        <f>Final_Table[[#This Row],[Units Sold]]*Final_Table[[#This Row],[Sale Price]]</f>
        <v>20400</v>
      </c>
      <c r="P685" s="14">
        <f>Final_Table[[#This Row],[Gross Revenue]]*(1-Final_Table[[#This Row],[Discount %]])</f>
        <v>18360</v>
      </c>
      <c r="Q685">
        <f>Final_Table[[#This Row],[Net Revenue]]*Final_Table[[#This Row],[Variable Cost %]]</f>
        <v>3304.7999999999997</v>
      </c>
      <c r="R685">
        <f>Final_Table[[#This Row],[Variable Cost]]+Final_Table[[#This Row],[Fixed Monthly Cost]]</f>
        <v>21304.799999999999</v>
      </c>
      <c r="S685" s="5">
        <f>Final_Table[[#This Row],[Net Revenue]]-Final_Table[[#This Row],[Total Cost (COGS)]]</f>
        <v>-2944.7999999999993</v>
      </c>
      <c r="T685">
        <f>Final_Table[[#This Row],[Gross Profit]]*Final_Table[[#This Row],[Tax Rate]]</f>
        <v>-883.43999999999971</v>
      </c>
      <c r="U685" s="5">
        <f>Final_Table[[#This Row],[Gross Profit]]-Final_Table[[#This Row],[Tax]]</f>
        <v>-2061.3599999999997</v>
      </c>
      <c r="V685" s="12">
        <f>Final_Table[[#This Row],[Net Profit]]/Final_Table[[#This Row],[Gross Revenue]]</f>
        <v>-0.10104705882352939</v>
      </c>
    </row>
    <row r="686" spans="1:22">
      <c r="A686" s="18" t="s">
        <v>72</v>
      </c>
      <c r="B686">
        <v>2014</v>
      </c>
      <c r="C686" t="s">
        <v>123</v>
      </c>
      <c r="D686">
        <v>1</v>
      </c>
      <c r="E686" s="18" t="s">
        <v>22</v>
      </c>
      <c r="F686" s="18" t="s">
        <v>108</v>
      </c>
      <c r="G686" s="18" t="s">
        <v>17</v>
      </c>
      <c r="H686" s="18" t="str">
        <f>Assumptions!$B$2</f>
        <v>Worst</v>
      </c>
      <c r="I686" s="18">
        <f>_xlfn.XLOOKUP(Assumptions!$B$2,Assumptions!$F$4:$H$4,Assumptions!$F$5:$H$5)</f>
        <v>1200</v>
      </c>
      <c r="J686" s="18">
        <f>_xlfn.XLOOKUP(Assumptions!$B$2,Assumptions!$F$4:$H$4,Assumptions!$F$6:$H$6)</f>
        <v>17</v>
      </c>
      <c r="K686" s="12">
        <f>_xlfn.XLOOKUP(Assumptions!$B$2,Assumptions!$F$4:$H$4,Assumptions!$F$8:$H$8)</f>
        <v>0.1</v>
      </c>
      <c r="L686" s="12">
        <f>_xlfn.XLOOKUP(Assumptions!$B$2,Assumptions!$F$4:$H$4,Assumptions!$F$9:$H$9)</f>
        <v>0.18</v>
      </c>
      <c r="M686" s="18">
        <f>_xlfn.XLOOKUP(Assumptions!$B$2,Assumptions!$F$4:$H$4,Assumptions!$F$10:$H$10)</f>
        <v>18000</v>
      </c>
      <c r="N686" s="12">
        <f>_xlfn.XLOOKUP(Assumptions!$B$2,Assumptions!$F$4:$H$4,Assumptions!$F$11:$H$11)</f>
        <v>0.3</v>
      </c>
      <c r="O686" s="14">
        <f>Final_Table[[#This Row],[Units Sold]]*Final_Table[[#This Row],[Sale Price]]</f>
        <v>20400</v>
      </c>
      <c r="P686" s="14">
        <f>Final_Table[[#This Row],[Gross Revenue]]*(1-Final_Table[[#This Row],[Discount %]])</f>
        <v>18360</v>
      </c>
      <c r="Q686">
        <f>Final_Table[[#This Row],[Net Revenue]]*Final_Table[[#This Row],[Variable Cost %]]</f>
        <v>3304.7999999999997</v>
      </c>
      <c r="R686">
        <f>Final_Table[[#This Row],[Variable Cost]]+Final_Table[[#This Row],[Fixed Monthly Cost]]</f>
        <v>21304.799999999999</v>
      </c>
      <c r="S686" s="5">
        <f>Final_Table[[#This Row],[Net Revenue]]-Final_Table[[#This Row],[Total Cost (COGS)]]</f>
        <v>-2944.7999999999993</v>
      </c>
      <c r="T686">
        <f>Final_Table[[#This Row],[Gross Profit]]*Final_Table[[#This Row],[Tax Rate]]</f>
        <v>-883.43999999999971</v>
      </c>
      <c r="U686" s="5">
        <f>Final_Table[[#This Row],[Gross Profit]]-Final_Table[[#This Row],[Tax]]</f>
        <v>-2061.3599999999997</v>
      </c>
      <c r="V686" s="12">
        <f>Final_Table[[#This Row],[Net Profit]]/Final_Table[[#This Row],[Gross Revenue]]</f>
        <v>-0.10104705882352939</v>
      </c>
    </row>
    <row r="687" spans="1:22">
      <c r="A687" s="18" t="s">
        <v>72</v>
      </c>
      <c r="B687">
        <v>2014</v>
      </c>
      <c r="C687" t="s">
        <v>123</v>
      </c>
      <c r="D687">
        <v>1</v>
      </c>
      <c r="E687" s="18" t="s">
        <v>22</v>
      </c>
      <c r="F687" s="18" t="s">
        <v>112</v>
      </c>
      <c r="G687" s="18" t="s">
        <v>36</v>
      </c>
      <c r="H687" s="18" t="str">
        <f>Assumptions!$B$2</f>
        <v>Worst</v>
      </c>
      <c r="I687" s="18">
        <f>_xlfn.XLOOKUP(Assumptions!$B$2,Assumptions!$F$4:$H$4,Assumptions!$F$5:$H$5)</f>
        <v>1200</v>
      </c>
      <c r="J687" s="18">
        <f>_xlfn.XLOOKUP(Assumptions!$B$2,Assumptions!$F$4:$H$4,Assumptions!$F$6:$H$6)</f>
        <v>17</v>
      </c>
      <c r="K687" s="12">
        <f>_xlfn.XLOOKUP(Assumptions!$B$2,Assumptions!$F$4:$H$4,Assumptions!$F$8:$H$8)</f>
        <v>0.1</v>
      </c>
      <c r="L687" s="12">
        <f>_xlfn.XLOOKUP(Assumptions!$B$2,Assumptions!$F$4:$H$4,Assumptions!$F$9:$H$9)</f>
        <v>0.18</v>
      </c>
      <c r="M687" s="18">
        <f>_xlfn.XLOOKUP(Assumptions!$B$2,Assumptions!$F$4:$H$4,Assumptions!$F$10:$H$10)</f>
        <v>18000</v>
      </c>
      <c r="N687" s="12">
        <f>_xlfn.XLOOKUP(Assumptions!$B$2,Assumptions!$F$4:$H$4,Assumptions!$F$11:$H$11)</f>
        <v>0.3</v>
      </c>
      <c r="O687" s="14">
        <f>Final_Table[[#This Row],[Units Sold]]*Final_Table[[#This Row],[Sale Price]]</f>
        <v>20400</v>
      </c>
      <c r="P687" s="14">
        <f>Final_Table[[#This Row],[Gross Revenue]]*(1-Final_Table[[#This Row],[Discount %]])</f>
        <v>18360</v>
      </c>
      <c r="Q687">
        <f>Final_Table[[#This Row],[Net Revenue]]*Final_Table[[#This Row],[Variable Cost %]]</f>
        <v>3304.7999999999997</v>
      </c>
      <c r="R687">
        <f>Final_Table[[#This Row],[Variable Cost]]+Final_Table[[#This Row],[Fixed Monthly Cost]]</f>
        <v>21304.799999999999</v>
      </c>
      <c r="S687" s="5">
        <f>Final_Table[[#This Row],[Net Revenue]]-Final_Table[[#This Row],[Total Cost (COGS)]]</f>
        <v>-2944.7999999999993</v>
      </c>
      <c r="T687">
        <f>Final_Table[[#This Row],[Gross Profit]]*Final_Table[[#This Row],[Tax Rate]]</f>
        <v>-883.43999999999971</v>
      </c>
      <c r="U687" s="5">
        <f>Final_Table[[#This Row],[Gross Profit]]-Final_Table[[#This Row],[Tax]]</f>
        <v>-2061.3599999999997</v>
      </c>
      <c r="V687" s="12">
        <f>Final_Table[[#This Row],[Net Profit]]/Final_Table[[#This Row],[Gross Revenue]]</f>
        <v>-0.10104705882352939</v>
      </c>
    </row>
    <row r="688" spans="1:22">
      <c r="A688" s="18" t="s">
        <v>72</v>
      </c>
      <c r="B688">
        <v>2014</v>
      </c>
      <c r="C688" t="s">
        <v>123</v>
      </c>
      <c r="D688">
        <v>1</v>
      </c>
      <c r="E688" s="18" t="s">
        <v>22</v>
      </c>
      <c r="F688" s="18" t="s">
        <v>112</v>
      </c>
      <c r="G688" s="18" t="s">
        <v>23</v>
      </c>
      <c r="H688" s="18" t="str">
        <f>Assumptions!$B$2</f>
        <v>Worst</v>
      </c>
      <c r="I688" s="18">
        <f>_xlfn.XLOOKUP(Assumptions!$B$2,Assumptions!$F$4:$H$4,Assumptions!$F$5:$H$5)</f>
        <v>1200</v>
      </c>
      <c r="J688" s="18">
        <f>_xlfn.XLOOKUP(Assumptions!$B$2,Assumptions!$F$4:$H$4,Assumptions!$F$6:$H$6)</f>
        <v>17</v>
      </c>
      <c r="K688" s="12">
        <f>_xlfn.XLOOKUP(Assumptions!$B$2,Assumptions!$F$4:$H$4,Assumptions!$F$8:$H$8)</f>
        <v>0.1</v>
      </c>
      <c r="L688" s="12">
        <f>_xlfn.XLOOKUP(Assumptions!$B$2,Assumptions!$F$4:$H$4,Assumptions!$F$9:$H$9)</f>
        <v>0.18</v>
      </c>
      <c r="M688" s="18">
        <f>_xlfn.XLOOKUP(Assumptions!$B$2,Assumptions!$F$4:$H$4,Assumptions!$F$10:$H$10)</f>
        <v>18000</v>
      </c>
      <c r="N688" s="12">
        <f>_xlfn.XLOOKUP(Assumptions!$B$2,Assumptions!$F$4:$H$4,Assumptions!$F$11:$H$11)</f>
        <v>0.3</v>
      </c>
      <c r="O688" s="14">
        <f>Final_Table[[#This Row],[Units Sold]]*Final_Table[[#This Row],[Sale Price]]</f>
        <v>20400</v>
      </c>
      <c r="P688" s="14">
        <f>Final_Table[[#This Row],[Gross Revenue]]*(1-Final_Table[[#This Row],[Discount %]])</f>
        <v>18360</v>
      </c>
      <c r="Q688">
        <f>Final_Table[[#This Row],[Net Revenue]]*Final_Table[[#This Row],[Variable Cost %]]</f>
        <v>3304.7999999999997</v>
      </c>
      <c r="R688">
        <f>Final_Table[[#This Row],[Variable Cost]]+Final_Table[[#This Row],[Fixed Monthly Cost]]</f>
        <v>21304.799999999999</v>
      </c>
      <c r="S688" s="5">
        <f>Final_Table[[#This Row],[Net Revenue]]-Final_Table[[#This Row],[Total Cost (COGS)]]</f>
        <v>-2944.7999999999993</v>
      </c>
      <c r="T688">
        <f>Final_Table[[#This Row],[Gross Profit]]*Final_Table[[#This Row],[Tax Rate]]</f>
        <v>-883.43999999999971</v>
      </c>
      <c r="U688" s="5">
        <f>Final_Table[[#This Row],[Gross Profit]]-Final_Table[[#This Row],[Tax]]</f>
        <v>-2061.3599999999997</v>
      </c>
      <c r="V688" s="12">
        <f>Final_Table[[#This Row],[Net Profit]]/Final_Table[[#This Row],[Gross Revenue]]</f>
        <v>-0.10104705882352939</v>
      </c>
    </row>
    <row r="689" spans="1:22">
      <c r="A689" s="18" t="s">
        <v>72</v>
      </c>
      <c r="B689">
        <v>2014</v>
      </c>
      <c r="C689" t="s">
        <v>123</v>
      </c>
      <c r="D689">
        <v>1</v>
      </c>
      <c r="E689" s="18" t="s">
        <v>22</v>
      </c>
      <c r="F689" s="18" t="s">
        <v>112</v>
      </c>
      <c r="G689" s="18" t="s">
        <v>21</v>
      </c>
      <c r="H689" s="18" t="str">
        <f>Assumptions!$B$2</f>
        <v>Worst</v>
      </c>
      <c r="I689" s="18">
        <f>_xlfn.XLOOKUP(Assumptions!$B$2,Assumptions!$F$4:$H$4,Assumptions!$F$5:$H$5)</f>
        <v>1200</v>
      </c>
      <c r="J689" s="18">
        <f>_xlfn.XLOOKUP(Assumptions!$B$2,Assumptions!$F$4:$H$4,Assumptions!$F$6:$H$6)</f>
        <v>17</v>
      </c>
      <c r="K689" s="12">
        <f>_xlfn.XLOOKUP(Assumptions!$B$2,Assumptions!$F$4:$H$4,Assumptions!$F$8:$H$8)</f>
        <v>0.1</v>
      </c>
      <c r="L689" s="12">
        <f>_xlfn.XLOOKUP(Assumptions!$B$2,Assumptions!$F$4:$H$4,Assumptions!$F$9:$H$9)</f>
        <v>0.18</v>
      </c>
      <c r="M689" s="18">
        <f>_xlfn.XLOOKUP(Assumptions!$B$2,Assumptions!$F$4:$H$4,Assumptions!$F$10:$H$10)</f>
        <v>18000</v>
      </c>
      <c r="N689" s="12">
        <f>_xlfn.XLOOKUP(Assumptions!$B$2,Assumptions!$F$4:$H$4,Assumptions!$F$11:$H$11)</f>
        <v>0.3</v>
      </c>
      <c r="O689" s="14">
        <f>Final_Table[[#This Row],[Units Sold]]*Final_Table[[#This Row],[Sale Price]]</f>
        <v>20400</v>
      </c>
      <c r="P689" s="14">
        <f>Final_Table[[#This Row],[Gross Revenue]]*(1-Final_Table[[#This Row],[Discount %]])</f>
        <v>18360</v>
      </c>
      <c r="Q689">
        <f>Final_Table[[#This Row],[Net Revenue]]*Final_Table[[#This Row],[Variable Cost %]]</f>
        <v>3304.7999999999997</v>
      </c>
      <c r="R689">
        <f>Final_Table[[#This Row],[Variable Cost]]+Final_Table[[#This Row],[Fixed Monthly Cost]]</f>
        <v>21304.799999999999</v>
      </c>
      <c r="S689" s="5">
        <f>Final_Table[[#This Row],[Net Revenue]]-Final_Table[[#This Row],[Total Cost (COGS)]]</f>
        <v>-2944.7999999999993</v>
      </c>
      <c r="T689">
        <f>Final_Table[[#This Row],[Gross Profit]]*Final_Table[[#This Row],[Tax Rate]]</f>
        <v>-883.43999999999971</v>
      </c>
      <c r="U689" s="5">
        <f>Final_Table[[#This Row],[Gross Profit]]-Final_Table[[#This Row],[Tax]]</f>
        <v>-2061.3599999999997</v>
      </c>
      <c r="V689" s="12">
        <f>Final_Table[[#This Row],[Net Profit]]/Final_Table[[#This Row],[Gross Revenue]]</f>
        <v>-0.10104705882352939</v>
      </c>
    </row>
    <row r="690" spans="1:22">
      <c r="A690" s="18" t="s">
        <v>72</v>
      </c>
      <c r="B690">
        <v>2014</v>
      </c>
      <c r="C690" t="s">
        <v>123</v>
      </c>
      <c r="D690">
        <v>1</v>
      </c>
      <c r="E690" s="18" t="s">
        <v>22</v>
      </c>
      <c r="F690" s="18" t="s">
        <v>112</v>
      </c>
      <c r="G690" s="18" t="s">
        <v>25</v>
      </c>
      <c r="H690" s="18" t="str">
        <f>Assumptions!$B$2</f>
        <v>Worst</v>
      </c>
      <c r="I690" s="18">
        <f>_xlfn.XLOOKUP(Assumptions!$B$2,Assumptions!$F$4:$H$4,Assumptions!$F$5:$H$5)</f>
        <v>1200</v>
      </c>
      <c r="J690" s="18">
        <f>_xlfn.XLOOKUP(Assumptions!$B$2,Assumptions!$F$4:$H$4,Assumptions!$F$6:$H$6)</f>
        <v>17</v>
      </c>
      <c r="K690" s="12">
        <f>_xlfn.XLOOKUP(Assumptions!$B$2,Assumptions!$F$4:$H$4,Assumptions!$F$8:$H$8)</f>
        <v>0.1</v>
      </c>
      <c r="L690" s="12">
        <f>_xlfn.XLOOKUP(Assumptions!$B$2,Assumptions!$F$4:$H$4,Assumptions!$F$9:$H$9)</f>
        <v>0.18</v>
      </c>
      <c r="M690" s="18">
        <f>_xlfn.XLOOKUP(Assumptions!$B$2,Assumptions!$F$4:$H$4,Assumptions!$F$10:$H$10)</f>
        <v>18000</v>
      </c>
      <c r="N690" s="12">
        <f>_xlfn.XLOOKUP(Assumptions!$B$2,Assumptions!$F$4:$H$4,Assumptions!$F$11:$H$11)</f>
        <v>0.3</v>
      </c>
      <c r="O690" s="14">
        <f>Final_Table[[#This Row],[Units Sold]]*Final_Table[[#This Row],[Sale Price]]</f>
        <v>20400</v>
      </c>
      <c r="P690" s="14">
        <f>Final_Table[[#This Row],[Gross Revenue]]*(1-Final_Table[[#This Row],[Discount %]])</f>
        <v>18360</v>
      </c>
      <c r="Q690">
        <f>Final_Table[[#This Row],[Net Revenue]]*Final_Table[[#This Row],[Variable Cost %]]</f>
        <v>3304.7999999999997</v>
      </c>
      <c r="R690">
        <f>Final_Table[[#This Row],[Variable Cost]]+Final_Table[[#This Row],[Fixed Monthly Cost]]</f>
        <v>21304.799999999999</v>
      </c>
      <c r="S690" s="5">
        <f>Final_Table[[#This Row],[Net Revenue]]-Final_Table[[#This Row],[Total Cost (COGS)]]</f>
        <v>-2944.7999999999993</v>
      </c>
      <c r="T690">
        <f>Final_Table[[#This Row],[Gross Profit]]*Final_Table[[#This Row],[Tax Rate]]</f>
        <v>-883.43999999999971</v>
      </c>
      <c r="U690" s="5">
        <f>Final_Table[[#This Row],[Gross Profit]]-Final_Table[[#This Row],[Tax]]</f>
        <v>-2061.3599999999997</v>
      </c>
      <c r="V690" s="12">
        <f>Final_Table[[#This Row],[Net Profit]]/Final_Table[[#This Row],[Gross Revenue]]</f>
        <v>-0.10104705882352939</v>
      </c>
    </row>
    <row r="691" spans="1:22">
      <c r="A691" s="18" t="s">
        <v>72</v>
      </c>
      <c r="B691">
        <v>2014</v>
      </c>
      <c r="C691" t="s">
        <v>123</v>
      </c>
      <c r="D691">
        <v>1</v>
      </c>
      <c r="E691" s="18" t="s">
        <v>22</v>
      </c>
      <c r="F691" s="18" t="s">
        <v>112</v>
      </c>
      <c r="G691" s="18" t="s">
        <v>17</v>
      </c>
      <c r="H691" s="18" t="str">
        <f>Assumptions!$B$2</f>
        <v>Worst</v>
      </c>
      <c r="I691" s="18">
        <f>_xlfn.XLOOKUP(Assumptions!$B$2,Assumptions!$F$4:$H$4,Assumptions!$F$5:$H$5)</f>
        <v>1200</v>
      </c>
      <c r="J691" s="18">
        <f>_xlfn.XLOOKUP(Assumptions!$B$2,Assumptions!$F$4:$H$4,Assumptions!$F$6:$H$6)</f>
        <v>17</v>
      </c>
      <c r="K691" s="12">
        <f>_xlfn.XLOOKUP(Assumptions!$B$2,Assumptions!$F$4:$H$4,Assumptions!$F$8:$H$8)</f>
        <v>0.1</v>
      </c>
      <c r="L691" s="12">
        <f>_xlfn.XLOOKUP(Assumptions!$B$2,Assumptions!$F$4:$H$4,Assumptions!$F$9:$H$9)</f>
        <v>0.18</v>
      </c>
      <c r="M691" s="18">
        <f>_xlfn.XLOOKUP(Assumptions!$B$2,Assumptions!$F$4:$H$4,Assumptions!$F$10:$H$10)</f>
        <v>18000</v>
      </c>
      <c r="N691" s="12">
        <f>_xlfn.XLOOKUP(Assumptions!$B$2,Assumptions!$F$4:$H$4,Assumptions!$F$11:$H$11)</f>
        <v>0.3</v>
      </c>
      <c r="O691" s="14">
        <f>Final_Table[[#This Row],[Units Sold]]*Final_Table[[#This Row],[Sale Price]]</f>
        <v>20400</v>
      </c>
      <c r="P691" s="14">
        <f>Final_Table[[#This Row],[Gross Revenue]]*(1-Final_Table[[#This Row],[Discount %]])</f>
        <v>18360</v>
      </c>
      <c r="Q691">
        <f>Final_Table[[#This Row],[Net Revenue]]*Final_Table[[#This Row],[Variable Cost %]]</f>
        <v>3304.7999999999997</v>
      </c>
      <c r="R691">
        <f>Final_Table[[#This Row],[Variable Cost]]+Final_Table[[#This Row],[Fixed Monthly Cost]]</f>
        <v>21304.799999999999</v>
      </c>
      <c r="S691" s="5">
        <f>Final_Table[[#This Row],[Net Revenue]]-Final_Table[[#This Row],[Total Cost (COGS)]]</f>
        <v>-2944.7999999999993</v>
      </c>
      <c r="T691">
        <f>Final_Table[[#This Row],[Gross Profit]]*Final_Table[[#This Row],[Tax Rate]]</f>
        <v>-883.43999999999971</v>
      </c>
      <c r="U691" s="5">
        <f>Final_Table[[#This Row],[Gross Profit]]-Final_Table[[#This Row],[Tax]]</f>
        <v>-2061.3599999999997</v>
      </c>
      <c r="V691" s="12">
        <f>Final_Table[[#This Row],[Net Profit]]/Final_Table[[#This Row],[Gross Revenue]]</f>
        <v>-0.10104705882352939</v>
      </c>
    </row>
    <row r="692" spans="1:22">
      <c r="A692" s="18" t="s">
        <v>72</v>
      </c>
      <c r="B692">
        <v>2014</v>
      </c>
      <c r="C692" t="s">
        <v>123</v>
      </c>
      <c r="D692">
        <v>1</v>
      </c>
      <c r="E692" s="18" t="s">
        <v>22</v>
      </c>
      <c r="F692" s="18" t="s">
        <v>113</v>
      </c>
      <c r="G692" s="18" t="s">
        <v>36</v>
      </c>
      <c r="H692" s="18" t="str">
        <f>Assumptions!$B$2</f>
        <v>Worst</v>
      </c>
      <c r="I692" s="18">
        <f>_xlfn.XLOOKUP(Assumptions!$B$2,Assumptions!$F$4:$H$4,Assumptions!$F$5:$H$5)</f>
        <v>1200</v>
      </c>
      <c r="J692" s="18">
        <f>_xlfn.XLOOKUP(Assumptions!$B$2,Assumptions!$F$4:$H$4,Assumptions!$F$6:$H$6)</f>
        <v>17</v>
      </c>
      <c r="K692" s="12">
        <f>_xlfn.XLOOKUP(Assumptions!$B$2,Assumptions!$F$4:$H$4,Assumptions!$F$8:$H$8)</f>
        <v>0.1</v>
      </c>
      <c r="L692" s="12">
        <f>_xlfn.XLOOKUP(Assumptions!$B$2,Assumptions!$F$4:$H$4,Assumptions!$F$9:$H$9)</f>
        <v>0.18</v>
      </c>
      <c r="M692" s="18">
        <f>_xlfn.XLOOKUP(Assumptions!$B$2,Assumptions!$F$4:$H$4,Assumptions!$F$10:$H$10)</f>
        <v>18000</v>
      </c>
      <c r="N692" s="12">
        <f>_xlfn.XLOOKUP(Assumptions!$B$2,Assumptions!$F$4:$H$4,Assumptions!$F$11:$H$11)</f>
        <v>0.3</v>
      </c>
      <c r="O692" s="14">
        <f>Final_Table[[#This Row],[Units Sold]]*Final_Table[[#This Row],[Sale Price]]</f>
        <v>20400</v>
      </c>
      <c r="P692" s="14">
        <f>Final_Table[[#This Row],[Gross Revenue]]*(1-Final_Table[[#This Row],[Discount %]])</f>
        <v>18360</v>
      </c>
      <c r="Q692">
        <f>Final_Table[[#This Row],[Net Revenue]]*Final_Table[[#This Row],[Variable Cost %]]</f>
        <v>3304.7999999999997</v>
      </c>
      <c r="R692">
        <f>Final_Table[[#This Row],[Variable Cost]]+Final_Table[[#This Row],[Fixed Monthly Cost]]</f>
        <v>21304.799999999999</v>
      </c>
      <c r="S692" s="5">
        <f>Final_Table[[#This Row],[Net Revenue]]-Final_Table[[#This Row],[Total Cost (COGS)]]</f>
        <v>-2944.7999999999993</v>
      </c>
      <c r="T692">
        <f>Final_Table[[#This Row],[Gross Profit]]*Final_Table[[#This Row],[Tax Rate]]</f>
        <v>-883.43999999999971</v>
      </c>
      <c r="U692" s="5">
        <f>Final_Table[[#This Row],[Gross Profit]]-Final_Table[[#This Row],[Tax]]</f>
        <v>-2061.3599999999997</v>
      </c>
      <c r="V692" s="12">
        <f>Final_Table[[#This Row],[Net Profit]]/Final_Table[[#This Row],[Gross Revenue]]</f>
        <v>-0.10104705882352939</v>
      </c>
    </row>
    <row r="693" spans="1:22">
      <c r="A693" s="18" t="s">
        <v>72</v>
      </c>
      <c r="B693">
        <v>2014</v>
      </c>
      <c r="C693" t="s">
        <v>123</v>
      </c>
      <c r="D693">
        <v>1</v>
      </c>
      <c r="E693" s="18" t="s">
        <v>22</v>
      </c>
      <c r="F693" s="18" t="s">
        <v>113</v>
      </c>
      <c r="G693" s="18" t="s">
        <v>23</v>
      </c>
      <c r="H693" s="18" t="str">
        <f>Assumptions!$B$2</f>
        <v>Worst</v>
      </c>
      <c r="I693" s="18">
        <f>_xlfn.XLOOKUP(Assumptions!$B$2,Assumptions!$F$4:$H$4,Assumptions!$F$5:$H$5)</f>
        <v>1200</v>
      </c>
      <c r="J693" s="18">
        <f>_xlfn.XLOOKUP(Assumptions!$B$2,Assumptions!$F$4:$H$4,Assumptions!$F$6:$H$6)</f>
        <v>17</v>
      </c>
      <c r="K693" s="12">
        <f>_xlfn.XLOOKUP(Assumptions!$B$2,Assumptions!$F$4:$H$4,Assumptions!$F$8:$H$8)</f>
        <v>0.1</v>
      </c>
      <c r="L693" s="12">
        <f>_xlfn.XLOOKUP(Assumptions!$B$2,Assumptions!$F$4:$H$4,Assumptions!$F$9:$H$9)</f>
        <v>0.18</v>
      </c>
      <c r="M693" s="18">
        <f>_xlfn.XLOOKUP(Assumptions!$B$2,Assumptions!$F$4:$H$4,Assumptions!$F$10:$H$10)</f>
        <v>18000</v>
      </c>
      <c r="N693" s="12">
        <f>_xlfn.XLOOKUP(Assumptions!$B$2,Assumptions!$F$4:$H$4,Assumptions!$F$11:$H$11)</f>
        <v>0.3</v>
      </c>
      <c r="O693" s="14">
        <f>Final_Table[[#This Row],[Units Sold]]*Final_Table[[#This Row],[Sale Price]]</f>
        <v>20400</v>
      </c>
      <c r="P693" s="14">
        <f>Final_Table[[#This Row],[Gross Revenue]]*(1-Final_Table[[#This Row],[Discount %]])</f>
        <v>18360</v>
      </c>
      <c r="Q693">
        <f>Final_Table[[#This Row],[Net Revenue]]*Final_Table[[#This Row],[Variable Cost %]]</f>
        <v>3304.7999999999997</v>
      </c>
      <c r="R693">
        <f>Final_Table[[#This Row],[Variable Cost]]+Final_Table[[#This Row],[Fixed Monthly Cost]]</f>
        <v>21304.799999999999</v>
      </c>
      <c r="S693" s="5">
        <f>Final_Table[[#This Row],[Net Revenue]]-Final_Table[[#This Row],[Total Cost (COGS)]]</f>
        <v>-2944.7999999999993</v>
      </c>
      <c r="T693">
        <f>Final_Table[[#This Row],[Gross Profit]]*Final_Table[[#This Row],[Tax Rate]]</f>
        <v>-883.43999999999971</v>
      </c>
      <c r="U693" s="5">
        <f>Final_Table[[#This Row],[Gross Profit]]-Final_Table[[#This Row],[Tax]]</f>
        <v>-2061.3599999999997</v>
      </c>
      <c r="V693" s="12">
        <f>Final_Table[[#This Row],[Net Profit]]/Final_Table[[#This Row],[Gross Revenue]]</f>
        <v>-0.10104705882352939</v>
      </c>
    </row>
    <row r="694" spans="1:22">
      <c r="A694" s="18" t="s">
        <v>72</v>
      </c>
      <c r="B694">
        <v>2014</v>
      </c>
      <c r="C694" t="s">
        <v>123</v>
      </c>
      <c r="D694">
        <v>1</v>
      </c>
      <c r="E694" s="18" t="s">
        <v>22</v>
      </c>
      <c r="F694" s="18" t="s">
        <v>113</v>
      </c>
      <c r="G694" s="18" t="s">
        <v>21</v>
      </c>
      <c r="H694" s="18" t="str">
        <f>Assumptions!$B$2</f>
        <v>Worst</v>
      </c>
      <c r="I694" s="18">
        <f>_xlfn.XLOOKUP(Assumptions!$B$2,Assumptions!$F$4:$H$4,Assumptions!$F$5:$H$5)</f>
        <v>1200</v>
      </c>
      <c r="J694" s="18">
        <f>_xlfn.XLOOKUP(Assumptions!$B$2,Assumptions!$F$4:$H$4,Assumptions!$F$6:$H$6)</f>
        <v>17</v>
      </c>
      <c r="K694" s="12">
        <f>_xlfn.XLOOKUP(Assumptions!$B$2,Assumptions!$F$4:$H$4,Assumptions!$F$8:$H$8)</f>
        <v>0.1</v>
      </c>
      <c r="L694" s="12">
        <f>_xlfn.XLOOKUP(Assumptions!$B$2,Assumptions!$F$4:$H$4,Assumptions!$F$9:$H$9)</f>
        <v>0.18</v>
      </c>
      <c r="M694" s="18">
        <f>_xlfn.XLOOKUP(Assumptions!$B$2,Assumptions!$F$4:$H$4,Assumptions!$F$10:$H$10)</f>
        <v>18000</v>
      </c>
      <c r="N694" s="12">
        <f>_xlfn.XLOOKUP(Assumptions!$B$2,Assumptions!$F$4:$H$4,Assumptions!$F$11:$H$11)</f>
        <v>0.3</v>
      </c>
      <c r="O694" s="14">
        <f>Final_Table[[#This Row],[Units Sold]]*Final_Table[[#This Row],[Sale Price]]</f>
        <v>20400</v>
      </c>
      <c r="P694" s="14">
        <f>Final_Table[[#This Row],[Gross Revenue]]*(1-Final_Table[[#This Row],[Discount %]])</f>
        <v>18360</v>
      </c>
      <c r="Q694">
        <f>Final_Table[[#This Row],[Net Revenue]]*Final_Table[[#This Row],[Variable Cost %]]</f>
        <v>3304.7999999999997</v>
      </c>
      <c r="R694">
        <f>Final_Table[[#This Row],[Variable Cost]]+Final_Table[[#This Row],[Fixed Monthly Cost]]</f>
        <v>21304.799999999999</v>
      </c>
      <c r="S694" s="5">
        <f>Final_Table[[#This Row],[Net Revenue]]-Final_Table[[#This Row],[Total Cost (COGS)]]</f>
        <v>-2944.7999999999993</v>
      </c>
      <c r="T694">
        <f>Final_Table[[#This Row],[Gross Profit]]*Final_Table[[#This Row],[Tax Rate]]</f>
        <v>-883.43999999999971</v>
      </c>
      <c r="U694" s="5">
        <f>Final_Table[[#This Row],[Gross Profit]]-Final_Table[[#This Row],[Tax]]</f>
        <v>-2061.3599999999997</v>
      </c>
      <c r="V694" s="12">
        <f>Final_Table[[#This Row],[Net Profit]]/Final_Table[[#This Row],[Gross Revenue]]</f>
        <v>-0.10104705882352939</v>
      </c>
    </row>
    <row r="695" spans="1:22">
      <c r="A695" s="18" t="s">
        <v>72</v>
      </c>
      <c r="B695">
        <v>2014</v>
      </c>
      <c r="C695" t="s">
        <v>123</v>
      </c>
      <c r="D695">
        <v>1</v>
      </c>
      <c r="E695" s="18" t="s">
        <v>22</v>
      </c>
      <c r="F695" s="18" t="s">
        <v>113</v>
      </c>
      <c r="G695" s="18" t="s">
        <v>25</v>
      </c>
      <c r="H695" s="18" t="str">
        <f>Assumptions!$B$2</f>
        <v>Worst</v>
      </c>
      <c r="I695" s="18">
        <f>_xlfn.XLOOKUP(Assumptions!$B$2,Assumptions!$F$4:$H$4,Assumptions!$F$5:$H$5)</f>
        <v>1200</v>
      </c>
      <c r="J695" s="18">
        <f>_xlfn.XLOOKUP(Assumptions!$B$2,Assumptions!$F$4:$H$4,Assumptions!$F$6:$H$6)</f>
        <v>17</v>
      </c>
      <c r="K695" s="12">
        <f>_xlfn.XLOOKUP(Assumptions!$B$2,Assumptions!$F$4:$H$4,Assumptions!$F$8:$H$8)</f>
        <v>0.1</v>
      </c>
      <c r="L695" s="12">
        <f>_xlfn.XLOOKUP(Assumptions!$B$2,Assumptions!$F$4:$H$4,Assumptions!$F$9:$H$9)</f>
        <v>0.18</v>
      </c>
      <c r="M695" s="18">
        <f>_xlfn.XLOOKUP(Assumptions!$B$2,Assumptions!$F$4:$H$4,Assumptions!$F$10:$H$10)</f>
        <v>18000</v>
      </c>
      <c r="N695" s="12">
        <f>_xlfn.XLOOKUP(Assumptions!$B$2,Assumptions!$F$4:$H$4,Assumptions!$F$11:$H$11)</f>
        <v>0.3</v>
      </c>
      <c r="O695" s="14">
        <f>Final_Table[[#This Row],[Units Sold]]*Final_Table[[#This Row],[Sale Price]]</f>
        <v>20400</v>
      </c>
      <c r="P695" s="14">
        <f>Final_Table[[#This Row],[Gross Revenue]]*(1-Final_Table[[#This Row],[Discount %]])</f>
        <v>18360</v>
      </c>
      <c r="Q695">
        <f>Final_Table[[#This Row],[Net Revenue]]*Final_Table[[#This Row],[Variable Cost %]]</f>
        <v>3304.7999999999997</v>
      </c>
      <c r="R695">
        <f>Final_Table[[#This Row],[Variable Cost]]+Final_Table[[#This Row],[Fixed Monthly Cost]]</f>
        <v>21304.799999999999</v>
      </c>
      <c r="S695" s="5">
        <f>Final_Table[[#This Row],[Net Revenue]]-Final_Table[[#This Row],[Total Cost (COGS)]]</f>
        <v>-2944.7999999999993</v>
      </c>
      <c r="T695">
        <f>Final_Table[[#This Row],[Gross Profit]]*Final_Table[[#This Row],[Tax Rate]]</f>
        <v>-883.43999999999971</v>
      </c>
      <c r="U695" s="5">
        <f>Final_Table[[#This Row],[Gross Profit]]-Final_Table[[#This Row],[Tax]]</f>
        <v>-2061.3599999999997</v>
      </c>
      <c r="V695" s="12">
        <f>Final_Table[[#This Row],[Net Profit]]/Final_Table[[#This Row],[Gross Revenue]]</f>
        <v>-0.10104705882352939</v>
      </c>
    </row>
    <row r="696" spans="1:22">
      <c r="A696" s="18" t="s">
        <v>72</v>
      </c>
      <c r="B696">
        <v>2014</v>
      </c>
      <c r="C696" t="s">
        <v>123</v>
      </c>
      <c r="D696">
        <v>1</v>
      </c>
      <c r="E696" s="18" t="s">
        <v>22</v>
      </c>
      <c r="F696" s="18" t="s">
        <v>113</v>
      </c>
      <c r="G696" s="18" t="s">
        <v>17</v>
      </c>
      <c r="H696" s="18" t="str">
        <f>Assumptions!$B$2</f>
        <v>Worst</v>
      </c>
      <c r="I696" s="18">
        <f>_xlfn.XLOOKUP(Assumptions!$B$2,Assumptions!$F$4:$H$4,Assumptions!$F$5:$H$5)</f>
        <v>1200</v>
      </c>
      <c r="J696" s="18">
        <f>_xlfn.XLOOKUP(Assumptions!$B$2,Assumptions!$F$4:$H$4,Assumptions!$F$6:$H$6)</f>
        <v>17</v>
      </c>
      <c r="K696" s="12">
        <f>_xlfn.XLOOKUP(Assumptions!$B$2,Assumptions!$F$4:$H$4,Assumptions!$F$8:$H$8)</f>
        <v>0.1</v>
      </c>
      <c r="L696" s="12">
        <f>_xlfn.XLOOKUP(Assumptions!$B$2,Assumptions!$F$4:$H$4,Assumptions!$F$9:$H$9)</f>
        <v>0.18</v>
      </c>
      <c r="M696" s="18">
        <f>_xlfn.XLOOKUP(Assumptions!$B$2,Assumptions!$F$4:$H$4,Assumptions!$F$10:$H$10)</f>
        <v>18000</v>
      </c>
      <c r="N696" s="12">
        <f>_xlfn.XLOOKUP(Assumptions!$B$2,Assumptions!$F$4:$H$4,Assumptions!$F$11:$H$11)</f>
        <v>0.3</v>
      </c>
      <c r="O696" s="14">
        <f>Final_Table[[#This Row],[Units Sold]]*Final_Table[[#This Row],[Sale Price]]</f>
        <v>20400</v>
      </c>
      <c r="P696" s="14">
        <f>Final_Table[[#This Row],[Gross Revenue]]*(1-Final_Table[[#This Row],[Discount %]])</f>
        <v>18360</v>
      </c>
      <c r="Q696">
        <f>Final_Table[[#This Row],[Net Revenue]]*Final_Table[[#This Row],[Variable Cost %]]</f>
        <v>3304.7999999999997</v>
      </c>
      <c r="R696">
        <f>Final_Table[[#This Row],[Variable Cost]]+Final_Table[[#This Row],[Fixed Monthly Cost]]</f>
        <v>21304.799999999999</v>
      </c>
      <c r="S696" s="5">
        <f>Final_Table[[#This Row],[Net Revenue]]-Final_Table[[#This Row],[Total Cost (COGS)]]</f>
        <v>-2944.7999999999993</v>
      </c>
      <c r="T696">
        <f>Final_Table[[#This Row],[Gross Profit]]*Final_Table[[#This Row],[Tax Rate]]</f>
        <v>-883.43999999999971</v>
      </c>
      <c r="U696" s="5">
        <f>Final_Table[[#This Row],[Gross Profit]]-Final_Table[[#This Row],[Tax]]</f>
        <v>-2061.3599999999997</v>
      </c>
      <c r="V696" s="12">
        <f>Final_Table[[#This Row],[Net Profit]]/Final_Table[[#This Row],[Gross Revenue]]</f>
        <v>-0.10104705882352939</v>
      </c>
    </row>
    <row r="697" spans="1:22">
      <c r="A697" s="18" t="s">
        <v>72</v>
      </c>
      <c r="B697">
        <v>2014</v>
      </c>
      <c r="C697" t="s">
        <v>123</v>
      </c>
      <c r="D697">
        <v>1</v>
      </c>
      <c r="E697" s="18" t="s">
        <v>22</v>
      </c>
      <c r="F697" s="18" t="s">
        <v>114</v>
      </c>
      <c r="G697" s="18" t="s">
        <v>36</v>
      </c>
      <c r="H697" s="18" t="str">
        <f>Assumptions!$B$2</f>
        <v>Worst</v>
      </c>
      <c r="I697" s="18">
        <f>_xlfn.XLOOKUP(Assumptions!$B$2,Assumptions!$F$4:$H$4,Assumptions!$F$5:$H$5)</f>
        <v>1200</v>
      </c>
      <c r="J697" s="18">
        <f>_xlfn.XLOOKUP(Assumptions!$B$2,Assumptions!$F$4:$H$4,Assumptions!$F$6:$H$6)</f>
        <v>17</v>
      </c>
      <c r="K697" s="12">
        <f>_xlfn.XLOOKUP(Assumptions!$B$2,Assumptions!$F$4:$H$4,Assumptions!$F$8:$H$8)</f>
        <v>0.1</v>
      </c>
      <c r="L697" s="12">
        <f>_xlfn.XLOOKUP(Assumptions!$B$2,Assumptions!$F$4:$H$4,Assumptions!$F$9:$H$9)</f>
        <v>0.18</v>
      </c>
      <c r="M697" s="18">
        <f>_xlfn.XLOOKUP(Assumptions!$B$2,Assumptions!$F$4:$H$4,Assumptions!$F$10:$H$10)</f>
        <v>18000</v>
      </c>
      <c r="N697" s="12">
        <f>_xlfn.XLOOKUP(Assumptions!$B$2,Assumptions!$F$4:$H$4,Assumptions!$F$11:$H$11)</f>
        <v>0.3</v>
      </c>
      <c r="O697" s="14">
        <f>Final_Table[[#This Row],[Units Sold]]*Final_Table[[#This Row],[Sale Price]]</f>
        <v>20400</v>
      </c>
      <c r="P697" s="14">
        <f>Final_Table[[#This Row],[Gross Revenue]]*(1-Final_Table[[#This Row],[Discount %]])</f>
        <v>18360</v>
      </c>
      <c r="Q697">
        <f>Final_Table[[#This Row],[Net Revenue]]*Final_Table[[#This Row],[Variable Cost %]]</f>
        <v>3304.7999999999997</v>
      </c>
      <c r="R697">
        <f>Final_Table[[#This Row],[Variable Cost]]+Final_Table[[#This Row],[Fixed Monthly Cost]]</f>
        <v>21304.799999999999</v>
      </c>
      <c r="S697" s="5">
        <f>Final_Table[[#This Row],[Net Revenue]]-Final_Table[[#This Row],[Total Cost (COGS)]]</f>
        <v>-2944.7999999999993</v>
      </c>
      <c r="T697">
        <f>Final_Table[[#This Row],[Gross Profit]]*Final_Table[[#This Row],[Tax Rate]]</f>
        <v>-883.43999999999971</v>
      </c>
      <c r="U697" s="5">
        <f>Final_Table[[#This Row],[Gross Profit]]-Final_Table[[#This Row],[Tax]]</f>
        <v>-2061.3599999999997</v>
      </c>
      <c r="V697" s="12">
        <f>Final_Table[[#This Row],[Net Profit]]/Final_Table[[#This Row],[Gross Revenue]]</f>
        <v>-0.10104705882352939</v>
      </c>
    </row>
    <row r="698" spans="1:22">
      <c r="A698" s="18" t="s">
        <v>72</v>
      </c>
      <c r="B698">
        <v>2014</v>
      </c>
      <c r="C698" t="s">
        <v>123</v>
      </c>
      <c r="D698">
        <v>1</v>
      </c>
      <c r="E698" s="18" t="s">
        <v>22</v>
      </c>
      <c r="F698" s="18" t="s">
        <v>114</v>
      </c>
      <c r="G698" s="18" t="s">
        <v>23</v>
      </c>
      <c r="H698" s="18" t="str">
        <f>Assumptions!$B$2</f>
        <v>Worst</v>
      </c>
      <c r="I698" s="18">
        <f>_xlfn.XLOOKUP(Assumptions!$B$2,Assumptions!$F$4:$H$4,Assumptions!$F$5:$H$5)</f>
        <v>1200</v>
      </c>
      <c r="J698" s="18">
        <f>_xlfn.XLOOKUP(Assumptions!$B$2,Assumptions!$F$4:$H$4,Assumptions!$F$6:$H$6)</f>
        <v>17</v>
      </c>
      <c r="K698" s="12">
        <f>_xlfn.XLOOKUP(Assumptions!$B$2,Assumptions!$F$4:$H$4,Assumptions!$F$8:$H$8)</f>
        <v>0.1</v>
      </c>
      <c r="L698" s="12">
        <f>_xlfn.XLOOKUP(Assumptions!$B$2,Assumptions!$F$4:$H$4,Assumptions!$F$9:$H$9)</f>
        <v>0.18</v>
      </c>
      <c r="M698" s="18">
        <f>_xlfn.XLOOKUP(Assumptions!$B$2,Assumptions!$F$4:$H$4,Assumptions!$F$10:$H$10)</f>
        <v>18000</v>
      </c>
      <c r="N698" s="12">
        <f>_xlfn.XLOOKUP(Assumptions!$B$2,Assumptions!$F$4:$H$4,Assumptions!$F$11:$H$11)</f>
        <v>0.3</v>
      </c>
      <c r="O698" s="14">
        <f>Final_Table[[#This Row],[Units Sold]]*Final_Table[[#This Row],[Sale Price]]</f>
        <v>20400</v>
      </c>
      <c r="P698" s="14">
        <f>Final_Table[[#This Row],[Gross Revenue]]*(1-Final_Table[[#This Row],[Discount %]])</f>
        <v>18360</v>
      </c>
      <c r="Q698">
        <f>Final_Table[[#This Row],[Net Revenue]]*Final_Table[[#This Row],[Variable Cost %]]</f>
        <v>3304.7999999999997</v>
      </c>
      <c r="R698">
        <f>Final_Table[[#This Row],[Variable Cost]]+Final_Table[[#This Row],[Fixed Monthly Cost]]</f>
        <v>21304.799999999999</v>
      </c>
      <c r="S698" s="5">
        <f>Final_Table[[#This Row],[Net Revenue]]-Final_Table[[#This Row],[Total Cost (COGS)]]</f>
        <v>-2944.7999999999993</v>
      </c>
      <c r="T698">
        <f>Final_Table[[#This Row],[Gross Profit]]*Final_Table[[#This Row],[Tax Rate]]</f>
        <v>-883.43999999999971</v>
      </c>
      <c r="U698" s="5">
        <f>Final_Table[[#This Row],[Gross Profit]]-Final_Table[[#This Row],[Tax]]</f>
        <v>-2061.3599999999997</v>
      </c>
      <c r="V698" s="12">
        <f>Final_Table[[#This Row],[Net Profit]]/Final_Table[[#This Row],[Gross Revenue]]</f>
        <v>-0.10104705882352939</v>
      </c>
    </row>
    <row r="699" spans="1:22">
      <c r="A699" s="18" t="s">
        <v>72</v>
      </c>
      <c r="B699">
        <v>2014</v>
      </c>
      <c r="C699" t="s">
        <v>123</v>
      </c>
      <c r="D699">
        <v>1</v>
      </c>
      <c r="E699" s="18" t="s">
        <v>22</v>
      </c>
      <c r="F699" s="18" t="s">
        <v>114</v>
      </c>
      <c r="G699" s="18" t="s">
        <v>21</v>
      </c>
      <c r="H699" s="18" t="str">
        <f>Assumptions!$B$2</f>
        <v>Worst</v>
      </c>
      <c r="I699" s="18">
        <f>_xlfn.XLOOKUP(Assumptions!$B$2,Assumptions!$F$4:$H$4,Assumptions!$F$5:$H$5)</f>
        <v>1200</v>
      </c>
      <c r="J699" s="18">
        <f>_xlfn.XLOOKUP(Assumptions!$B$2,Assumptions!$F$4:$H$4,Assumptions!$F$6:$H$6)</f>
        <v>17</v>
      </c>
      <c r="K699" s="12">
        <f>_xlfn.XLOOKUP(Assumptions!$B$2,Assumptions!$F$4:$H$4,Assumptions!$F$8:$H$8)</f>
        <v>0.1</v>
      </c>
      <c r="L699" s="12">
        <f>_xlfn.XLOOKUP(Assumptions!$B$2,Assumptions!$F$4:$H$4,Assumptions!$F$9:$H$9)</f>
        <v>0.18</v>
      </c>
      <c r="M699" s="18">
        <f>_xlfn.XLOOKUP(Assumptions!$B$2,Assumptions!$F$4:$H$4,Assumptions!$F$10:$H$10)</f>
        <v>18000</v>
      </c>
      <c r="N699" s="12">
        <f>_xlfn.XLOOKUP(Assumptions!$B$2,Assumptions!$F$4:$H$4,Assumptions!$F$11:$H$11)</f>
        <v>0.3</v>
      </c>
      <c r="O699" s="14">
        <f>Final_Table[[#This Row],[Units Sold]]*Final_Table[[#This Row],[Sale Price]]</f>
        <v>20400</v>
      </c>
      <c r="P699" s="14">
        <f>Final_Table[[#This Row],[Gross Revenue]]*(1-Final_Table[[#This Row],[Discount %]])</f>
        <v>18360</v>
      </c>
      <c r="Q699">
        <f>Final_Table[[#This Row],[Net Revenue]]*Final_Table[[#This Row],[Variable Cost %]]</f>
        <v>3304.7999999999997</v>
      </c>
      <c r="R699">
        <f>Final_Table[[#This Row],[Variable Cost]]+Final_Table[[#This Row],[Fixed Monthly Cost]]</f>
        <v>21304.799999999999</v>
      </c>
      <c r="S699" s="5">
        <f>Final_Table[[#This Row],[Net Revenue]]-Final_Table[[#This Row],[Total Cost (COGS)]]</f>
        <v>-2944.7999999999993</v>
      </c>
      <c r="T699">
        <f>Final_Table[[#This Row],[Gross Profit]]*Final_Table[[#This Row],[Tax Rate]]</f>
        <v>-883.43999999999971</v>
      </c>
      <c r="U699" s="5">
        <f>Final_Table[[#This Row],[Gross Profit]]-Final_Table[[#This Row],[Tax]]</f>
        <v>-2061.3599999999997</v>
      </c>
      <c r="V699" s="12">
        <f>Final_Table[[#This Row],[Net Profit]]/Final_Table[[#This Row],[Gross Revenue]]</f>
        <v>-0.10104705882352939</v>
      </c>
    </row>
    <row r="700" spans="1:22">
      <c r="A700" s="18" t="s">
        <v>72</v>
      </c>
      <c r="B700">
        <v>2014</v>
      </c>
      <c r="C700" t="s">
        <v>123</v>
      </c>
      <c r="D700">
        <v>1</v>
      </c>
      <c r="E700" s="18" t="s">
        <v>22</v>
      </c>
      <c r="F700" s="18" t="s">
        <v>114</v>
      </c>
      <c r="G700" s="18" t="s">
        <v>25</v>
      </c>
      <c r="H700" s="18" t="str">
        <f>Assumptions!$B$2</f>
        <v>Worst</v>
      </c>
      <c r="I700" s="18">
        <f>_xlfn.XLOOKUP(Assumptions!$B$2,Assumptions!$F$4:$H$4,Assumptions!$F$5:$H$5)</f>
        <v>1200</v>
      </c>
      <c r="J700" s="18">
        <f>_xlfn.XLOOKUP(Assumptions!$B$2,Assumptions!$F$4:$H$4,Assumptions!$F$6:$H$6)</f>
        <v>17</v>
      </c>
      <c r="K700" s="12">
        <f>_xlfn.XLOOKUP(Assumptions!$B$2,Assumptions!$F$4:$H$4,Assumptions!$F$8:$H$8)</f>
        <v>0.1</v>
      </c>
      <c r="L700" s="12">
        <f>_xlfn.XLOOKUP(Assumptions!$B$2,Assumptions!$F$4:$H$4,Assumptions!$F$9:$H$9)</f>
        <v>0.18</v>
      </c>
      <c r="M700" s="18">
        <f>_xlfn.XLOOKUP(Assumptions!$B$2,Assumptions!$F$4:$H$4,Assumptions!$F$10:$H$10)</f>
        <v>18000</v>
      </c>
      <c r="N700" s="12">
        <f>_xlfn.XLOOKUP(Assumptions!$B$2,Assumptions!$F$4:$H$4,Assumptions!$F$11:$H$11)</f>
        <v>0.3</v>
      </c>
      <c r="O700" s="14">
        <f>Final_Table[[#This Row],[Units Sold]]*Final_Table[[#This Row],[Sale Price]]</f>
        <v>20400</v>
      </c>
      <c r="P700" s="14">
        <f>Final_Table[[#This Row],[Gross Revenue]]*(1-Final_Table[[#This Row],[Discount %]])</f>
        <v>18360</v>
      </c>
      <c r="Q700">
        <f>Final_Table[[#This Row],[Net Revenue]]*Final_Table[[#This Row],[Variable Cost %]]</f>
        <v>3304.7999999999997</v>
      </c>
      <c r="R700">
        <f>Final_Table[[#This Row],[Variable Cost]]+Final_Table[[#This Row],[Fixed Monthly Cost]]</f>
        <v>21304.799999999999</v>
      </c>
      <c r="S700" s="5">
        <f>Final_Table[[#This Row],[Net Revenue]]-Final_Table[[#This Row],[Total Cost (COGS)]]</f>
        <v>-2944.7999999999993</v>
      </c>
      <c r="T700">
        <f>Final_Table[[#This Row],[Gross Profit]]*Final_Table[[#This Row],[Tax Rate]]</f>
        <v>-883.43999999999971</v>
      </c>
      <c r="U700" s="5">
        <f>Final_Table[[#This Row],[Gross Profit]]-Final_Table[[#This Row],[Tax]]</f>
        <v>-2061.3599999999997</v>
      </c>
      <c r="V700" s="12">
        <f>Final_Table[[#This Row],[Net Profit]]/Final_Table[[#This Row],[Gross Revenue]]</f>
        <v>-0.10104705882352939</v>
      </c>
    </row>
    <row r="701" spans="1:22">
      <c r="A701" s="18" t="s">
        <v>72</v>
      </c>
      <c r="B701">
        <v>2014</v>
      </c>
      <c r="C701" t="s">
        <v>123</v>
      </c>
      <c r="D701">
        <v>1</v>
      </c>
      <c r="E701" s="18" t="s">
        <v>22</v>
      </c>
      <c r="F701" s="18" t="s">
        <v>114</v>
      </c>
      <c r="G701" s="18" t="s">
        <v>17</v>
      </c>
      <c r="H701" s="18" t="str">
        <f>Assumptions!$B$2</f>
        <v>Worst</v>
      </c>
      <c r="I701" s="18">
        <f>_xlfn.XLOOKUP(Assumptions!$B$2,Assumptions!$F$4:$H$4,Assumptions!$F$5:$H$5)</f>
        <v>1200</v>
      </c>
      <c r="J701" s="18">
        <f>_xlfn.XLOOKUP(Assumptions!$B$2,Assumptions!$F$4:$H$4,Assumptions!$F$6:$H$6)</f>
        <v>17</v>
      </c>
      <c r="K701" s="12">
        <f>_xlfn.XLOOKUP(Assumptions!$B$2,Assumptions!$F$4:$H$4,Assumptions!$F$8:$H$8)</f>
        <v>0.1</v>
      </c>
      <c r="L701" s="12">
        <f>_xlfn.XLOOKUP(Assumptions!$B$2,Assumptions!$F$4:$H$4,Assumptions!$F$9:$H$9)</f>
        <v>0.18</v>
      </c>
      <c r="M701" s="18">
        <f>_xlfn.XLOOKUP(Assumptions!$B$2,Assumptions!$F$4:$H$4,Assumptions!$F$10:$H$10)</f>
        <v>18000</v>
      </c>
      <c r="N701" s="12">
        <f>_xlfn.XLOOKUP(Assumptions!$B$2,Assumptions!$F$4:$H$4,Assumptions!$F$11:$H$11)</f>
        <v>0.3</v>
      </c>
      <c r="O701" s="14">
        <f>Final_Table[[#This Row],[Units Sold]]*Final_Table[[#This Row],[Sale Price]]</f>
        <v>20400</v>
      </c>
      <c r="P701" s="14">
        <f>Final_Table[[#This Row],[Gross Revenue]]*(1-Final_Table[[#This Row],[Discount %]])</f>
        <v>18360</v>
      </c>
      <c r="Q701">
        <f>Final_Table[[#This Row],[Net Revenue]]*Final_Table[[#This Row],[Variable Cost %]]</f>
        <v>3304.7999999999997</v>
      </c>
      <c r="R701">
        <f>Final_Table[[#This Row],[Variable Cost]]+Final_Table[[#This Row],[Fixed Monthly Cost]]</f>
        <v>21304.799999999999</v>
      </c>
      <c r="S701" s="5">
        <f>Final_Table[[#This Row],[Net Revenue]]-Final_Table[[#This Row],[Total Cost (COGS)]]</f>
        <v>-2944.7999999999993</v>
      </c>
      <c r="T701">
        <f>Final_Table[[#This Row],[Gross Profit]]*Final_Table[[#This Row],[Tax Rate]]</f>
        <v>-883.43999999999971</v>
      </c>
      <c r="U701" s="5">
        <f>Final_Table[[#This Row],[Gross Profit]]-Final_Table[[#This Row],[Tax]]</f>
        <v>-2061.3599999999997</v>
      </c>
      <c r="V701" s="12">
        <f>Final_Table[[#This Row],[Net Profit]]/Final_Table[[#This Row],[Gross Revenue]]</f>
        <v>-0.10104705882352939</v>
      </c>
    </row>
    <row r="702" spans="1:22">
      <c r="A702" s="18" t="s">
        <v>72</v>
      </c>
      <c r="B702">
        <v>2014</v>
      </c>
      <c r="C702" t="s">
        <v>123</v>
      </c>
      <c r="D702">
        <v>1</v>
      </c>
      <c r="E702" s="18" t="s">
        <v>16</v>
      </c>
      <c r="F702" s="18" t="s">
        <v>80</v>
      </c>
      <c r="G702" s="18" t="s">
        <v>36</v>
      </c>
      <c r="H702" s="18" t="str">
        <f>Assumptions!$B$2</f>
        <v>Worst</v>
      </c>
      <c r="I702" s="18">
        <f>_xlfn.XLOOKUP(Assumptions!$B$2,Assumptions!$F$4:$H$4,Assumptions!$F$5:$H$5)</f>
        <v>1200</v>
      </c>
      <c r="J702" s="18">
        <f>_xlfn.XLOOKUP(Assumptions!$B$2,Assumptions!$F$4:$H$4,Assumptions!$F$6:$H$6)</f>
        <v>17</v>
      </c>
      <c r="K702" s="12">
        <f>_xlfn.XLOOKUP(Assumptions!$B$2,Assumptions!$F$4:$H$4,Assumptions!$F$8:$H$8)</f>
        <v>0.1</v>
      </c>
      <c r="L702" s="12">
        <f>_xlfn.XLOOKUP(Assumptions!$B$2,Assumptions!$F$4:$H$4,Assumptions!$F$9:$H$9)</f>
        <v>0.18</v>
      </c>
      <c r="M702" s="18">
        <f>_xlfn.XLOOKUP(Assumptions!$B$2,Assumptions!$F$4:$H$4,Assumptions!$F$10:$H$10)</f>
        <v>18000</v>
      </c>
      <c r="N702" s="12">
        <f>_xlfn.XLOOKUP(Assumptions!$B$2,Assumptions!$F$4:$H$4,Assumptions!$F$11:$H$11)</f>
        <v>0.3</v>
      </c>
      <c r="O702" s="14">
        <f>Final_Table[[#This Row],[Units Sold]]*Final_Table[[#This Row],[Sale Price]]</f>
        <v>20400</v>
      </c>
      <c r="P702" s="14">
        <f>Final_Table[[#This Row],[Gross Revenue]]*(1-Final_Table[[#This Row],[Discount %]])</f>
        <v>18360</v>
      </c>
      <c r="Q702">
        <f>Final_Table[[#This Row],[Net Revenue]]*Final_Table[[#This Row],[Variable Cost %]]</f>
        <v>3304.7999999999997</v>
      </c>
      <c r="R702">
        <f>Final_Table[[#This Row],[Variable Cost]]+Final_Table[[#This Row],[Fixed Monthly Cost]]</f>
        <v>21304.799999999999</v>
      </c>
      <c r="S702" s="5">
        <f>Final_Table[[#This Row],[Net Revenue]]-Final_Table[[#This Row],[Total Cost (COGS)]]</f>
        <v>-2944.7999999999993</v>
      </c>
      <c r="T702">
        <f>Final_Table[[#This Row],[Gross Profit]]*Final_Table[[#This Row],[Tax Rate]]</f>
        <v>-883.43999999999971</v>
      </c>
      <c r="U702" s="5">
        <f>Final_Table[[#This Row],[Gross Profit]]-Final_Table[[#This Row],[Tax]]</f>
        <v>-2061.3599999999997</v>
      </c>
      <c r="V702" s="12">
        <f>Final_Table[[#This Row],[Net Profit]]/Final_Table[[#This Row],[Gross Revenue]]</f>
        <v>-0.10104705882352939</v>
      </c>
    </row>
    <row r="703" spans="1:22">
      <c r="A703" s="18" t="s">
        <v>72</v>
      </c>
      <c r="B703">
        <v>2014</v>
      </c>
      <c r="C703" t="s">
        <v>123</v>
      </c>
      <c r="D703">
        <v>1</v>
      </c>
      <c r="E703" s="18" t="s">
        <v>16</v>
      </c>
      <c r="F703" s="18" t="s">
        <v>80</v>
      </c>
      <c r="G703" s="18" t="s">
        <v>23</v>
      </c>
      <c r="H703" s="18" t="str">
        <f>Assumptions!$B$2</f>
        <v>Worst</v>
      </c>
      <c r="I703" s="18">
        <f>_xlfn.XLOOKUP(Assumptions!$B$2,Assumptions!$F$4:$H$4,Assumptions!$F$5:$H$5)</f>
        <v>1200</v>
      </c>
      <c r="J703" s="18">
        <f>_xlfn.XLOOKUP(Assumptions!$B$2,Assumptions!$F$4:$H$4,Assumptions!$F$6:$H$6)</f>
        <v>17</v>
      </c>
      <c r="K703" s="12">
        <f>_xlfn.XLOOKUP(Assumptions!$B$2,Assumptions!$F$4:$H$4,Assumptions!$F$8:$H$8)</f>
        <v>0.1</v>
      </c>
      <c r="L703" s="12">
        <f>_xlfn.XLOOKUP(Assumptions!$B$2,Assumptions!$F$4:$H$4,Assumptions!$F$9:$H$9)</f>
        <v>0.18</v>
      </c>
      <c r="M703" s="18">
        <f>_xlfn.XLOOKUP(Assumptions!$B$2,Assumptions!$F$4:$H$4,Assumptions!$F$10:$H$10)</f>
        <v>18000</v>
      </c>
      <c r="N703" s="12">
        <f>_xlfn.XLOOKUP(Assumptions!$B$2,Assumptions!$F$4:$H$4,Assumptions!$F$11:$H$11)</f>
        <v>0.3</v>
      </c>
      <c r="O703" s="14">
        <f>Final_Table[[#This Row],[Units Sold]]*Final_Table[[#This Row],[Sale Price]]</f>
        <v>20400</v>
      </c>
      <c r="P703" s="14">
        <f>Final_Table[[#This Row],[Gross Revenue]]*(1-Final_Table[[#This Row],[Discount %]])</f>
        <v>18360</v>
      </c>
      <c r="Q703">
        <f>Final_Table[[#This Row],[Net Revenue]]*Final_Table[[#This Row],[Variable Cost %]]</f>
        <v>3304.7999999999997</v>
      </c>
      <c r="R703">
        <f>Final_Table[[#This Row],[Variable Cost]]+Final_Table[[#This Row],[Fixed Monthly Cost]]</f>
        <v>21304.799999999999</v>
      </c>
      <c r="S703" s="5">
        <f>Final_Table[[#This Row],[Net Revenue]]-Final_Table[[#This Row],[Total Cost (COGS)]]</f>
        <v>-2944.7999999999993</v>
      </c>
      <c r="T703">
        <f>Final_Table[[#This Row],[Gross Profit]]*Final_Table[[#This Row],[Tax Rate]]</f>
        <v>-883.43999999999971</v>
      </c>
      <c r="U703" s="5">
        <f>Final_Table[[#This Row],[Gross Profit]]-Final_Table[[#This Row],[Tax]]</f>
        <v>-2061.3599999999997</v>
      </c>
      <c r="V703" s="12">
        <f>Final_Table[[#This Row],[Net Profit]]/Final_Table[[#This Row],[Gross Revenue]]</f>
        <v>-0.10104705882352939</v>
      </c>
    </row>
    <row r="704" spans="1:22">
      <c r="A704" s="18" t="s">
        <v>72</v>
      </c>
      <c r="B704">
        <v>2014</v>
      </c>
      <c r="C704" t="s">
        <v>123</v>
      </c>
      <c r="D704">
        <v>1</v>
      </c>
      <c r="E704" s="18" t="s">
        <v>16</v>
      </c>
      <c r="F704" s="18" t="s">
        <v>80</v>
      </c>
      <c r="G704" s="18" t="s">
        <v>21</v>
      </c>
      <c r="H704" s="18" t="str">
        <f>Assumptions!$B$2</f>
        <v>Worst</v>
      </c>
      <c r="I704" s="18">
        <f>_xlfn.XLOOKUP(Assumptions!$B$2,Assumptions!$F$4:$H$4,Assumptions!$F$5:$H$5)</f>
        <v>1200</v>
      </c>
      <c r="J704" s="18">
        <f>_xlfn.XLOOKUP(Assumptions!$B$2,Assumptions!$F$4:$H$4,Assumptions!$F$6:$H$6)</f>
        <v>17</v>
      </c>
      <c r="K704" s="12">
        <f>_xlfn.XLOOKUP(Assumptions!$B$2,Assumptions!$F$4:$H$4,Assumptions!$F$8:$H$8)</f>
        <v>0.1</v>
      </c>
      <c r="L704" s="12">
        <f>_xlfn.XLOOKUP(Assumptions!$B$2,Assumptions!$F$4:$H$4,Assumptions!$F$9:$H$9)</f>
        <v>0.18</v>
      </c>
      <c r="M704" s="18">
        <f>_xlfn.XLOOKUP(Assumptions!$B$2,Assumptions!$F$4:$H$4,Assumptions!$F$10:$H$10)</f>
        <v>18000</v>
      </c>
      <c r="N704" s="12">
        <f>_xlfn.XLOOKUP(Assumptions!$B$2,Assumptions!$F$4:$H$4,Assumptions!$F$11:$H$11)</f>
        <v>0.3</v>
      </c>
      <c r="O704" s="14">
        <f>Final_Table[[#This Row],[Units Sold]]*Final_Table[[#This Row],[Sale Price]]</f>
        <v>20400</v>
      </c>
      <c r="P704" s="14">
        <f>Final_Table[[#This Row],[Gross Revenue]]*(1-Final_Table[[#This Row],[Discount %]])</f>
        <v>18360</v>
      </c>
      <c r="Q704">
        <f>Final_Table[[#This Row],[Net Revenue]]*Final_Table[[#This Row],[Variable Cost %]]</f>
        <v>3304.7999999999997</v>
      </c>
      <c r="R704">
        <f>Final_Table[[#This Row],[Variable Cost]]+Final_Table[[#This Row],[Fixed Monthly Cost]]</f>
        <v>21304.799999999999</v>
      </c>
      <c r="S704" s="5">
        <f>Final_Table[[#This Row],[Net Revenue]]-Final_Table[[#This Row],[Total Cost (COGS)]]</f>
        <v>-2944.7999999999993</v>
      </c>
      <c r="T704">
        <f>Final_Table[[#This Row],[Gross Profit]]*Final_Table[[#This Row],[Tax Rate]]</f>
        <v>-883.43999999999971</v>
      </c>
      <c r="U704" s="5">
        <f>Final_Table[[#This Row],[Gross Profit]]-Final_Table[[#This Row],[Tax]]</f>
        <v>-2061.3599999999997</v>
      </c>
      <c r="V704" s="12">
        <f>Final_Table[[#This Row],[Net Profit]]/Final_Table[[#This Row],[Gross Revenue]]</f>
        <v>-0.10104705882352939</v>
      </c>
    </row>
    <row r="705" spans="1:22">
      <c r="A705" s="18" t="s">
        <v>72</v>
      </c>
      <c r="B705">
        <v>2014</v>
      </c>
      <c r="C705" t="s">
        <v>123</v>
      </c>
      <c r="D705">
        <v>1</v>
      </c>
      <c r="E705" s="18" t="s">
        <v>16</v>
      </c>
      <c r="F705" s="18" t="s">
        <v>80</v>
      </c>
      <c r="G705" s="18" t="s">
        <v>25</v>
      </c>
      <c r="H705" s="18" t="str">
        <f>Assumptions!$B$2</f>
        <v>Worst</v>
      </c>
      <c r="I705" s="18">
        <f>_xlfn.XLOOKUP(Assumptions!$B$2,Assumptions!$F$4:$H$4,Assumptions!$F$5:$H$5)</f>
        <v>1200</v>
      </c>
      <c r="J705" s="18">
        <f>_xlfn.XLOOKUP(Assumptions!$B$2,Assumptions!$F$4:$H$4,Assumptions!$F$6:$H$6)</f>
        <v>17</v>
      </c>
      <c r="K705" s="12">
        <f>_xlfn.XLOOKUP(Assumptions!$B$2,Assumptions!$F$4:$H$4,Assumptions!$F$8:$H$8)</f>
        <v>0.1</v>
      </c>
      <c r="L705" s="12">
        <f>_xlfn.XLOOKUP(Assumptions!$B$2,Assumptions!$F$4:$H$4,Assumptions!$F$9:$H$9)</f>
        <v>0.18</v>
      </c>
      <c r="M705" s="18">
        <f>_xlfn.XLOOKUP(Assumptions!$B$2,Assumptions!$F$4:$H$4,Assumptions!$F$10:$H$10)</f>
        <v>18000</v>
      </c>
      <c r="N705" s="12">
        <f>_xlfn.XLOOKUP(Assumptions!$B$2,Assumptions!$F$4:$H$4,Assumptions!$F$11:$H$11)</f>
        <v>0.3</v>
      </c>
      <c r="O705" s="14">
        <f>Final_Table[[#This Row],[Units Sold]]*Final_Table[[#This Row],[Sale Price]]</f>
        <v>20400</v>
      </c>
      <c r="P705" s="14">
        <f>Final_Table[[#This Row],[Gross Revenue]]*(1-Final_Table[[#This Row],[Discount %]])</f>
        <v>18360</v>
      </c>
      <c r="Q705">
        <f>Final_Table[[#This Row],[Net Revenue]]*Final_Table[[#This Row],[Variable Cost %]]</f>
        <v>3304.7999999999997</v>
      </c>
      <c r="R705">
        <f>Final_Table[[#This Row],[Variable Cost]]+Final_Table[[#This Row],[Fixed Monthly Cost]]</f>
        <v>21304.799999999999</v>
      </c>
      <c r="S705" s="5">
        <f>Final_Table[[#This Row],[Net Revenue]]-Final_Table[[#This Row],[Total Cost (COGS)]]</f>
        <v>-2944.7999999999993</v>
      </c>
      <c r="T705">
        <f>Final_Table[[#This Row],[Gross Profit]]*Final_Table[[#This Row],[Tax Rate]]</f>
        <v>-883.43999999999971</v>
      </c>
      <c r="U705" s="5">
        <f>Final_Table[[#This Row],[Gross Profit]]-Final_Table[[#This Row],[Tax]]</f>
        <v>-2061.3599999999997</v>
      </c>
      <c r="V705" s="12">
        <f>Final_Table[[#This Row],[Net Profit]]/Final_Table[[#This Row],[Gross Revenue]]</f>
        <v>-0.10104705882352939</v>
      </c>
    </row>
    <row r="706" spans="1:22">
      <c r="A706" s="18" t="s">
        <v>72</v>
      </c>
      <c r="B706">
        <v>2014</v>
      </c>
      <c r="C706" t="s">
        <v>123</v>
      </c>
      <c r="D706">
        <v>1</v>
      </c>
      <c r="E706" s="18" t="s">
        <v>16</v>
      </c>
      <c r="F706" s="18" t="s">
        <v>80</v>
      </c>
      <c r="G706" s="18" t="s">
        <v>17</v>
      </c>
      <c r="H706" s="18" t="str">
        <f>Assumptions!$B$2</f>
        <v>Worst</v>
      </c>
      <c r="I706" s="18">
        <f>_xlfn.XLOOKUP(Assumptions!$B$2,Assumptions!$F$4:$H$4,Assumptions!$F$5:$H$5)</f>
        <v>1200</v>
      </c>
      <c r="J706" s="18">
        <f>_xlfn.XLOOKUP(Assumptions!$B$2,Assumptions!$F$4:$H$4,Assumptions!$F$6:$H$6)</f>
        <v>17</v>
      </c>
      <c r="K706" s="12">
        <f>_xlfn.XLOOKUP(Assumptions!$B$2,Assumptions!$F$4:$H$4,Assumptions!$F$8:$H$8)</f>
        <v>0.1</v>
      </c>
      <c r="L706" s="12">
        <f>_xlfn.XLOOKUP(Assumptions!$B$2,Assumptions!$F$4:$H$4,Assumptions!$F$9:$H$9)</f>
        <v>0.18</v>
      </c>
      <c r="M706" s="18">
        <f>_xlfn.XLOOKUP(Assumptions!$B$2,Assumptions!$F$4:$H$4,Assumptions!$F$10:$H$10)</f>
        <v>18000</v>
      </c>
      <c r="N706" s="12">
        <f>_xlfn.XLOOKUP(Assumptions!$B$2,Assumptions!$F$4:$H$4,Assumptions!$F$11:$H$11)</f>
        <v>0.3</v>
      </c>
      <c r="O706" s="14">
        <f>Final_Table[[#This Row],[Units Sold]]*Final_Table[[#This Row],[Sale Price]]</f>
        <v>20400</v>
      </c>
      <c r="P706" s="14">
        <f>Final_Table[[#This Row],[Gross Revenue]]*(1-Final_Table[[#This Row],[Discount %]])</f>
        <v>18360</v>
      </c>
      <c r="Q706">
        <f>Final_Table[[#This Row],[Net Revenue]]*Final_Table[[#This Row],[Variable Cost %]]</f>
        <v>3304.7999999999997</v>
      </c>
      <c r="R706">
        <f>Final_Table[[#This Row],[Variable Cost]]+Final_Table[[#This Row],[Fixed Monthly Cost]]</f>
        <v>21304.799999999999</v>
      </c>
      <c r="S706" s="5">
        <f>Final_Table[[#This Row],[Net Revenue]]-Final_Table[[#This Row],[Total Cost (COGS)]]</f>
        <v>-2944.7999999999993</v>
      </c>
      <c r="T706">
        <f>Final_Table[[#This Row],[Gross Profit]]*Final_Table[[#This Row],[Tax Rate]]</f>
        <v>-883.43999999999971</v>
      </c>
      <c r="U706" s="5">
        <f>Final_Table[[#This Row],[Gross Profit]]-Final_Table[[#This Row],[Tax]]</f>
        <v>-2061.3599999999997</v>
      </c>
      <c r="V706" s="12">
        <f>Final_Table[[#This Row],[Net Profit]]/Final_Table[[#This Row],[Gross Revenue]]</f>
        <v>-0.10104705882352939</v>
      </c>
    </row>
    <row r="707" spans="1:22">
      <c r="A707" s="18" t="s">
        <v>72</v>
      </c>
      <c r="B707">
        <v>2014</v>
      </c>
      <c r="C707" t="s">
        <v>123</v>
      </c>
      <c r="D707">
        <v>1</v>
      </c>
      <c r="E707" s="18" t="s">
        <v>16</v>
      </c>
      <c r="F707" s="18" t="s">
        <v>108</v>
      </c>
      <c r="G707" s="18" t="s">
        <v>36</v>
      </c>
      <c r="H707" s="18" t="str">
        <f>Assumptions!$B$2</f>
        <v>Worst</v>
      </c>
      <c r="I707" s="18">
        <f>_xlfn.XLOOKUP(Assumptions!$B$2,Assumptions!$F$4:$H$4,Assumptions!$F$5:$H$5)</f>
        <v>1200</v>
      </c>
      <c r="J707" s="18">
        <f>_xlfn.XLOOKUP(Assumptions!$B$2,Assumptions!$F$4:$H$4,Assumptions!$F$6:$H$6)</f>
        <v>17</v>
      </c>
      <c r="K707" s="12">
        <f>_xlfn.XLOOKUP(Assumptions!$B$2,Assumptions!$F$4:$H$4,Assumptions!$F$8:$H$8)</f>
        <v>0.1</v>
      </c>
      <c r="L707" s="12">
        <f>_xlfn.XLOOKUP(Assumptions!$B$2,Assumptions!$F$4:$H$4,Assumptions!$F$9:$H$9)</f>
        <v>0.18</v>
      </c>
      <c r="M707" s="18">
        <f>_xlfn.XLOOKUP(Assumptions!$B$2,Assumptions!$F$4:$H$4,Assumptions!$F$10:$H$10)</f>
        <v>18000</v>
      </c>
      <c r="N707" s="12">
        <f>_xlfn.XLOOKUP(Assumptions!$B$2,Assumptions!$F$4:$H$4,Assumptions!$F$11:$H$11)</f>
        <v>0.3</v>
      </c>
      <c r="O707" s="14">
        <f>Final_Table[[#This Row],[Units Sold]]*Final_Table[[#This Row],[Sale Price]]</f>
        <v>20400</v>
      </c>
      <c r="P707" s="14">
        <f>Final_Table[[#This Row],[Gross Revenue]]*(1-Final_Table[[#This Row],[Discount %]])</f>
        <v>18360</v>
      </c>
      <c r="Q707">
        <f>Final_Table[[#This Row],[Net Revenue]]*Final_Table[[#This Row],[Variable Cost %]]</f>
        <v>3304.7999999999997</v>
      </c>
      <c r="R707">
        <f>Final_Table[[#This Row],[Variable Cost]]+Final_Table[[#This Row],[Fixed Monthly Cost]]</f>
        <v>21304.799999999999</v>
      </c>
      <c r="S707" s="5">
        <f>Final_Table[[#This Row],[Net Revenue]]-Final_Table[[#This Row],[Total Cost (COGS)]]</f>
        <v>-2944.7999999999993</v>
      </c>
      <c r="T707">
        <f>Final_Table[[#This Row],[Gross Profit]]*Final_Table[[#This Row],[Tax Rate]]</f>
        <v>-883.43999999999971</v>
      </c>
      <c r="U707" s="5">
        <f>Final_Table[[#This Row],[Gross Profit]]-Final_Table[[#This Row],[Tax]]</f>
        <v>-2061.3599999999997</v>
      </c>
      <c r="V707" s="12">
        <f>Final_Table[[#This Row],[Net Profit]]/Final_Table[[#This Row],[Gross Revenue]]</f>
        <v>-0.10104705882352939</v>
      </c>
    </row>
    <row r="708" spans="1:22">
      <c r="A708" s="18" t="s">
        <v>72</v>
      </c>
      <c r="B708">
        <v>2014</v>
      </c>
      <c r="C708" t="s">
        <v>123</v>
      </c>
      <c r="D708">
        <v>1</v>
      </c>
      <c r="E708" s="18" t="s">
        <v>16</v>
      </c>
      <c r="F708" s="18" t="s">
        <v>108</v>
      </c>
      <c r="G708" s="18" t="s">
        <v>23</v>
      </c>
      <c r="H708" s="18" t="str">
        <f>Assumptions!$B$2</f>
        <v>Worst</v>
      </c>
      <c r="I708" s="18">
        <f>_xlfn.XLOOKUP(Assumptions!$B$2,Assumptions!$F$4:$H$4,Assumptions!$F$5:$H$5)</f>
        <v>1200</v>
      </c>
      <c r="J708" s="18">
        <f>_xlfn.XLOOKUP(Assumptions!$B$2,Assumptions!$F$4:$H$4,Assumptions!$F$6:$H$6)</f>
        <v>17</v>
      </c>
      <c r="K708" s="12">
        <f>_xlfn.XLOOKUP(Assumptions!$B$2,Assumptions!$F$4:$H$4,Assumptions!$F$8:$H$8)</f>
        <v>0.1</v>
      </c>
      <c r="L708" s="12">
        <f>_xlfn.XLOOKUP(Assumptions!$B$2,Assumptions!$F$4:$H$4,Assumptions!$F$9:$H$9)</f>
        <v>0.18</v>
      </c>
      <c r="M708" s="18">
        <f>_xlfn.XLOOKUP(Assumptions!$B$2,Assumptions!$F$4:$H$4,Assumptions!$F$10:$H$10)</f>
        <v>18000</v>
      </c>
      <c r="N708" s="12">
        <f>_xlfn.XLOOKUP(Assumptions!$B$2,Assumptions!$F$4:$H$4,Assumptions!$F$11:$H$11)</f>
        <v>0.3</v>
      </c>
      <c r="O708" s="14">
        <f>Final_Table[[#This Row],[Units Sold]]*Final_Table[[#This Row],[Sale Price]]</f>
        <v>20400</v>
      </c>
      <c r="P708" s="14">
        <f>Final_Table[[#This Row],[Gross Revenue]]*(1-Final_Table[[#This Row],[Discount %]])</f>
        <v>18360</v>
      </c>
      <c r="Q708">
        <f>Final_Table[[#This Row],[Net Revenue]]*Final_Table[[#This Row],[Variable Cost %]]</f>
        <v>3304.7999999999997</v>
      </c>
      <c r="R708">
        <f>Final_Table[[#This Row],[Variable Cost]]+Final_Table[[#This Row],[Fixed Monthly Cost]]</f>
        <v>21304.799999999999</v>
      </c>
      <c r="S708" s="5">
        <f>Final_Table[[#This Row],[Net Revenue]]-Final_Table[[#This Row],[Total Cost (COGS)]]</f>
        <v>-2944.7999999999993</v>
      </c>
      <c r="T708">
        <f>Final_Table[[#This Row],[Gross Profit]]*Final_Table[[#This Row],[Tax Rate]]</f>
        <v>-883.43999999999971</v>
      </c>
      <c r="U708" s="5">
        <f>Final_Table[[#This Row],[Gross Profit]]-Final_Table[[#This Row],[Tax]]</f>
        <v>-2061.3599999999997</v>
      </c>
      <c r="V708" s="12">
        <f>Final_Table[[#This Row],[Net Profit]]/Final_Table[[#This Row],[Gross Revenue]]</f>
        <v>-0.10104705882352939</v>
      </c>
    </row>
    <row r="709" spans="1:22">
      <c r="A709" s="18" t="s">
        <v>72</v>
      </c>
      <c r="B709">
        <v>2014</v>
      </c>
      <c r="C709" t="s">
        <v>123</v>
      </c>
      <c r="D709">
        <v>1</v>
      </c>
      <c r="E709" s="18" t="s">
        <v>16</v>
      </c>
      <c r="F709" s="18" t="s">
        <v>108</v>
      </c>
      <c r="G709" s="18" t="s">
        <v>21</v>
      </c>
      <c r="H709" s="18" t="str">
        <f>Assumptions!$B$2</f>
        <v>Worst</v>
      </c>
      <c r="I709" s="18">
        <f>_xlfn.XLOOKUP(Assumptions!$B$2,Assumptions!$F$4:$H$4,Assumptions!$F$5:$H$5)</f>
        <v>1200</v>
      </c>
      <c r="J709" s="18">
        <f>_xlfn.XLOOKUP(Assumptions!$B$2,Assumptions!$F$4:$H$4,Assumptions!$F$6:$H$6)</f>
        <v>17</v>
      </c>
      <c r="K709" s="12">
        <f>_xlfn.XLOOKUP(Assumptions!$B$2,Assumptions!$F$4:$H$4,Assumptions!$F$8:$H$8)</f>
        <v>0.1</v>
      </c>
      <c r="L709" s="12">
        <f>_xlfn.XLOOKUP(Assumptions!$B$2,Assumptions!$F$4:$H$4,Assumptions!$F$9:$H$9)</f>
        <v>0.18</v>
      </c>
      <c r="M709" s="18">
        <f>_xlfn.XLOOKUP(Assumptions!$B$2,Assumptions!$F$4:$H$4,Assumptions!$F$10:$H$10)</f>
        <v>18000</v>
      </c>
      <c r="N709" s="12">
        <f>_xlfn.XLOOKUP(Assumptions!$B$2,Assumptions!$F$4:$H$4,Assumptions!$F$11:$H$11)</f>
        <v>0.3</v>
      </c>
      <c r="O709" s="14">
        <f>Final_Table[[#This Row],[Units Sold]]*Final_Table[[#This Row],[Sale Price]]</f>
        <v>20400</v>
      </c>
      <c r="P709" s="14">
        <f>Final_Table[[#This Row],[Gross Revenue]]*(1-Final_Table[[#This Row],[Discount %]])</f>
        <v>18360</v>
      </c>
      <c r="Q709">
        <f>Final_Table[[#This Row],[Net Revenue]]*Final_Table[[#This Row],[Variable Cost %]]</f>
        <v>3304.7999999999997</v>
      </c>
      <c r="R709">
        <f>Final_Table[[#This Row],[Variable Cost]]+Final_Table[[#This Row],[Fixed Monthly Cost]]</f>
        <v>21304.799999999999</v>
      </c>
      <c r="S709" s="5">
        <f>Final_Table[[#This Row],[Net Revenue]]-Final_Table[[#This Row],[Total Cost (COGS)]]</f>
        <v>-2944.7999999999993</v>
      </c>
      <c r="T709">
        <f>Final_Table[[#This Row],[Gross Profit]]*Final_Table[[#This Row],[Tax Rate]]</f>
        <v>-883.43999999999971</v>
      </c>
      <c r="U709" s="5">
        <f>Final_Table[[#This Row],[Gross Profit]]-Final_Table[[#This Row],[Tax]]</f>
        <v>-2061.3599999999997</v>
      </c>
      <c r="V709" s="12">
        <f>Final_Table[[#This Row],[Net Profit]]/Final_Table[[#This Row],[Gross Revenue]]</f>
        <v>-0.10104705882352939</v>
      </c>
    </row>
    <row r="710" spans="1:22">
      <c r="A710" s="18" t="s">
        <v>72</v>
      </c>
      <c r="B710">
        <v>2014</v>
      </c>
      <c r="C710" t="s">
        <v>123</v>
      </c>
      <c r="D710">
        <v>1</v>
      </c>
      <c r="E710" s="18" t="s">
        <v>16</v>
      </c>
      <c r="F710" s="18" t="s">
        <v>108</v>
      </c>
      <c r="G710" s="18" t="s">
        <v>25</v>
      </c>
      <c r="H710" s="18" t="str">
        <f>Assumptions!$B$2</f>
        <v>Worst</v>
      </c>
      <c r="I710" s="18">
        <f>_xlfn.XLOOKUP(Assumptions!$B$2,Assumptions!$F$4:$H$4,Assumptions!$F$5:$H$5)</f>
        <v>1200</v>
      </c>
      <c r="J710" s="18">
        <f>_xlfn.XLOOKUP(Assumptions!$B$2,Assumptions!$F$4:$H$4,Assumptions!$F$6:$H$6)</f>
        <v>17</v>
      </c>
      <c r="K710" s="12">
        <f>_xlfn.XLOOKUP(Assumptions!$B$2,Assumptions!$F$4:$H$4,Assumptions!$F$8:$H$8)</f>
        <v>0.1</v>
      </c>
      <c r="L710" s="12">
        <f>_xlfn.XLOOKUP(Assumptions!$B$2,Assumptions!$F$4:$H$4,Assumptions!$F$9:$H$9)</f>
        <v>0.18</v>
      </c>
      <c r="M710" s="18">
        <f>_xlfn.XLOOKUP(Assumptions!$B$2,Assumptions!$F$4:$H$4,Assumptions!$F$10:$H$10)</f>
        <v>18000</v>
      </c>
      <c r="N710" s="12">
        <f>_xlfn.XLOOKUP(Assumptions!$B$2,Assumptions!$F$4:$H$4,Assumptions!$F$11:$H$11)</f>
        <v>0.3</v>
      </c>
      <c r="O710" s="14">
        <f>Final_Table[[#This Row],[Units Sold]]*Final_Table[[#This Row],[Sale Price]]</f>
        <v>20400</v>
      </c>
      <c r="P710" s="14">
        <f>Final_Table[[#This Row],[Gross Revenue]]*(1-Final_Table[[#This Row],[Discount %]])</f>
        <v>18360</v>
      </c>
      <c r="Q710">
        <f>Final_Table[[#This Row],[Net Revenue]]*Final_Table[[#This Row],[Variable Cost %]]</f>
        <v>3304.7999999999997</v>
      </c>
      <c r="R710">
        <f>Final_Table[[#This Row],[Variable Cost]]+Final_Table[[#This Row],[Fixed Monthly Cost]]</f>
        <v>21304.799999999999</v>
      </c>
      <c r="S710" s="5">
        <f>Final_Table[[#This Row],[Net Revenue]]-Final_Table[[#This Row],[Total Cost (COGS)]]</f>
        <v>-2944.7999999999993</v>
      </c>
      <c r="T710">
        <f>Final_Table[[#This Row],[Gross Profit]]*Final_Table[[#This Row],[Tax Rate]]</f>
        <v>-883.43999999999971</v>
      </c>
      <c r="U710" s="5">
        <f>Final_Table[[#This Row],[Gross Profit]]-Final_Table[[#This Row],[Tax]]</f>
        <v>-2061.3599999999997</v>
      </c>
      <c r="V710" s="12">
        <f>Final_Table[[#This Row],[Net Profit]]/Final_Table[[#This Row],[Gross Revenue]]</f>
        <v>-0.10104705882352939</v>
      </c>
    </row>
    <row r="711" spans="1:22">
      <c r="A711" s="18" t="s">
        <v>72</v>
      </c>
      <c r="B711">
        <v>2014</v>
      </c>
      <c r="C711" t="s">
        <v>123</v>
      </c>
      <c r="D711">
        <v>1</v>
      </c>
      <c r="E711" s="18" t="s">
        <v>16</v>
      </c>
      <c r="F711" s="18" t="s">
        <v>108</v>
      </c>
      <c r="G711" s="18" t="s">
        <v>17</v>
      </c>
      <c r="H711" s="18" t="str">
        <f>Assumptions!$B$2</f>
        <v>Worst</v>
      </c>
      <c r="I711" s="18">
        <f>_xlfn.XLOOKUP(Assumptions!$B$2,Assumptions!$F$4:$H$4,Assumptions!$F$5:$H$5)</f>
        <v>1200</v>
      </c>
      <c r="J711" s="18">
        <f>_xlfn.XLOOKUP(Assumptions!$B$2,Assumptions!$F$4:$H$4,Assumptions!$F$6:$H$6)</f>
        <v>17</v>
      </c>
      <c r="K711" s="12">
        <f>_xlfn.XLOOKUP(Assumptions!$B$2,Assumptions!$F$4:$H$4,Assumptions!$F$8:$H$8)</f>
        <v>0.1</v>
      </c>
      <c r="L711" s="12">
        <f>_xlfn.XLOOKUP(Assumptions!$B$2,Assumptions!$F$4:$H$4,Assumptions!$F$9:$H$9)</f>
        <v>0.18</v>
      </c>
      <c r="M711" s="18">
        <f>_xlfn.XLOOKUP(Assumptions!$B$2,Assumptions!$F$4:$H$4,Assumptions!$F$10:$H$10)</f>
        <v>18000</v>
      </c>
      <c r="N711" s="12">
        <f>_xlfn.XLOOKUP(Assumptions!$B$2,Assumptions!$F$4:$H$4,Assumptions!$F$11:$H$11)</f>
        <v>0.3</v>
      </c>
      <c r="O711" s="14">
        <f>Final_Table[[#This Row],[Units Sold]]*Final_Table[[#This Row],[Sale Price]]</f>
        <v>20400</v>
      </c>
      <c r="P711" s="14">
        <f>Final_Table[[#This Row],[Gross Revenue]]*(1-Final_Table[[#This Row],[Discount %]])</f>
        <v>18360</v>
      </c>
      <c r="Q711">
        <f>Final_Table[[#This Row],[Net Revenue]]*Final_Table[[#This Row],[Variable Cost %]]</f>
        <v>3304.7999999999997</v>
      </c>
      <c r="R711">
        <f>Final_Table[[#This Row],[Variable Cost]]+Final_Table[[#This Row],[Fixed Monthly Cost]]</f>
        <v>21304.799999999999</v>
      </c>
      <c r="S711" s="5">
        <f>Final_Table[[#This Row],[Net Revenue]]-Final_Table[[#This Row],[Total Cost (COGS)]]</f>
        <v>-2944.7999999999993</v>
      </c>
      <c r="T711">
        <f>Final_Table[[#This Row],[Gross Profit]]*Final_Table[[#This Row],[Tax Rate]]</f>
        <v>-883.43999999999971</v>
      </c>
      <c r="U711" s="5">
        <f>Final_Table[[#This Row],[Gross Profit]]-Final_Table[[#This Row],[Tax]]</f>
        <v>-2061.3599999999997</v>
      </c>
      <c r="V711" s="12">
        <f>Final_Table[[#This Row],[Net Profit]]/Final_Table[[#This Row],[Gross Revenue]]</f>
        <v>-0.10104705882352939</v>
      </c>
    </row>
    <row r="712" spans="1:22">
      <c r="A712" s="18" t="s">
        <v>72</v>
      </c>
      <c r="B712">
        <v>2014</v>
      </c>
      <c r="C712" t="s">
        <v>123</v>
      </c>
      <c r="D712">
        <v>1</v>
      </c>
      <c r="E712" s="18" t="s">
        <v>16</v>
      </c>
      <c r="F712" s="18" t="s">
        <v>112</v>
      </c>
      <c r="G712" s="18" t="s">
        <v>36</v>
      </c>
      <c r="H712" s="18" t="str">
        <f>Assumptions!$B$2</f>
        <v>Worst</v>
      </c>
      <c r="I712" s="18">
        <f>_xlfn.XLOOKUP(Assumptions!$B$2,Assumptions!$F$4:$H$4,Assumptions!$F$5:$H$5)</f>
        <v>1200</v>
      </c>
      <c r="J712" s="18">
        <f>_xlfn.XLOOKUP(Assumptions!$B$2,Assumptions!$F$4:$H$4,Assumptions!$F$6:$H$6)</f>
        <v>17</v>
      </c>
      <c r="K712" s="12">
        <f>_xlfn.XLOOKUP(Assumptions!$B$2,Assumptions!$F$4:$H$4,Assumptions!$F$8:$H$8)</f>
        <v>0.1</v>
      </c>
      <c r="L712" s="12">
        <f>_xlfn.XLOOKUP(Assumptions!$B$2,Assumptions!$F$4:$H$4,Assumptions!$F$9:$H$9)</f>
        <v>0.18</v>
      </c>
      <c r="M712" s="18">
        <f>_xlfn.XLOOKUP(Assumptions!$B$2,Assumptions!$F$4:$H$4,Assumptions!$F$10:$H$10)</f>
        <v>18000</v>
      </c>
      <c r="N712" s="12">
        <f>_xlfn.XLOOKUP(Assumptions!$B$2,Assumptions!$F$4:$H$4,Assumptions!$F$11:$H$11)</f>
        <v>0.3</v>
      </c>
      <c r="O712" s="14">
        <f>Final_Table[[#This Row],[Units Sold]]*Final_Table[[#This Row],[Sale Price]]</f>
        <v>20400</v>
      </c>
      <c r="P712" s="14">
        <f>Final_Table[[#This Row],[Gross Revenue]]*(1-Final_Table[[#This Row],[Discount %]])</f>
        <v>18360</v>
      </c>
      <c r="Q712">
        <f>Final_Table[[#This Row],[Net Revenue]]*Final_Table[[#This Row],[Variable Cost %]]</f>
        <v>3304.7999999999997</v>
      </c>
      <c r="R712">
        <f>Final_Table[[#This Row],[Variable Cost]]+Final_Table[[#This Row],[Fixed Monthly Cost]]</f>
        <v>21304.799999999999</v>
      </c>
      <c r="S712" s="5">
        <f>Final_Table[[#This Row],[Net Revenue]]-Final_Table[[#This Row],[Total Cost (COGS)]]</f>
        <v>-2944.7999999999993</v>
      </c>
      <c r="T712">
        <f>Final_Table[[#This Row],[Gross Profit]]*Final_Table[[#This Row],[Tax Rate]]</f>
        <v>-883.43999999999971</v>
      </c>
      <c r="U712" s="5">
        <f>Final_Table[[#This Row],[Gross Profit]]-Final_Table[[#This Row],[Tax]]</f>
        <v>-2061.3599999999997</v>
      </c>
      <c r="V712" s="12">
        <f>Final_Table[[#This Row],[Net Profit]]/Final_Table[[#This Row],[Gross Revenue]]</f>
        <v>-0.10104705882352939</v>
      </c>
    </row>
    <row r="713" spans="1:22">
      <c r="A713" s="18" t="s">
        <v>72</v>
      </c>
      <c r="B713">
        <v>2014</v>
      </c>
      <c r="C713" t="s">
        <v>123</v>
      </c>
      <c r="D713">
        <v>1</v>
      </c>
      <c r="E713" s="18" t="s">
        <v>16</v>
      </c>
      <c r="F713" s="18" t="s">
        <v>112</v>
      </c>
      <c r="G713" s="18" t="s">
        <v>23</v>
      </c>
      <c r="H713" s="18" t="str">
        <f>Assumptions!$B$2</f>
        <v>Worst</v>
      </c>
      <c r="I713" s="18">
        <f>_xlfn.XLOOKUP(Assumptions!$B$2,Assumptions!$F$4:$H$4,Assumptions!$F$5:$H$5)</f>
        <v>1200</v>
      </c>
      <c r="J713" s="18">
        <f>_xlfn.XLOOKUP(Assumptions!$B$2,Assumptions!$F$4:$H$4,Assumptions!$F$6:$H$6)</f>
        <v>17</v>
      </c>
      <c r="K713" s="12">
        <f>_xlfn.XLOOKUP(Assumptions!$B$2,Assumptions!$F$4:$H$4,Assumptions!$F$8:$H$8)</f>
        <v>0.1</v>
      </c>
      <c r="L713" s="12">
        <f>_xlfn.XLOOKUP(Assumptions!$B$2,Assumptions!$F$4:$H$4,Assumptions!$F$9:$H$9)</f>
        <v>0.18</v>
      </c>
      <c r="M713" s="18">
        <f>_xlfn.XLOOKUP(Assumptions!$B$2,Assumptions!$F$4:$H$4,Assumptions!$F$10:$H$10)</f>
        <v>18000</v>
      </c>
      <c r="N713" s="12">
        <f>_xlfn.XLOOKUP(Assumptions!$B$2,Assumptions!$F$4:$H$4,Assumptions!$F$11:$H$11)</f>
        <v>0.3</v>
      </c>
      <c r="O713" s="14">
        <f>Final_Table[[#This Row],[Units Sold]]*Final_Table[[#This Row],[Sale Price]]</f>
        <v>20400</v>
      </c>
      <c r="P713" s="14">
        <f>Final_Table[[#This Row],[Gross Revenue]]*(1-Final_Table[[#This Row],[Discount %]])</f>
        <v>18360</v>
      </c>
      <c r="Q713">
        <f>Final_Table[[#This Row],[Net Revenue]]*Final_Table[[#This Row],[Variable Cost %]]</f>
        <v>3304.7999999999997</v>
      </c>
      <c r="R713">
        <f>Final_Table[[#This Row],[Variable Cost]]+Final_Table[[#This Row],[Fixed Monthly Cost]]</f>
        <v>21304.799999999999</v>
      </c>
      <c r="S713" s="5">
        <f>Final_Table[[#This Row],[Net Revenue]]-Final_Table[[#This Row],[Total Cost (COGS)]]</f>
        <v>-2944.7999999999993</v>
      </c>
      <c r="T713">
        <f>Final_Table[[#This Row],[Gross Profit]]*Final_Table[[#This Row],[Tax Rate]]</f>
        <v>-883.43999999999971</v>
      </c>
      <c r="U713" s="5">
        <f>Final_Table[[#This Row],[Gross Profit]]-Final_Table[[#This Row],[Tax]]</f>
        <v>-2061.3599999999997</v>
      </c>
      <c r="V713" s="12">
        <f>Final_Table[[#This Row],[Net Profit]]/Final_Table[[#This Row],[Gross Revenue]]</f>
        <v>-0.10104705882352939</v>
      </c>
    </row>
    <row r="714" spans="1:22">
      <c r="A714" s="18" t="s">
        <v>72</v>
      </c>
      <c r="B714">
        <v>2014</v>
      </c>
      <c r="C714" t="s">
        <v>123</v>
      </c>
      <c r="D714">
        <v>1</v>
      </c>
      <c r="E714" s="18" t="s">
        <v>16</v>
      </c>
      <c r="F714" s="18" t="s">
        <v>112</v>
      </c>
      <c r="G714" s="18" t="s">
        <v>21</v>
      </c>
      <c r="H714" s="18" t="str">
        <f>Assumptions!$B$2</f>
        <v>Worst</v>
      </c>
      <c r="I714" s="18">
        <f>_xlfn.XLOOKUP(Assumptions!$B$2,Assumptions!$F$4:$H$4,Assumptions!$F$5:$H$5)</f>
        <v>1200</v>
      </c>
      <c r="J714" s="18">
        <f>_xlfn.XLOOKUP(Assumptions!$B$2,Assumptions!$F$4:$H$4,Assumptions!$F$6:$H$6)</f>
        <v>17</v>
      </c>
      <c r="K714" s="12">
        <f>_xlfn.XLOOKUP(Assumptions!$B$2,Assumptions!$F$4:$H$4,Assumptions!$F$8:$H$8)</f>
        <v>0.1</v>
      </c>
      <c r="L714" s="12">
        <f>_xlfn.XLOOKUP(Assumptions!$B$2,Assumptions!$F$4:$H$4,Assumptions!$F$9:$H$9)</f>
        <v>0.18</v>
      </c>
      <c r="M714" s="18">
        <f>_xlfn.XLOOKUP(Assumptions!$B$2,Assumptions!$F$4:$H$4,Assumptions!$F$10:$H$10)</f>
        <v>18000</v>
      </c>
      <c r="N714" s="12">
        <f>_xlfn.XLOOKUP(Assumptions!$B$2,Assumptions!$F$4:$H$4,Assumptions!$F$11:$H$11)</f>
        <v>0.3</v>
      </c>
      <c r="O714" s="14">
        <f>Final_Table[[#This Row],[Units Sold]]*Final_Table[[#This Row],[Sale Price]]</f>
        <v>20400</v>
      </c>
      <c r="P714" s="14">
        <f>Final_Table[[#This Row],[Gross Revenue]]*(1-Final_Table[[#This Row],[Discount %]])</f>
        <v>18360</v>
      </c>
      <c r="Q714">
        <f>Final_Table[[#This Row],[Net Revenue]]*Final_Table[[#This Row],[Variable Cost %]]</f>
        <v>3304.7999999999997</v>
      </c>
      <c r="R714">
        <f>Final_Table[[#This Row],[Variable Cost]]+Final_Table[[#This Row],[Fixed Monthly Cost]]</f>
        <v>21304.799999999999</v>
      </c>
      <c r="S714" s="5">
        <f>Final_Table[[#This Row],[Net Revenue]]-Final_Table[[#This Row],[Total Cost (COGS)]]</f>
        <v>-2944.7999999999993</v>
      </c>
      <c r="T714">
        <f>Final_Table[[#This Row],[Gross Profit]]*Final_Table[[#This Row],[Tax Rate]]</f>
        <v>-883.43999999999971</v>
      </c>
      <c r="U714" s="5">
        <f>Final_Table[[#This Row],[Gross Profit]]-Final_Table[[#This Row],[Tax]]</f>
        <v>-2061.3599999999997</v>
      </c>
      <c r="V714" s="12">
        <f>Final_Table[[#This Row],[Net Profit]]/Final_Table[[#This Row],[Gross Revenue]]</f>
        <v>-0.10104705882352939</v>
      </c>
    </row>
    <row r="715" spans="1:22">
      <c r="A715" s="18" t="s">
        <v>72</v>
      </c>
      <c r="B715">
        <v>2014</v>
      </c>
      <c r="C715" t="s">
        <v>123</v>
      </c>
      <c r="D715">
        <v>1</v>
      </c>
      <c r="E715" s="18" t="s">
        <v>16</v>
      </c>
      <c r="F715" s="18" t="s">
        <v>112</v>
      </c>
      <c r="G715" s="18" t="s">
        <v>25</v>
      </c>
      <c r="H715" s="18" t="str">
        <f>Assumptions!$B$2</f>
        <v>Worst</v>
      </c>
      <c r="I715" s="18">
        <f>_xlfn.XLOOKUP(Assumptions!$B$2,Assumptions!$F$4:$H$4,Assumptions!$F$5:$H$5)</f>
        <v>1200</v>
      </c>
      <c r="J715" s="18">
        <f>_xlfn.XLOOKUP(Assumptions!$B$2,Assumptions!$F$4:$H$4,Assumptions!$F$6:$H$6)</f>
        <v>17</v>
      </c>
      <c r="K715" s="12">
        <f>_xlfn.XLOOKUP(Assumptions!$B$2,Assumptions!$F$4:$H$4,Assumptions!$F$8:$H$8)</f>
        <v>0.1</v>
      </c>
      <c r="L715" s="12">
        <f>_xlfn.XLOOKUP(Assumptions!$B$2,Assumptions!$F$4:$H$4,Assumptions!$F$9:$H$9)</f>
        <v>0.18</v>
      </c>
      <c r="M715" s="18">
        <f>_xlfn.XLOOKUP(Assumptions!$B$2,Assumptions!$F$4:$H$4,Assumptions!$F$10:$H$10)</f>
        <v>18000</v>
      </c>
      <c r="N715" s="12">
        <f>_xlfn.XLOOKUP(Assumptions!$B$2,Assumptions!$F$4:$H$4,Assumptions!$F$11:$H$11)</f>
        <v>0.3</v>
      </c>
      <c r="O715" s="14">
        <f>Final_Table[[#This Row],[Units Sold]]*Final_Table[[#This Row],[Sale Price]]</f>
        <v>20400</v>
      </c>
      <c r="P715" s="14">
        <f>Final_Table[[#This Row],[Gross Revenue]]*(1-Final_Table[[#This Row],[Discount %]])</f>
        <v>18360</v>
      </c>
      <c r="Q715">
        <f>Final_Table[[#This Row],[Net Revenue]]*Final_Table[[#This Row],[Variable Cost %]]</f>
        <v>3304.7999999999997</v>
      </c>
      <c r="R715">
        <f>Final_Table[[#This Row],[Variable Cost]]+Final_Table[[#This Row],[Fixed Monthly Cost]]</f>
        <v>21304.799999999999</v>
      </c>
      <c r="S715" s="5">
        <f>Final_Table[[#This Row],[Net Revenue]]-Final_Table[[#This Row],[Total Cost (COGS)]]</f>
        <v>-2944.7999999999993</v>
      </c>
      <c r="T715">
        <f>Final_Table[[#This Row],[Gross Profit]]*Final_Table[[#This Row],[Tax Rate]]</f>
        <v>-883.43999999999971</v>
      </c>
      <c r="U715" s="5">
        <f>Final_Table[[#This Row],[Gross Profit]]-Final_Table[[#This Row],[Tax]]</f>
        <v>-2061.3599999999997</v>
      </c>
      <c r="V715" s="12">
        <f>Final_Table[[#This Row],[Net Profit]]/Final_Table[[#This Row],[Gross Revenue]]</f>
        <v>-0.10104705882352939</v>
      </c>
    </row>
    <row r="716" spans="1:22">
      <c r="A716" s="18" t="s">
        <v>72</v>
      </c>
      <c r="B716">
        <v>2014</v>
      </c>
      <c r="C716" t="s">
        <v>123</v>
      </c>
      <c r="D716">
        <v>1</v>
      </c>
      <c r="E716" s="18" t="s">
        <v>16</v>
      </c>
      <c r="F716" s="18" t="s">
        <v>112</v>
      </c>
      <c r="G716" s="18" t="s">
        <v>17</v>
      </c>
      <c r="H716" s="18" t="str">
        <f>Assumptions!$B$2</f>
        <v>Worst</v>
      </c>
      <c r="I716" s="18">
        <f>_xlfn.XLOOKUP(Assumptions!$B$2,Assumptions!$F$4:$H$4,Assumptions!$F$5:$H$5)</f>
        <v>1200</v>
      </c>
      <c r="J716" s="18">
        <f>_xlfn.XLOOKUP(Assumptions!$B$2,Assumptions!$F$4:$H$4,Assumptions!$F$6:$H$6)</f>
        <v>17</v>
      </c>
      <c r="K716" s="12">
        <f>_xlfn.XLOOKUP(Assumptions!$B$2,Assumptions!$F$4:$H$4,Assumptions!$F$8:$H$8)</f>
        <v>0.1</v>
      </c>
      <c r="L716" s="12">
        <f>_xlfn.XLOOKUP(Assumptions!$B$2,Assumptions!$F$4:$H$4,Assumptions!$F$9:$H$9)</f>
        <v>0.18</v>
      </c>
      <c r="M716" s="18">
        <f>_xlfn.XLOOKUP(Assumptions!$B$2,Assumptions!$F$4:$H$4,Assumptions!$F$10:$H$10)</f>
        <v>18000</v>
      </c>
      <c r="N716" s="12">
        <f>_xlfn.XLOOKUP(Assumptions!$B$2,Assumptions!$F$4:$H$4,Assumptions!$F$11:$H$11)</f>
        <v>0.3</v>
      </c>
      <c r="O716" s="14">
        <f>Final_Table[[#This Row],[Units Sold]]*Final_Table[[#This Row],[Sale Price]]</f>
        <v>20400</v>
      </c>
      <c r="P716" s="14">
        <f>Final_Table[[#This Row],[Gross Revenue]]*(1-Final_Table[[#This Row],[Discount %]])</f>
        <v>18360</v>
      </c>
      <c r="Q716">
        <f>Final_Table[[#This Row],[Net Revenue]]*Final_Table[[#This Row],[Variable Cost %]]</f>
        <v>3304.7999999999997</v>
      </c>
      <c r="R716">
        <f>Final_Table[[#This Row],[Variable Cost]]+Final_Table[[#This Row],[Fixed Monthly Cost]]</f>
        <v>21304.799999999999</v>
      </c>
      <c r="S716" s="5">
        <f>Final_Table[[#This Row],[Net Revenue]]-Final_Table[[#This Row],[Total Cost (COGS)]]</f>
        <v>-2944.7999999999993</v>
      </c>
      <c r="T716">
        <f>Final_Table[[#This Row],[Gross Profit]]*Final_Table[[#This Row],[Tax Rate]]</f>
        <v>-883.43999999999971</v>
      </c>
      <c r="U716" s="5">
        <f>Final_Table[[#This Row],[Gross Profit]]-Final_Table[[#This Row],[Tax]]</f>
        <v>-2061.3599999999997</v>
      </c>
      <c r="V716" s="12">
        <f>Final_Table[[#This Row],[Net Profit]]/Final_Table[[#This Row],[Gross Revenue]]</f>
        <v>-0.10104705882352939</v>
      </c>
    </row>
    <row r="717" spans="1:22">
      <c r="A717" s="18" t="s">
        <v>72</v>
      </c>
      <c r="B717">
        <v>2014</v>
      </c>
      <c r="C717" t="s">
        <v>123</v>
      </c>
      <c r="D717">
        <v>1</v>
      </c>
      <c r="E717" s="18" t="s">
        <v>16</v>
      </c>
      <c r="F717" s="18" t="s">
        <v>113</v>
      </c>
      <c r="G717" s="18" t="s">
        <v>36</v>
      </c>
      <c r="H717" s="18" t="str">
        <f>Assumptions!$B$2</f>
        <v>Worst</v>
      </c>
      <c r="I717" s="18">
        <f>_xlfn.XLOOKUP(Assumptions!$B$2,Assumptions!$F$4:$H$4,Assumptions!$F$5:$H$5)</f>
        <v>1200</v>
      </c>
      <c r="J717" s="18">
        <f>_xlfn.XLOOKUP(Assumptions!$B$2,Assumptions!$F$4:$H$4,Assumptions!$F$6:$H$6)</f>
        <v>17</v>
      </c>
      <c r="K717" s="12">
        <f>_xlfn.XLOOKUP(Assumptions!$B$2,Assumptions!$F$4:$H$4,Assumptions!$F$8:$H$8)</f>
        <v>0.1</v>
      </c>
      <c r="L717" s="12">
        <f>_xlfn.XLOOKUP(Assumptions!$B$2,Assumptions!$F$4:$H$4,Assumptions!$F$9:$H$9)</f>
        <v>0.18</v>
      </c>
      <c r="M717" s="18">
        <f>_xlfn.XLOOKUP(Assumptions!$B$2,Assumptions!$F$4:$H$4,Assumptions!$F$10:$H$10)</f>
        <v>18000</v>
      </c>
      <c r="N717" s="12">
        <f>_xlfn.XLOOKUP(Assumptions!$B$2,Assumptions!$F$4:$H$4,Assumptions!$F$11:$H$11)</f>
        <v>0.3</v>
      </c>
      <c r="O717" s="14">
        <f>Final_Table[[#This Row],[Units Sold]]*Final_Table[[#This Row],[Sale Price]]</f>
        <v>20400</v>
      </c>
      <c r="P717" s="14">
        <f>Final_Table[[#This Row],[Gross Revenue]]*(1-Final_Table[[#This Row],[Discount %]])</f>
        <v>18360</v>
      </c>
      <c r="Q717">
        <f>Final_Table[[#This Row],[Net Revenue]]*Final_Table[[#This Row],[Variable Cost %]]</f>
        <v>3304.7999999999997</v>
      </c>
      <c r="R717">
        <f>Final_Table[[#This Row],[Variable Cost]]+Final_Table[[#This Row],[Fixed Monthly Cost]]</f>
        <v>21304.799999999999</v>
      </c>
      <c r="S717" s="5">
        <f>Final_Table[[#This Row],[Net Revenue]]-Final_Table[[#This Row],[Total Cost (COGS)]]</f>
        <v>-2944.7999999999993</v>
      </c>
      <c r="T717">
        <f>Final_Table[[#This Row],[Gross Profit]]*Final_Table[[#This Row],[Tax Rate]]</f>
        <v>-883.43999999999971</v>
      </c>
      <c r="U717" s="5">
        <f>Final_Table[[#This Row],[Gross Profit]]-Final_Table[[#This Row],[Tax]]</f>
        <v>-2061.3599999999997</v>
      </c>
      <c r="V717" s="12">
        <f>Final_Table[[#This Row],[Net Profit]]/Final_Table[[#This Row],[Gross Revenue]]</f>
        <v>-0.10104705882352939</v>
      </c>
    </row>
    <row r="718" spans="1:22">
      <c r="A718" s="18" t="s">
        <v>72</v>
      </c>
      <c r="B718">
        <v>2014</v>
      </c>
      <c r="C718" t="s">
        <v>123</v>
      </c>
      <c r="D718">
        <v>1</v>
      </c>
      <c r="E718" s="18" t="s">
        <v>16</v>
      </c>
      <c r="F718" s="18" t="s">
        <v>113</v>
      </c>
      <c r="G718" s="18" t="s">
        <v>23</v>
      </c>
      <c r="H718" s="18" t="str">
        <f>Assumptions!$B$2</f>
        <v>Worst</v>
      </c>
      <c r="I718" s="18">
        <f>_xlfn.XLOOKUP(Assumptions!$B$2,Assumptions!$F$4:$H$4,Assumptions!$F$5:$H$5)</f>
        <v>1200</v>
      </c>
      <c r="J718" s="18">
        <f>_xlfn.XLOOKUP(Assumptions!$B$2,Assumptions!$F$4:$H$4,Assumptions!$F$6:$H$6)</f>
        <v>17</v>
      </c>
      <c r="K718" s="12">
        <f>_xlfn.XLOOKUP(Assumptions!$B$2,Assumptions!$F$4:$H$4,Assumptions!$F$8:$H$8)</f>
        <v>0.1</v>
      </c>
      <c r="L718" s="12">
        <f>_xlfn.XLOOKUP(Assumptions!$B$2,Assumptions!$F$4:$H$4,Assumptions!$F$9:$H$9)</f>
        <v>0.18</v>
      </c>
      <c r="M718" s="18">
        <f>_xlfn.XLOOKUP(Assumptions!$B$2,Assumptions!$F$4:$H$4,Assumptions!$F$10:$H$10)</f>
        <v>18000</v>
      </c>
      <c r="N718" s="12">
        <f>_xlfn.XLOOKUP(Assumptions!$B$2,Assumptions!$F$4:$H$4,Assumptions!$F$11:$H$11)</f>
        <v>0.3</v>
      </c>
      <c r="O718" s="14">
        <f>Final_Table[[#This Row],[Units Sold]]*Final_Table[[#This Row],[Sale Price]]</f>
        <v>20400</v>
      </c>
      <c r="P718" s="14">
        <f>Final_Table[[#This Row],[Gross Revenue]]*(1-Final_Table[[#This Row],[Discount %]])</f>
        <v>18360</v>
      </c>
      <c r="Q718">
        <f>Final_Table[[#This Row],[Net Revenue]]*Final_Table[[#This Row],[Variable Cost %]]</f>
        <v>3304.7999999999997</v>
      </c>
      <c r="R718">
        <f>Final_Table[[#This Row],[Variable Cost]]+Final_Table[[#This Row],[Fixed Monthly Cost]]</f>
        <v>21304.799999999999</v>
      </c>
      <c r="S718" s="5">
        <f>Final_Table[[#This Row],[Net Revenue]]-Final_Table[[#This Row],[Total Cost (COGS)]]</f>
        <v>-2944.7999999999993</v>
      </c>
      <c r="T718">
        <f>Final_Table[[#This Row],[Gross Profit]]*Final_Table[[#This Row],[Tax Rate]]</f>
        <v>-883.43999999999971</v>
      </c>
      <c r="U718" s="5">
        <f>Final_Table[[#This Row],[Gross Profit]]-Final_Table[[#This Row],[Tax]]</f>
        <v>-2061.3599999999997</v>
      </c>
      <c r="V718" s="12">
        <f>Final_Table[[#This Row],[Net Profit]]/Final_Table[[#This Row],[Gross Revenue]]</f>
        <v>-0.10104705882352939</v>
      </c>
    </row>
    <row r="719" spans="1:22">
      <c r="A719" s="18" t="s">
        <v>72</v>
      </c>
      <c r="B719">
        <v>2014</v>
      </c>
      <c r="C719" t="s">
        <v>123</v>
      </c>
      <c r="D719">
        <v>1</v>
      </c>
      <c r="E719" s="18" t="s">
        <v>16</v>
      </c>
      <c r="F719" s="18" t="s">
        <v>113</v>
      </c>
      <c r="G719" s="18" t="s">
        <v>21</v>
      </c>
      <c r="H719" s="18" t="str">
        <f>Assumptions!$B$2</f>
        <v>Worst</v>
      </c>
      <c r="I719" s="18">
        <f>_xlfn.XLOOKUP(Assumptions!$B$2,Assumptions!$F$4:$H$4,Assumptions!$F$5:$H$5)</f>
        <v>1200</v>
      </c>
      <c r="J719" s="18">
        <f>_xlfn.XLOOKUP(Assumptions!$B$2,Assumptions!$F$4:$H$4,Assumptions!$F$6:$H$6)</f>
        <v>17</v>
      </c>
      <c r="K719" s="12">
        <f>_xlfn.XLOOKUP(Assumptions!$B$2,Assumptions!$F$4:$H$4,Assumptions!$F$8:$H$8)</f>
        <v>0.1</v>
      </c>
      <c r="L719" s="12">
        <f>_xlfn.XLOOKUP(Assumptions!$B$2,Assumptions!$F$4:$H$4,Assumptions!$F$9:$H$9)</f>
        <v>0.18</v>
      </c>
      <c r="M719" s="18">
        <f>_xlfn.XLOOKUP(Assumptions!$B$2,Assumptions!$F$4:$H$4,Assumptions!$F$10:$H$10)</f>
        <v>18000</v>
      </c>
      <c r="N719" s="12">
        <f>_xlfn.XLOOKUP(Assumptions!$B$2,Assumptions!$F$4:$H$4,Assumptions!$F$11:$H$11)</f>
        <v>0.3</v>
      </c>
      <c r="O719" s="14">
        <f>Final_Table[[#This Row],[Units Sold]]*Final_Table[[#This Row],[Sale Price]]</f>
        <v>20400</v>
      </c>
      <c r="P719" s="14">
        <f>Final_Table[[#This Row],[Gross Revenue]]*(1-Final_Table[[#This Row],[Discount %]])</f>
        <v>18360</v>
      </c>
      <c r="Q719">
        <f>Final_Table[[#This Row],[Net Revenue]]*Final_Table[[#This Row],[Variable Cost %]]</f>
        <v>3304.7999999999997</v>
      </c>
      <c r="R719">
        <f>Final_Table[[#This Row],[Variable Cost]]+Final_Table[[#This Row],[Fixed Monthly Cost]]</f>
        <v>21304.799999999999</v>
      </c>
      <c r="S719" s="5">
        <f>Final_Table[[#This Row],[Net Revenue]]-Final_Table[[#This Row],[Total Cost (COGS)]]</f>
        <v>-2944.7999999999993</v>
      </c>
      <c r="T719">
        <f>Final_Table[[#This Row],[Gross Profit]]*Final_Table[[#This Row],[Tax Rate]]</f>
        <v>-883.43999999999971</v>
      </c>
      <c r="U719" s="5">
        <f>Final_Table[[#This Row],[Gross Profit]]-Final_Table[[#This Row],[Tax]]</f>
        <v>-2061.3599999999997</v>
      </c>
      <c r="V719" s="12">
        <f>Final_Table[[#This Row],[Net Profit]]/Final_Table[[#This Row],[Gross Revenue]]</f>
        <v>-0.10104705882352939</v>
      </c>
    </row>
    <row r="720" spans="1:22">
      <c r="A720" s="18" t="s">
        <v>72</v>
      </c>
      <c r="B720">
        <v>2014</v>
      </c>
      <c r="C720" t="s">
        <v>123</v>
      </c>
      <c r="D720">
        <v>1</v>
      </c>
      <c r="E720" s="18" t="s">
        <v>16</v>
      </c>
      <c r="F720" s="18" t="s">
        <v>113</v>
      </c>
      <c r="G720" s="18" t="s">
        <v>25</v>
      </c>
      <c r="H720" s="18" t="str">
        <f>Assumptions!$B$2</f>
        <v>Worst</v>
      </c>
      <c r="I720" s="18">
        <f>_xlfn.XLOOKUP(Assumptions!$B$2,Assumptions!$F$4:$H$4,Assumptions!$F$5:$H$5)</f>
        <v>1200</v>
      </c>
      <c r="J720" s="18">
        <f>_xlfn.XLOOKUP(Assumptions!$B$2,Assumptions!$F$4:$H$4,Assumptions!$F$6:$H$6)</f>
        <v>17</v>
      </c>
      <c r="K720" s="12">
        <f>_xlfn.XLOOKUP(Assumptions!$B$2,Assumptions!$F$4:$H$4,Assumptions!$F$8:$H$8)</f>
        <v>0.1</v>
      </c>
      <c r="L720" s="12">
        <f>_xlfn.XLOOKUP(Assumptions!$B$2,Assumptions!$F$4:$H$4,Assumptions!$F$9:$H$9)</f>
        <v>0.18</v>
      </c>
      <c r="M720" s="18">
        <f>_xlfn.XLOOKUP(Assumptions!$B$2,Assumptions!$F$4:$H$4,Assumptions!$F$10:$H$10)</f>
        <v>18000</v>
      </c>
      <c r="N720" s="12">
        <f>_xlfn.XLOOKUP(Assumptions!$B$2,Assumptions!$F$4:$H$4,Assumptions!$F$11:$H$11)</f>
        <v>0.3</v>
      </c>
      <c r="O720" s="14">
        <f>Final_Table[[#This Row],[Units Sold]]*Final_Table[[#This Row],[Sale Price]]</f>
        <v>20400</v>
      </c>
      <c r="P720" s="14">
        <f>Final_Table[[#This Row],[Gross Revenue]]*(1-Final_Table[[#This Row],[Discount %]])</f>
        <v>18360</v>
      </c>
      <c r="Q720">
        <f>Final_Table[[#This Row],[Net Revenue]]*Final_Table[[#This Row],[Variable Cost %]]</f>
        <v>3304.7999999999997</v>
      </c>
      <c r="R720">
        <f>Final_Table[[#This Row],[Variable Cost]]+Final_Table[[#This Row],[Fixed Monthly Cost]]</f>
        <v>21304.799999999999</v>
      </c>
      <c r="S720" s="5">
        <f>Final_Table[[#This Row],[Net Revenue]]-Final_Table[[#This Row],[Total Cost (COGS)]]</f>
        <v>-2944.7999999999993</v>
      </c>
      <c r="T720">
        <f>Final_Table[[#This Row],[Gross Profit]]*Final_Table[[#This Row],[Tax Rate]]</f>
        <v>-883.43999999999971</v>
      </c>
      <c r="U720" s="5">
        <f>Final_Table[[#This Row],[Gross Profit]]-Final_Table[[#This Row],[Tax]]</f>
        <v>-2061.3599999999997</v>
      </c>
      <c r="V720" s="12">
        <f>Final_Table[[#This Row],[Net Profit]]/Final_Table[[#This Row],[Gross Revenue]]</f>
        <v>-0.10104705882352939</v>
      </c>
    </row>
    <row r="721" spans="1:22">
      <c r="A721" s="18" t="s">
        <v>72</v>
      </c>
      <c r="B721">
        <v>2014</v>
      </c>
      <c r="C721" t="s">
        <v>123</v>
      </c>
      <c r="D721">
        <v>1</v>
      </c>
      <c r="E721" s="18" t="s">
        <v>16</v>
      </c>
      <c r="F721" s="18" t="s">
        <v>113</v>
      </c>
      <c r="G721" s="18" t="s">
        <v>17</v>
      </c>
      <c r="H721" s="18" t="str">
        <f>Assumptions!$B$2</f>
        <v>Worst</v>
      </c>
      <c r="I721" s="18">
        <f>_xlfn.XLOOKUP(Assumptions!$B$2,Assumptions!$F$4:$H$4,Assumptions!$F$5:$H$5)</f>
        <v>1200</v>
      </c>
      <c r="J721" s="18">
        <f>_xlfn.XLOOKUP(Assumptions!$B$2,Assumptions!$F$4:$H$4,Assumptions!$F$6:$H$6)</f>
        <v>17</v>
      </c>
      <c r="K721" s="12">
        <f>_xlfn.XLOOKUP(Assumptions!$B$2,Assumptions!$F$4:$H$4,Assumptions!$F$8:$H$8)</f>
        <v>0.1</v>
      </c>
      <c r="L721" s="12">
        <f>_xlfn.XLOOKUP(Assumptions!$B$2,Assumptions!$F$4:$H$4,Assumptions!$F$9:$H$9)</f>
        <v>0.18</v>
      </c>
      <c r="M721" s="18">
        <f>_xlfn.XLOOKUP(Assumptions!$B$2,Assumptions!$F$4:$H$4,Assumptions!$F$10:$H$10)</f>
        <v>18000</v>
      </c>
      <c r="N721" s="12">
        <f>_xlfn.XLOOKUP(Assumptions!$B$2,Assumptions!$F$4:$H$4,Assumptions!$F$11:$H$11)</f>
        <v>0.3</v>
      </c>
      <c r="O721" s="14">
        <f>Final_Table[[#This Row],[Units Sold]]*Final_Table[[#This Row],[Sale Price]]</f>
        <v>20400</v>
      </c>
      <c r="P721" s="14">
        <f>Final_Table[[#This Row],[Gross Revenue]]*(1-Final_Table[[#This Row],[Discount %]])</f>
        <v>18360</v>
      </c>
      <c r="Q721">
        <f>Final_Table[[#This Row],[Net Revenue]]*Final_Table[[#This Row],[Variable Cost %]]</f>
        <v>3304.7999999999997</v>
      </c>
      <c r="R721">
        <f>Final_Table[[#This Row],[Variable Cost]]+Final_Table[[#This Row],[Fixed Monthly Cost]]</f>
        <v>21304.799999999999</v>
      </c>
      <c r="S721" s="5">
        <f>Final_Table[[#This Row],[Net Revenue]]-Final_Table[[#This Row],[Total Cost (COGS)]]</f>
        <v>-2944.7999999999993</v>
      </c>
      <c r="T721">
        <f>Final_Table[[#This Row],[Gross Profit]]*Final_Table[[#This Row],[Tax Rate]]</f>
        <v>-883.43999999999971</v>
      </c>
      <c r="U721" s="5">
        <f>Final_Table[[#This Row],[Gross Profit]]-Final_Table[[#This Row],[Tax]]</f>
        <v>-2061.3599999999997</v>
      </c>
      <c r="V721" s="12">
        <f>Final_Table[[#This Row],[Net Profit]]/Final_Table[[#This Row],[Gross Revenue]]</f>
        <v>-0.10104705882352939</v>
      </c>
    </row>
    <row r="722" spans="1:22">
      <c r="A722" s="18" t="s">
        <v>72</v>
      </c>
      <c r="B722">
        <v>2014</v>
      </c>
      <c r="C722" t="s">
        <v>123</v>
      </c>
      <c r="D722">
        <v>1</v>
      </c>
      <c r="E722" s="18" t="s">
        <v>16</v>
      </c>
      <c r="F722" s="18" t="s">
        <v>114</v>
      </c>
      <c r="G722" s="18" t="s">
        <v>36</v>
      </c>
      <c r="H722" s="18" t="str">
        <f>Assumptions!$B$2</f>
        <v>Worst</v>
      </c>
      <c r="I722" s="18">
        <f>_xlfn.XLOOKUP(Assumptions!$B$2,Assumptions!$F$4:$H$4,Assumptions!$F$5:$H$5)</f>
        <v>1200</v>
      </c>
      <c r="J722" s="18">
        <f>_xlfn.XLOOKUP(Assumptions!$B$2,Assumptions!$F$4:$H$4,Assumptions!$F$6:$H$6)</f>
        <v>17</v>
      </c>
      <c r="K722" s="12">
        <f>_xlfn.XLOOKUP(Assumptions!$B$2,Assumptions!$F$4:$H$4,Assumptions!$F$8:$H$8)</f>
        <v>0.1</v>
      </c>
      <c r="L722" s="12">
        <f>_xlfn.XLOOKUP(Assumptions!$B$2,Assumptions!$F$4:$H$4,Assumptions!$F$9:$H$9)</f>
        <v>0.18</v>
      </c>
      <c r="M722" s="18">
        <f>_xlfn.XLOOKUP(Assumptions!$B$2,Assumptions!$F$4:$H$4,Assumptions!$F$10:$H$10)</f>
        <v>18000</v>
      </c>
      <c r="N722" s="12">
        <f>_xlfn.XLOOKUP(Assumptions!$B$2,Assumptions!$F$4:$H$4,Assumptions!$F$11:$H$11)</f>
        <v>0.3</v>
      </c>
      <c r="O722" s="14">
        <f>Final_Table[[#This Row],[Units Sold]]*Final_Table[[#This Row],[Sale Price]]</f>
        <v>20400</v>
      </c>
      <c r="P722" s="14">
        <f>Final_Table[[#This Row],[Gross Revenue]]*(1-Final_Table[[#This Row],[Discount %]])</f>
        <v>18360</v>
      </c>
      <c r="Q722">
        <f>Final_Table[[#This Row],[Net Revenue]]*Final_Table[[#This Row],[Variable Cost %]]</f>
        <v>3304.7999999999997</v>
      </c>
      <c r="R722">
        <f>Final_Table[[#This Row],[Variable Cost]]+Final_Table[[#This Row],[Fixed Monthly Cost]]</f>
        <v>21304.799999999999</v>
      </c>
      <c r="S722" s="5">
        <f>Final_Table[[#This Row],[Net Revenue]]-Final_Table[[#This Row],[Total Cost (COGS)]]</f>
        <v>-2944.7999999999993</v>
      </c>
      <c r="T722">
        <f>Final_Table[[#This Row],[Gross Profit]]*Final_Table[[#This Row],[Tax Rate]]</f>
        <v>-883.43999999999971</v>
      </c>
      <c r="U722" s="5">
        <f>Final_Table[[#This Row],[Gross Profit]]-Final_Table[[#This Row],[Tax]]</f>
        <v>-2061.3599999999997</v>
      </c>
      <c r="V722" s="12">
        <f>Final_Table[[#This Row],[Net Profit]]/Final_Table[[#This Row],[Gross Revenue]]</f>
        <v>-0.10104705882352939</v>
      </c>
    </row>
    <row r="723" spans="1:22">
      <c r="A723" s="18" t="s">
        <v>72</v>
      </c>
      <c r="B723">
        <v>2014</v>
      </c>
      <c r="C723" t="s">
        <v>123</v>
      </c>
      <c r="D723">
        <v>1</v>
      </c>
      <c r="E723" s="18" t="s">
        <v>16</v>
      </c>
      <c r="F723" s="18" t="s">
        <v>114</v>
      </c>
      <c r="G723" s="18" t="s">
        <v>23</v>
      </c>
      <c r="H723" s="18" t="str">
        <f>Assumptions!$B$2</f>
        <v>Worst</v>
      </c>
      <c r="I723" s="18">
        <f>_xlfn.XLOOKUP(Assumptions!$B$2,Assumptions!$F$4:$H$4,Assumptions!$F$5:$H$5)</f>
        <v>1200</v>
      </c>
      <c r="J723" s="18">
        <f>_xlfn.XLOOKUP(Assumptions!$B$2,Assumptions!$F$4:$H$4,Assumptions!$F$6:$H$6)</f>
        <v>17</v>
      </c>
      <c r="K723" s="12">
        <f>_xlfn.XLOOKUP(Assumptions!$B$2,Assumptions!$F$4:$H$4,Assumptions!$F$8:$H$8)</f>
        <v>0.1</v>
      </c>
      <c r="L723" s="12">
        <f>_xlfn.XLOOKUP(Assumptions!$B$2,Assumptions!$F$4:$H$4,Assumptions!$F$9:$H$9)</f>
        <v>0.18</v>
      </c>
      <c r="M723" s="18">
        <f>_xlfn.XLOOKUP(Assumptions!$B$2,Assumptions!$F$4:$H$4,Assumptions!$F$10:$H$10)</f>
        <v>18000</v>
      </c>
      <c r="N723" s="12">
        <f>_xlfn.XLOOKUP(Assumptions!$B$2,Assumptions!$F$4:$H$4,Assumptions!$F$11:$H$11)</f>
        <v>0.3</v>
      </c>
      <c r="O723" s="14">
        <f>Final_Table[[#This Row],[Units Sold]]*Final_Table[[#This Row],[Sale Price]]</f>
        <v>20400</v>
      </c>
      <c r="P723" s="14">
        <f>Final_Table[[#This Row],[Gross Revenue]]*(1-Final_Table[[#This Row],[Discount %]])</f>
        <v>18360</v>
      </c>
      <c r="Q723">
        <f>Final_Table[[#This Row],[Net Revenue]]*Final_Table[[#This Row],[Variable Cost %]]</f>
        <v>3304.7999999999997</v>
      </c>
      <c r="R723">
        <f>Final_Table[[#This Row],[Variable Cost]]+Final_Table[[#This Row],[Fixed Monthly Cost]]</f>
        <v>21304.799999999999</v>
      </c>
      <c r="S723" s="5">
        <f>Final_Table[[#This Row],[Net Revenue]]-Final_Table[[#This Row],[Total Cost (COGS)]]</f>
        <v>-2944.7999999999993</v>
      </c>
      <c r="T723">
        <f>Final_Table[[#This Row],[Gross Profit]]*Final_Table[[#This Row],[Tax Rate]]</f>
        <v>-883.43999999999971</v>
      </c>
      <c r="U723" s="5">
        <f>Final_Table[[#This Row],[Gross Profit]]-Final_Table[[#This Row],[Tax]]</f>
        <v>-2061.3599999999997</v>
      </c>
      <c r="V723" s="12">
        <f>Final_Table[[#This Row],[Net Profit]]/Final_Table[[#This Row],[Gross Revenue]]</f>
        <v>-0.10104705882352939</v>
      </c>
    </row>
    <row r="724" spans="1:22">
      <c r="A724" s="18" t="s">
        <v>72</v>
      </c>
      <c r="B724">
        <v>2014</v>
      </c>
      <c r="C724" t="s">
        <v>123</v>
      </c>
      <c r="D724">
        <v>1</v>
      </c>
      <c r="E724" s="18" t="s">
        <v>16</v>
      </c>
      <c r="F724" s="18" t="s">
        <v>114</v>
      </c>
      <c r="G724" s="18" t="s">
        <v>21</v>
      </c>
      <c r="H724" s="18" t="str">
        <f>Assumptions!$B$2</f>
        <v>Worst</v>
      </c>
      <c r="I724" s="18">
        <f>_xlfn.XLOOKUP(Assumptions!$B$2,Assumptions!$F$4:$H$4,Assumptions!$F$5:$H$5)</f>
        <v>1200</v>
      </c>
      <c r="J724" s="18">
        <f>_xlfn.XLOOKUP(Assumptions!$B$2,Assumptions!$F$4:$H$4,Assumptions!$F$6:$H$6)</f>
        <v>17</v>
      </c>
      <c r="K724" s="12">
        <f>_xlfn.XLOOKUP(Assumptions!$B$2,Assumptions!$F$4:$H$4,Assumptions!$F$8:$H$8)</f>
        <v>0.1</v>
      </c>
      <c r="L724" s="12">
        <f>_xlfn.XLOOKUP(Assumptions!$B$2,Assumptions!$F$4:$H$4,Assumptions!$F$9:$H$9)</f>
        <v>0.18</v>
      </c>
      <c r="M724" s="18">
        <f>_xlfn.XLOOKUP(Assumptions!$B$2,Assumptions!$F$4:$H$4,Assumptions!$F$10:$H$10)</f>
        <v>18000</v>
      </c>
      <c r="N724" s="12">
        <f>_xlfn.XLOOKUP(Assumptions!$B$2,Assumptions!$F$4:$H$4,Assumptions!$F$11:$H$11)</f>
        <v>0.3</v>
      </c>
      <c r="O724" s="14">
        <f>Final_Table[[#This Row],[Units Sold]]*Final_Table[[#This Row],[Sale Price]]</f>
        <v>20400</v>
      </c>
      <c r="P724" s="14">
        <f>Final_Table[[#This Row],[Gross Revenue]]*(1-Final_Table[[#This Row],[Discount %]])</f>
        <v>18360</v>
      </c>
      <c r="Q724">
        <f>Final_Table[[#This Row],[Net Revenue]]*Final_Table[[#This Row],[Variable Cost %]]</f>
        <v>3304.7999999999997</v>
      </c>
      <c r="R724">
        <f>Final_Table[[#This Row],[Variable Cost]]+Final_Table[[#This Row],[Fixed Monthly Cost]]</f>
        <v>21304.799999999999</v>
      </c>
      <c r="S724" s="5">
        <f>Final_Table[[#This Row],[Net Revenue]]-Final_Table[[#This Row],[Total Cost (COGS)]]</f>
        <v>-2944.7999999999993</v>
      </c>
      <c r="T724">
        <f>Final_Table[[#This Row],[Gross Profit]]*Final_Table[[#This Row],[Tax Rate]]</f>
        <v>-883.43999999999971</v>
      </c>
      <c r="U724" s="5">
        <f>Final_Table[[#This Row],[Gross Profit]]-Final_Table[[#This Row],[Tax]]</f>
        <v>-2061.3599999999997</v>
      </c>
      <c r="V724" s="12">
        <f>Final_Table[[#This Row],[Net Profit]]/Final_Table[[#This Row],[Gross Revenue]]</f>
        <v>-0.10104705882352939</v>
      </c>
    </row>
    <row r="725" spans="1:22">
      <c r="A725" s="18" t="s">
        <v>72</v>
      </c>
      <c r="B725">
        <v>2014</v>
      </c>
      <c r="C725" t="s">
        <v>123</v>
      </c>
      <c r="D725">
        <v>1</v>
      </c>
      <c r="E725" s="18" t="s">
        <v>16</v>
      </c>
      <c r="F725" s="18" t="s">
        <v>114</v>
      </c>
      <c r="G725" s="18" t="s">
        <v>25</v>
      </c>
      <c r="H725" s="18" t="str">
        <f>Assumptions!$B$2</f>
        <v>Worst</v>
      </c>
      <c r="I725" s="18">
        <f>_xlfn.XLOOKUP(Assumptions!$B$2,Assumptions!$F$4:$H$4,Assumptions!$F$5:$H$5)</f>
        <v>1200</v>
      </c>
      <c r="J725" s="18">
        <f>_xlfn.XLOOKUP(Assumptions!$B$2,Assumptions!$F$4:$H$4,Assumptions!$F$6:$H$6)</f>
        <v>17</v>
      </c>
      <c r="K725" s="12">
        <f>_xlfn.XLOOKUP(Assumptions!$B$2,Assumptions!$F$4:$H$4,Assumptions!$F$8:$H$8)</f>
        <v>0.1</v>
      </c>
      <c r="L725" s="12">
        <f>_xlfn.XLOOKUP(Assumptions!$B$2,Assumptions!$F$4:$H$4,Assumptions!$F$9:$H$9)</f>
        <v>0.18</v>
      </c>
      <c r="M725" s="18">
        <f>_xlfn.XLOOKUP(Assumptions!$B$2,Assumptions!$F$4:$H$4,Assumptions!$F$10:$H$10)</f>
        <v>18000</v>
      </c>
      <c r="N725" s="12">
        <f>_xlfn.XLOOKUP(Assumptions!$B$2,Assumptions!$F$4:$H$4,Assumptions!$F$11:$H$11)</f>
        <v>0.3</v>
      </c>
      <c r="O725" s="14">
        <f>Final_Table[[#This Row],[Units Sold]]*Final_Table[[#This Row],[Sale Price]]</f>
        <v>20400</v>
      </c>
      <c r="P725" s="14">
        <f>Final_Table[[#This Row],[Gross Revenue]]*(1-Final_Table[[#This Row],[Discount %]])</f>
        <v>18360</v>
      </c>
      <c r="Q725">
        <f>Final_Table[[#This Row],[Net Revenue]]*Final_Table[[#This Row],[Variable Cost %]]</f>
        <v>3304.7999999999997</v>
      </c>
      <c r="R725">
        <f>Final_Table[[#This Row],[Variable Cost]]+Final_Table[[#This Row],[Fixed Monthly Cost]]</f>
        <v>21304.799999999999</v>
      </c>
      <c r="S725" s="5">
        <f>Final_Table[[#This Row],[Net Revenue]]-Final_Table[[#This Row],[Total Cost (COGS)]]</f>
        <v>-2944.7999999999993</v>
      </c>
      <c r="T725">
        <f>Final_Table[[#This Row],[Gross Profit]]*Final_Table[[#This Row],[Tax Rate]]</f>
        <v>-883.43999999999971</v>
      </c>
      <c r="U725" s="5">
        <f>Final_Table[[#This Row],[Gross Profit]]-Final_Table[[#This Row],[Tax]]</f>
        <v>-2061.3599999999997</v>
      </c>
      <c r="V725" s="12">
        <f>Final_Table[[#This Row],[Net Profit]]/Final_Table[[#This Row],[Gross Revenue]]</f>
        <v>-0.10104705882352939</v>
      </c>
    </row>
    <row r="726" spans="1:22">
      <c r="A726" s="18" t="s">
        <v>72</v>
      </c>
      <c r="B726">
        <v>2014</v>
      </c>
      <c r="C726" t="s">
        <v>123</v>
      </c>
      <c r="D726">
        <v>1</v>
      </c>
      <c r="E726" s="18" t="s">
        <v>16</v>
      </c>
      <c r="F726" s="18" t="s">
        <v>114</v>
      </c>
      <c r="G726" s="18" t="s">
        <v>17</v>
      </c>
      <c r="H726" s="18" t="str">
        <f>Assumptions!$B$2</f>
        <v>Worst</v>
      </c>
      <c r="I726" s="18">
        <f>_xlfn.XLOOKUP(Assumptions!$B$2,Assumptions!$F$4:$H$4,Assumptions!$F$5:$H$5)</f>
        <v>1200</v>
      </c>
      <c r="J726" s="18">
        <f>_xlfn.XLOOKUP(Assumptions!$B$2,Assumptions!$F$4:$H$4,Assumptions!$F$6:$H$6)</f>
        <v>17</v>
      </c>
      <c r="K726" s="12">
        <f>_xlfn.XLOOKUP(Assumptions!$B$2,Assumptions!$F$4:$H$4,Assumptions!$F$8:$H$8)</f>
        <v>0.1</v>
      </c>
      <c r="L726" s="12">
        <f>_xlfn.XLOOKUP(Assumptions!$B$2,Assumptions!$F$4:$H$4,Assumptions!$F$9:$H$9)</f>
        <v>0.18</v>
      </c>
      <c r="M726" s="18">
        <f>_xlfn.XLOOKUP(Assumptions!$B$2,Assumptions!$F$4:$H$4,Assumptions!$F$10:$H$10)</f>
        <v>18000</v>
      </c>
      <c r="N726" s="12">
        <f>_xlfn.XLOOKUP(Assumptions!$B$2,Assumptions!$F$4:$H$4,Assumptions!$F$11:$H$11)</f>
        <v>0.3</v>
      </c>
      <c r="O726" s="14">
        <f>Final_Table[[#This Row],[Units Sold]]*Final_Table[[#This Row],[Sale Price]]</f>
        <v>20400</v>
      </c>
      <c r="P726" s="14">
        <f>Final_Table[[#This Row],[Gross Revenue]]*(1-Final_Table[[#This Row],[Discount %]])</f>
        <v>18360</v>
      </c>
      <c r="Q726">
        <f>Final_Table[[#This Row],[Net Revenue]]*Final_Table[[#This Row],[Variable Cost %]]</f>
        <v>3304.7999999999997</v>
      </c>
      <c r="R726">
        <f>Final_Table[[#This Row],[Variable Cost]]+Final_Table[[#This Row],[Fixed Monthly Cost]]</f>
        <v>21304.799999999999</v>
      </c>
      <c r="S726" s="5">
        <f>Final_Table[[#This Row],[Net Revenue]]-Final_Table[[#This Row],[Total Cost (COGS)]]</f>
        <v>-2944.7999999999993</v>
      </c>
      <c r="T726">
        <f>Final_Table[[#This Row],[Gross Profit]]*Final_Table[[#This Row],[Tax Rate]]</f>
        <v>-883.43999999999971</v>
      </c>
      <c r="U726" s="5">
        <f>Final_Table[[#This Row],[Gross Profit]]-Final_Table[[#This Row],[Tax]]</f>
        <v>-2061.3599999999997</v>
      </c>
      <c r="V726" s="12">
        <f>Final_Table[[#This Row],[Net Profit]]/Final_Table[[#This Row],[Gross Revenue]]</f>
        <v>-0.10104705882352939</v>
      </c>
    </row>
    <row r="727" spans="1:22">
      <c r="A727" s="18" t="s">
        <v>72</v>
      </c>
      <c r="B727">
        <v>2014</v>
      </c>
      <c r="C727" t="s">
        <v>123</v>
      </c>
      <c r="D727">
        <v>1</v>
      </c>
      <c r="E727" s="18" t="s">
        <v>32</v>
      </c>
      <c r="F727" s="18" t="s">
        <v>80</v>
      </c>
      <c r="G727" s="18" t="s">
        <v>36</v>
      </c>
      <c r="H727" s="18" t="str">
        <f>Assumptions!$B$2</f>
        <v>Worst</v>
      </c>
      <c r="I727" s="18">
        <f>_xlfn.XLOOKUP(Assumptions!$B$2,Assumptions!$F$4:$H$4,Assumptions!$F$5:$H$5)</f>
        <v>1200</v>
      </c>
      <c r="J727" s="18">
        <f>_xlfn.XLOOKUP(Assumptions!$B$2,Assumptions!$F$4:$H$4,Assumptions!$F$6:$H$6)</f>
        <v>17</v>
      </c>
      <c r="K727" s="12">
        <f>_xlfn.XLOOKUP(Assumptions!$B$2,Assumptions!$F$4:$H$4,Assumptions!$F$8:$H$8)</f>
        <v>0.1</v>
      </c>
      <c r="L727" s="12">
        <f>_xlfn.XLOOKUP(Assumptions!$B$2,Assumptions!$F$4:$H$4,Assumptions!$F$9:$H$9)</f>
        <v>0.18</v>
      </c>
      <c r="M727" s="18">
        <f>_xlfn.XLOOKUP(Assumptions!$B$2,Assumptions!$F$4:$H$4,Assumptions!$F$10:$H$10)</f>
        <v>18000</v>
      </c>
      <c r="N727" s="12">
        <f>_xlfn.XLOOKUP(Assumptions!$B$2,Assumptions!$F$4:$H$4,Assumptions!$F$11:$H$11)</f>
        <v>0.3</v>
      </c>
      <c r="O727" s="14">
        <f>Final_Table[[#This Row],[Units Sold]]*Final_Table[[#This Row],[Sale Price]]</f>
        <v>20400</v>
      </c>
      <c r="P727" s="14">
        <f>Final_Table[[#This Row],[Gross Revenue]]*(1-Final_Table[[#This Row],[Discount %]])</f>
        <v>18360</v>
      </c>
      <c r="Q727">
        <f>Final_Table[[#This Row],[Net Revenue]]*Final_Table[[#This Row],[Variable Cost %]]</f>
        <v>3304.7999999999997</v>
      </c>
      <c r="R727">
        <f>Final_Table[[#This Row],[Variable Cost]]+Final_Table[[#This Row],[Fixed Monthly Cost]]</f>
        <v>21304.799999999999</v>
      </c>
      <c r="S727" s="5">
        <f>Final_Table[[#This Row],[Net Revenue]]-Final_Table[[#This Row],[Total Cost (COGS)]]</f>
        <v>-2944.7999999999993</v>
      </c>
      <c r="T727">
        <f>Final_Table[[#This Row],[Gross Profit]]*Final_Table[[#This Row],[Tax Rate]]</f>
        <v>-883.43999999999971</v>
      </c>
      <c r="U727" s="5">
        <f>Final_Table[[#This Row],[Gross Profit]]-Final_Table[[#This Row],[Tax]]</f>
        <v>-2061.3599999999997</v>
      </c>
      <c r="V727" s="12">
        <f>Final_Table[[#This Row],[Net Profit]]/Final_Table[[#This Row],[Gross Revenue]]</f>
        <v>-0.10104705882352939</v>
      </c>
    </row>
    <row r="728" spans="1:22">
      <c r="A728" s="18" t="s">
        <v>72</v>
      </c>
      <c r="B728">
        <v>2014</v>
      </c>
      <c r="C728" t="s">
        <v>123</v>
      </c>
      <c r="D728">
        <v>1</v>
      </c>
      <c r="E728" s="18" t="s">
        <v>32</v>
      </c>
      <c r="F728" s="18" t="s">
        <v>80</v>
      </c>
      <c r="G728" s="18" t="s">
        <v>23</v>
      </c>
      <c r="H728" s="18" t="str">
        <f>Assumptions!$B$2</f>
        <v>Worst</v>
      </c>
      <c r="I728" s="18">
        <f>_xlfn.XLOOKUP(Assumptions!$B$2,Assumptions!$F$4:$H$4,Assumptions!$F$5:$H$5)</f>
        <v>1200</v>
      </c>
      <c r="J728" s="18">
        <f>_xlfn.XLOOKUP(Assumptions!$B$2,Assumptions!$F$4:$H$4,Assumptions!$F$6:$H$6)</f>
        <v>17</v>
      </c>
      <c r="K728" s="12">
        <f>_xlfn.XLOOKUP(Assumptions!$B$2,Assumptions!$F$4:$H$4,Assumptions!$F$8:$H$8)</f>
        <v>0.1</v>
      </c>
      <c r="L728" s="12">
        <f>_xlfn.XLOOKUP(Assumptions!$B$2,Assumptions!$F$4:$H$4,Assumptions!$F$9:$H$9)</f>
        <v>0.18</v>
      </c>
      <c r="M728" s="18">
        <f>_xlfn.XLOOKUP(Assumptions!$B$2,Assumptions!$F$4:$H$4,Assumptions!$F$10:$H$10)</f>
        <v>18000</v>
      </c>
      <c r="N728" s="12">
        <f>_xlfn.XLOOKUP(Assumptions!$B$2,Assumptions!$F$4:$H$4,Assumptions!$F$11:$H$11)</f>
        <v>0.3</v>
      </c>
      <c r="O728" s="14">
        <f>Final_Table[[#This Row],[Units Sold]]*Final_Table[[#This Row],[Sale Price]]</f>
        <v>20400</v>
      </c>
      <c r="P728" s="14">
        <f>Final_Table[[#This Row],[Gross Revenue]]*(1-Final_Table[[#This Row],[Discount %]])</f>
        <v>18360</v>
      </c>
      <c r="Q728">
        <f>Final_Table[[#This Row],[Net Revenue]]*Final_Table[[#This Row],[Variable Cost %]]</f>
        <v>3304.7999999999997</v>
      </c>
      <c r="R728">
        <f>Final_Table[[#This Row],[Variable Cost]]+Final_Table[[#This Row],[Fixed Monthly Cost]]</f>
        <v>21304.799999999999</v>
      </c>
      <c r="S728" s="5">
        <f>Final_Table[[#This Row],[Net Revenue]]-Final_Table[[#This Row],[Total Cost (COGS)]]</f>
        <v>-2944.7999999999993</v>
      </c>
      <c r="T728">
        <f>Final_Table[[#This Row],[Gross Profit]]*Final_Table[[#This Row],[Tax Rate]]</f>
        <v>-883.43999999999971</v>
      </c>
      <c r="U728" s="5">
        <f>Final_Table[[#This Row],[Gross Profit]]-Final_Table[[#This Row],[Tax]]</f>
        <v>-2061.3599999999997</v>
      </c>
      <c r="V728" s="12">
        <f>Final_Table[[#This Row],[Net Profit]]/Final_Table[[#This Row],[Gross Revenue]]</f>
        <v>-0.10104705882352939</v>
      </c>
    </row>
    <row r="729" spans="1:22">
      <c r="A729" s="18" t="s">
        <v>72</v>
      </c>
      <c r="B729">
        <v>2014</v>
      </c>
      <c r="C729" t="s">
        <v>123</v>
      </c>
      <c r="D729">
        <v>1</v>
      </c>
      <c r="E729" s="18" t="s">
        <v>32</v>
      </c>
      <c r="F729" s="18" t="s">
        <v>80</v>
      </c>
      <c r="G729" s="18" t="s">
        <v>21</v>
      </c>
      <c r="H729" s="18" t="str">
        <f>Assumptions!$B$2</f>
        <v>Worst</v>
      </c>
      <c r="I729" s="18">
        <f>_xlfn.XLOOKUP(Assumptions!$B$2,Assumptions!$F$4:$H$4,Assumptions!$F$5:$H$5)</f>
        <v>1200</v>
      </c>
      <c r="J729" s="18">
        <f>_xlfn.XLOOKUP(Assumptions!$B$2,Assumptions!$F$4:$H$4,Assumptions!$F$6:$H$6)</f>
        <v>17</v>
      </c>
      <c r="K729" s="12">
        <f>_xlfn.XLOOKUP(Assumptions!$B$2,Assumptions!$F$4:$H$4,Assumptions!$F$8:$H$8)</f>
        <v>0.1</v>
      </c>
      <c r="L729" s="12">
        <f>_xlfn.XLOOKUP(Assumptions!$B$2,Assumptions!$F$4:$H$4,Assumptions!$F$9:$H$9)</f>
        <v>0.18</v>
      </c>
      <c r="M729" s="18">
        <f>_xlfn.XLOOKUP(Assumptions!$B$2,Assumptions!$F$4:$H$4,Assumptions!$F$10:$H$10)</f>
        <v>18000</v>
      </c>
      <c r="N729" s="12">
        <f>_xlfn.XLOOKUP(Assumptions!$B$2,Assumptions!$F$4:$H$4,Assumptions!$F$11:$H$11)</f>
        <v>0.3</v>
      </c>
      <c r="O729" s="14">
        <f>Final_Table[[#This Row],[Units Sold]]*Final_Table[[#This Row],[Sale Price]]</f>
        <v>20400</v>
      </c>
      <c r="P729" s="14">
        <f>Final_Table[[#This Row],[Gross Revenue]]*(1-Final_Table[[#This Row],[Discount %]])</f>
        <v>18360</v>
      </c>
      <c r="Q729">
        <f>Final_Table[[#This Row],[Net Revenue]]*Final_Table[[#This Row],[Variable Cost %]]</f>
        <v>3304.7999999999997</v>
      </c>
      <c r="R729">
        <f>Final_Table[[#This Row],[Variable Cost]]+Final_Table[[#This Row],[Fixed Monthly Cost]]</f>
        <v>21304.799999999999</v>
      </c>
      <c r="S729" s="5">
        <f>Final_Table[[#This Row],[Net Revenue]]-Final_Table[[#This Row],[Total Cost (COGS)]]</f>
        <v>-2944.7999999999993</v>
      </c>
      <c r="T729">
        <f>Final_Table[[#This Row],[Gross Profit]]*Final_Table[[#This Row],[Tax Rate]]</f>
        <v>-883.43999999999971</v>
      </c>
      <c r="U729" s="5">
        <f>Final_Table[[#This Row],[Gross Profit]]-Final_Table[[#This Row],[Tax]]</f>
        <v>-2061.3599999999997</v>
      </c>
      <c r="V729" s="12">
        <f>Final_Table[[#This Row],[Net Profit]]/Final_Table[[#This Row],[Gross Revenue]]</f>
        <v>-0.10104705882352939</v>
      </c>
    </row>
    <row r="730" spans="1:22">
      <c r="A730" s="18" t="s">
        <v>72</v>
      </c>
      <c r="B730">
        <v>2014</v>
      </c>
      <c r="C730" t="s">
        <v>123</v>
      </c>
      <c r="D730">
        <v>1</v>
      </c>
      <c r="E730" s="18" t="s">
        <v>32</v>
      </c>
      <c r="F730" s="18" t="s">
        <v>80</v>
      </c>
      <c r="G730" s="18" t="s">
        <v>25</v>
      </c>
      <c r="H730" s="18" t="str">
        <f>Assumptions!$B$2</f>
        <v>Worst</v>
      </c>
      <c r="I730" s="18">
        <f>_xlfn.XLOOKUP(Assumptions!$B$2,Assumptions!$F$4:$H$4,Assumptions!$F$5:$H$5)</f>
        <v>1200</v>
      </c>
      <c r="J730" s="18">
        <f>_xlfn.XLOOKUP(Assumptions!$B$2,Assumptions!$F$4:$H$4,Assumptions!$F$6:$H$6)</f>
        <v>17</v>
      </c>
      <c r="K730" s="12">
        <f>_xlfn.XLOOKUP(Assumptions!$B$2,Assumptions!$F$4:$H$4,Assumptions!$F$8:$H$8)</f>
        <v>0.1</v>
      </c>
      <c r="L730" s="12">
        <f>_xlfn.XLOOKUP(Assumptions!$B$2,Assumptions!$F$4:$H$4,Assumptions!$F$9:$H$9)</f>
        <v>0.18</v>
      </c>
      <c r="M730" s="18">
        <f>_xlfn.XLOOKUP(Assumptions!$B$2,Assumptions!$F$4:$H$4,Assumptions!$F$10:$H$10)</f>
        <v>18000</v>
      </c>
      <c r="N730" s="12">
        <f>_xlfn.XLOOKUP(Assumptions!$B$2,Assumptions!$F$4:$H$4,Assumptions!$F$11:$H$11)</f>
        <v>0.3</v>
      </c>
      <c r="O730" s="14">
        <f>Final_Table[[#This Row],[Units Sold]]*Final_Table[[#This Row],[Sale Price]]</f>
        <v>20400</v>
      </c>
      <c r="P730" s="14">
        <f>Final_Table[[#This Row],[Gross Revenue]]*(1-Final_Table[[#This Row],[Discount %]])</f>
        <v>18360</v>
      </c>
      <c r="Q730">
        <f>Final_Table[[#This Row],[Net Revenue]]*Final_Table[[#This Row],[Variable Cost %]]</f>
        <v>3304.7999999999997</v>
      </c>
      <c r="R730">
        <f>Final_Table[[#This Row],[Variable Cost]]+Final_Table[[#This Row],[Fixed Monthly Cost]]</f>
        <v>21304.799999999999</v>
      </c>
      <c r="S730" s="5">
        <f>Final_Table[[#This Row],[Net Revenue]]-Final_Table[[#This Row],[Total Cost (COGS)]]</f>
        <v>-2944.7999999999993</v>
      </c>
      <c r="T730">
        <f>Final_Table[[#This Row],[Gross Profit]]*Final_Table[[#This Row],[Tax Rate]]</f>
        <v>-883.43999999999971</v>
      </c>
      <c r="U730" s="5">
        <f>Final_Table[[#This Row],[Gross Profit]]-Final_Table[[#This Row],[Tax]]</f>
        <v>-2061.3599999999997</v>
      </c>
      <c r="V730" s="12">
        <f>Final_Table[[#This Row],[Net Profit]]/Final_Table[[#This Row],[Gross Revenue]]</f>
        <v>-0.10104705882352939</v>
      </c>
    </row>
    <row r="731" spans="1:22">
      <c r="A731" s="18" t="s">
        <v>72</v>
      </c>
      <c r="B731">
        <v>2014</v>
      </c>
      <c r="C731" t="s">
        <v>123</v>
      </c>
      <c r="D731">
        <v>1</v>
      </c>
      <c r="E731" s="18" t="s">
        <v>32</v>
      </c>
      <c r="F731" s="18" t="s">
        <v>80</v>
      </c>
      <c r="G731" s="18" t="s">
        <v>17</v>
      </c>
      <c r="H731" s="18" t="str">
        <f>Assumptions!$B$2</f>
        <v>Worst</v>
      </c>
      <c r="I731" s="18">
        <f>_xlfn.XLOOKUP(Assumptions!$B$2,Assumptions!$F$4:$H$4,Assumptions!$F$5:$H$5)</f>
        <v>1200</v>
      </c>
      <c r="J731" s="18">
        <f>_xlfn.XLOOKUP(Assumptions!$B$2,Assumptions!$F$4:$H$4,Assumptions!$F$6:$H$6)</f>
        <v>17</v>
      </c>
      <c r="K731" s="12">
        <f>_xlfn.XLOOKUP(Assumptions!$B$2,Assumptions!$F$4:$H$4,Assumptions!$F$8:$H$8)</f>
        <v>0.1</v>
      </c>
      <c r="L731" s="12">
        <f>_xlfn.XLOOKUP(Assumptions!$B$2,Assumptions!$F$4:$H$4,Assumptions!$F$9:$H$9)</f>
        <v>0.18</v>
      </c>
      <c r="M731" s="18">
        <f>_xlfn.XLOOKUP(Assumptions!$B$2,Assumptions!$F$4:$H$4,Assumptions!$F$10:$H$10)</f>
        <v>18000</v>
      </c>
      <c r="N731" s="12">
        <f>_xlfn.XLOOKUP(Assumptions!$B$2,Assumptions!$F$4:$H$4,Assumptions!$F$11:$H$11)</f>
        <v>0.3</v>
      </c>
      <c r="O731" s="14">
        <f>Final_Table[[#This Row],[Units Sold]]*Final_Table[[#This Row],[Sale Price]]</f>
        <v>20400</v>
      </c>
      <c r="P731" s="14">
        <f>Final_Table[[#This Row],[Gross Revenue]]*(1-Final_Table[[#This Row],[Discount %]])</f>
        <v>18360</v>
      </c>
      <c r="Q731">
        <f>Final_Table[[#This Row],[Net Revenue]]*Final_Table[[#This Row],[Variable Cost %]]</f>
        <v>3304.7999999999997</v>
      </c>
      <c r="R731">
        <f>Final_Table[[#This Row],[Variable Cost]]+Final_Table[[#This Row],[Fixed Monthly Cost]]</f>
        <v>21304.799999999999</v>
      </c>
      <c r="S731" s="5">
        <f>Final_Table[[#This Row],[Net Revenue]]-Final_Table[[#This Row],[Total Cost (COGS)]]</f>
        <v>-2944.7999999999993</v>
      </c>
      <c r="T731">
        <f>Final_Table[[#This Row],[Gross Profit]]*Final_Table[[#This Row],[Tax Rate]]</f>
        <v>-883.43999999999971</v>
      </c>
      <c r="U731" s="5">
        <f>Final_Table[[#This Row],[Gross Profit]]-Final_Table[[#This Row],[Tax]]</f>
        <v>-2061.3599999999997</v>
      </c>
      <c r="V731" s="12">
        <f>Final_Table[[#This Row],[Net Profit]]/Final_Table[[#This Row],[Gross Revenue]]</f>
        <v>-0.10104705882352939</v>
      </c>
    </row>
    <row r="732" spans="1:22">
      <c r="A732" s="18" t="s">
        <v>72</v>
      </c>
      <c r="B732">
        <v>2014</v>
      </c>
      <c r="C732" t="s">
        <v>123</v>
      </c>
      <c r="D732">
        <v>1</v>
      </c>
      <c r="E732" s="18" t="s">
        <v>32</v>
      </c>
      <c r="F732" s="18" t="s">
        <v>108</v>
      </c>
      <c r="G732" s="18" t="s">
        <v>36</v>
      </c>
      <c r="H732" s="18" t="str">
        <f>Assumptions!$B$2</f>
        <v>Worst</v>
      </c>
      <c r="I732" s="18">
        <f>_xlfn.XLOOKUP(Assumptions!$B$2,Assumptions!$F$4:$H$4,Assumptions!$F$5:$H$5)</f>
        <v>1200</v>
      </c>
      <c r="J732" s="18">
        <f>_xlfn.XLOOKUP(Assumptions!$B$2,Assumptions!$F$4:$H$4,Assumptions!$F$6:$H$6)</f>
        <v>17</v>
      </c>
      <c r="K732" s="12">
        <f>_xlfn.XLOOKUP(Assumptions!$B$2,Assumptions!$F$4:$H$4,Assumptions!$F$8:$H$8)</f>
        <v>0.1</v>
      </c>
      <c r="L732" s="12">
        <f>_xlfn.XLOOKUP(Assumptions!$B$2,Assumptions!$F$4:$H$4,Assumptions!$F$9:$H$9)</f>
        <v>0.18</v>
      </c>
      <c r="M732" s="18">
        <f>_xlfn.XLOOKUP(Assumptions!$B$2,Assumptions!$F$4:$H$4,Assumptions!$F$10:$H$10)</f>
        <v>18000</v>
      </c>
      <c r="N732" s="12">
        <f>_xlfn.XLOOKUP(Assumptions!$B$2,Assumptions!$F$4:$H$4,Assumptions!$F$11:$H$11)</f>
        <v>0.3</v>
      </c>
      <c r="O732" s="14">
        <f>Final_Table[[#This Row],[Units Sold]]*Final_Table[[#This Row],[Sale Price]]</f>
        <v>20400</v>
      </c>
      <c r="P732" s="14">
        <f>Final_Table[[#This Row],[Gross Revenue]]*(1-Final_Table[[#This Row],[Discount %]])</f>
        <v>18360</v>
      </c>
      <c r="Q732">
        <f>Final_Table[[#This Row],[Net Revenue]]*Final_Table[[#This Row],[Variable Cost %]]</f>
        <v>3304.7999999999997</v>
      </c>
      <c r="R732">
        <f>Final_Table[[#This Row],[Variable Cost]]+Final_Table[[#This Row],[Fixed Monthly Cost]]</f>
        <v>21304.799999999999</v>
      </c>
      <c r="S732" s="5">
        <f>Final_Table[[#This Row],[Net Revenue]]-Final_Table[[#This Row],[Total Cost (COGS)]]</f>
        <v>-2944.7999999999993</v>
      </c>
      <c r="T732">
        <f>Final_Table[[#This Row],[Gross Profit]]*Final_Table[[#This Row],[Tax Rate]]</f>
        <v>-883.43999999999971</v>
      </c>
      <c r="U732" s="5">
        <f>Final_Table[[#This Row],[Gross Profit]]-Final_Table[[#This Row],[Tax]]</f>
        <v>-2061.3599999999997</v>
      </c>
      <c r="V732" s="12">
        <f>Final_Table[[#This Row],[Net Profit]]/Final_Table[[#This Row],[Gross Revenue]]</f>
        <v>-0.10104705882352939</v>
      </c>
    </row>
    <row r="733" spans="1:22">
      <c r="A733" s="18" t="s">
        <v>72</v>
      </c>
      <c r="B733">
        <v>2014</v>
      </c>
      <c r="C733" t="s">
        <v>123</v>
      </c>
      <c r="D733">
        <v>1</v>
      </c>
      <c r="E733" s="18" t="s">
        <v>32</v>
      </c>
      <c r="F733" s="18" t="s">
        <v>108</v>
      </c>
      <c r="G733" s="18" t="s">
        <v>23</v>
      </c>
      <c r="H733" s="18" t="str">
        <f>Assumptions!$B$2</f>
        <v>Worst</v>
      </c>
      <c r="I733" s="18">
        <f>_xlfn.XLOOKUP(Assumptions!$B$2,Assumptions!$F$4:$H$4,Assumptions!$F$5:$H$5)</f>
        <v>1200</v>
      </c>
      <c r="J733" s="18">
        <f>_xlfn.XLOOKUP(Assumptions!$B$2,Assumptions!$F$4:$H$4,Assumptions!$F$6:$H$6)</f>
        <v>17</v>
      </c>
      <c r="K733" s="12">
        <f>_xlfn.XLOOKUP(Assumptions!$B$2,Assumptions!$F$4:$H$4,Assumptions!$F$8:$H$8)</f>
        <v>0.1</v>
      </c>
      <c r="L733" s="12">
        <f>_xlfn.XLOOKUP(Assumptions!$B$2,Assumptions!$F$4:$H$4,Assumptions!$F$9:$H$9)</f>
        <v>0.18</v>
      </c>
      <c r="M733" s="18">
        <f>_xlfn.XLOOKUP(Assumptions!$B$2,Assumptions!$F$4:$H$4,Assumptions!$F$10:$H$10)</f>
        <v>18000</v>
      </c>
      <c r="N733" s="12">
        <f>_xlfn.XLOOKUP(Assumptions!$B$2,Assumptions!$F$4:$H$4,Assumptions!$F$11:$H$11)</f>
        <v>0.3</v>
      </c>
      <c r="O733" s="14">
        <f>Final_Table[[#This Row],[Units Sold]]*Final_Table[[#This Row],[Sale Price]]</f>
        <v>20400</v>
      </c>
      <c r="P733" s="14">
        <f>Final_Table[[#This Row],[Gross Revenue]]*(1-Final_Table[[#This Row],[Discount %]])</f>
        <v>18360</v>
      </c>
      <c r="Q733">
        <f>Final_Table[[#This Row],[Net Revenue]]*Final_Table[[#This Row],[Variable Cost %]]</f>
        <v>3304.7999999999997</v>
      </c>
      <c r="R733">
        <f>Final_Table[[#This Row],[Variable Cost]]+Final_Table[[#This Row],[Fixed Monthly Cost]]</f>
        <v>21304.799999999999</v>
      </c>
      <c r="S733" s="5">
        <f>Final_Table[[#This Row],[Net Revenue]]-Final_Table[[#This Row],[Total Cost (COGS)]]</f>
        <v>-2944.7999999999993</v>
      </c>
      <c r="T733">
        <f>Final_Table[[#This Row],[Gross Profit]]*Final_Table[[#This Row],[Tax Rate]]</f>
        <v>-883.43999999999971</v>
      </c>
      <c r="U733" s="5">
        <f>Final_Table[[#This Row],[Gross Profit]]-Final_Table[[#This Row],[Tax]]</f>
        <v>-2061.3599999999997</v>
      </c>
      <c r="V733" s="12">
        <f>Final_Table[[#This Row],[Net Profit]]/Final_Table[[#This Row],[Gross Revenue]]</f>
        <v>-0.10104705882352939</v>
      </c>
    </row>
    <row r="734" spans="1:22">
      <c r="A734" s="18" t="s">
        <v>72</v>
      </c>
      <c r="B734">
        <v>2014</v>
      </c>
      <c r="C734" t="s">
        <v>123</v>
      </c>
      <c r="D734">
        <v>1</v>
      </c>
      <c r="E734" s="18" t="s">
        <v>32</v>
      </c>
      <c r="F734" s="18" t="s">
        <v>108</v>
      </c>
      <c r="G734" s="18" t="s">
        <v>21</v>
      </c>
      <c r="H734" s="18" t="str">
        <f>Assumptions!$B$2</f>
        <v>Worst</v>
      </c>
      <c r="I734" s="18">
        <f>_xlfn.XLOOKUP(Assumptions!$B$2,Assumptions!$F$4:$H$4,Assumptions!$F$5:$H$5)</f>
        <v>1200</v>
      </c>
      <c r="J734" s="18">
        <f>_xlfn.XLOOKUP(Assumptions!$B$2,Assumptions!$F$4:$H$4,Assumptions!$F$6:$H$6)</f>
        <v>17</v>
      </c>
      <c r="K734" s="12">
        <f>_xlfn.XLOOKUP(Assumptions!$B$2,Assumptions!$F$4:$H$4,Assumptions!$F$8:$H$8)</f>
        <v>0.1</v>
      </c>
      <c r="L734" s="12">
        <f>_xlfn.XLOOKUP(Assumptions!$B$2,Assumptions!$F$4:$H$4,Assumptions!$F$9:$H$9)</f>
        <v>0.18</v>
      </c>
      <c r="M734" s="18">
        <f>_xlfn.XLOOKUP(Assumptions!$B$2,Assumptions!$F$4:$H$4,Assumptions!$F$10:$H$10)</f>
        <v>18000</v>
      </c>
      <c r="N734" s="12">
        <f>_xlfn.XLOOKUP(Assumptions!$B$2,Assumptions!$F$4:$H$4,Assumptions!$F$11:$H$11)</f>
        <v>0.3</v>
      </c>
      <c r="O734" s="14">
        <f>Final_Table[[#This Row],[Units Sold]]*Final_Table[[#This Row],[Sale Price]]</f>
        <v>20400</v>
      </c>
      <c r="P734" s="14">
        <f>Final_Table[[#This Row],[Gross Revenue]]*(1-Final_Table[[#This Row],[Discount %]])</f>
        <v>18360</v>
      </c>
      <c r="Q734">
        <f>Final_Table[[#This Row],[Net Revenue]]*Final_Table[[#This Row],[Variable Cost %]]</f>
        <v>3304.7999999999997</v>
      </c>
      <c r="R734">
        <f>Final_Table[[#This Row],[Variable Cost]]+Final_Table[[#This Row],[Fixed Monthly Cost]]</f>
        <v>21304.799999999999</v>
      </c>
      <c r="S734" s="5">
        <f>Final_Table[[#This Row],[Net Revenue]]-Final_Table[[#This Row],[Total Cost (COGS)]]</f>
        <v>-2944.7999999999993</v>
      </c>
      <c r="T734">
        <f>Final_Table[[#This Row],[Gross Profit]]*Final_Table[[#This Row],[Tax Rate]]</f>
        <v>-883.43999999999971</v>
      </c>
      <c r="U734" s="5">
        <f>Final_Table[[#This Row],[Gross Profit]]-Final_Table[[#This Row],[Tax]]</f>
        <v>-2061.3599999999997</v>
      </c>
      <c r="V734" s="12">
        <f>Final_Table[[#This Row],[Net Profit]]/Final_Table[[#This Row],[Gross Revenue]]</f>
        <v>-0.10104705882352939</v>
      </c>
    </row>
    <row r="735" spans="1:22">
      <c r="A735" s="18" t="s">
        <v>72</v>
      </c>
      <c r="B735">
        <v>2014</v>
      </c>
      <c r="C735" t="s">
        <v>123</v>
      </c>
      <c r="D735">
        <v>1</v>
      </c>
      <c r="E735" s="18" t="s">
        <v>32</v>
      </c>
      <c r="F735" s="18" t="s">
        <v>108</v>
      </c>
      <c r="G735" s="18" t="s">
        <v>25</v>
      </c>
      <c r="H735" s="18" t="str">
        <f>Assumptions!$B$2</f>
        <v>Worst</v>
      </c>
      <c r="I735" s="18">
        <f>_xlfn.XLOOKUP(Assumptions!$B$2,Assumptions!$F$4:$H$4,Assumptions!$F$5:$H$5)</f>
        <v>1200</v>
      </c>
      <c r="J735" s="18">
        <f>_xlfn.XLOOKUP(Assumptions!$B$2,Assumptions!$F$4:$H$4,Assumptions!$F$6:$H$6)</f>
        <v>17</v>
      </c>
      <c r="K735" s="12">
        <f>_xlfn.XLOOKUP(Assumptions!$B$2,Assumptions!$F$4:$H$4,Assumptions!$F$8:$H$8)</f>
        <v>0.1</v>
      </c>
      <c r="L735" s="12">
        <f>_xlfn.XLOOKUP(Assumptions!$B$2,Assumptions!$F$4:$H$4,Assumptions!$F$9:$H$9)</f>
        <v>0.18</v>
      </c>
      <c r="M735" s="18">
        <f>_xlfn.XLOOKUP(Assumptions!$B$2,Assumptions!$F$4:$H$4,Assumptions!$F$10:$H$10)</f>
        <v>18000</v>
      </c>
      <c r="N735" s="12">
        <f>_xlfn.XLOOKUP(Assumptions!$B$2,Assumptions!$F$4:$H$4,Assumptions!$F$11:$H$11)</f>
        <v>0.3</v>
      </c>
      <c r="O735" s="14">
        <f>Final_Table[[#This Row],[Units Sold]]*Final_Table[[#This Row],[Sale Price]]</f>
        <v>20400</v>
      </c>
      <c r="P735" s="14">
        <f>Final_Table[[#This Row],[Gross Revenue]]*(1-Final_Table[[#This Row],[Discount %]])</f>
        <v>18360</v>
      </c>
      <c r="Q735">
        <f>Final_Table[[#This Row],[Net Revenue]]*Final_Table[[#This Row],[Variable Cost %]]</f>
        <v>3304.7999999999997</v>
      </c>
      <c r="R735">
        <f>Final_Table[[#This Row],[Variable Cost]]+Final_Table[[#This Row],[Fixed Monthly Cost]]</f>
        <v>21304.799999999999</v>
      </c>
      <c r="S735" s="5">
        <f>Final_Table[[#This Row],[Net Revenue]]-Final_Table[[#This Row],[Total Cost (COGS)]]</f>
        <v>-2944.7999999999993</v>
      </c>
      <c r="T735">
        <f>Final_Table[[#This Row],[Gross Profit]]*Final_Table[[#This Row],[Tax Rate]]</f>
        <v>-883.43999999999971</v>
      </c>
      <c r="U735" s="5">
        <f>Final_Table[[#This Row],[Gross Profit]]-Final_Table[[#This Row],[Tax]]</f>
        <v>-2061.3599999999997</v>
      </c>
      <c r="V735" s="12">
        <f>Final_Table[[#This Row],[Net Profit]]/Final_Table[[#This Row],[Gross Revenue]]</f>
        <v>-0.10104705882352939</v>
      </c>
    </row>
    <row r="736" spans="1:22">
      <c r="A736" s="18" t="s">
        <v>72</v>
      </c>
      <c r="B736">
        <v>2014</v>
      </c>
      <c r="C736" t="s">
        <v>123</v>
      </c>
      <c r="D736">
        <v>1</v>
      </c>
      <c r="E736" s="18" t="s">
        <v>32</v>
      </c>
      <c r="F736" s="18" t="s">
        <v>108</v>
      </c>
      <c r="G736" s="18" t="s">
        <v>17</v>
      </c>
      <c r="H736" s="18" t="str">
        <f>Assumptions!$B$2</f>
        <v>Worst</v>
      </c>
      <c r="I736" s="18">
        <f>_xlfn.XLOOKUP(Assumptions!$B$2,Assumptions!$F$4:$H$4,Assumptions!$F$5:$H$5)</f>
        <v>1200</v>
      </c>
      <c r="J736" s="18">
        <f>_xlfn.XLOOKUP(Assumptions!$B$2,Assumptions!$F$4:$H$4,Assumptions!$F$6:$H$6)</f>
        <v>17</v>
      </c>
      <c r="K736" s="12">
        <f>_xlfn.XLOOKUP(Assumptions!$B$2,Assumptions!$F$4:$H$4,Assumptions!$F$8:$H$8)</f>
        <v>0.1</v>
      </c>
      <c r="L736" s="12">
        <f>_xlfn.XLOOKUP(Assumptions!$B$2,Assumptions!$F$4:$H$4,Assumptions!$F$9:$H$9)</f>
        <v>0.18</v>
      </c>
      <c r="M736" s="18">
        <f>_xlfn.XLOOKUP(Assumptions!$B$2,Assumptions!$F$4:$H$4,Assumptions!$F$10:$H$10)</f>
        <v>18000</v>
      </c>
      <c r="N736" s="12">
        <f>_xlfn.XLOOKUP(Assumptions!$B$2,Assumptions!$F$4:$H$4,Assumptions!$F$11:$H$11)</f>
        <v>0.3</v>
      </c>
      <c r="O736" s="14">
        <f>Final_Table[[#This Row],[Units Sold]]*Final_Table[[#This Row],[Sale Price]]</f>
        <v>20400</v>
      </c>
      <c r="P736" s="14">
        <f>Final_Table[[#This Row],[Gross Revenue]]*(1-Final_Table[[#This Row],[Discount %]])</f>
        <v>18360</v>
      </c>
      <c r="Q736">
        <f>Final_Table[[#This Row],[Net Revenue]]*Final_Table[[#This Row],[Variable Cost %]]</f>
        <v>3304.7999999999997</v>
      </c>
      <c r="R736">
        <f>Final_Table[[#This Row],[Variable Cost]]+Final_Table[[#This Row],[Fixed Monthly Cost]]</f>
        <v>21304.799999999999</v>
      </c>
      <c r="S736" s="5">
        <f>Final_Table[[#This Row],[Net Revenue]]-Final_Table[[#This Row],[Total Cost (COGS)]]</f>
        <v>-2944.7999999999993</v>
      </c>
      <c r="T736">
        <f>Final_Table[[#This Row],[Gross Profit]]*Final_Table[[#This Row],[Tax Rate]]</f>
        <v>-883.43999999999971</v>
      </c>
      <c r="U736" s="5">
        <f>Final_Table[[#This Row],[Gross Profit]]-Final_Table[[#This Row],[Tax]]</f>
        <v>-2061.3599999999997</v>
      </c>
      <c r="V736" s="12">
        <f>Final_Table[[#This Row],[Net Profit]]/Final_Table[[#This Row],[Gross Revenue]]</f>
        <v>-0.10104705882352939</v>
      </c>
    </row>
    <row r="737" spans="1:22">
      <c r="A737" s="18" t="s">
        <v>72</v>
      </c>
      <c r="B737">
        <v>2014</v>
      </c>
      <c r="C737" t="s">
        <v>123</v>
      </c>
      <c r="D737">
        <v>1</v>
      </c>
      <c r="E737" s="18" t="s">
        <v>32</v>
      </c>
      <c r="F737" s="18" t="s">
        <v>112</v>
      </c>
      <c r="G737" s="18" t="s">
        <v>36</v>
      </c>
      <c r="H737" s="18" t="str">
        <f>Assumptions!$B$2</f>
        <v>Worst</v>
      </c>
      <c r="I737" s="18">
        <f>_xlfn.XLOOKUP(Assumptions!$B$2,Assumptions!$F$4:$H$4,Assumptions!$F$5:$H$5)</f>
        <v>1200</v>
      </c>
      <c r="J737" s="18">
        <f>_xlfn.XLOOKUP(Assumptions!$B$2,Assumptions!$F$4:$H$4,Assumptions!$F$6:$H$6)</f>
        <v>17</v>
      </c>
      <c r="K737" s="12">
        <f>_xlfn.XLOOKUP(Assumptions!$B$2,Assumptions!$F$4:$H$4,Assumptions!$F$8:$H$8)</f>
        <v>0.1</v>
      </c>
      <c r="L737" s="12">
        <f>_xlfn.XLOOKUP(Assumptions!$B$2,Assumptions!$F$4:$H$4,Assumptions!$F$9:$H$9)</f>
        <v>0.18</v>
      </c>
      <c r="M737" s="18">
        <f>_xlfn.XLOOKUP(Assumptions!$B$2,Assumptions!$F$4:$H$4,Assumptions!$F$10:$H$10)</f>
        <v>18000</v>
      </c>
      <c r="N737" s="12">
        <f>_xlfn.XLOOKUP(Assumptions!$B$2,Assumptions!$F$4:$H$4,Assumptions!$F$11:$H$11)</f>
        <v>0.3</v>
      </c>
      <c r="O737" s="14">
        <f>Final_Table[[#This Row],[Units Sold]]*Final_Table[[#This Row],[Sale Price]]</f>
        <v>20400</v>
      </c>
      <c r="P737" s="14">
        <f>Final_Table[[#This Row],[Gross Revenue]]*(1-Final_Table[[#This Row],[Discount %]])</f>
        <v>18360</v>
      </c>
      <c r="Q737">
        <f>Final_Table[[#This Row],[Net Revenue]]*Final_Table[[#This Row],[Variable Cost %]]</f>
        <v>3304.7999999999997</v>
      </c>
      <c r="R737">
        <f>Final_Table[[#This Row],[Variable Cost]]+Final_Table[[#This Row],[Fixed Monthly Cost]]</f>
        <v>21304.799999999999</v>
      </c>
      <c r="S737" s="5">
        <f>Final_Table[[#This Row],[Net Revenue]]-Final_Table[[#This Row],[Total Cost (COGS)]]</f>
        <v>-2944.7999999999993</v>
      </c>
      <c r="T737">
        <f>Final_Table[[#This Row],[Gross Profit]]*Final_Table[[#This Row],[Tax Rate]]</f>
        <v>-883.43999999999971</v>
      </c>
      <c r="U737" s="5">
        <f>Final_Table[[#This Row],[Gross Profit]]-Final_Table[[#This Row],[Tax]]</f>
        <v>-2061.3599999999997</v>
      </c>
      <c r="V737" s="12">
        <f>Final_Table[[#This Row],[Net Profit]]/Final_Table[[#This Row],[Gross Revenue]]</f>
        <v>-0.10104705882352939</v>
      </c>
    </row>
    <row r="738" spans="1:22">
      <c r="A738" s="18" t="s">
        <v>72</v>
      </c>
      <c r="B738">
        <v>2014</v>
      </c>
      <c r="C738" t="s">
        <v>123</v>
      </c>
      <c r="D738">
        <v>1</v>
      </c>
      <c r="E738" s="18" t="s">
        <v>32</v>
      </c>
      <c r="F738" s="18" t="s">
        <v>112</v>
      </c>
      <c r="G738" s="18" t="s">
        <v>23</v>
      </c>
      <c r="H738" s="18" t="str">
        <f>Assumptions!$B$2</f>
        <v>Worst</v>
      </c>
      <c r="I738" s="18">
        <f>_xlfn.XLOOKUP(Assumptions!$B$2,Assumptions!$F$4:$H$4,Assumptions!$F$5:$H$5)</f>
        <v>1200</v>
      </c>
      <c r="J738" s="18">
        <f>_xlfn.XLOOKUP(Assumptions!$B$2,Assumptions!$F$4:$H$4,Assumptions!$F$6:$H$6)</f>
        <v>17</v>
      </c>
      <c r="K738" s="12">
        <f>_xlfn.XLOOKUP(Assumptions!$B$2,Assumptions!$F$4:$H$4,Assumptions!$F$8:$H$8)</f>
        <v>0.1</v>
      </c>
      <c r="L738" s="12">
        <f>_xlfn.XLOOKUP(Assumptions!$B$2,Assumptions!$F$4:$H$4,Assumptions!$F$9:$H$9)</f>
        <v>0.18</v>
      </c>
      <c r="M738" s="18">
        <f>_xlfn.XLOOKUP(Assumptions!$B$2,Assumptions!$F$4:$H$4,Assumptions!$F$10:$H$10)</f>
        <v>18000</v>
      </c>
      <c r="N738" s="12">
        <f>_xlfn.XLOOKUP(Assumptions!$B$2,Assumptions!$F$4:$H$4,Assumptions!$F$11:$H$11)</f>
        <v>0.3</v>
      </c>
      <c r="O738" s="14">
        <f>Final_Table[[#This Row],[Units Sold]]*Final_Table[[#This Row],[Sale Price]]</f>
        <v>20400</v>
      </c>
      <c r="P738" s="14">
        <f>Final_Table[[#This Row],[Gross Revenue]]*(1-Final_Table[[#This Row],[Discount %]])</f>
        <v>18360</v>
      </c>
      <c r="Q738">
        <f>Final_Table[[#This Row],[Net Revenue]]*Final_Table[[#This Row],[Variable Cost %]]</f>
        <v>3304.7999999999997</v>
      </c>
      <c r="R738">
        <f>Final_Table[[#This Row],[Variable Cost]]+Final_Table[[#This Row],[Fixed Monthly Cost]]</f>
        <v>21304.799999999999</v>
      </c>
      <c r="S738" s="5">
        <f>Final_Table[[#This Row],[Net Revenue]]-Final_Table[[#This Row],[Total Cost (COGS)]]</f>
        <v>-2944.7999999999993</v>
      </c>
      <c r="T738">
        <f>Final_Table[[#This Row],[Gross Profit]]*Final_Table[[#This Row],[Tax Rate]]</f>
        <v>-883.43999999999971</v>
      </c>
      <c r="U738" s="5">
        <f>Final_Table[[#This Row],[Gross Profit]]-Final_Table[[#This Row],[Tax]]</f>
        <v>-2061.3599999999997</v>
      </c>
      <c r="V738" s="12">
        <f>Final_Table[[#This Row],[Net Profit]]/Final_Table[[#This Row],[Gross Revenue]]</f>
        <v>-0.10104705882352939</v>
      </c>
    </row>
    <row r="739" spans="1:22">
      <c r="A739" s="18" t="s">
        <v>72</v>
      </c>
      <c r="B739">
        <v>2014</v>
      </c>
      <c r="C739" t="s">
        <v>123</v>
      </c>
      <c r="D739">
        <v>1</v>
      </c>
      <c r="E739" s="18" t="s">
        <v>32</v>
      </c>
      <c r="F739" s="18" t="s">
        <v>112</v>
      </c>
      <c r="G739" s="18" t="s">
        <v>21</v>
      </c>
      <c r="H739" s="18" t="str">
        <f>Assumptions!$B$2</f>
        <v>Worst</v>
      </c>
      <c r="I739" s="18">
        <f>_xlfn.XLOOKUP(Assumptions!$B$2,Assumptions!$F$4:$H$4,Assumptions!$F$5:$H$5)</f>
        <v>1200</v>
      </c>
      <c r="J739" s="18">
        <f>_xlfn.XLOOKUP(Assumptions!$B$2,Assumptions!$F$4:$H$4,Assumptions!$F$6:$H$6)</f>
        <v>17</v>
      </c>
      <c r="K739" s="12">
        <f>_xlfn.XLOOKUP(Assumptions!$B$2,Assumptions!$F$4:$H$4,Assumptions!$F$8:$H$8)</f>
        <v>0.1</v>
      </c>
      <c r="L739" s="12">
        <f>_xlfn.XLOOKUP(Assumptions!$B$2,Assumptions!$F$4:$H$4,Assumptions!$F$9:$H$9)</f>
        <v>0.18</v>
      </c>
      <c r="M739" s="18">
        <f>_xlfn.XLOOKUP(Assumptions!$B$2,Assumptions!$F$4:$H$4,Assumptions!$F$10:$H$10)</f>
        <v>18000</v>
      </c>
      <c r="N739" s="12">
        <f>_xlfn.XLOOKUP(Assumptions!$B$2,Assumptions!$F$4:$H$4,Assumptions!$F$11:$H$11)</f>
        <v>0.3</v>
      </c>
      <c r="O739" s="14">
        <f>Final_Table[[#This Row],[Units Sold]]*Final_Table[[#This Row],[Sale Price]]</f>
        <v>20400</v>
      </c>
      <c r="P739" s="14">
        <f>Final_Table[[#This Row],[Gross Revenue]]*(1-Final_Table[[#This Row],[Discount %]])</f>
        <v>18360</v>
      </c>
      <c r="Q739">
        <f>Final_Table[[#This Row],[Net Revenue]]*Final_Table[[#This Row],[Variable Cost %]]</f>
        <v>3304.7999999999997</v>
      </c>
      <c r="R739">
        <f>Final_Table[[#This Row],[Variable Cost]]+Final_Table[[#This Row],[Fixed Monthly Cost]]</f>
        <v>21304.799999999999</v>
      </c>
      <c r="S739" s="5">
        <f>Final_Table[[#This Row],[Net Revenue]]-Final_Table[[#This Row],[Total Cost (COGS)]]</f>
        <v>-2944.7999999999993</v>
      </c>
      <c r="T739">
        <f>Final_Table[[#This Row],[Gross Profit]]*Final_Table[[#This Row],[Tax Rate]]</f>
        <v>-883.43999999999971</v>
      </c>
      <c r="U739" s="5">
        <f>Final_Table[[#This Row],[Gross Profit]]-Final_Table[[#This Row],[Tax]]</f>
        <v>-2061.3599999999997</v>
      </c>
      <c r="V739" s="12">
        <f>Final_Table[[#This Row],[Net Profit]]/Final_Table[[#This Row],[Gross Revenue]]</f>
        <v>-0.10104705882352939</v>
      </c>
    </row>
    <row r="740" spans="1:22">
      <c r="A740" s="18" t="s">
        <v>72</v>
      </c>
      <c r="B740">
        <v>2014</v>
      </c>
      <c r="C740" t="s">
        <v>123</v>
      </c>
      <c r="D740">
        <v>1</v>
      </c>
      <c r="E740" s="18" t="s">
        <v>32</v>
      </c>
      <c r="F740" s="18" t="s">
        <v>112</v>
      </c>
      <c r="G740" s="18" t="s">
        <v>25</v>
      </c>
      <c r="H740" s="18" t="str">
        <f>Assumptions!$B$2</f>
        <v>Worst</v>
      </c>
      <c r="I740" s="18">
        <f>_xlfn.XLOOKUP(Assumptions!$B$2,Assumptions!$F$4:$H$4,Assumptions!$F$5:$H$5)</f>
        <v>1200</v>
      </c>
      <c r="J740" s="18">
        <f>_xlfn.XLOOKUP(Assumptions!$B$2,Assumptions!$F$4:$H$4,Assumptions!$F$6:$H$6)</f>
        <v>17</v>
      </c>
      <c r="K740" s="12">
        <f>_xlfn.XLOOKUP(Assumptions!$B$2,Assumptions!$F$4:$H$4,Assumptions!$F$8:$H$8)</f>
        <v>0.1</v>
      </c>
      <c r="L740" s="12">
        <f>_xlfn.XLOOKUP(Assumptions!$B$2,Assumptions!$F$4:$H$4,Assumptions!$F$9:$H$9)</f>
        <v>0.18</v>
      </c>
      <c r="M740" s="18">
        <f>_xlfn.XLOOKUP(Assumptions!$B$2,Assumptions!$F$4:$H$4,Assumptions!$F$10:$H$10)</f>
        <v>18000</v>
      </c>
      <c r="N740" s="12">
        <f>_xlfn.XLOOKUP(Assumptions!$B$2,Assumptions!$F$4:$H$4,Assumptions!$F$11:$H$11)</f>
        <v>0.3</v>
      </c>
      <c r="O740" s="14">
        <f>Final_Table[[#This Row],[Units Sold]]*Final_Table[[#This Row],[Sale Price]]</f>
        <v>20400</v>
      </c>
      <c r="P740" s="14">
        <f>Final_Table[[#This Row],[Gross Revenue]]*(1-Final_Table[[#This Row],[Discount %]])</f>
        <v>18360</v>
      </c>
      <c r="Q740">
        <f>Final_Table[[#This Row],[Net Revenue]]*Final_Table[[#This Row],[Variable Cost %]]</f>
        <v>3304.7999999999997</v>
      </c>
      <c r="R740">
        <f>Final_Table[[#This Row],[Variable Cost]]+Final_Table[[#This Row],[Fixed Monthly Cost]]</f>
        <v>21304.799999999999</v>
      </c>
      <c r="S740" s="5">
        <f>Final_Table[[#This Row],[Net Revenue]]-Final_Table[[#This Row],[Total Cost (COGS)]]</f>
        <v>-2944.7999999999993</v>
      </c>
      <c r="T740">
        <f>Final_Table[[#This Row],[Gross Profit]]*Final_Table[[#This Row],[Tax Rate]]</f>
        <v>-883.43999999999971</v>
      </c>
      <c r="U740" s="5">
        <f>Final_Table[[#This Row],[Gross Profit]]-Final_Table[[#This Row],[Tax]]</f>
        <v>-2061.3599999999997</v>
      </c>
      <c r="V740" s="12">
        <f>Final_Table[[#This Row],[Net Profit]]/Final_Table[[#This Row],[Gross Revenue]]</f>
        <v>-0.10104705882352939</v>
      </c>
    </row>
    <row r="741" spans="1:22">
      <c r="A741" s="18" t="s">
        <v>72</v>
      </c>
      <c r="B741">
        <v>2014</v>
      </c>
      <c r="C741" t="s">
        <v>123</v>
      </c>
      <c r="D741">
        <v>1</v>
      </c>
      <c r="E741" s="18" t="s">
        <v>32</v>
      </c>
      <c r="F741" s="18" t="s">
        <v>112</v>
      </c>
      <c r="G741" s="18" t="s">
        <v>17</v>
      </c>
      <c r="H741" s="18" t="str">
        <f>Assumptions!$B$2</f>
        <v>Worst</v>
      </c>
      <c r="I741" s="18">
        <f>_xlfn.XLOOKUP(Assumptions!$B$2,Assumptions!$F$4:$H$4,Assumptions!$F$5:$H$5)</f>
        <v>1200</v>
      </c>
      <c r="J741" s="18">
        <f>_xlfn.XLOOKUP(Assumptions!$B$2,Assumptions!$F$4:$H$4,Assumptions!$F$6:$H$6)</f>
        <v>17</v>
      </c>
      <c r="K741" s="12">
        <f>_xlfn.XLOOKUP(Assumptions!$B$2,Assumptions!$F$4:$H$4,Assumptions!$F$8:$H$8)</f>
        <v>0.1</v>
      </c>
      <c r="L741" s="12">
        <f>_xlfn.XLOOKUP(Assumptions!$B$2,Assumptions!$F$4:$H$4,Assumptions!$F$9:$H$9)</f>
        <v>0.18</v>
      </c>
      <c r="M741" s="18">
        <f>_xlfn.XLOOKUP(Assumptions!$B$2,Assumptions!$F$4:$H$4,Assumptions!$F$10:$H$10)</f>
        <v>18000</v>
      </c>
      <c r="N741" s="12">
        <f>_xlfn.XLOOKUP(Assumptions!$B$2,Assumptions!$F$4:$H$4,Assumptions!$F$11:$H$11)</f>
        <v>0.3</v>
      </c>
      <c r="O741" s="14">
        <f>Final_Table[[#This Row],[Units Sold]]*Final_Table[[#This Row],[Sale Price]]</f>
        <v>20400</v>
      </c>
      <c r="P741" s="14">
        <f>Final_Table[[#This Row],[Gross Revenue]]*(1-Final_Table[[#This Row],[Discount %]])</f>
        <v>18360</v>
      </c>
      <c r="Q741">
        <f>Final_Table[[#This Row],[Net Revenue]]*Final_Table[[#This Row],[Variable Cost %]]</f>
        <v>3304.7999999999997</v>
      </c>
      <c r="R741">
        <f>Final_Table[[#This Row],[Variable Cost]]+Final_Table[[#This Row],[Fixed Monthly Cost]]</f>
        <v>21304.799999999999</v>
      </c>
      <c r="S741" s="5">
        <f>Final_Table[[#This Row],[Net Revenue]]-Final_Table[[#This Row],[Total Cost (COGS)]]</f>
        <v>-2944.7999999999993</v>
      </c>
      <c r="T741">
        <f>Final_Table[[#This Row],[Gross Profit]]*Final_Table[[#This Row],[Tax Rate]]</f>
        <v>-883.43999999999971</v>
      </c>
      <c r="U741" s="5">
        <f>Final_Table[[#This Row],[Gross Profit]]-Final_Table[[#This Row],[Tax]]</f>
        <v>-2061.3599999999997</v>
      </c>
      <c r="V741" s="12">
        <f>Final_Table[[#This Row],[Net Profit]]/Final_Table[[#This Row],[Gross Revenue]]</f>
        <v>-0.10104705882352939</v>
      </c>
    </row>
    <row r="742" spans="1:22">
      <c r="A742" s="18" t="s">
        <v>72</v>
      </c>
      <c r="B742">
        <v>2014</v>
      </c>
      <c r="C742" t="s">
        <v>123</v>
      </c>
      <c r="D742">
        <v>1</v>
      </c>
      <c r="E742" s="18" t="s">
        <v>32</v>
      </c>
      <c r="F742" s="18" t="s">
        <v>113</v>
      </c>
      <c r="G742" s="18" t="s">
        <v>36</v>
      </c>
      <c r="H742" s="18" t="str">
        <f>Assumptions!$B$2</f>
        <v>Worst</v>
      </c>
      <c r="I742" s="18">
        <f>_xlfn.XLOOKUP(Assumptions!$B$2,Assumptions!$F$4:$H$4,Assumptions!$F$5:$H$5)</f>
        <v>1200</v>
      </c>
      <c r="J742" s="18">
        <f>_xlfn.XLOOKUP(Assumptions!$B$2,Assumptions!$F$4:$H$4,Assumptions!$F$6:$H$6)</f>
        <v>17</v>
      </c>
      <c r="K742" s="12">
        <f>_xlfn.XLOOKUP(Assumptions!$B$2,Assumptions!$F$4:$H$4,Assumptions!$F$8:$H$8)</f>
        <v>0.1</v>
      </c>
      <c r="L742" s="12">
        <f>_xlfn.XLOOKUP(Assumptions!$B$2,Assumptions!$F$4:$H$4,Assumptions!$F$9:$H$9)</f>
        <v>0.18</v>
      </c>
      <c r="M742" s="18">
        <f>_xlfn.XLOOKUP(Assumptions!$B$2,Assumptions!$F$4:$H$4,Assumptions!$F$10:$H$10)</f>
        <v>18000</v>
      </c>
      <c r="N742" s="12">
        <f>_xlfn.XLOOKUP(Assumptions!$B$2,Assumptions!$F$4:$H$4,Assumptions!$F$11:$H$11)</f>
        <v>0.3</v>
      </c>
      <c r="O742" s="14">
        <f>Final_Table[[#This Row],[Units Sold]]*Final_Table[[#This Row],[Sale Price]]</f>
        <v>20400</v>
      </c>
      <c r="P742" s="14">
        <f>Final_Table[[#This Row],[Gross Revenue]]*(1-Final_Table[[#This Row],[Discount %]])</f>
        <v>18360</v>
      </c>
      <c r="Q742">
        <f>Final_Table[[#This Row],[Net Revenue]]*Final_Table[[#This Row],[Variable Cost %]]</f>
        <v>3304.7999999999997</v>
      </c>
      <c r="R742">
        <f>Final_Table[[#This Row],[Variable Cost]]+Final_Table[[#This Row],[Fixed Monthly Cost]]</f>
        <v>21304.799999999999</v>
      </c>
      <c r="S742" s="5">
        <f>Final_Table[[#This Row],[Net Revenue]]-Final_Table[[#This Row],[Total Cost (COGS)]]</f>
        <v>-2944.7999999999993</v>
      </c>
      <c r="T742">
        <f>Final_Table[[#This Row],[Gross Profit]]*Final_Table[[#This Row],[Tax Rate]]</f>
        <v>-883.43999999999971</v>
      </c>
      <c r="U742" s="5">
        <f>Final_Table[[#This Row],[Gross Profit]]-Final_Table[[#This Row],[Tax]]</f>
        <v>-2061.3599999999997</v>
      </c>
      <c r="V742" s="12">
        <f>Final_Table[[#This Row],[Net Profit]]/Final_Table[[#This Row],[Gross Revenue]]</f>
        <v>-0.10104705882352939</v>
      </c>
    </row>
    <row r="743" spans="1:22">
      <c r="A743" s="18" t="s">
        <v>72</v>
      </c>
      <c r="B743">
        <v>2014</v>
      </c>
      <c r="C743" t="s">
        <v>123</v>
      </c>
      <c r="D743">
        <v>1</v>
      </c>
      <c r="E743" s="18" t="s">
        <v>32</v>
      </c>
      <c r="F743" s="18" t="s">
        <v>113</v>
      </c>
      <c r="G743" s="18" t="s">
        <v>23</v>
      </c>
      <c r="H743" s="18" t="str">
        <f>Assumptions!$B$2</f>
        <v>Worst</v>
      </c>
      <c r="I743" s="18">
        <f>_xlfn.XLOOKUP(Assumptions!$B$2,Assumptions!$F$4:$H$4,Assumptions!$F$5:$H$5)</f>
        <v>1200</v>
      </c>
      <c r="J743" s="18">
        <f>_xlfn.XLOOKUP(Assumptions!$B$2,Assumptions!$F$4:$H$4,Assumptions!$F$6:$H$6)</f>
        <v>17</v>
      </c>
      <c r="K743" s="12">
        <f>_xlfn.XLOOKUP(Assumptions!$B$2,Assumptions!$F$4:$H$4,Assumptions!$F$8:$H$8)</f>
        <v>0.1</v>
      </c>
      <c r="L743" s="12">
        <f>_xlfn.XLOOKUP(Assumptions!$B$2,Assumptions!$F$4:$H$4,Assumptions!$F$9:$H$9)</f>
        <v>0.18</v>
      </c>
      <c r="M743" s="18">
        <f>_xlfn.XLOOKUP(Assumptions!$B$2,Assumptions!$F$4:$H$4,Assumptions!$F$10:$H$10)</f>
        <v>18000</v>
      </c>
      <c r="N743" s="12">
        <f>_xlfn.XLOOKUP(Assumptions!$B$2,Assumptions!$F$4:$H$4,Assumptions!$F$11:$H$11)</f>
        <v>0.3</v>
      </c>
      <c r="O743" s="14">
        <f>Final_Table[[#This Row],[Units Sold]]*Final_Table[[#This Row],[Sale Price]]</f>
        <v>20400</v>
      </c>
      <c r="P743" s="14">
        <f>Final_Table[[#This Row],[Gross Revenue]]*(1-Final_Table[[#This Row],[Discount %]])</f>
        <v>18360</v>
      </c>
      <c r="Q743">
        <f>Final_Table[[#This Row],[Net Revenue]]*Final_Table[[#This Row],[Variable Cost %]]</f>
        <v>3304.7999999999997</v>
      </c>
      <c r="R743">
        <f>Final_Table[[#This Row],[Variable Cost]]+Final_Table[[#This Row],[Fixed Monthly Cost]]</f>
        <v>21304.799999999999</v>
      </c>
      <c r="S743" s="5">
        <f>Final_Table[[#This Row],[Net Revenue]]-Final_Table[[#This Row],[Total Cost (COGS)]]</f>
        <v>-2944.7999999999993</v>
      </c>
      <c r="T743">
        <f>Final_Table[[#This Row],[Gross Profit]]*Final_Table[[#This Row],[Tax Rate]]</f>
        <v>-883.43999999999971</v>
      </c>
      <c r="U743" s="5">
        <f>Final_Table[[#This Row],[Gross Profit]]-Final_Table[[#This Row],[Tax]]</f>
        <v>-2061.3599999999997</v>
      </c>
      <c r="V743" s="12">
        <f>Final_Table[[#This Row],[Net Profit]]/Final_Table[[#This Row],[Gross Revenue]]</f>
        <v>-0.10104705882352939</v>
      </c>
    </row>
    <row r="744" spans="1:22">
      <c r="A744" s="18" t="s">
        <v>72</v>
      </c>
      <c r="B744">
        <v>2014</v>
      </c>
      <c r="C744" t="s">
        <v>123</v>
      </c>
      <c r="D744">
        <v>1</v>
      </c>
      <c r="E744" s="18" t="s">
        <v>32</v>
      </c>
      <c r="F744" s="18" t="s">
        <v>113</v>
      </c>
      <c r="G744" s="18" t="s">
        <v>21</v>
      </c>
      <c r="H744" s="18" t="str">
        <f>Assumptions!$B$2</f>
        <v>Worst</v>
      </c>
      <c r="I744" s="18">
        <f>_xlfn.XLOOKUP(Assumptions!$B$2,Assumptions!$F$4:$H$4,Assumptions!$F$5:$H$5)</f>
        <v>1200</v>
      </c>
      <c r="J744" s="18">
        <f>_xlfn.XLOOKUP(Assumptions!$B$2,Assumptions!$F$4:$H$4,Assumptions!$F$6:$H$6)</f>
        <v>17</v>
      </c>
      <c r="K744" s="12">
        <f>_xlfn.XLOOKUP(Assumptions!$B$2,Assumptions!$F$4:$H$4,Assumptions!$F$8:$H$8)</f>
        <v>0.1</v>
      </c>
      <c r="L744" s="12">
        <f>_xlfn.XLOOKUP(Assumptions!$B$2,Assumptions!$F$4:$H$4,Assumptions!$F$9:$H$9)</f>
        <v>0.18</v>
      </c>
      <c r="M744" s="18">
        <f>_xlfn.XLOOKUP(Assumptions!$B$2,Assumptions!$F$4:$H$4,Assumptions!$F$10:$H$10)</f>
        <v>18000</v>
      </c>
      <c r="N744" s="12">
        <f>_xlfn.XLOOKUP(Assumptions!$B$2,Assumptions!$F$4:$H$4,Assumptions!$F$11:$H$11)</f>
        <v>0.3</v>
      </c>
      <c r="O744" s="14">
        <f>Final_Table[[#This Row],[Units Sold]]*Final_Table[[#This Row],[Sale Price]]</f>
        <v>20400</v>
      </c>
      <c r="P744" s="14">
        <f>Final_Table[[#This Row],[Gross Revenue]]*(1-Final_Table[[#This Row],[Discount %]])</f>
        <v>18360</v>
      </c>
      <c r="Q744">
        <f>Final_Table[[#This Row],[Net Revenue]]*Final_Table[[#This Row],[Variable Cost %]]</f>
        <v>3304.7999999999997</v>
      </c>
      <c r="R744">
        <f>Final_Table[[#This Row],[Variable Cost]]+Final_Table[[#This Row],[Fixed Monthly Cost]]</f>
        <v>21304.799999999999</v>
      </c>
      <c r="S744" s="5">
        <f>Final_Table[[#This Row],[Net Revenue]]-Final_Table[[#This Row],[Total Cost (COGS)]]</f>
        <v>-2944.7999999999993</v>
      </c>
      <c r="T744">
        <f>Final_Table[[#This Row],[Gross Profit]]*Final_Table[[#This Row],[Tax Rate]]</f>
        <v>-883.43999999999971</v>
      </c>
      <c r="U744" s="5">
        <f>Final_Table[[#This Row],[Gross Profit]]-Final_Table[[#This Row],[Tax]]</f>
        <v>-2061.3599999999997</v>
      </c>
      <c r="V744" s="12">
        <f>Final_Table[[#This Row],[Net Profit]]/Final_Table[[#This Row],[Gross Revenue]]</f>
        <v>-0.10104705882352939</v>
      </c>
    </row>
    <row r="745" spans="1:22">
      <c r="A745" s="18" t="s">
        <v>72</v>
      </c>
      <c r="B745">
        <v>2014</v>
      </c>
      <c r="C745" t="s">
        <v>123</v>
      </c>
      <c r="D745">
        <v>1</v>
      </c>
      <c r="E745" s="18" t="s">
        <v>32</v>
      </c>
      <c r="F745" s="18" t="s">
        <v>113</v>
      </c>
      <c r="G745" s="18" t="s">
        <v>25</v>
      </c>
      <c r="H745" s="18" t="str">
        <f>Assumptions!$B$2</f>
        <v>Worst</v>
      </c>
      <c r="I745" s="18">
        <f>_xlfn.XLOOKUP(Assumptions!$B$2,Assumptions!$F$4:$H$4,Assumptions!$F$5:$H$5)</f>
        <v>1200</v>
      </c>
      <c r="J745" s="18">
        <f>_xlfn.XLOOKUP(Assumptions!$B$2,Assumptions!$F$4:$H$4,Assumptions!$F$6:$H$6)</f>
        <v>17</v>
      </c>
      <c r="K745" s="12">
        <f>_xlfn.XLOOKUP(Assumptions!$B$2,Assumptions!$F$4:$H$4,Assumptions!$F$8:$H$8)</f>
        <v>0.1</v>
      </c>
      <c r="L745" s="12">
        <f>_xlfn.XLOOKUP(Assumptions!$B$2,Assumptions!$F$4:$H$4,Assumptions!$F$9:$H$9)</f>
        <v>0.18</v>
      </c>
      <c r="M745" s="18">
        <f>_xlfn.XLOOKUP(Assumptions!$B$2,Assumptions!$F$4:$H$4,Assumptions!$F$10:$H$10)</f>
        <v>18000</v>
      </c>
      <c r="N745" s="12">
        <f>_xlfn.XLOOKUP(Assumptions!$B$2,Assumptions!$F$4:$H$4,Assumptions!$F$11:$H$11)</f>
        <v>0.3</v>
      </c>
      <c r="O745" s="14">
        <f>Final_Table[[#This Row],[Units Sold]]*Final_Table[[#This Row],[Sale Price]]</f>
        <v>20400</v>
      </c>
      <c r="P745" s="14">
        <f>Final_Table[[#This Row],[Gross Revenue]]*(1-Final_Table[[#This Row],[Discount %]])</f>
        <v>18360</v>
      </c>
      <c r="Q745">
        <f>Final_Table[[#This Row],[Net Revenue]]*Final_Table[[#This Row],[Variable Cost %]]</f>
        <v>3304.7999999999997</v>
      </c>
      <c r="R745">
        <f>Final_Table[[#This Row],[Variable Cost]]+Final_Table[[#This Row],[Fixed Monthly Cost]]</f>
        <v>21304.799999999999</v>
      </c>
      <c r="S745" s="5">
        <f>Final_Table[[#This Row],[Net Revenue]]-Final_Table[[#This Row],[Total Cost (COGS)]]</f>
        <v>-2944.7999999999993</v>
      </c>
      <c r="T745">
        <f>Final_Table[[#This Row],[Gross Profit]]*Final_Table[[#This Row],[Tax Rate]]</f>
        <v>-883.43999999999971</v>
      </c>
      <c r="U745" s="5">
        <f>Final_Table[[#This Row],[Gross Profit]]-Final_Table[[#This Row],[Tax]]</f>
        <v>-2061.3599999999997</v>
      </c>
      <c r="V745" s="12">
        <f>Final_Table[[#This Row],[Net Profit]]/Final_Table[[#This Row],[Gross Revenue]]</f>
        <v>-0.10104705882352939</v>
      </c>
    </row>
    <row r="746" spans="1:22">
      <c r="A746" s="18" t="s">
        <v>72</v>
      </c>
      <c r="B746">
        <v>2014</v>
      </c>
      <c r="C746" t="s">
        <v>123</v>
      </c>
      <c r="D746">
        <v>1</v>
      </c>
      <c r="E746" s="18" t="s">
        <v>32</v>
      </c>
      <c r="F746" s="18" t="s">
        <v>113</v>
      </c>
      <c r="G746" s="18" t="s">
        <v>17</v>
      </c>
      <c r="H746" s="18" t="str">
        <f>Assumptions!$B$2</f>
        <v>Worst</v>
      </c>
      <c r="I746" s="18">
        <f>_xlfn.XLOOKUP(Assumptions!$B$2,Assumptions!$F$4:$H$4,Assumptions!$F$5:$H$5)</f>
        <v>1200</v>
      </c>
      <c r="J746" s="18">
        <f>_xlfn.XLOOKUP(Assumptions!$B$2,Assumptions!$F$4:$H$4,Assumptions!$F$6:$H$6)</f>
        <v>17</v>
      </c>
      <c r="K746" s="12">
        <f>_xlfn.XLOOKUP(Assumptions!$B$2,Assumptions!$F$4:$H$4,Assumptions!$F$8:$H$8)</f>
        <v>0.1</v>
      </c>
      <c r="L746" s="12">
        <f>_xlfn.XLOOKUP(Assumptions!$B$2,Assumptions!$F$4:$H$4,Assumptions!$F$9:$H$9)</f>
        <v>0.18</v>
      </c>
      <c r="M746" s="18">
        <f>_xlfn.XLOOKUP(Assumptions!$B$2,Assumptions!$F$4:$H$4,Assumptions!$F$10:$H$10)</f>
        <v>18000</v>
      </c>
      <c r="N746" s="12">
        <f>_xlfn.XLOOKUP(Assumptions!$B$2,Assumptions!$F$4:$H$4,Assumptions!$F$11:$H$11)</f>
        <v>0.3</v>
      </c>
      <c r="O746" s="14">
        <f>Final_Table[[#This Row],[Units Sold]]*Final_Table[[#This Row],[Sale Price]]</f>
        <v>20400</v>
      </c>
      <c r="P746" s="14">
        <f>Final_Table[[#This Row],[Gross Revenue]]*(1-Final_Table[[#This Row],[Discount %]])</f>
        <v>18360</v>
      </c>
      <c r="Q746">
        <f>Final_Table[[#This Row],[Net Revenue]]*Final_Table[[#This Row],[Variable Cost %]]</f>
        <v>3304.7999999999997</v>
      </c>
      <c r="R746">
        <f>Final_Table[[#This Row],[Variable Cost]]+Final_Table[[#This Row],[Fixed Monthly Cost]]</f>
        <v>21304.799999999999</v>
      </c>
      <c r="S746" s="5">
        <f>Final_Table[[#This Row],[Net Revenue]]-Final_Table[[#This Row],[Total Cost (COGS)]]</f>
        <v>-2944.7999999999993</v>
      </c>
      <c r="T746">
        <f>Final_Table[[#This Row],[Gross Profit]]*Final_Table[[#This Row],[Tax Rate]]</f>
        <v>-883.43999999999971</v>
      </c>
      <c r="U746" s="5">
        <f>Final_Table[[#This Row],[Gross Profit]]-Final_Table[[#This Row],[Tax]]</f>
        <v>-2061.3599999999997</v>
      </c>
      <c r="V746" s="12">
        <f>Final_Table[[#This Row],[Net Profit]]/Final_Table[[#This Row],[Gross Revenue]]</f>
        <v>-0.10104705882352939</v>
      </c>
    </row>
    <row r="747" spans="1:22">
      <c r="A747" s="18" t="s">
        <v>72</v>
      </c>
      <c r="B747">
        <v>2014</v>
      </c>
      <c r="C747" t="s">
        <v>123</v>
      </c>
      <c r="D747">
        <v>1</v>
      </c>
      <c r="E747" s="18" t="s">
        <v>32</v>
      </c>
      <c r="F747" s="18" t="s">
        <v>114</v>
      </c>
      <c r="G747" s="18" t="s">
        <v>36</v>
      </c>
      <c r="H747" s="18" t="str">
        <f>Assumptions!$B$2</f>
        <v>Worst</v>
      </c>
      <c r="I747" s="18">
        <f>_xlfn.XLOOKUP(Assumptions!$B$2,Assumptions!$F$4:$H$4,Assumptions!$F$5:$H$5)</f>
        <v>1200</v>
      </c>
      <c r="J747" s="18">
        <f>_xlfn.XLOOKUP(Assumptions!$B$2,Assumptions!$F$4:$H$4,Assumptions!$F$6:$H$6)</f>
        <v>17</v>
      </c>
      <c r="K747" s="12">
        <f>_xlfn.XLOOKUP(Assumptions!$B$2,Assumptions!$F$4:$H$4,Assumptions!$F$8:$H$8)</f>
        <v>0.1</v>
      </c>
      <c r="L747" s="12">
        <f>_xlfn.XLOOKUP(Assumptions!$B$2,Assumptions!$F$4:$H$4,Assumptions!$F$9:$H$9)</f>
        <v>0.18</v>
      </c>
      <c r="M747" s="18">
        <f>_xlfn.XLOOKUP(Assumptions!$B$2,Assumptions!$F$4:$H$4,Assumptions!$F$10:$H$10)</f>
        <v>18000</v>
      </c>
      <c r="N747" s="12">
        <f>_xlfn.XLOOKUP(Assumptions!$B$2,Assumptions!$F$4:$H$4,Assumptions!$F$11:$H$11)</f>
        <v>0.3</v>
      </c>
      <c r="O747" s="14">
        <f>Final_Table[[#This Row],[Units Sold]]*Final_Table[[#This Row],[Sale Price]]</f>
        <v>20400</v>
      </c>
      <c r="P747" s="14">
        <f>Final_Table[[#This Row],[Gross Revenue]]*(1-Final_Table[[#This Row],[Discount %]])</f>
        <v>18360</v>
      </c>
      <c r="Q747">
        <f>Final_Table[[#This Row],[Net Revenue]]*Final_Table[[#This Row],[Variable Cost %]]</f>
        <v>3304.7999999999997</v>
      </c>
      <c r="R747">
        <f>Final_Table[[#This Row],[Variable Cost]]+Final_Table[[#This Row],[Fixed Monthly Cost]]</f>
        <v>21304.799999999999</v>
      </c>
      <c r="S747" s="5">
        <f>Final_Table[[#This Row],[Net Revenue]]-Final_Table[[#This Row],[Total Cost (COGS)]]</f>
        <v>-2944.7999999999993</v>
      </c>
      <c r="T747">
        <f>Final_Table[[#This Row],[Gross Profit]]*Final_Table[[#This Row],[Tax Rate]]</f>
        <v>-883.43999999999971</v>
      </c>
      <c r="U747" s="5">
        <f>Final_Table[[#This Row],[Gross Profit]]-Final_Table[[#This Row],[Tax]]</f>
        <v>-2061.3599999999997</v>
      </c>
      <c r="V747" s="12">
        <f>Final_Table[[#This Row],[Net Profit]]/Final_Table[[#This Row],[Gross Revenue]]</f>
        <v>-0.10104705882352939</v>
      </c>
    </row>
    <row r="748" spans="1:22">
      <c r="A748" s="18" t="s">
        <v>72</v>
      </c>
      <c r="B748">
        <v>2014</v>
      </c>
      <c r="C748" t="s">
        <v>123</v>
      </c>
      <c r="D748">
        <v>1</v>
      </c>
      <c r="E748" s="18" t="s">
        <v>32</v>
      </c>
      <c r="F748" s="18" t="s">
        <v>114</v>
      </c>
      <c r="G748" s="18" t="s">
        <v>23</v>
      </c>
      <c r="H748" s="18" t="str">
        <f>Assumptions!$B$2</f>
        <v>Worst</v>
      </c>
      <c r="I748" s="18">
        <f>_xlfn.XLOOKUP(Assumptions!$B$2,Assumptions!$F$4:$H$4,Assumptions!$F$5:$H$5)</f>
        <v>1200</v>
      </c>
      <c r="J748" s="18">
        <f>_xlfn.XLOOKUP(Assumptions!$B$2,Assumptions!$F$4:$H$4,Assumptions!$F$6:$H$6)</f>
        <v>17</v>
      </c>
      <c r="K748" s="12">
        <f>_xlfn.XLOOKUP(Assumptions!$B$2,Assumptions!$F$4:$H$4,Assumptions!$F$8:$H$8)</f>
        <v>0.1</v>
      </c>
      <c r="L748" s="12">
        <f>_xlfn.XLOOKUP(Assumptions!$B$2,Assumptions!$F$4:$H$4,Assumptions!$F$9:$H$9)</f>
        <v>0.18</v>
      </c>
      <c r="M748" s="18">
        <f>_xlfn.XLOOKUP(Assumptions!$B$2,Assumptions!$F$4:$H$4,Assumptions!$F$10:$H$10)</f>
        <v>18000</v>
      </c>
      <c r="N748" s="12">
        <f>_xlfn.XLOOKUP(Assumptions!$B$2,Assumptions!$F$4:$H$4,Assumptions!$F$11:$H$11)</f>
        <v>0.3</v>
      </c>
      <c r="O748" s="14">
        <f>Final_Table[[#This Row],[Units Sold]]*Final_Table[[#This Row],[Sale Price]]</f>
        <v>20400</v>
      </c>
      <c r="P748" s="14">
        <f>Final_Table[[#This Row],[Gross Revenue]]*(1-Final_Table[[#This Row],[Discount %]])</f>
        <v>18360</v>
      </c>
      <c r="Q748">
        <f>Final_Table[[#This Row],[Net Revenue]]*Final_Table[[#This Row],[Variable Cost %]]</f>
        <v>3304.7999999999997</v>
      </c>
      <c r="R748">
        <f>Final_Table[[#This Row],[Variable Cost]]+Final_Table[[#This Row],[Fixed Monthly Cost]]</f>
        <v>21304.799999999999</v>
      </c>
      <c r="S748" s="5">
        <f>Final_Table[[#This Row],[Net Revenue]]-Final_Table[[#This Row],[Total Cost (COGS)]]</f>
        <v>-2944.7999999999993</v>
      </c>
      <c r="T748">
        <f>Final_Table[[#This Row],[Gross Profit]]*Final_Table[[#This Row],[Tax Rate]]</f>
        <v>-883.43999999999971</v>
      </c>
      <c r="U748" s="5">
        <f>Final_Table[[#This Row],[Gross Profit]]-Final_Table[[#This Row],[Tax]]</f>
        <v>-2061.3599999999997</v>
      </c>
      <c r="V748" s="12">
        <f>Final_Table[[#This Row],[Net Profit]]/Final_Table[[#This Row],[Gross Revenue]]</f>
        <v>-0.10104705882352939</v>
      </c>
    </row>
    <row r="749" spans="1:22">
      <c r="A749" s="18" t="s">
        <v>72</v>
      </c>
      <c r="B749">
        <v>2014</v>
      </c>
      <c r="C749" t="s">
        <v>123</v>
      </c>
      <c r="D749">
        <v>1</v>
      </c>
      <c r="E749" s="18" t="s">
        <v>32</v>
      </c>
      <c r="F749" s="18" t="s">
        <v>114</v>
      </c>
      <c r="G749" s="18" t="s">
        <v>21</v>
      </c>
      <c r="H749" s="18" t="str">
        <f>Assumptions!$B$2</f>
        <v>Worst</v>
      </c>
      <c r="I749" s="18">
        <f>_xlfn.XLOOKUP(Assumptions!$B$2,Assumptions!$F$4:$H$4,Assumptions!$F$5:$H$5)</f>
        <v>1200</v>
      </c>
      <c r="J749" s="18">
        <f>_xlfn.XLOOKUP(Assumptions!$B$2,Assumptions!$F$4:$H$4,Assumptions!$F$6:$H$6)</f>
        <v>17</v>
      </c>
      <c r="K749" s="12">
        <f>_xlfn.XLOOKUP(Assumptions!$B$2,Assumptions!$F$4:$H$4,Assumptions!$F$8:$H$8)</f>
        <v>0.1</v>
      </c>
      <c r="L749" s="12">
        <f>_xlfn.XLOOKUP(Assumptions!$B$2,Assumptions!$F$4:$H$4,Assumptions!$F$9:$H$9)</f>
        <v>0.18</v>
      </c>
      <c r="M749" s="18">
        <f>_xlfn.XLOOKUP(Assumptions!$B$2,Assumptions!$F$4:$H$4,Assumptions!$F$10:$H$10)</f>
        <v>18000</v>
      </c>
      <c r="N749" s="12">
        <f>_xlfn.XLOOKUP(Assumptions!$B$2,Assumptions!$F$4:$H$4,Assumptions!$F$11:$H$11)</f>
        <v>0.3</v>
      </c>
      <c r="O749" s="14">
        <f>Final_Table[[#This Row],[Units Sold]]*Final_Table[[#This Row],[Sale Price]]</f>
        <v>20400</v>
      </c>
      <c r="P749" s="14">
        <f>Final_Table[[#This Row],[Gross Revenue]]*(1-Final_Table[[#This Row],[Discount %]])</f>
        <v>18360</v>
      </c>
      <c r="Q749">
        <f>Final_Table[[#This Row],[Net Revenue]]*Final_Table[[#This Row],[Variable Cost %]]</f>
        <v>3304.7999999999997</v>
      </c>
      <c r="R749">
        <f>Final_Table[[#This Row],[Variable Cost]]+Final_Table[[#This Row],[Fixed Monthly Cost]]</f>
        <v>21304.799999999999</v>
      </c>
      <c r="S749" s="5">
        <f>Final_Table[[#This Row],[Net Revenue]]-Final_Table[[#This Row],[Total Cost (COGS)]]</f>
        <v>-2944.7999999999993</v>
      </c>
      <c r="T749">
        <f>Final_Table[[#This Row],[Gross Profit]]*Final_Table[[#This Row],[Tax Rate]]</f>
        <v>-883.43999999999971</v>
      </c>
      <c r="U749" s="5">
        <f>Final_Table[[#This Row],[Gross Profit]]-Final_Table[[#This Row],[Tax]]</f>
        <v>-2061.3599999999997</v>
      </c>
      <c r="V749" s="12">
        <f>Final_Table[[#This Row],[Net Profit]]/Final_Table[[#This Row],[Gross Revenue]]</f>
        <v>-0.10104705882352939</v>
      </c>
    </row>
    <row r="750" spans="1:22">
      <c r="A750" s="18" t="s">
        <v>72</v>
      </c>
      <c r="B750">
        <v>2014</v>
      </c>
      <c r="C750" t="s">
        <v>123</v>
      </c>
      <c r="D750">
        <v>1</v>
      </c>
      <c r="E750" s="18" t="s">
        <v>32</v>
      </c>
      <c r="F750" s="18" t="s">
        <v>114</v>
      </c>
      <c r="G750" s="18" t="s">
        <v>25</v>
      </c>
      <c r="H750" s="18" t="str">
        <f>Assumptions!$B$2</f>
        <v>Worst</v>
      </c>
      <c r="I750" s="18">
        <f>_xlfn.XLOOKUP(Assumptions!$B$2,Assumptions!$F$4:$H$4,Assumptions!$F$5:$H$5)</f>
        <v>1200</v>
      </c>
      <c r="J750" s="18">
        <f>_xlfn.XLOOKUP(Assumptions!$B$2,Assumptions!$F$4:$H$4,Assumptions!$F$6:$H$6)</f>
        <v>17</v>
      </c>
      <c r="K750" s="12">
        <f>_xlfn.XLOOKUP(Assumptions!$B$2,Assumptions!$F$4:$H$4,Assumptions!$F$8:$H$8)</f>
        <v>0.1</v>
      </c>
      <c r="L750" s="12">
        <f>_xlfn.XLOOKUP(Assumptions!$B$2,Assumptions!$F$4:$H$4,Assumptions!$F$9:$H$9)</f>
        <v>0.18</v>
      </c>
      <c r="M750" s="18">
        <f>_xlfn.XLOOKUP(Assumptions!$B$2,Assumptions!$F$4:$H$4,Assumptions!$F$10:$H$10)</f>
        <v>18000</v>
      </c>
      <c r="N750" s="12">
        <f>_xlfn.XLOOKUP(Assumptions!$B$2,Assumptions!$F$4:$H$4,Assumptions!$F$11:$H$11)</f>
        <v>0.3</v>
      </c>
      <c r="O750" s="14">
        <f>Final_Table[[#This Row],[Units Sold]]*Final_Table[[#This Row],[Sale Price]]</f>
        <v>20400</v>
      </c>
      <c r="P750" s="14">
        <f>Final_Table[[#This Row],[Gross Revenue]]*(1-Final_Table[[#This Row],[Discount %]])</f>
        <v>18360</v>
      </c>
      <c r="Q750">
        <f>Final_Table[[#This Row],[Net Revenue]]*Final_Table[[#This Row],[Variable Cost %]]</f>
        <v>3304.7999999999997</v>
      </c>
      <c r="R750">
        <f>Final_Table[[#This Row],[Variable Cost]]+Final_Table[[#This Row],[Fixed Monthly Cost]]</f>
        <v>21304.799999999999</v>
      </c>
      <c r="S750" s="5">
        <f>Final_Table[[#This Row],[Net Revenue]]-Final_Table[[#This Row],[Total Cost (COGS)]]</f>
        <v>-2944.7999999999993</v>
      </c>
      <c r="T750">
        <f>Final_Table[[#This Row],[Gross Profit]]*Final_Table[[#This Row],[Tax Rate]]</f>
        <v>-883.43999999999971</v>
      </c>
      <c r="U750" s="5">
        <f>Final_Table[[#This Row],[Gross Profit]]-Final_Table[[#This Row],[Tax]]</f>
        <v>-2061.3599999999997</v>
      </c>
      <c r="V750" s="12">
        <f>Final_Table[[#This Row],[Net Profit]]/Final_Table[[#This Row],[Gross Revenue]]</f>
        <v>-0.10104705882352939</v>
      </c>
    </row>
    <row r="751" spans="1:22">
      <c r="A751" s="18" t="s">
        <v>72</v>
      </c>
      <c r="B751">
        <v>2014</v>
      </c>
      <c r="C751" t="s">
        <v>123</v>
      </c>
      <c r="D751">
        <v>1</v>
      </c>
      <c r="E751" s="18" t="s">
        <v>32</v>
      </c>
      <c r="F751" s="18" t="s">
        <v>114</v>
      </c>
      <c r="G751" s="18" t="s">
        <v>17</v>
      </c>
      <c r="H751" s="18" t="str">
        <f>Assumptions!$B$2</f>
        <v>Worst</v>
      </c>
      <c r="I751" s="18">
        <f>_xlfn.XLOOKUP(Assumptions!$B$2,Assumptions!$F$4:$H$4,Assumptions!$F$5:$H$5)</f>
        <v>1200</v>
      </c>
      <c r="J751" s="18">
        <f>_xlfn.XLOOKUP(Assumptions!$B$2,Assumptions!$F$4:$H$4,Assumptions!$F$6:$H$6)</f>
        <v>17</v>
      </c>
      <c r="K751" s="12">
        <f>_xlfn.XLOOKUP(Assumptions!$B$2,Assumptions!$F$4:$H$4,Assumptions!$F$8:$H$8)</f>
        <v>0.1</v>
      </c>
      <c r="L751" s="12">
        <f>_xlfn.XLOOKUP(Assumptions!$B$2,Assumptions!$F$4:$H$4,Assumptions!$F$9:$H$9)</f>
        <v>0.18</v>
      </c>
      <c r="M751" s="18">
        <f>_xlfn.XLOOKUP(Assumptions!$B$2,Assumptions!$F$4:$H$4,Assumptions!$F$10:$H$10)</f>
        <v>18000</v>
      </c>
      <c r="N751" s="12">
        <f>_xlfn.XLOOKUP(Assumptions!$B$2,Assumptions!$F$4:$H$4,Assumptions!$F$11:$H$11)</f>
        <v>0.3</v>
      </c>
      <c r="O751" s="14">
        <f>Final_Table[[#This Row],[Units Sold]]*Final_Table[[#This Row],[Sale Price]]</f>
        <v>20400</v>
      </c>
      <c r="P751" s="14">
        <f>Final_Table[[#This Row],[Gross Revenue]]*(1-Final_Table[[#This Row],[Discount %]])</f>
        <v>18360</v>
      </c>
      <c r="Q751">
        <f>Final_Table[[#This Row],[Net Revenue]]*Final_Table[[#This Row],[Variable Cost %]]</f>
        <v>3304.7999999999997</v>
      </c>
      <c r="R751">
        <f>Final_Table[[#This Row],[Variable Cost]]+Final_Table[[#This Row],[Fixed Monthly Cost]]</f>
        <v>21304.799999999999</v>
      </c>
      <c r="S751" s="5">
        <f>Final_Table[[#This Row],[Net Revenue]]-Final_Table[[#This Row],[Total Cost (COGS)]]</f>
        <v>-2944.7999999999993</v>
      </c>
      <c r="T751">
        <f>Final_Table[[#This Row],[Gross Profit]]*Final_Table[[#This Row],[Tax Rate]]</f>
        <v>-883.43999999999971</v>
      </c>
      <c r="U751" s="5">
        <f>Final_Table[[#This Row],[Gross Profit]]-Final_Table[[#This Row],[Tax]]</f>
        <v>-2061.3599999999997</v>
      </c>
      <c r="V751" s="12">
        <f>Final_Table[[#This Row],[Net Profit]]/Final_Table[[#This Row],[Gross Revenue]]</f>
        <v>-0.10104705882352939</v>
      </c>
    </row>
    <row r="752" spans="1:22">
      <c r="A752" s="18" t="s">
        <v>73</v>
      </c>
      <c r="B752">
        <v>2014</v>
      </c>
      <c r="C752" t="s">
        <v>124</v>
      </c>
      <c r="D752">
        <v>1</v>
      </c>
      <c r="E752" s="18" t="s">
        <v>30</v>
      </c>
      <c r="F752" s="18" t="s">
        <v>80</v>
      </c>
      <c r="G752" s="18" t="s">
        <v>36</v>
      </c>
      <c r="H752" s="18" t="str">
        <f>Assumptions!$B$2</f>
        <v>Worst</v>
      </c>
      <c r="I752" s="18">
        <f>_xlfn.XLOOKUP(Assumptions!$B$2,Assumptions!$F$4:$H$4,Assumptions!$F$5:$H$5)</f>
        <v>1200</v>
      </c>
      <c r="J752" s="18">
        <f>_xlfn.XLOOKUP(Assumptions!$B$2,Assumptions!$F$4:$H$4,Assumptions!$F$6:$H$6)</f>
        <v>17</v>
      </c>
      <c r="K752" s="12">
        <f>_xlfn.XLOOKUP(Assumptions!$B$2,Assumptions!$F$4:$H$4,Assumptions!$F$8:$H$8)</f>
        <v>0.1</v>
      </c>
      <c r="L752" s="12">
        <f>_xlfn.XLOOKUP(Assumptions!$B$2,Assumptions!$F$4:$H$4,Assumptions!$F$9:$H$9)</f>
        <v>0.18</v>
      </c>
      <c r="M752" s="18">
        <f>_xlfn.XLOOKUP(Assumptions!$B$2,Assumptions!$F$4:$H$4,Assumptions!$F$10:$H$10)</f>
        <v>18000</v>
      </c>
      <c r="N752" s="12">
        <f>_xlfn.XLOOKUP(Assumptions!$B$2,Assumptions!$F$4:$H$4,Assumptions!$F$11:$H$11)</f>
        <v>0.3</v>
      </c>
      <c r="O752" s="14">
        <f>Final_Table[[#This Row],[Units Sold]]*Final_Table[[#This Row],[Sale Price]]</f>
        <v>20400</v>
      </c>
      <c r="P752" s="14">
        <f>Final_Table[[#This Row],[Gross Revenue]]*(1-Final_Table[[#This Row],[Discount %]])</f>
        <v>18360</v>
      </c>
      <c r="Q752">
        <f>Final_Table[[#This Row],[Net Revenue]]*Final_Table[[#This Row],[Variable Cost %]]</f>
        <v>3304.7999999999997</v>
      </c>
      <c r="R752">
        <f>Final_Table[[#This Row],[Variable Cost]]+Final_Table[[#This Row],[Fixed Monthly Cost]]</f>
        <v>21304.799999999999</v>
      </c>
      <c r="S752" s="5">
        <f>Final_Table[[#This Row],[Net Revenue]]-Final_Table[[#This Row],[Total Cost (COGS)]]</f>
        <v>-2944.7999999999993</v>
      </c>
      <c r="T752">
        <f>Final_Table[[#This Row],[Gross Profit]]*Final_Table[[#This Row],[Tax Rate]]</f>
        <v>-883.43999999999971</v>
      </c>
      <c r="U752" s="5">
        <f>Final_Table[[#This Row],[Gross Profit]]-Final_Table[[#This Row],[Tax]]</f>
        <v>-2061.3599999999997</v>
      </c>
      <c r="V752" s="12">
        <f>Final_Table[[#This Row],[Net Profit]]/Final_Table[[#This Row],[Gross Revenue]]</f>
        <v>-0.10104705882352939</v>
      </c>
    </row>
    <row r="753" spans="1:22">
      <c r="A753" s="18" t="s">
        <v>73</v>
      </c>
      <c r="B753">
        <v>2014</v>
      </c>
      <c r="C753" t="s">
        <v>124</v>
      </c>
      <c r="D753">
        <v>1</v>
      </c>
      <c r="E753" s="18" t="s">
        <v>30</v>
      </c>
      <c r="F753" s="18" t="s">
        <v>80</v>
      </c>
      <c r="G753" s="18" t="s">
        <v>23</v>
      </c>
      <c r="H753" s="18" t="str">
        <f>Assumptions!$B$2</f>
        <v>Worst</v>
      </c>
      <c r="I753" s="18">
        <f>_xlfn.XLOOKUP(Assumptions!$B$2,Assumptions!$F$4:$H$4,Assumptions!$F$5:$H$5)</f>
        <v>1200</v>
      </c>
      <c r="J753" s="18">
        <f>_xlfn.XLOOKUP(Assumptions!$B$2,Assumptions!$F$4:$H$4,Assumptions!$F$6:$H$6)</f>
        <v>17</v>
      </c>
      <c r="K753" s="12">
        <f>_xlfn.XLOOKUP(Assumptions!$B$2,Assumptions!$F$4:$H$4,Assumptions!$F$8:$H$8)</f>
        <v>0.1</v>
      </c>
      <c r="L753" s="12">
        <f>_xlfn.XLOOKUP(Assumptions!$B$2,Assumptions!$F$4:$H$4,Assumptions!$F$9:$H$9)</f>
        <v>0.18</v>
      </c>
      <c r="M753" s="18">
        <f>_xlfn.XLOOKUP(Assumptions!$B$2,Assumptions!$F$4:$H$4,Assumptions!$F$10:$H$10)</f>
        <v>18000</v>
      </c>
      <c r="N753" s="12">
        <f>_xlfn.XLOOKUP(Assumptions!$B$2,Assumptions!$F$4:$H$4,Assumptions!$F$11:$H$11)</f>
        <v>0.3</v>
      </c>
      <c r="O753" s="14">
        <f>Final_Table[[#This Row],[Units Sold]]*Final_Table[[#This Row],[Sale Price]]</f>
        <v>20400</v>
      </c>
      <c r="P753" s="14">
        <f>Final_Table[[#This Row],[Gross Revenue]]*(1-Final_Table[[#This Row],[Discount %]])</f>
        <v>18360</v>
      </c>
      <c r="Q753">
        <f>Final_Table[[#This Row],[Net Revenue]]*Final_Table[[#This Row],[Variable Cost %]]</f>
        <v>3304.7999999999997</v>
      </c>
      <c r="R753">
        <f>Final_Table[[#This Row],[Variable Cost]]+Final_Table[[#This Row],[Fixed Monthly Cost]]</f>
        <v>21304.799999999999</v>
      </c>
      <c r="S753" s="5">
        <f>Final_Table[[#This Row],[Net Revenue]]-Final_Table[[#This Row],[Total Cost (COGS)]]</f>
        <v>-2944.7999999999993</v>
      </c>
      <c r="T753">
        <f>Final_Table[[#This Row],[Gross Profit]]*Final_Table[[#This Row],[Tax Rate]]</f>
        <v>-883.43999999999971</v>
      </c>
      <c r="U753" s="5">
        <f>Final_Table[[#This Row],[Gross Profit]]-Final_Table[[#This Row],[Tax]]</f>
        <v>-2061.3599999999997</v>
      </c>
      <c r="V753" s="12">
        <f>Final_Table[[#This Row],[Net Profit]]/Final_Table[[#This Row],[Gross Revenue]]</f>
        <v>-0.10104705882352939</v>
      </c>
    </row>
    <row r="754" spans="1:22">
      <c r="A754" s="18" t="s">
        <v>73</v>
      </c>
      <c r="B754">
        <v>2014</v>
      </c>
      <c r="C754" t="s">
        <v>124</v>
      </c>
      <c r="D754">
        <v>1</v>
      </c>
      <c r="E754" s="18" t="s">
        <v>30</v>
      </c>
      <c r="F754" s="18" t="s">
        <v>80</v>
      </c>
      <c r="G754" s="18" t="s">
        <v>21</v>
      </c>
      <c r="H754" s="18" t="str">
        <f>Assumptions!$B$2</f>
        <v>Worst</v>
      </c>
      <c r="I754" s="18">
        <f>_xlfn.XLOOKUP(Assumptions!$B$2,Assumptions!$F$4:$H$4,Assumptions!$F$5:$H$5)</f>
        <v>1200</v>
      </c>
      <c r="J754" s="18">
        <f>_xlfn.XLOOKUP(Assumptions!$B$2,Assumptions!$F$4:$H$4,Assumptions!$F$6:$H$6)</f>
        <v>17</v>
      </c>
      <c r="K754" s="12">
        <f>_xlfn.XLOOKUP(Assumptions!$B$2,Assumptions!$F$4:$H$4,Assumptions!$F$8:$H$8)</f>
        <v>0.1</v>
      </c>
      <c r="L754" s="12">
        <f>_xlfn.XLOOKUP(Assumptions!$B$2,Assumptions!$F$4:$H$4,Assumptions!$F$9:$H$9)</f>
        <v>0.18</v>
      </c>
      <c r="M754" s="18">
        <f>_xlfn.XLOOKUP(Assumptions!$B$2,Assumptions!$F$4:$H$4,Assumptions!$F$10:$H$10)</f>
        <v>18000</v>
      </c>
      <c r="N754" s="12">
        <f>_xlfn.XLOOKUP(Assumptions!$B$2,Assumptions!$F$4:$H$4,Assumptions!$F$11:$H$11)</f>
        <v>0.3</v>
      </c>
      <c r="O754" s="14">
        <f>Final_Table[[#This Row],[Units Sold]]*Final_Table[[#This Row],[Sale Price]]</f>
        <v>20400</v>
      </c>
      <c r="P754" s="14">
        <f>Final_Table[[#This Row],[Gross Revenue]]*(1-Final_Table[[#This Row],[Discount %]])</f>
        <v>18360</v>
      </c>
      <c r="Q754">
        <f>Final_Table[[#This Row],[Net Revenue]]*Final_Table[[#This Row],[Variable Cost %]]</f>
        <v>3304.7999999999997</v>
      </c>
      <c r="R754">
        <f>Final_Table[[#This Row],[Variable Cost]]+Final_Table[[#This Row],[Fixed Monthly Cost]]</f>
        <v>21304.799999999999</v>
      </c>
      <c r="S754" s="5">
        <f>Final_Table[[#This Row],[Net Revenue]]-Final_Table[[#This Row],[Total Cost (COGS)]]</f>
        <v>-2944.7999999999993</v>
      </c>
      <c r="T754">
        <f>Final_Table[[#This Row],[Gross Profit]]*Final_Table[[#This Row],[Tax Rate]]</f>
        <v>-883.43999999999971</v>
      </c>
      <c r="U754" s="5">
        <f>Final_Table[[#This Row],[Gross Profit]]-Final_Table[[#This Row],[Tax]]</f>
        <v>-2061.3599999999997</v>
      </c>
      <c r="V754" s="12">
        <f>Final_Table[[#This Row],[Net Profit]]/Final_Table[[#This Row],[Gross Revenue]]</f>
        <v>-0.10104705882352939</v>
      </c>
    </row>
    <row r="755" spans="1:22">
      <c r="A755" s="18" t="s">
        <v>73</v>
      </c>
      <c r="B755">
        <v>2014</v>
      </c>
      <c r="C755" t="s">
        <v>124</v>
      </c>
      <c r="D755">
        <v>1</v>
      </c>
      <c r="E755" s="18" t="s">
        <v>30</v>
      </c>
      <c r="F755" s="18" t="s">
        <v>80</v>
      </c>
      <c r="G755" s="18" t="s">
        <v>25</v>
      </c>
      <c r="H755" s="18" t="str">
        <f>Assumptions!$B$2</f>
        <v>Worst</v>
      </c>
      <c r="I755" s="18">
        <f>_xlfn.XLOOKUP(Assumptions!$B$2,Assumptions!$F$4:$H$4,Assumptions!$F$5:$H$5)</f>
        <v>1200</v>
      </c>
      <c r="J755" s="18">
        <f>_xlfn.XLOOKUP(Assumptions!$B$2,Assumptions!$F$4:$H$4,Assumptions!$F$6:$H$6)</f>
        <v>17</v>
      </c>
      <c r="K755" s="12">
        <f>_xlfn.XLOOKUP(Assumptions!$B$2,Assumptions!$F$4:$H$4,Assumptions!$F$8:$H$8)</f>
        <v>0.1</v>
      </c>
      <c r="L755" s="12">
        <f>_xlfn.XLOOKUP(Assumptions!$B$2,Assumptions!$F$4:$H$4,Assumptions!$F$9:$H$9)</f>
        <v>0.18</v>
      </c>
      <c r="M755" s="18">
        <f>_xlfn.XLOOKUP(Assumptions!$B$2,Assumptions!$F$4:$H$4,Assumptions!$F$10:$H$10)</f>
        <v>18000</v>
      </c>
      <c r="N755" s="12">
        <f>_xlfn.XLOOKUP(Assumptions!$B$2,Assumptions!$F$4:$H$4,Assumptions!$F$11:$H$11)</f>
        <v>0.3</v>
      </c>
      <c r="O755" s="14">
        <f>Final_Table[[#This Row],[Units Sold]]*Final_Table[[#This Row],[Sale Price]]</f>
        <v>20400</v>
      </c>
      <c r="P755" s="14">
        <f>Final_Table[[#This Row],[Gross Revenue]]*(1-Final_Table[[#This Row],[Discount %]])</f>
        <v>18360</v>
      </c>
      <c r="Q755">
        <f>Final_Table[[#This Row],[Net Revenue]]*Final_Table[[#This Row],[Variable Cost %]]</f>
        <v>3304.7999999999997</v>
      </c>
      <c r="R755">
        <f>Final_Table[[#This Row],[Variable Cost]]+Final_Table[[#This Row],[Fixed Monthly Cost]]</f>
        <v>21304.799999999999</v>
      </c>
      <c r="S755" s="5">
        <f>Final_Table[[#This Row],[Net Revenue]]-Final_Table[[#This Row],[Total Cost (COGS)]]</f>
        <v>-2944.7999999999993</v>
      </c>
      <c r="T755">
        <f>Final_Table[[#This Row],[Gross Profit]]*Final_Table[[#This Row],[Tax Rate]]</f>
        <v>-883.43999999999971</v>
      </c>
      <c r="U755" s="5">
        <f>Final_Table[[#This Row],[Gross Profit]]-Final_Table[[#This Row],[Tax]]</f>
        <v>-2061.3599999999997</v>
      </c>
      <c r="V755" s="12">
        <f>Final_Table[[#This Row],[Net Profit]]/Final_Table[[#This Row],[Gross Revenue]]</f>
        <v>-0.10104705882352939</v>
      </c>
    </row>
    <row r="756" spans="1:22">
      <c r="A756" s="18" t="s">
        <v>73</v>
      </c>
      <c r="B756">
        <v>2014</v>
      </c>
      <c r="C756" t="s">
        <v>124</v>
      </c>
      <c r="D756">
        <v>1</v>
      </c>
      <c r="E756" s="18" t="s">
        <v>30</v>
      </c>
      <c r="F756" s="18" t="s">
        <v>80</v>
      </c>
      <c r="G756" s="18" t="s">
        <v>17</v>
      </c>
      <c r="H756" s="18" t="str">
        <f>Assumptions!$B$2</f>
        <v>Worst</v>
      </c>
      <c r="I756" s="18">
        <f>_xlfn.XLOOKUP(Assumptions!$B$2,Assumptions!$F$4:$H$4,Assumptions!$F$5:$H$5)</f>
        <v>1200</v>
      </c>
      <c r="J756" s="18">
        <f>_xlfn.XLOOKUP(Assumptions!$B$2,Assumptions!$F$4:$H$4,Assumptions!$F$6:$H$6)</f>
        <v>17</v>
      </c>
      <c r="K756" s="12">
        <f>_xlfn.XLOOKUP(Assumptions!$B$2,Assumptions!$F$4:$H$4,Assumptions!$F$8:$H$8)</f>
        <v>0.1</v>
      </c>
      <c r="L756" s="12">
        <f>_xlfn.XLOOKUP(Assumptions!$B$2,Assumptions!$F$4:$H$4,Assumptions!$F$9:$H$9)</f>
        <v>0.18</v>
      </c>
      <c r="M756" s="18">
        <f>_xlfn.XLOOKUP(Assumptions!$B$2,Assumptions!$F$4:$H$4,Assumptions!$F$10:$H$10)</f>
        <v>18000</v>
      </c>
      <c r="N756" s="12">
        <f>_xlfn.XLOOKUP(Assumptions!$B$2,Assumptions!$F$4:$H$4,Assumptions!$F$11:$H$11)</f>
        <v>0.3</v>
      </c>
      <c r="O756" s="14">
        <f>Final_Table[[#This Row],[Units Sold]]*Final_Table[[#This Row],[Sale Price]]</f>
        <v>20400</v>
      </c>
      <c r="P756" s="14">
        <f>Final_Table[[#This Row],[Gross Revenue]]*(1-Final_Table[[#This Row],[Discount %]])</f>
        <v>18360</v>
      </c>
      <c r="Q756">
        <f>Final_Table[[#This Row],[Net Revenue]]*Final_Table[[#This Row],[Variable Cost %]]</f>
        <v>3304.7999999999997</v>
      </c>
      <c r="R756">
        <f>Final_Table[[#This Row],[Variable Cost]]+Final_Table[[#This Row],[Fixed Monthly Cost]]</f>
        <v>21304.799999999999</v>
      </c>
      <c r="S756" s="5">
        <f>Final_Table[[#This Row],[Net Revenue]]-Final_Table[[#This Row],[Total Cost (COGS)]]</f>
        <v>-2944.7999999999993</v>
      </c>
      <c r="T756">
        <f>Final_Table[[#This Row],[Gross Profit]]*Final_Table[[#This Row],[Tax Rate]]</f>
        <v>-883.43999999999971</v>
      </c>
      <c r="U756" s="5">
        <f>Final_Table[[#This Row],[Gross Profit]]-Final_Table[[#This Row],[Tax]]</f>
        <v>-2061.3599999999997</v>
      </c>
      <c r="V756" s="12">
        <f>Final_Table[[#This Row],[Net Profit]]/Final_Table[[#This Row],[Gross Revenue]]</f>
        <v>-0.10104705882352939</v>
      </c>
    </row>
    <row r="757" spans="1:22">
      <c r="A757" s="18" t="s">
        <v>73</v>
      </c>
      <c r="B757">
        <v>2014</v>
      </c>
      <c r="C757" t="s">
        <v>124</v>
      </c>
      <c r="D757">
        <v>1</v>
      </c>
      <c r="E757" s="18" t="s">
        <v>30</v>
      </c>
      <c r="F757" s="18" t="s">
        <v>108</v>
      </c>
      <c r="G757" s="18" t="s">
        <v>36</v>
      </c>
      <c r="H757" s="18" t="str">
        <f>Assumptions!$B$2</f>
        <v>Worst</v>
      </c>
      <c r="I757" s="18">
        <f>_xlfn.XLOOKUP(Assumptions!$B$2,Assumptions!$F$4:$H$4,Assumptions!$F$5:$H$5)</f>
        <v>1200</v>
      </c>
      <c r="J757" s="18">
        <f>_xlfn.XLOOKUP(Assumptions!$B$2,Assumptions!$F$4:$H$4,Assumptions!$F$6:$H$6)</f>
        <v>17</v>
      </c>
      <c r="K757" s="12">
        <f>_xlfn.XLOOKUP(Assumptions!$B$2,Assumptions!$F$4:$H$4,Assumptions!$F$8:$H$8)</f>
        <v>0.1</v>
      </c>
      <c r="L757" s="12">
        <f>_xlfn.XLOOKUP(Assumptions!$B$2,Assumptions!$F$4:$H$4,Assumptions!$F$9:$H$9)</f>
        <v>0.18</v>
      </c>
      <c r="M757" s="18">
        <f>_xlfn.XLOOKUP(Assumptions!$B$2,Assumptions!$F$4:$H$4,Assumptions!$F$10:$H$10)</f>
        <v>18000</v>
      </c>
      <c r="N757" s="12">
        <f>_xlfn.XLOOKUP(Assumptions!$B$2,Assumptions!$F$4:$H$4,Assumptions!$F$11:$H$11)</f>
        <v>0.3</v>
      </c>
      <c r="O757" s="14">
        <f>Final_Table[[#This Row],[Units Sold]]*Final_Table[[#This Row],[Sale Price]]</f>
        <v>20400</v>
      </c>
      <c r="P757" s="14">
        <f>Final_Table[[#This Row],[Gross Revenue]]*(1-Final_Table[[#This Row],[Discount %]])</f>
        <v>18360</v>
      </c>
      <c r="Q757">
        <f>Final_Table[[#This Row],[Net Revenue]]*Final_Table[[#This Row],[Variable Cost %]]</f>
        <v>3304.7999999999997</v>
      </c>
      <c r="R757">
        <f>Final_Table[[#This Row],[Variable Cost]]+Final_Table[[#This Row],[Fixed Monthly Cost]]</f>
        <v>21304.799999999999</v>
      </c>
      <c r="S757" s="5">
        <f>Final_Table[[#This Row],[Net Revenue]]-Final_Table[[#This Row],[Total Cost (COGS)]]</f>
        <v>-2944.7999999999993</v>
      </c>
      <c r="T757">
        <f>Final_Table[[#This Row],[Gross Profit]]*Final_Table[[#This Row],[Tax Rate]]</f>
        <v>-883.43999999999971</v>
      </c>
      <c r="U757" s="5">
        <f>Final_Table[[#This Row],[Gross Profit]]-Final_Table[[#This Row],[Tax]]</f>
        <v>-2061.3599999999997</v>
      </c>
      <c r="V757" s="12">
        <f>Final_Table[[#This Row],[Net Profit]]/Final_Table[[#This Row],[Gross Revenue]]</f>
        <v>-0.10104705882352939</v>
      </c>
    </row>
    <row r="758" spans="1:22">
      <c r="A758" s="18" t="s">
        <v>73</v>
      </c>
      <c r="B758">
        <v>2014</v>
      </c>
      <c r="C758" t="s">
        <v>124</v>
      </c>
      <c r="D758">
        <v>1</v>
      </c>
      <c r="E758" s="18" t="s">
        <v>30</v>
      </c>
      <c r="F758" s="18" t="s">
        <v>108</v>
      </c>
      <c r="G758" s="18" t="s">
        <v>23</v>
      </c>
      <c r="H758" s="18" t="str">
        <f>Assumptions!$B$2</f>
        <v>Worst</v>
      </c>
      <c r="I758" s="18">
        <f>_xlfn.XLOOKUP(Assumptions!$B$2,Assumptions!$F$4:$H$4,Assumptions!$F$5:$H$5)</f>
        <v>1200</v>
      </c>
      <c r="J758" s="18">
        <f>_xlfn.XLOOKUP(Assumptions!$B$2,Assumptions!$F$4:$H$4,Assumptions!$F$6:$H$6)</f>
        <v>17</v>
      </c>
      <c r="K758" s="12">
        <f>_xlfn.XLOOKUP(Assumptions!$B$2,Assumptions!$F$4:$H$4,Assumptions!$F$8:$H$8)</f>
        <v>0.1</v>
      </c>
      <c r="L758" s="12">
        <f>_xlfn.XLOOKUP(Assumptions!$B$2,Assumptions!$F$4:$H$4,Assumptions!$F$9:$H$9)</f>
        <v>0.18</v>
      </c>
      <c r="M758" s="18">
        <f>_xlfn.XLOOKUP(Assumptions!$B$2,Assumptions!$F$4:$H$4,Assumptions!$F$10:$H$10)</f>
        <v>18000</v>
      </c>
      <c r="N758" s="12">
        <f>_xlfn.XLOOKUP(Assumptions!$B$2,Assumptions!$F$4:$H$4,Assumptions!$F$11:$H$11)</f>
        <v>0.3</v>
      </c>
      <c r="O758" s="14">
        <f>Final_Table[[#This Row],[Units Sold]]*Final_Table[[#This Row],[Sale Price]]</f>
        <v>20400</v>
      </c>
      <c r="P758" s="14">
        <f>Final_Table[[#This Row],[Gross Revenue]]*(1-Final_Table[[#This Row],[Discount %]])</f>
        <v>18360</v>
      </c>
      <c r="Q758">
        <f>Final_Table[[#This Row],[Net Revenue]]*Final_Table[[#This Row],[Variable Cost %]]</f>
        <v>3304.7999999999997</v>
      </c>
      <c r="R758">
        <f>Final_Table[[#This Row],[Variable Cost]]+Final_Table[[#This Row],[Fixed Monthly Cost]]</f>
        <v>21304.799999999999</v>
      </c>
      <c r="S758" s="5">
        <f>Final_Table[[#This Row],[Net Revenue]]-Final_Table[[#This Row],[Total Cost (COGS)]]</f>
        <v>-2944.7999999999993</v>
      </c>
      <c r="T758">
        <f>Final_Table[[#This Row],[Gross Profit]]*Final_Table[[#This Row],[Tax Rate]]</f>
        <v>-883.43999999999971</v>
      </c>
      <c r="U758" s="5">
        <f>Final_Table[[#This Row],[Gross Profit]]-Final_Table[[#This Row],[Tax]]</f>
        <v>-2061.3599999999997</v>
      </c>
      <c r="V758" s="12">
        <f>Final_Table[[#This Row],[Net Profit]]/Final_Table[[#This Row],[Gross Revenue]]</f>
        <v>-0.10104705882352939</v>
      </c>
    </row>
    <row r="759" spans="1:22">
      <c r="A759" s="18" t="s">
        <v>73</v>
      </c>
      <c r="B759">
        <v>2014</v>
      </c>
      <c r="C759" t="s">
        <v>124</v>
      </c>
      <c r="D759">
        <v>1</v>
      </c>
      <c r="E759" s="18" t="s">
        <v>30</v>
      </c>
      <c r="F759" s="18" t="s">
        <v>108</v>
      </c>
      <c r="G759" s="18" t="s">
        <v>21</v>
      </c>
      <c r="H759" s="18" t="str">
        <f>Assumptions!$B$2</f>
        <v>Worst</v>
      </c>
      <c r="I759" s="18">
        <f>_xlfn.XLOOKUP(Assumptions!$B$2,Assumptions!$F$4:$H$4,Assumptions!$F$5:$H$5)</f>
        <v>1200</v>
      </c>
      <c r="J759" s="18">
        <f>_xlfn.XLOOKUP(Assumptions!$B$2,Assumptions!$F$4:$H$4,Assumptions!$F$6:$H$6)</f>
        <v>17</v>
      </c>
      <c r="K759" s="12">
        <f>_xlfn.XLOOKUP(Assumptions!$B$2,Assumptions!$F$4:$H$4,Assumptions!$F$8:$H$8)</f>
        <v>0.1</v>
      </c>
      <c r="L759" s="12">
        <f>_xlfn.XLOOKUP(Assumptions!$B$2,Assumptions!$F$4:$H$4,Assumptions!$F$9:$H$9)</f>
        <v>0.18</v>
      </c>
      <c r="M759" s="18">
        <f>_xlfn.XLOOKUP(Assumptions!$B$2,Assumptions!$F$4:$H$4,Assumptions!$F$10:$H$10)</f>
        <v>18000</v>
      </c>
      <c r="N759" s="12">
        <f>_xlfn.XLOOKUP(Assumptions!$B$2,Assumptions!$F$4:$H$4,Assumptions!$F$11:$H$11)</f>
        <v>0.3</v>
      </c>
      <c r="O759" s="14">
        <f>Final_Table[[#This Row],[Units Sold]]*Final_Table[[#This Row],[Sale Price]]</f>
        <v>20400</v>
      </c>
      <c r="P759" s="14">
        <f>Final_Table[[#This Row],[Gross Revenue]]*(1-Final_Table[[#This Row],[Discount %]])</f>
        <v>18360</v>
      </c>
      <c r="Q759">
        <f>Final_Table[[#This Row],[Net Revenue]]*Final_Table[[#This Row],[Variable Cost %]]</f>
        <v>3304.7999999999997</v>
      </c>
      <c r="R759">
        <f>Final_Table[[#This Row],[Variable Cost]]+Final_Table[[#This Row],[Fixed Monthly Cost]]</f>
        <v>21304.799999999999</v>
      </c>
      <c r="S759" s="5">
        <f>Final_Table[[#This Row],[Net Revenue]]-Final_Table[[#This Row],[Total Cost (COGS)]]</f>
        <v>-2944.7999999999993</v>
      </c>
      <c r="T759">
        <f>Final_Table[[#This Row],[Gross Profit]]*Final_Table[[#This Row],[Tax Rate]]</f>
        <v>-883.43999999999971</v>
      </c>
      <c r="U759" s="5">
        <f>Final_Table[[#This Row],[Gross Profit]]-Final_Table[[#This Row],[Tax]]</f>
        <v>-2061.3599999999997</v>
      </c>
      <c r="V759" s="12">
        <f>Final_Table[[#This Row],[Net Profit]]/Final_Table[[#This Row],[Gross Revenue]]</f>
        <v>-0.10104705882352939</v>
      </c>
    </row>
    <row r="760" spans="1:22">
      <c r="A760" s="18" t="s">
        <v>73</v>
      </c>
      <c r="B760">
        <v>2014</v>
      </c>
      <c r="C760" t="s">
        <v>124</v>
      </c>
      <c r="D760">
        <v>1</v>
      </c>
      <c r="E760" s="18" t="s">
        <v>30</v>
      </c>
      <c r="F760" s="18" t="s">
        <v>108</v>
      </c>
      <c r="G760" s="18" t="s">
        <v>25</v>
      </c>
      <c r="H760" s="18" t="str">
        <f>Assumptions!$B$2</f>
        <v>Worst</v>
      </c>
      <c r="I760" s="18">
        <f>_xlfn.XLOOKUP(Assumptions!$B$2,Assumptions!$F$4:$H$4,Assumptions!$F$5:$H$5)</f>
        <v>1200</v>
      </c>
      <c r="J760" s="18">
        <f>_xlfn.XLOOKUP(Assumptions!$B$2,Assumptions!$F$4:$H$4,Assumptions!$F$6:$H$6)</f>
        <v>17</v>
      </c>
      <c r="K760" s="12">
        <f>_xlfn.XLOOKUP(Assumptions!$B$2,Assumptions!$F$4:$H$4,Assumptions!$F$8:$H$8)</f>
        <v>0.1</v>
      </c>
      <c r="L760" s="12">
        <f>_xlfn.XLOOKUP(Assumptions!$B$2,Assumptions!$F$4:$H$4,Assumptions!$F$9:$H$9)</f>
        <v>0.18</v>
      </c>
      <c r="M760" s="18">
        <f>_xlfn.XLOOKUP(Assumptions!$B$2,Assumptions!$F$4:$H$4,Assumptions!$F$10:$H$10)</f>
        <v>18000</v>
      </c>
      <c r="N760" s="12">
        <f>_xlfn.XLOOKUP(Assumptions!$B$2,Assumptions!$F$4:$H$4,Assumptions!$F$11:$H$11)</f>
        <v>0.3</v>
      </c>
      <c r="O760" s="14">
        <f>Final_Table[[#This Row],[Units Sold]]*Final_Table[[#This Row],[Sale Price]]</f>
        <v>20400</v>
      </c>
      <c r="P760" s="14">
        <f>Final_Table[[#This Row],[Gross Revenue]]*(1-Final_Table[[#This Row],[Discount %]])</f>
        <v>18360</v>
      </c>
      <c r="Q760">
        <f>Final_Table[[#This Row],[Net Revenue]]*Final_Table[[#This Row],[Variable Cost %]]</f>
        <v>3304.7999999999997</v>
      </c>
      <c r="R760">
        <f>Final_Table[[#This Row],[Variable Cost]]+Final_Table[[#This Row],[Fixed Monthly Cost]]</f>
        <v>21304.799999999999</v>
      </c>
      <c r="S760" s="5">
        <f>Final_Table[[#This Row],[Net Revenue]]-Final_Table[[#This Row],[Total Cost (COGS)]]</f>
        <v>-2944.7999999999993</v>
      </c>
      <c r="T760">
        <f>Final_Table[[#This Row],[Gross Profit]]*Final_Table[[#This Row],[Tax Rate]]</f>
        <v>-883.43999999999971</v>
      </c>
      <c r="U760" s="5">
        <f>Final_Table[[#This Row],[Gross Profit]]-Final_Table[[#This Row],[Tax]]</f>
        <v>-2061.3599999999997</v>
      </c>
      <c r="V760" s="12">
        <f>Final_Table[[#This Row],[Net Profit]]/Final_Table[[#This Row],[Gross Revenue]]</f>
        <v>-0.10104705882352939</v>
      </c>
    </row>
    <row r="761" spans="1:22">
      <c r="A761" s="18" t="s">
        <v>73</v>
      </c>
      <c r="B761">
        <v>2014</v>
      </c>
      <c r="C761" t="s">
        <v>124</v>
      </c>
      <c r="D761">
        <v>1</v>
      </c>
      <c r="E761" s="18" t="s">
        <v>30</v>
      </c>
      <c r="F761" s="18" t="s">
        <v>108</v>
      </c>
      <c r="G761" s="18" t="s">
        <v>17</v>
      </c>
      <c r="H761" s="18" t="str">
        <f>Assumptions!$B$2</f>
        <v>Worst</v>
      </c>
      <c r="I761" s="18">
        <f>_xlfn.XLOOKUP(Assumptions!$B$2,Assumptions!$F$4:$H$4,Assumptions!$F$5:$H$5)</f>
        <v>1200</v>
      </c>
      <c r="J761" s="18">
        <f>_xlfn.XLOOKUP(Assumptions!$B$2,Assumptions!$F$4:$H$4,Assumptions!$F$6:$H$6)</f>
        <v>17</v>
      </c>
      <c r="K761" s="12">
        <f>_xlfn.XLOOKUP(Assumptions!$B$2,Assumptions!$F$4:$H$4,Assumptions!$F$8:$H$8)</f>
        <v>0.1</v>
      </c>
      <c r="L761" s="12">
        <f>_xlfn.XLOOKUP(Assumptions!$B$2,Assumptions!$F$4:$H$4,Assumptions!$F$9:$H$9)</f>
        <v>0.18</v>
      </c>
      <c r="M761" s="18">
        <f>_xlfn.XLOOKUP(Assumptions!$B$2,Assumptions!$F$4:$H$4,Assumptions!$F$10:$H$10)</f>
        <v>18000</v>
      </c>
      <c r="N761" s="12">
        <f>_xlfn.XLOOKUP(Assumptions!$B$2,Assumptions!$F$4:$H$4,Assumptions!$F$11:$H$11)</f>
        <v>0.3</v>
      </c>
      <c r="O761" s="14">
        <f>Final_Table[[#This Row],[Units Sold]]*Final_Table[[#This Row],[Sale Price]]</f>
        <v>20400</v>
      </c>
      <c r="P761" s="14">
        <f>Final_Table[[#This Row],[Gross Revenue]]*(1-Final_Table[[#This Row],[Discount %]])</f>
        <v>18360</v>
      </c>
      <c r="Q761">
        <f>Final_Table[[#This Row],[Net Revenue]]*Final_Table[[#This Row],[Variable Cost %]]</f>
        <v>3304.7999999999997</v>
      </c>
      <c r="R761">
        <f>Final_Table[[#This Row],[Variable Cost]]+Final_Table[[#This Row],[Fixed Monthly Cost]]</f>
        <v>21304.799999999999</v>
      </c>
      <c r="S761" s="5">
        <f>Final_Table[[#This Row],[Net Revenue]]-Final_Table[[#This Row],[Total Cost (COGS)]]</f>
        <v>-2944.7999999999993</v>
      </c>
      <c r="T761">
        <f>Final_Table[[#This Row],[Gross Profit]]*Final_Table[[#This Row],[Tax Rate]]</f>
        <v>-883.43999999999971</v>
      </c>
      <c r="U761" s="5">
        <f>Final_Table[[#This Row],[Gross Profit]]-Final_Table[[#This Row],[Tax]]</f>
        <v>-2061.3599999999997</v>
      </c>
      <c r="V761" s="12">
        <f>Final_Table[[#This Row],[Net Profit]]/Final_Table[[#This Row],[Gross Revenue]]</f>
        <v>-0.10104705882352939</v>
      </c>
    </row>
    <row r="762" spans="1:22">
      <c r="A762" s="18" t="s">
        <v>73</v>
      </c>
      <c r="B762">
        <v>2014</v>
      </c>
      <c r="C762" t="s">
        <v>124</v>
      </c>
      <c r="D762">
        <v>1</v>
      </c>
      <c r="E762" s="18" t="s">
        <v>30</v>
      </c>
      <c r="F762" s="18" t="s">
        <v>112</v>
      </c>
      <c r="G762" s="18" t="s">
        <v>36</v>
      </c>
      <c r="H762" s="18" t="str">
        <f>Assumptions!$B$2</f>
        <v>Worst</v>
      </c>
      <c r="I762" s="18">
        <f>_xlfn.XLOOKUP(Assumptions!$B$2,Assumptions!$F$4:$H$4,Assumptions!$F$5:$H$5)</f>
        <v>1200</v>
      </c>
      <c r="J762" s="18">
        <f>_xlfn.XLOOKUP(Assumptions!$B$2,Assumptions!$F$4:$H$4,Assumptions!$F$6:$H$6)</f>
        <v>17</v>
      </c>
      <c r="K762" s="12">
        <f>_xlfn.XLOOKUP(Assumptions!$B$2,Assumptions!$F$4:$H$4,Assumptions!$F$8:$H$8)</f>
        <v>0.1</v>
      </c>
      <c r="L762" s="12">
        <f>_xlfn.XLOOKUP(Assumptions!$B$2,Assumptions!$F$4:$H$4,Assumptions!$F$9:$H$9)</f>
        <v>0.18</v>
      </c>
      <c r="M762" s="18">
        <f>_xlfn.XLOOKUP(Assumptions!$B$2,Assumptions!$F$4:$H$4,Assumptions!$F$10:$H$10)</f>
        <v>18000</v>
      </c>
      <c r="N762" s="12">
        <f>_xlfn.XLOOKUP(Assumptions!$B$2,Assumptions!$F$4:$H$4,Assumptions!$F$11:$H$11)</f>
        <v>0.3</v>
      </c>
      <c r="O762" s="14">
        <f>Final_Table[[#This Row],[Units Sold]]*Final_Table[[#This Row],[Sale Price]]</f>
        <v>20400</v>
      </c>
      <c r="P762" s="14">
        <f>Final_Table[[#This Row],[Gross Revenue]]*(1-Final_Table[[#This Row],[Discount %]])</f>
        <v>18360</v>
      </c>
      <c r="Q762">
        <f>Final_Table[[#This Row],[Net Revenue]]*Final_Table[[#This Row],[Variable Cost %]]</f>
        <v>3304.7999999999997</v>
      </c>
      <c r="R762">
        <f>Final_Table[[#This Row],[Variable Cost]]+Final_Table[[#This Row],[Fixed Monthly Cost]]</f>
        <v>21304.799999999999</v>
      </c>
      <c r="S762" s="5">
        <f>Final_Table[[#This Row],[Net Revenue]]-Final_Table[[#This Row],[Total Cost (COGS)]]</f>
        <v>-2944.7999999999993</v>
      </c>
      <c r="T762">
        <f>Final_Table[[#This Row],[Gross Profit]]*Final_Table[[#This Row],[Tax Rate]]</f>
        <v>-883.43999999999971</v>
      </c>
      <c r="U762" s="5">
        <f>Final_Table[[#This Row],[Gross Profit]]-Final_Table[[#This Row],[Tax]]</f>
        <v>-2061.3599999999997</v>
      </c>
      <c r="V762" s="12">
        <f>Final_Table[[#This Row],[Net Profit]]/Final_Table[[#This Row],[Gross Revenue]]</f>
        <v>-0.10104705882352939</v>
      </c>
    </row>
    <row r="763" spans="1:22">
      <c r="A763" s="18" t="s">
        <v>73</v>
      </c>
      <c r="B763">
        <v>2014</v>
      </c>
      <c r="C763" t="s">
        <v>124</v>
      </c>
      <c r="D763">
        <v>1</v>
      </c>
      <c r="E763" s="18" t="s">
        <v>30</v>
      </c>
      <c r="F763" s="18" t="s">
        <v>112</v>
      </c>
      <c r="G763" s="18" t="s">
        <v>23</v>
      </c>
      <c r="H763" s="18" t="str">
        <f>Assumptions!$B$2</f>
        <v>Worst</v>
      </c>
      <c r="I763" s="18">
        <f>_xlfn.XLOOKUP(Assumptions!$B$2,Assumptions!$F$4:$H$4,Assumptions!$F$5:$H$5)</f>
        <v>1200</v>
      </c>
      <c r="J763" s="18">
        <f>_xlfn.XLOOKUP(Assumptions!$B$2,Assumptions!$F$4:$H$4,Assumptions!$F$6:$H$6)</f>
        <v>17</v>
      </c>
      <c r="K763" s="12">
        <f>_xlfn.XLOOKUP(Assumptions!$B$2,Assumptions!$F$4:$H$4,Assumptions!$F$8:$H$8)</f>
        <v>0.1</v>
      </c>
      <c r="L763" s="12">
        <f>_xlfn.XLOOKUP(Assumptions!$B$2,Assumptions!$F$4:$H$4,Assumptions!$F$9:$H$9)</f>
        <v>0.18</v>
      </c>
      <c r="M763" s="18">
        <f>_xlfn.XLOOKUP(Assumptions!$B$2,Assumptions!$F$4:$H$4,Assumptions!$F$10:$H$10)</f>
        <v>18000</v>
      </c>
      <c r="N763" s="12">
        <f>_xlfn.XLOOKUP(Assumptions!$B$2,Assumptions!$F$4:$H$4,Assumptions!$F$11:$H$11)</f>
        <v>0.3</v>
      </c>
      <c r="O763" s="14">
        <f>Final_Table[[#This Row],[Units Sold]]*Final_Table[[#This Row],[Sale Price]]</f>
        <v>20400</v>
      </c>
      <c r="P763" s="14">
        <f>Final_Table[[#This Row],[Gross Revenue]]*(1-Final_Table[[#This Row],[Discount %]])</f>
        <v>18360</v>
      </c>
      <c r="Q763">
        <f>Final_Table[[#This Row],[Net Revenue]]*Final_Table[[#This Row],[Variable Cost %]]</f>
        <v>3304.7999999999997</v>
      </c>
      <c r="R763">
        <f>Final_Table[[#This Row],[Variable Cost]]+Final_Table[[#This Row],[Fixed Monthly Cost]]</f>
        <v>21304.799999999999</v>
      </c>
      <c r="S763" s="5">
        <f>Final_Table[[#This Row],[Net Revenue]]-Final_Table[[#This Row],[Total Cost (COGS)]]</f>
        <v>-2944.7999999999993</v>
      </c>
      <c r="T763">
        <f>Final_Table[[#This Row],[Gross Profit]]*Final_Table[[#This Row],[Tax Rate]]</f>
        <v>-883.43999999999971</v>
      </c>
      <c r="U763" s="5">
        <f>Final_Table[[#This Row],[Gross Profit]]-Final_Table[[#This Row],[Tax]]</f>
        <v>-2061.3599999999997</v>
      </c>
      <c r="V763" s="12">
        <f>Final_Table[[#This Row],[Net Profit]]/Final_Table[[#This Row],[Gross Revenue]]</f>
        <v>-0.10104705882352939</v>
      </c>
    </row>
    <row r="764" spans="1:22">
      <c r="A764" s="18" t="s">
        <v>73</v>
      </c>
      <c r="B764">
        <v>2014</v>
      </c>
      <c r="C764" t="s">
        <v>124</v>
      </c>
      <c r="D764">
        <v>1</v>
      </c>
      <c r="E764" s="18" t="s">
        <v>30</v>
      </c>
      <c r="F764" s="18" t="s">
        <v>112</v>
      </c>
      <c r="G764" s="18" t="s">
        <v>21</v>
      </c>
      <c r="H764" s="18" t="str">
        <f>Assumptions!$B$2</f>
        <v>Worst</v>
      </c>
      <c r="I764" s="18">
        <f>_xlfn.XLOOKUP(Assumptions!$B$2,Assumptions!$F$4:$H$4,Assumptions!$F$5:$H$5)</f>
        <v>1200</v>
      </c>
      <c r="J764" s="18">
        <f>_xlfn.XLOOKUP(Assumptions!$B$2,Assumptions!$F$4:$H$4,Assumptions!$F$6:$H$6)</f>
        <v>17</v>
      </c>
      <c r="K764" s="12">
        <f>_xlfn.XLOOKUP(Assumptions!$B$2,Assumptions!$F$4:$H$4,Assumptions!$F$8:$H$8)</f>
        <v>0.1</v>
      </c>
      <c r="L764" s="12">
        <f>_xlfn.XLOOKUP(Assumptions!$B$2,Assumptions!$F$4:$H$4,Assumptions!$F$9:$H$9)</f>
        <v>0.18</v>
      </c>
      <c r="M764" s="18">
        <f>_xlfn.XLOOKUP(Assumptions!$B$2,Assumptions!$F$4:$H$4,Assumptions!$F$10:$H$10)</f>
        <v>18000</v>
      </c>
      <c r="N764" s="12">
        <f>_xlfn.XLOOKUP(Assumptions!$B$2,Assumptions!$F$4:$H$4,Assumptions!$F$11:$H$11)</f>
        <v>0.3</v>
      </c>
      <c r="O764" s="14">
        <f>Final_Table[[#This Row],[Units Sold]]*Final_Table[[#This Row],[Sale Price]]</f>
        <v>20400</v>
      </c>
      <c r="P764" s="14">
        <f>Final_Table[[#This Row],[Gross Revenue]]*(1-Final_Table[[#This Row],[Discount %]])</f>
        <v>18360</v>
      </c>
      <c r="Q764">
        <f>Final_Table[[#This Row],[Net Revenue]]*Final_Table[[#This Row],[Variable Cost %]]</f>
        <v>3304.7999999999997</v>
      </c>
      <c r="R764">
        <f>Final_Table[[#This Row],[Variable Cost]]+Final_Table[[#This Row],[Fixed Monthly Cost]]</f>
        <v>21304.799999999999</v>
      </c>
      <c r="S764" s="5">
        <f>Final_Table[[#This Row],[Net Revenue]]-Final_Table[[#This Row],[Total Cost (COGS)]]</f>
        <v>-2944.7999999999993</v>
      </c>
      <c r="T764">
        <f>Final_Table[[#This Row],[Gross Profit]]*Final_Table[[#This Row],[Tax Rate]]</f>
        <v>-883.43999999999971</v>
      </c>
      <c r="U764" s="5">
        <f>Final_Table[[#This Row],[Gross Profit]]-Final_Table[[#This Row],[Tax]]</f>
        <v>-2061.3599999999997</v>
      </c>
      <c r="V764" s="12">
        <f>Final_Table[[#This Row],[Net Profit]]/Final_Table[[#This Row],[Gross Revenue]]</f>
        <v>-0.10104705882352939</v>
      </c>
    </row>
    <row r="765" spans="1:22">
      <c r="A765" s="18" t="s">
        <v>73</v>
      </c>
      <c r="B765">
        <v>2014</v>
      </c>
      <c r="C765" t="s">
        <v>124</v>
      </c>
      <c r="D765">
        <v>1</v>
      </c>
      <c r="E765" s="18" t="s">
        <v>30</v>
      </c>
      <c r="F765" s="18" t="s">
        <v>112</v>
      </c>
      <c r="G765" s="18" t="s">
        <v>25</v>
      </c>
      <c r="H765" s="18" t="str">
        <f>Assumptions!$B$2</f>
        <v>Worst</v>
      </c>
      <c r="I765" s="18">
        <f>_xlfn.XLOOKUP(Assumptions!$B$2,Assumptions!$F$4:$H$4,Assumptions!$F$5:$H$5)</f>
        <v>1200</v>
      </c>
      <c r="J765" s="18">
        <f>_xlfn.XLOOKUP(Assumptions!$B$2,Assumptions!$F$4:$H$4,Assumptions!$F$6:$H$6)</f>
        <v>17</v>
      </c>
      <c r="K765" s="12">
        <f>_xlfn.XLOOKUP(Assumptions!$B$2,Assumptions!$F$4:$H$4,Assumptions!$F$8:$H$8)</f>
        <v>0.1</v>
      </c>
      <c r="L765" s="12">
        <f>_xlfn.XLOOKUP(Assumptions!$B$2,Assumptions!$F$4:$H$4,Assumptions!$F$9:$H$9)</f>
        <v>0.18</v>
      </c>
      <c r="M765" s="18">
        <f>_xlfn.XLOOKUP(Assumptions!$B$2,Assumptions!$F$4:$H$4,Assumptions!$F$10:$H$10)</f>
        <v>18000</v>
      </c>
      <c r="N765" s="12">
        <f>_xlfn.XLOOKUP(Assumptions!$B$2,Assumptions!$F$4:$H$4,Assumptions!$F$11:$H$11)</f>
        <v>0.3</v>
      </c>
      <c r="O765" s="14">
        <f>Final_Table[[#This Row],[Units Sold]]*Final_Table[[#This Row],[Sale Price]]</f>
        <v>20400</v>
      </c>
      <c r="P765" s="14">
        <f>Final_Table[[#This Row],[Gross Revenue]]*(1-Final_Table[[#This Row],[Discount %]])</f>
        <v>18360</v>
      </c>
      <c r="Q765">
        <f>Final_Table[[#This Row],[Net Revenue]]*Final_Table[[#This Row],[Variable Cost %]]</f>
        <v>3304.7999999999997</v>
      </c>
      <c r="R765">
        <f>Final_Table[[#This Row],[Variable Cost]]+Final_Table[[#This Row],[Fixed Monthly Cost]]</f>
        <v>21304.799999999999</v>
      </c>
      <c r="S765" s="5">
        <f>Final_Table[[#This Row],[Net Revenue]]-Final_Table[[#This Row],[Total Cost (COGS)]]</f>
        <v>-2944.7999999999993</v>
      </c>
      <c r="T765">
        <f>Final_Table[[#This Row],[Gross Profit]]*Final_Table[[#This Row],[Tax Rate]]</f>
        <v>-883.43999999999971</v>
      </c>
      <c r="U765" s="5">
        <f>Final_Table[[#This Row],[Gross Profit]]-Final_Table[[#This Row],[Tax]]</f>
        <v>-2061.3599999999997</v>
      </c>
      <c r="V765" s="12">
        <f>Final_Table[[#This Row],[Net Profit]]/Final_Table[[#This Row],[Gross Revenue]]</f>
        <v>-0.10104705882352939</v>
      </c>
    </row>
    <row r="766" spans="1:22">
      <c r="A766" s="18" t="s">
        <v>73</v>
      </c>
      <c r="B766">
        <v>2014</v>
      </c>
      <c r="C766" t="s">
        <v>124</v>
      </c>
      <c r="D766">
        <v>1</v>
      </c>
      <c r="E766" s="18" t="s">
        <v>30</v>
      </c>
      <c r="F766" s="18" t="s">
        <v>112</v>
      </c>
      <c r="G766" s="18" t="s">
        <v>17</v>
      </c>
      <c r="H766" s="18" t="str">
        <f>Assumptions!$B$2</f>
        <v>Worst</v>
      </c>
      <c r="I766" s="18">
        <f>_xlfn.XLOOKUP(Assumptions!$B$2,Assumptions!$F$4:$H$4,Assumptions!$F$5:$H$5)</f>
        <v>1200</v>
      </c>
      <c r="J766" s="18">
        <f>_xlfn.XLOOKUP(Assumptions!$B$2,Assumptions!$F$4:$H$4,Assumptions!$F$6:$H$6)</f>
        <v>17</v>
      </c>
      <c r="K766" s="12">
        <f>_xlfn.XLOOKUP(Assumptions!$B$2,Assumptions!$F$4:$H$4,Assumptions!$F$8:$H$8)</f>
        <v>0.1</v>
      </c>
      <c r="L766" s="12">
        <f>_xlfn.XLOOKUP(Assumptions!$B$2,Assumptions!$F$4:$H$4,Assumptions!$F$9:$H$9)</f>
        <v>0.18</v>
      </c>
      <c r="M766" s="18">
        <f>_xlfn.XLOOKUP(Assumptions!$B$2,Assumptions!$F$4:$H$4,Assumptions!$F$10:$H$10)</f>
        <v>18000</v>
      </c>
      <c r="N766" s="12">
        <f>_xlfn.XLOOKUP(Assumptions!$B$2,Assumptions!$F$4:$H$4,Assumptions!$F$11:$H$11)</f>
        <v>0.3</v>
      </c>
      <c r="O766" s="14">
        <f>Final_Table[[#This Row],[Units Sold]]*Final_Table[[#This Row],[Sale Price]]</f>
        <v>20400</v>
      </c>
      <c r="P766" s="14">
        <f>Final_Table[[#This Row],[Gross Revenue]]*(1-Final_Table[[#This Row],[Discount %]])</f>
        <v>18360</v>
      </c>
      <c r="Q766">
        <f>Final_Table[[#This Row],[Net Revenue]]*Final_Table[[#This Row],[Variable Cost %]]</f>
        <v>3304.7999999999997</v>
      </c>
      <c r="R766">
        <f>Final_Table[[#This Row],[Variable Cost]]+Final_Table[[#This Row],[Fixed Monthly Cost]]</f>
        <v>21304.799999999999</v>
      </c>
      <c r="S766" s="5">
        <f>Final_Table[[#This Row],[Net Revenue]]-Final_Table[[#This Row],[Total Cost (COGS)]]</f>
        <v>-2944.7999999999993</v>
      </c>
      <c r="T766">
        <f>Final_Table[[#This Row],[Gross Profit]]*Final_Table[[#This Row],[Tax Rate]]</f>
        <v>-883.43999999999971</v>
      </c>
      <c r="U766" s="5">
        <f>Final_Table[[#This Row],[Gross Profit]]-Final_Table[[#This Row],[Tax]]</f>
        <v>-2061.3599999999997</v>
      </c>
      <c r="V766" s="12">
        <f>Final_Table[[#This Row],[Net Profit]]/Final_Table[[#This Row],[Gross Revenue]]</f>
        <v>-0.10104705882352939</v>
      </c>
    </row>
    <row r="767" spans="1:22">
      <c r="A767" s="18" t="s">
        <v>73</v>
      </c>
      <c r="B767">
        <v>2014</v>
      </c>
      <c r="C767" t="s">
        <v>124</v>
      </c>
      <c r="D767">
        <v>1</v>
      </c>
      <c r="E767" s="18" t="s">
        <v>30</v>
      </c>
      <c r="F767" s="18" t="s">
        <v>113</v>
      </c>
      <c r="G767" s="18" t="s">
        <v>36</v>
      </c>
      <c r="H767" s="18" t="str">
        <f>Assumptions!$B$2</f>
        <v>Worst</v>
      </c>
      <c r="I767" s="18">
        <f>_xlfn.XLOOKUP(Assumptions!$B$2,Assumptions!$F$4:$H$4,Assumptions!$F$5:$H$5)</f>
        <v>1200</v>
      </c>
      <c r="J767" s="18">
        <f>_xlfn.XLOOKUP(Assumptions!$B$2,Assumptions!$F$4:$H$4,Assumptions!$F$6:$H$6)</f>
        <v>17</v>
      </c>
      <c r="K767" s="12">
        <f>_xlfn.XLOOKUP(Assumptions!$B$2,Assumptions!$F$4:$H$4,Assumptions!$F$8:$H$8)</f>
        <v>0.1</v>
      </c>
      <c r="L767" s="12">
        <f>_xlfn.XLOOKUP(Assumptions!$B$2,Assumptions!$F$4:$H$4,Assumptions!$F$9:$H$9)</f>
        <v>0.18</v>
      </c>
      <c r="M767" s="18">
        <f>_xlfn.XLOOKUP(Assumptions!$B$2,Assumptions!$F$4:$H$4,Assumptions!$F$10:$H$10)</f>
        <v>18000</v>
      </c>
      <c r="N767" s="12">
        <f>_xlfn.XLOOKUP(Assumptions!$B$2,Assumptions!$F$4:$H$4,Assumptions!$F$11:$H$11)</f>
        <v>0.3</v>
      </c>
      <c r="O767" s="14">
        <f>Final_Table[[#This Row],[Units Sold]]*Final_Table[[#This Row],[Sale Price]]</f>
        <v>20400</v>
      </c>
      <c r="P767" s="14">
        <f>Final_Table[[#This Row],[Gross Revenue]]*(1-Final_Table[[#This Row],[Discount %]])</f>
        <v>18360</v>
      </c>
      <c r="Q767">
        <f>Final_Table[[#This Row],[Net Revenue]]*Final_Table[[#This Row],[Variable Cost %]]</f>
        <v>3304.7999999999997</v>
      </c>
      <c r="R767">
        <f>Final_Table[[#This Row],[Variable Cost]]+Final_Table[[#This Row],[Fixed Monthly Cost]]</f>
        <v>21304.799999999999</v>
      </c>
      <c r="S767" s="5">
        <f>Final_Table[[#This Row],[Net Revenue]]-Final_Table[[#This Row],[Total Cost (COGS)]]</f>
        <v>-2944.7999999999993</v>
      </c>
      <c r="T767">
        <f>Final_Table[[#This Row],[Gross Profit]]*Final_Table[[#This Row],[Tax Rate]]</f>
        <v>-883.43999999999971</v>
      </c>
      <c r="U767" s="5">
        <f>Final_Table[[#This Row],[Gross Profit]]-Final_Table[[#This Row],[Tax]]</f>
        <v>-2061.3599999999997</v>
      </c>
      <c r="V767" s="12">
        <f>Final_Table[[#This Row],[Net Profit]]/Final_Table[[#This Row],[Gross Revenue]]</f>
        <v>-0.10104705882352939</v>
      </c>
    </row>
    <row r="768" spans="1:22">
      <c r="A768" s="18" t="s">
        <v>73</v>
      </c>
      <c r="B768">
        <v>2014</v>
      </c>
      <c r="C768" t="s">
        <v>124</v>
      </c>
      <c r="D768">
        <v>1</v>
      </c>
      <c r="E768" s="18" t="s">
        <v>30</v>
      </c>
      <c r="F768" s="18" t="s">
        <v>113</v>
      </c>
      <c r="G768" s="18" t="s">
        <v>23</v>
      </c>
      <c r="H768" s="18" t="str">
        <f>Assumptions!$B$2</f>
        <v>Worst</v>
      </c>
      <c r="I768" s="18">
        <f>_xlfn.XLOOKUP(Assumptions!$B$2,Assumptions!$F$4:$H$4,Assumptions!$F$5:$H$5)</f>
        <v>1200</v>
      </c>
      <c r="J768" s="18">
        <f>_xlfn.XLOOKUP(Assumptions!$B$2,Assumptions!$F$4:$H$4,Assumptions!$F$6:$H$6)</f>
        <v>17</v>
      </c>
      <c r="K768" s="12">
        <f>_xlfn.XLOOKUP(Assumptions!$B$2,Assumptions!$F$4:$H$4,Assumptions!$F$8:$H$8)</f>
        <v>0.1</v>
      </c>
      <c r="L768" s="12">
        <f>_xlfn.XLOOKUP(Assumptions!$B$2,Assumptions!$F$4:$H$4,Assumptions!$F$9:$H$9)</f>
        <v>0.18</v>
      </c>
      <c r="M768" s="18">
        <f>_xlfn.XLOOKUP(Assumptions!$B$2,Assumptions!$F$4:$H$4,Assumptions!$F$10:$H$10)</f>
        <v>18000</v>
      </c>
      <c r="N768" s="12">
        <f>_xlfn.XLOOKUP(Assumptions!$B$2,Assumptions!$F$4:$H$4,Assumptions!$F$11:$H$11)</f>
        <v>0.3</v>
      </c>
      <c r="O768" s="14">
        <f>Final_Table[[#This Row],[Units Sold]]*Final_Table[[#This Row],[Sale Price]]</f>
        <v>20400</v>
      </c>
      <c r="P768" s="14">
        <f>Final_Table[[#This Row],[Gross Revenue]]*(1-Final_Table[[#This Row],[Discount %]])</f>
        <v>18360</v>
      </c>
      <c r="Q768">
        <f>Final_Table[[#This Row],[Net Revenue]]*Final_Table[[#This Row],[Variable Cost %]]</f>
        <v>3304.7999999999997</v>
      </c>
      <c r="R768">
        <f>Final_Table[[#This Row],[Variable Cost]]+Final_Table[[#This Row],[Fixed Monthly Cost]]</f>
        <v>21304.799999999999</v>
      </c>
      <c r="S768" s="5">
        <f>Final_Table[[#This Row],[Net Revenue]]-Final_Table[[#This Row],[Total Cost (COGS)]]</f>
        <v>-2944.7999999999993</v>
      </c>
      <c r="T768">
        <f>Final_Table[[#This Row],[Gross Profit]]*Final_Table[[#This Row],[Tax Rate]]</f>
        <v>-883.43999999999971</v>
      </c>
      <c r="U768" s="5">
        <f>Final_Table[[#This Row],[Gross Profit]]-Final_Table[[#This Row],[Tax]]</f>
        <v>-2061.3599999999997</v>
      </c>
      <c r="V768" s="12">
        <f>Final_Table[[#This Row],[Net Profit]]/Final_Table[[#This Row],[Gross Revenue]]</f>
        <v>-0.10104705882352939</v>
      </c>
    </row>
    <row r="769" spans="1:22">
      <c r="A769" s="18" t="s">
        <v>73</v>
      </c>
      <c r="B769">
        <v>2014</v>
      </c>
      <c r="C769" t="s">
        <v>124</v>
      </c>
      <c r="D769">
        <v>1</v>
      </c>
      <c r="E769" s="18" t="s">
        <v>30</v>
      </c>
      <c r="F769" s="18" t="s">
        <v>113</v>
      </c>
      <c r="G769" s="18" t="s">
        <v>21</v>
      </c>
      <c r="H769" s="18" t="str">
        <f>Assumptions!$B$2</f>
        <v>Worst</v>
      </c>
      <c r="I769" s="18">
        <f>_xlfn.XLOOKUP(Assumptions!$B$2,Assumptions!$F$4:$H$4,Assumptions!$F$5:$H$5)</f>
        <v>1200</v>
      </c>
      <c r="J769" s="18">
        <f>_xlfn.XLOOKUP(Assumptions!$B$2,Assumptions!$F$4:$H$4,Assumptions!$F$6:$H$6)</f>
        <v>17</v>
      </c>
      <c r="K769" s="12">
        <f>_xlfn.XLOOKUP(Assumptions!$B$2,Assumptions!$F$4:$H$4,Assumptions!$F$8:$H$8)</f>
        <v>0.1</v>
      </c>
      <c r="L769" s="12">
        <f>_xlfn.XLOOKUP(Assumptions!$B$2,Assumptions!$F$4:$H$4,Assumptions!$F$9:$H$9)</f>
        <v>0.18</v>
      </c>
      <c r="M769" s="18">
        <f>_xlfn.XLOOKUP(Assumptions!$B$2,Assumptions!$F$4:$H$4,Assumptions!$F$10:$H$10)</f>
        <v>18000</v>
      </c>
      <c r="N769" s="12">
        <f>_xlfn.XLOOKUP(Assumptions!$B$2,Assumptions!$F$4:$H$4,Assumptions!$F$11:$H$11)</f>
        <v>0.3</v>
      </c>
      <c r="O769" s="14">
        <f>Final_Table[[#This Row],[Units Sold]]*Final_Table[[#This Row],[Sale Price]]</f>
        <v>20400</v>
      </c>
      <c r="P769" s="14">
        <f>Final_Table[[#This Row],[Gross Revenue]]*(1-Final_Table[[#This Row],[Discount %]])</f>
        <v>18360</v>
      </c>
      <c r="Q769">
        <f>Final_Table[[#This Row],[Net Revenue]]*Final_Table[[#This Row],[Variable Cost %]]</f>
        <v>3304.7999999999997</v>
      </c>
      <c r="R769">
        <f>Final_Table[[#This Row],[Variable Cost]]+Final_Table[[#This Row],[Fixed Monthly Cost]]</f>
        <v>21304.799999999999</v>
      </c>
      <c r="S769" s="5">
        <f>Final_Table[[#This Row],[Net Revenue]]-Final_Table[[#This Row],[Total Cost (COGS)]]</f>
        <v>-2944.7999999999993</v>
      </c>
      <c r="T769">
        <f>Final_Table[[#This Row],[Gross Profit]]*Final_Table[[#This Row],[Tax Rate]]</f>
        <v>-883.43999999999971</v>
      </c>
      <c r="U769" s="5">
        <f>Final_Table[[#This Row],[Gross Profit]]-Final_Table[[#This Row],[Tax]]</f>
        <v>-2061.3599999999997</v>
      </c>
      <c r="V769" s="12">
        <f>Final_Table[[#This Row],[Net Profit]]/Final_Table[[#This Row],[Gross Revenue]]</f>
        <v>-0.10104705882352939</v>
      </c>
    </row>
    <row r="770" spans="1:22">
      <c r="A770" s="18" t="s">
        <v>73</v>
      </c>
      <c r="B770">
        <v>2014</v>
      </c>
      <c r="C770" t="s">
        <v>124</v>
      </c>
      <c r="D770">
        <v>1</v>
      </c>
      <c r="E770" s="18" t="s">
        <v>30</v>
      </c>
      <c r="F770" s="18" t="s">
        <v>113</v>
      </c>
      <c r="G770" s="18" t="s">
        <v>25</v>
      </c>
      <c r="H770" s="18" t="str">
        <f>Assumptions!$B$2</f>
        <v>Worst</v>
      </c>
      <c r="I770" s="18">
        <f>_xlfn.XLOOKUP(Assumptions!$B$2,Assumptions!$F$4:$H$4,Assumptions!$F$5:$H$5)</f>
        <v>1200</v>
      </c>
      <c r="J770" s="18">
        <f>_xlfn.XLOOKUP(Assumptions!$B$2,Assumptions!$F$4:$H$4,Assumptions!$F$6:$H$6)</f>
        <v>17</v>
      </c>
      <c r="K770" s="12">
        <f>_xlfn.XLOOKUP(Assumptions!$B$2,Assumptions!$F$4:$H$4,Assumptions!$F$8:$H$8)</f>
        <v>0.1</v>
      </c>
      <c r="L770" s="12">
        <f>_xlfn.XLOOKUP(Assumptions!$B$2,Assumptions!$F$4:$H$4,Assumptions!$F$9:$H$9)</f>
        <v>0.18</v>
      </c>
      <c r="M770" s="18">
        <f>_xlfn.XLOOKUP(Assumptions!$B$2,Assumptions!$F$4:$H$4,Assumptions!$F$10:$H$10)</f>
        <v>18000</v>
      </c>
      <c r="N770" s="12">
        <f>_xlfn.XLOOKUP(Assumptions!$B$2,Assumptions!$F$4:$H$4,Assumptions!$F$11:$H$11)</f>
        <v>0.3</v>
      </c>
      <c r="O770" s="14">
        <f>Final_Table[[#This Row],[Units Sold]]*Final_Table[[#This Row],[Sale Price]]</f>
        <v>20400</v>
      </c>
      <c r="P770" s="14">
        <f>Final_Table[[#This Row],[Gross Revenue]]*(1-Final_Table[[#This Row],[Discount %]])</f>
        <v>18360</v>
      </c>
      <c r="Q770">
        <f>Final_Table[[#This Row],[Net Revenue]]*Final_Table[[#This Row],[Variable Cost %]]</f>
        <v>3304.7999999999997</v>
      </c>
      <c r="R770">
        <f>Final_Table[[#This Row],[Variable Cost]]+Final_Table[[#This Row],[Fixed Monthly Cost]]</f>
        <v>21304.799999999999</v>
      </c>
      <c r="S770" s="5">
        <f>Final_Table[[#This Row],[Net Revenue]]-Final_Table[[#This Row],[Total Cost (COGS)]]</f>
        <v>-2944.7999999999993</v>
      </c>
      <c r="T770">
        <f>Final_Table[[#This Row],[Gross Profit]]*Final_Table[[#This Row],[Tax Rate]]</f>
        <v>-883.43999999999971</v>
      </c>
      <c r="U770" s="5">
        <f>Final_Table[[#This Row],[Gross Profit]]-Final_Table[[#This Row],[Tax]]</f>
        <v>-2061.3599999999997</v>
      </c>
      <c r="V770" s="12">
        <f>Final_Table[[#This Row],[Net Profit]]/Final_Table[[#This Row],[Gross Revenue]]</f>
        <v>-0.10104705882352939</v>
      </c>
    </row>
    <row r="771" spans="1:22">
      <c r="A771" s="18" t="s">
        <v>73</v>
      </c>
      <c r="B771">
        <v>2014</v>
      </c>
      <c r="C771" t="s">
        <v>124</v>
      </c>
      <c r="D771">
        <v>1</v>
      </c>
      <c r="E771" s="18" t="s">
        <v>30</v>
      </c>
      <c r="F771" s="18" t="s">
        <v>113</v>
      </c>
      <c r="G771" s="18" t="s">
        <v>17</v>
      </c>
      <c r="H771" s="18" t="str">
        <f>Assumptions!$B$2</f>
        <v>Worst</v>
      </c>
      <c r="I771" s="18">
        <f>_xlfn.XLOOKUP(Assumptions!$B$2,Assumptions!$F$4:$H$4,Assumptions!$F$5:$H$5)</f>
        <v>1200</v>
      </c>
      <c r="J771" s="18">
        <f>_xlfn.XLOOKUP(Assumptions!$B$2,Assumptions!$F$4:$H$4,Assumptions!$F$6:$H$6)</f>
        <v>17</v>
      </c>
      <c r="K771" s="12">
        <f>_xlfn.XLOOKUP(Assumptions!$B$2,Assumptions!$F$4:$H$4,Assumptions!$F$8:$H$8)</f>
        <v>0.1</v>
      </c>
      <c r="L771" s="12">
        <f>_xlfn.XLOOKUP(Assumptions!$B$2,Assumptions!$F$4:$H$4,Assumptions!$F$9:$H$9)</f>
        <v>0.18</v>
      </c>
      <c r="M771" s="18">
        <f>_xlfn.XLOOKUP(Assumptions!$B$2,Assumptions!$F$4:$H$4,Assumptions!$F$10:$H$10)</f>
        <v>18000</v>
      </c>
      <c r="N771" s="12">
        <f>_xlfn.XLOOKUP(Assumptions!$B$2,Assumptions!$F$4:$H$4,Assumptions!$F$11:$H$11)</f>
        <v>0.3</v>
      </c>
      <c r="O771" s="14">
        <f>Final_Table[[#This Row],[Units Sold]]*Final_Table[[#This Row],[Sale Price]]</f>
        <v>20400</v>
      </c>
      <c r="P771" s="14">
        <f>Final_Table[[#This Row],[Gross Revenue]]*(1-Final_Table[[#This Row],[Discount %]])</f>
        <v>18360</v>
      </c>
      <c r="Q771">
        <f>Final_Table[[#This Row],[Net Revenue]]*Final_Table[[#This Row],[Variable Cost %]]</f>
        <v>3304.7999999999997</v>
      </c>
      <c r="R771">
        <f>Final_Table[[#This Row],[Variable Cost]]+Final_Table[[#This Row],[Fixed Monthly Cost]]</f>
        <v>21304.799999999999</v>
      </c>
      <c r="S771" s="5">
        <f>Final_Table[[#This Row],[Net Revenue]]-Final_Table[[#This Row],[Total Cost (COGS)]]</f>
        <v>-2944.7999999999993</v>
      </c>
      <c r="T771">
        <f>Final_Table[[#This Row],[Gross Profit]]*Final_Table[[#This Row],[Tax Rate]]</f>
        <v>-883.43999999999971</v>
      </c>
      <c r="U771" s="5">
        <f>Final_Table[[#This Row],[Gross Profit]]-Final_Table[[#This Row],[Tax]]</f>
        <v>-2061.3599999999997</v>
      </c>
      <c r="V771" s="12">
        <f>Final_Table[[#This Row],[Net Profit]]/Final_Table[[#This Row],[Gross Revenue]]</f>
        <v>-0.10104705882352939</v>
      </c>
    </row>
    <row r="772" spans="1:22">
      <c r="A772" s="18" t="s">
        <v>73</v>
      </c>
      <c r="B772">
        <v>2014</v>
      </c>
      <c r="C772" t="s">
        <v>124</v>
      </c>
      <c r="D772">
        <v>1</v>
      </c>
      <c r="E772" s="18" t="s">
        <v>30</v>
      </c>
      <c r="F772" s="18" t="s">
        <v>114</v>
      </c>
      <c r="G772" s="18" t="s">
        <v>36</v>
      </c>
      <c r="H772" s="18" t="str">
        <f>Assumptions!$B$2</f>
        <v>Worst</v>
      </c>
      <c r="I772" s="18">
        <f>_xlfn.XLOOKUP(Assumptions!$B$2,Assumptions!$F$4:$H$4,Assumptions!$F$5:$H$5)</f>
        <v>1200</v>
      </c>
      <c r="J772" s="18">
        <f>_xlfn.XLOOKUP(Assumptions!$B$2,Assumptions!$F$4:$H$4,Assumptions!$F$6:$H$6)</f>
        <v>17</v>
      </c>
      <c r="K772" s="12">
        <f>_xlfn.XLOOKUP(Assumptions!$B$2,Assumptions!$F$4:$H$4,Assumptions!$F$8:$H$8)</f>
        <v>0.1</v>
      </c>
      <c r="L772" s="12">
        <f>_xlfn.XLOOKUP(Assumptions!$B$2,Assumptions!$F$4:$H$4,Assumptions!$F$9:$H$9)</f>
        <v>0.18</v>
      </c>
      <c r="M772" s="18">
        <f>_xlfn.XLOOKUP(Assumptions!$B$2,Assumptions!$F$4:$H$4,Assumptions!$F$10:$H$10)</f>
        <v>18000</v>
      </c>
      <c r="N772" s="12">
        <f>_xlfn.XLOOKUP(Assumptions!$B$2,Assumptions!$F$4:$H$4,Assumptions!$F$11:$H$11)</f>
        <v>0.3</v>
      </c>
      <c r="O772" s="14">
        <f>Final_Table[[#This Row],[Units Sold]]*Final_Table[[#This Row],[Sale Price]]</f>
        <v>20400</v>
      </c>
      <c r="P772" s="14">
        <f>Final_Table[[#This Row],[Gross Revenue]]*(1-Final_Table[[#This Row],[Discount %]])</f>
        <v>18360</v>
      </c>
      <c r="Q772">
        <f>Final_Table[[#This Row],[Net Revenue]]*Final_Table[[#This Row],[Variable Cost %]]</f>
        <v>3304.7999999999997</v>
      </c>
      <c r="R772">
        <f>Final_Table[[#This Row],[Variable Cost]]+Final_Table[[#This Row],[Fixed Monthly Cost]]</f>
        <v>21304.799999999999</v>
      </c>
      <c r="S772" s="5">
        <f>Final_Table[[#This Row],[Net Revenue]]-Final_Table[[#This Row],[Total Cost (COGS)]]</f>
        <v>-2944.7999999999993</v>
      </c>
      <c r="T772">
        <f>Final_Table[[#This Row],[Gross Profit]]*Final_Table[[#This Row],[Tax Rate]]</f>
        <v>-883.43999999999971</v>
      </c>
      <c r="U772" s="5">
        <f>Final_Table[[#This Row],[Gross Profit]]-Final_Table[[#This Row],[Tax]]</f>
        <v>-2061.3599999999997</v>
      </c>
      <c r="V772" s="12">
        <f>Final_Table[[#This Row],[Net Profit]]/Final_Table[[#This Row],[Gross Revenue]]</f>
        <v>-0.10104705882352939</v>
      </c>
    </row>
    <row r="773" spans="1:22">
      <c r="A773" s="18" t="s">
        <v>73</v>
      </c>
      <c r="B773">
        <v>2014</v>
      </c>
      <c r="C773" t="s">
        <v>124</v>
      </c>
      <c r="D773">
        <v>1</v>
      </c>
      <c r="E773" s="18" t="s">
        <v>30</v>
      </c>
      <c r="F773" s="18" t="s">
        <v>114</v>
      </c>
      <c r="G773" s="18" t="s">
        <v>23</v>
      </c>
      <c r="H773" s="18" t="str">
        <f>Assumptions!$B$2</f>
        <v>Worst</v>
      </c>
      <c r="I773" s="18">
        <f>_xlfn.XLOOKUP(Assumptions!$B$2,Assumptions!$F$4:$H$4,Assumptions!$F$5:$H$5)</f>
        <v>1200</v>
      </c>
      <c r="J773" s="18">
        <f>_xlfn.XLOOKUP(Assumptions!$B$2,Assumptions!$F$4:$H$4,Assumptions!$F$6:$H$6)</f>
        <v>17</v>
      </c>
      <c r="K773" s="12">
        <f>_xlfn.XLOOKUP(Assumptions!$B$2,Assumptions!$F$4:$H$4,Assumptions!$F$8:$H$8)</f>
        <v>0.1</v>
      </c>
      <c r="L773" s="12">
        <f>_xlfn.XLOOKUP(Assumptions!$B$2,Assumptions!$F$4:$H$4,Assumptions!$F$9:$H$9)</f>
        <v>0.18</v>
      </c>
      <c r="M773" s="18">
        <f>_xlfn.XLOOKUP(Assumptions!$B$2,Assumptions!$F$4:$H$4,Assumptions!$F$10:$H$10)</f>
        <v>18000</v>
      </c>
      <c r="N773" s="12">
        <f>_xlfn.XLOOKUP(Assumptions!$B$2,Assumptions!$F$4:$H$4,Assumptions!$F$11:$H$11)</f>
        <v>0.3</v>
      </c>
      <c r="O773" s="14">
        <f>Final_Table[[#This Row],[Units Sold]]*Final_Table[[#This Row],[Sale Price]]</f>
        <v>20400</v>
      </c>
      <c r="P773" s="14">
        <f>Final_Table[[#This Row],[Gross Revenue]]*(1-Final_Table[[#This Row],[Discount %]])</f>
        <v>18360</v>
      </c>
      <c r="Q773">
        <f>Final_Table[[#This Row],[Net Revenue]]*Final_Table[[#This Row],[Variable Cost %]]</f>
        <v>3304.7999999999997</v>
      </c>
      <c r="R773">
        <f>Final_Table[[#This Row],[Variable Cost]]+Final_Table[[#This Row],[Fixed Monthly Cost]]</f>
        <v>21304.799999999999</v>
      </c>
      <c r="S773" s="5">
        <f>Final_Table[[#This Row],[Net Revenue]]-Final_Table[[#This Row],[Total Cost (COGS)]]</f>
        <v>-2944.7999999999993</v>
      </c>
      <c r="T773">
        <f>Final_Table[[#This Row],[Gross Profit]]*Final_Table[[#This Row],[Tax Rate]]</f>
        <v>-883.43999999999971</v>
      </c>
      <c r="U773" s="5">
        <f>Final_Table[[#This Row],[Gross Profit]]-Final_Table[[#This Row],[Tax]]</f>
        <v>-2061.3599999999997</v>
      </c>
      <c r="V773" s="12">
        <f>Final_Table[[#This Row],[Net Profit]]/Final_Table[[#This Row],[Gross Revenue]]</f>
        <v>-0.10104705882352939</v>
      </c>
    </row>
    <row r="774" spans="1:22">
      <c r="A774" s="18" t="s">
        <v>73</v>
      </c>
      <c r="B774">
        <v>2014</v>
      </c>
      <c r="C774" t="s">
        <v>124</v>
      </c>
      <c r="D774">
        <v>1</v>
      </c>
      <c r="E774" s="18" t="s">
        <v>30</v>
      </c>
      <c r="F774" s="18" t="s">
        <v>114</v>
      </c>
      <c r="G774" s="18" t="s">
        <v>21</v>
      </c>
      <c r="H774" s="18" t="str">
        <f>Assumptions!$B$2</f>
        <v>Worst</v>
      </c>
      <c r="I774" s="18">
        <f>_xlfn.XLOOKUP(Assumptions!$B$2,Assumptions!$F$4:$H$4,Assumptions!$F$5:$H$5)</f>
        <v>1200</v>
      </c>
      <c r="J774" s="18">
        <f>_xlfn.XLOOKUP(Assumptions!$B$2,Assumptions!$F$4:$H$4,Assumptions!$F$6:$H$6)</f>
        <v>17</v>
      </c>
      <c r="K774" s="12">
        <f>_xlfn.XLOOKUP(Assumptions!$B$2,Assumptions!$F$4:$H$4,Assumptions!$F$8:$H$8)</f>
        <v>0.1</v>
      </c>
      <c r="L774" s="12">
        <f>_xlfn.XLOOKUP(Assumptions!$B$2,Assumptions!$F$4:$H$4,Assumptions!$F$9:$H$9)</f>
        <v>0.18</v>
      </c>
      <c r="M774" s="18">
        <f>_xlfn.XLOOKUP(Assumptions!$B$2,Assumptions!$F$4:$H$4,Assumptions!$F$10:$H$10)</f>
        <v>18000</v>
      </c>
      <c r="N774" s="12">
        <f>_xlfn.XLOOKUP(Assumptions!$B$2,Assumptions!$F$4:$H$4,Assumptions!$F$11:$H$11)</f>
        <v>0.3</v>
      </c>
      <c r="O774" s="14">
        <f>Final_Table[[#This Row],[Units Sold]]*Final_Table[[#This Row],[Sale Price]]</f>
        <v>20400</v>
      </c>
      <c r="P774" s="14">
        <f>Final_Table[[#This Row],[Gross Revenue]]*(1-Final_Table[[#This Row],[Discount %]])</f>
        <v>18360</v>
      </c>
      <c r="Q774">
        <f>Final_Table[[#This Row],[Net Revenue]]*Final_Table[[#This Row],[Variable Cost %]]</f>
        <v>3304.7999999999997</v>
      </c>
      <c r="R774">
        <f>Final_Table[[#This Row],[Variable Cost]]+Final_Table[[#This Row],[Fixed Monthly Cost]]</f>
        <v>21304.799999999999</v>
      </c>
      <c r="S774" s="5">
        <f>Final_Table[[#This Row],[Net Revenue]]-Final_Table[[#This Row],[Total Cost (COGS)]]</f>
        <v>-2944.7999999999993</v>
      </c>
      <c r="T774">
        <f>Final_Table[[#This Row],[Gross Profit]]*Final_Table[[#This Row],[Tax Rate]]</f>
        <v>-883.43999999999971</v>
      </c>
      <c r="U774" s="5">
        <f>Final_Table[[#This Row],[Gross Profit]]-Final_Table[[#This Row],[Tax]]</f>
        <v>-2061.3599999999997</v>
      </c>
      <c r="V774" s="12">
        <f>Final_Table[[#This Row],[Net Profit]]/Final_Table[[#This Row],[Gross Revenue]]</f>
        <v>-0.10104705882352939</v>
      </c>
    </row>
    <row r="775" spans="1:22">
      <c r="A775" s="18" t="s">
        <v>73</v>
      </c>
      <c r="B775">
        <v>2014</v>
      </c>
      <c r="C775" t="s">
        <v>124</v>
      </c>
      <c r="D775">
        <v>1</v>
      </c>
      <c r="E775" s="18" t="s">
        <v>30</v>
      </c>
      <c r="F775" s="18" t="s">
        <v>114</v>
      </c>
      <c r="G775" s="18" t="s">
        <v>25</v>
      </c>
      <c r="H775" s="18" t="str">
        <f>Assumptions!$B$2</f>
        <v>Worst</v>
      </c>
      <c r="I775" s="18">
        <f>_xlfn.XLOOKUP(Assumptions!$B$2,Assumptions!$F$4:$H$4,Assumptions!$F$5:$H$5)</f>
        <v>1200</v>
      </c>
      <c r="J775" s="18">
        <f>_xlfn.XLOOKUP(Assumptions!$B$2,Assumptions!$F$4:$H$4,Assumptions!$F$6:$H$6)</f>
        <v>17</v>
      </c>
      <c r="K775" s="12">
        <f>_xlfn.XLOOKUP(Assumptions!$B$2,Assumptions!$F$4:$H$4,Assumptions!$F$8:$H$8)</f>
        <v>0.1</v>
      </c>
      <c r="L775" s="12">
        <f>_xlfn.XLOOKUP(Assumptions!$B$2,Assumptions!$F$4:$H$4,Assumptions!$F$9:$H$9)</f>
        <v>0.18</v>
      </c>
      <c r="M775" s="18">
        <f>_xlfn.XLOOKUP(Assumptions!$B$2,Assumptions!$F$4:$H$4,Assumptions!$F$10:$H$10)</f>
        <v>18000</v>
      </c>
      <c r="N775" s="12">
        <f>_xlfn.XLOOKUP(Assumptions!$B$2,Assumptions!$F$4:$H$4,Assumptions!$F$11:$H$11)</f>
        <v>0.3</v>
      </c>
      <c r="O775" s="14">
        <f>Final_Table[[#This Row],[Units Sold]]*Final_Table[[#This Row],[Sale Price]]</f>
        <v>20400</v>
      </c>
      <c r="P775" s="14">
        <f>Final_Table[[#This Row],[Gross Revenue]]*(1-Final_Table[[#This Row],[Discount %]])</f>
        <v>18360</v>
      </c>
      <c r="Q775">
        <f>Final_Table[[#This Row],[Net Revenue]]*Final_Table[[#This Row],[Variable Cost %]]</f>
        <v>3304.7999999999997</v>
      </c>
      <c r="R775">
        <f>Final_Table[[#This Row],[Variable Cost]]+Final_Table[[#This Row],[Fixed Monthly Cost]]</f>
        <v>21304.799999999999</v>
      </c>
      <c r="S775" s="5">
        <f>Final_Table[[#This Row],[Net Revenue]]-Final_Table[[#This Row],[Total Cost (COGS)]]</f>
        <v>-2944.7999999999993</v>
      </c>
      <c r="T775">
        <f>Final_Table[[#This Row],[Gross Profit]]*Final_Table[[#This Row],[Tax Rate]]</f>
        <v>-883.43999999999971</v>
      </c>
      <c r="U775" s="5">
        <f>Final_Table[[#This Row],[Gross Profit]]-Final_Table[[#This Row],[Tax]]</f>
        <v>-2061.3599999999997</v>
      </c>
      <c r="V775" s="12">
        <f>Final_Table[[#This Row],[Net Profit]]/Final_Table[[#This Row],[Gross Revenue]]</f>
        <v>-0.10104705882352939</v>
      </c>
    </row>
    <row r="776" spans="1:22">
      <c r="A776" s="18" t="s">
        <v>73</v>
      </c>
      <c r="B776">
        <v>2014</v>
      </c>
      <c r="C776" t="s">
        <v>124</v>
      </c>
      <c r="D776">
        <v>1</v>
      </c>
      <c r="E776" s="18" t="s">
        <v>30</v>
      </c>
      <c r="F776" s="18" t="s">
        <v>114</v>
      </c>
      <c r="G776" s="18" t="s">
        <v>17</v>
      </c>
      <c r="H776" s="18" t="str">
        <f>Assumptions!$B$2</f>
        <v>Worst</v>
      </c>
      <c r="I776" s="18">
        <f>_xlfn.XLOOKUP(Assumptions!$B$2,Assumptions!$F$4:$H$4,Assumptions!$F$5:$H$5)</f>
        <v>1200</v>
      </c>
      <c r="J776" s="18">
        <f>_xlfn.XLOOKUP(Assumptions!$B$2,Assumptions!$F$4:$H$4,Assumptions!$F$6:$H$6)</f>
        <v>17</v>
      </c>
      <c r="K776" s="12">
        <f>_xlfn.XLOOKUP(Assumptions!$B$2,Assumptions!$F$4:$H$4,Assumptions!$F$8:$H$8)</f>
        <v>0.1</v>
      </c>
      <c r="L776" s="12">
        <f>_xlfn.XLOOKUP(Assumptions!$B$2,Assumptions!$F$4:$H$4,Assumptions!$F$9:$H$9)</f>
        <v>0.18</v>
      </c>
      <c r="M776" s="18">
        <f>_xlfn.XLOOKUP(Assumptions!$B$2,Assumptions!$F$4:$H$4,Assumptions!$F$10:$H$10)</f>
        <v>18000</v>
      </c>
      <c r="N776" s="12">
        <f>_xlfn.XLOOKUP(Assumptions!$B$2,Assumptions!$F$4:$H$4,Assumptions!$F$11:$H$11)</f>
        <v>0.3</v>
      </c>
      <c r="O776" s="14">
        <f>Final_Table[[#This Row],[Units Sold]]*Final_Table[[#This Row],[Sale Price]]</f>
        <v>20400</v>
      </c>
      <c r="P776" s="14">
        <f>Final_Table[[#This Row],[Gross Revenue]]*(1-Final_Table[[#This Row],[Discount %]])</f>
        <v>18360</v>
      </c>
      <c r="Q776">
        <f>Final_Table[[#This Row],[Net Revenue]]*Final_Table[[#This Row],[Variable Cost %]]</f>
        <v>3304.7999999999997</v>
      </c>
      <c r="R776">
        <f>Final_Table[[#This Row],[Variable Cost]]+Final_Table[[#This Row],[Fixed Monthly Cost]]</f>
        <v>21304.799999999999</v>
      </c>
      <c r="S776" s="5">
        <f>Final_Table[[#This Row],[Net Revenue]]-Final_Table[[#This Row],[Total Cost (COGS)]]</f>
        <v>-2944.7999999999993</v>
      </c>
      <c r="T776">
        <f>Final_Table[[#This Row],[Gross Profit]]*Final_Table[[#This Row],[Tax Rate]]</f>
        <v>-883.43999999999971</v>
      </c>
      <c r="U776" s="5">
        <f>Final_Table[[#This Row],[Gross Profit]]-Final_Table[[#This Row],[Tax]]</f>
        <v>-2061.3599999999997</v>
      </c>
      <c r="V776" s="12">
        <f>Final_Table[[#This Row],[Net Profit]]/Final_Table[[#This Row],[Gross Revenue]]</f>
        <v>-0.10104705882352939</v>
      </c>
    </row>
    <row r="777" spans="1:22">
      <c r="A777" s="18" t="s">
        <v>73</v>
      </c>
      <c r="B777">
        <v>2014</v>
      </c>
      <c r="C777" t="s">
        <v>124</v>
      </c>
      <c r="D777">
        <v>1</v>
      </c>
      <c r="E777" s="18" t="s">
        <v>29</v>
      </c>
      <c r="F777" s="18" t="s">
        <v>80</v>
      </c>
      <c r="G777" s="18" t="s">
        <v>36</v>
      </c>
      <c r="H777" s="18" t="str">
        <f>Assumptions!$B$2</f>
        <v>Worst</v>
      </c>
      <c r="I777" s="18">
        <f>_xlfn.XLOOKUP(Assumptions!$B$2,Assumptions!$F$4:$H$4,Assumptions!$F$5:$H$5)</f>
        <v>1200</v>
      </c>
      <c r="J777" s="18">
        <f>_xlfn.XLOOKUP(Assumptions!$B$2,Assumptions!$F$4:$H$4,Assumptions!$F$6:$H$6)</f>
        <v>17</v>
      </c>
      <c r="K777" s="12">
        <f>_xlfn.XLOOKUP(Assumptions!$B$2,Assumptions!$F$4:$H$4,Assumptions!$F$8:$H$8)</f>
        <v>0.1</v>
      </c>
      <c r="L777" s="12">
        <f>_xlfn.XLOOKUP(Assumptions!$B$2,Assumptions!$F$4:$H$4,Assumptions!$F$9:$H$9)</f>
        <v>0.18</v>
      </c>
      <c r="M777" s="18">
        <f>_xlfn.XLOOKUP(Assumptions!$B$2,Assumptions!$F$4:$H$4,Assumptions!$F$10:$H$10)</f>
        <v>18000</v>
      </c>
      <c r="N777" s="12">
        <f>_xlfn.XLOOKUP(Assumptions!$B$2,Assumptions!$F$4:$H$4,Assumptions!$F$11:$H$11)</f>
        <v>0.3</v>
      </c>
      <c r="O777" s="14">
        <f>Final_Table[[#This Row],[Units Sold]]*Final_Table[[#This Row],[Sale Price]]</f>
        <v>20400</v>
      </c>
      <c r="P777" s="14">
        <f>Final_Table[[#This Row],[Gross Revenue]]*(1-Final_Table[[#This Row],[Discount %]])</f>
        <v>18360</v>
      </c>
      <c r="Q777">
        <f>Final_Table[[#This Row],[Net Revenue]]*Final_Table[[#This Row],[Variable Cost %]]</f>
        <v>3304.7999999999997</v>
      </c>
      <c r="R777">
        <f>Final_Table[[#This Row],[Variable Cost]]+Final_Table[[#This Row],[Fixed Monthly Cost]]</f>
        <v>21304.799999999999</v>
      </c>
      <c r="S777" s="5">
        <f>Final_Table[[#This Row],[Net Revenue]]-Final_Table[[#This Row],[Total Cost (COGS)]]</f>
        <v>-2944.7999999999993</v>
      </c>
      <c r="T777">
        <f>Final_Table[[#This Row],[Gross Profit]]*Final_Table[[#This Row],[Tax Rate]]</f>
        <v>-883.43999999999971</v>
      </c>
      <c r="U777" s="5">
        <f>Final_Table[[#This Row],[Gross Profit]]-Final_Table[[#This Row],[Tax]]</f>
        <v>-2061.3599999999997</v>
      </c>
      <c r="V777" s="12">
        <f>Final_Table[[#This Row],[Net Profit]]/Final_Table[[#This Row],[Gross Revenue]]</f>
        <v>-0.10104705882352939</v>
      </c>
    </row>
    <row r="778" spans="1:22">
      <c r="A778" s="18" t="s">
        <v>73</v>
      </c>
      <c r="B778">
        <v>2014</v>
      </c>
      <c r="C778" t="s">
        <v>124</v>
      </c>
      <c r="D778">
        <v>1</v>
      </c>
      <c r="E778" s="18" t="s">
        <v>29</v>
      </c>
      <c r="F778" s="18" t="s">
        <v>80</v>
      </c>
      <c r="G778" s="18" t="s">
        <v>23</v>
      </c>
      <c r="H778" s="18" t="str">
        <f>Assumptions!$B$2</f>
        <v>Worst</v>
      </c>
      <c r="I778" s="18">
        <f>_xlfn.XLOOKUP(Assumptions!$B$2,Assumptions!$F$4:$H$4,Assumptions!$F$5:$H$5)</f>
        <v>1200</v>
      </c>
      <c r="J778" s="18">
        <f>_xlfn.XLOOKUP(Assumptions!$B$2,Assumptions!$F$4:$H$4,Assumptions!$F$6:$H$6)</f>
        <v>17</v>
      </c>
      <c r="K778" s="12">
        <f>_xlfn.XLOOKUP(Assumptions!$B$2,Assumptions!$F$4:$H$4,Assumptions!$F$8:$H$8)</f>
        <v>0.1</v>
      </c>
      <c r="L778" s="12">
        <f>_xlfn.XLOOKUP(Assumptions!$B$2,Assumptions!$F$4:$H$4,Assumptions!$F$9:$H$9)</f>
        <v>0.18</v>
      </c>
      <c r="M778" s="18">
        <f>_xlfn.XLOOKUP(Assumptions!$B$2,Assumptions!$F$4:$H$4,Assumptions!$F$10:$H$10)</f>
        <v>18000</v>
      </c>
      <c r="N778" s="12">
        <f>_xlfn.XLOOKUP(Assumptions!$B$2,Assumptions!$F$4:$H$4,Assumptions!$F$11:$H$11)</f>
        <v>0.3</v>
      </c>
      <c r="O778" s="14">
        <f>Final_Table[[#This Row],[Units Sold]]*Final_Table[[#This Row],[Sale Price]]</f>
        <v>20400</v>
      </c>
      <c r="P778" s="14">
        <f>Final_Table[[#This Row],[Gross Revenue]]*(1-Final_Table[[#This Row],[Discount %]])</f>
        <v>18360</v>
      </c>
      <c r="Q778">
        <f>Final_Table[[#This Row],[Net Revenue]]*Final_Table[[#This Row],[Variable Cost %]]</f>
        <v>3304.7999999999997</v>
      </c>
      <c r="R778">
        <f>Final_Table[[#This Row],[Variable Cost]]+Final_Table[[#This Row],[Fixed Monthly Cost]]</f>
        <v>21304.799999999999</v>
      </c>
      <c r="S778" s="5">
        <f>Final_Table[[#This Row],[Net Revenue]]-Final_Table[[#This Row],[Total Cost (COGS)]]</f>
        <v>-2944.7999999999993</v>
      </c>
      <c r="T778">
        <f>Final_Table[[#This Row],[Gross Profit]]*Final_Table[[#This Row],[Tax Rate]]</f>
        <v>-883.43999999999971</v>
      </c>
      <c r="U778" s="5">
        <f>Final_Table[[#This Row],[Gross Profit]]-Final_Table[[#This Row],[Tax]]</f>
        <v>-2061.3599999999997</v>
      </c>
      <c r="V778" s="12">
        <f>Final_Table[[#This Row],[Net Profit]]/Final_Table[[#This Row],[Gross Revenue]]</f>
        <v>-0.10104705882352939</v>
      </c>
    </row>
    <row r="779" spans="1:22">
      <c r="A779" s="18" t="s">
        <v>73</v>
      </c>
      <c r="B779">
        <v>2014</v>
      </c>
      <c r="C779" t="s">
        <v>124</v>
      </c>
      <c r="D779">
        <v>1</v>
      </c>
      <c r="E779" s="18" t="s">
        <v>29</v>
      </c>
      <c r="F779" s="18" t="s">
        <v>80</v>
      </c>
      <c r="G779" s="18" t="s">
        <v>21</v>
      </c>
      <c r="H779" s="18" t="str">
        <f>Assumptions!$B$2</f>
        <v>Worst</v>
      </c>
      <c r="I779" s="18">
        <f>_xlfn.XLOOKUP(Assumptions!$B$2,Assumptions!$F$4:$H$4,Assumptions!$F$5:$H$5)</f>
        <v>1200</v>
      </c>
      <c r="J779" s="18">
        <f>_xlfn.XLOOKUP(Assumptions!$B$2,Assumptions!$F$4:$H$4,Assumptions!$F$6:$H$6)</f>
        <v>17</v>
      </c>
      <c r="K779" s="12">
        <f>_xlfn.XLOOKUP(Assumptions!$B$2,Assumptions!$F$4:$H$4,Assumptions!$F$8:$H$8)</f>
        <v>0.1</v>
      </c>
      <c r="L779" s="12">
        <f>_xlfn.XLOOKUP(Assumptions!$B$2,Assumptions!$F$4:$H$4,Assumptions!$F$9:$H$9)</f>
        <v>0.18</v>
      </c>
      <c r="M779" s="18">
        <f>_xlfn.XLOOKUP(Assumptions!$B$2,Assumptions!$F$4:$H$4,Assumptions!$F$10:$H$10)</f>
        <v>18000</v>
      </c>
      <c r="N779" s="12">
        <f>_xlfn.XLOOKUP(Assumptions!$B$2,Assumptions!$F$4:$H$4,Assumptions!$F$11:$H$11)</f>
        <v>0.3</v>
      </c>
      <c r="O779" s="14">
        <f>Final_Table[[#This Row],[Units Sold]]*Final_Table[[#This Row],[Sale Price]]</f>
        <v>20400</v>
      </c>
      <c r="P779" s="14">
        <f>Final_Table[[#This Row],[Gross Revenue]]*(1-Final_Table[[#This Row],[Discount %]])</f>
        <v>18360</v>
      </c>
      <c r="Q779">
        <f>Final_Table[[#This Row],[Net Revenue]]*Final_Table[[#This Row],[Variable Cost %]]</f>
        <v>3304.7999999999997</v>
      </c>
      <c r="R779">
        <f>Final_Table[[#This Row],[Variable Cost]]+Final_Table[[#This Row],[Fixed Monthly Cost]]</f>
        <v>21304.799999999999</v>
      </c>
      <c r="S779" s="5">
        <f>Final_Table[[#This Row],[Net Revenue]]-Final_Table[[#This Row],[Total Cost (COGS)]]</f>
        <v>-2944.7999999999993</v>
      </c>
      <c r="T779">
        <f>Final_Table[[#This Row],[Gross Profit]]*Final_Table[[#This Row],[Tax Rate]]</f>
        <v>-883.43999999999971</v>
      </c>
      <c r="U779" s="5">
        <f>Final_Table[[#This Row],[Gross Profit]]-Final_Table[[#This Row],[Tax]]</f>
        <v>-2061.3599999999997</v>
      </c>
      <c r="V779" s="12">
        <f>Final_Table[[#This Row],[Net Profit]]/Final_Table[[#This Row],[Gross Revenue]]</f>
        <v>-0.10104705882352939</v>
      </c>
    </row>
    <row r="780" spans="1:22">
      <c r="A780" s="18" t="s">
        <v>73</v>
      </c>
      <c r="B780">
        <v>2014</v>
      </c>
      <c r="C780" t="s">
        <v>124</v>
      </c>
      <c r="D780">
        <v>1</v>
      </c>
      <c r="E780" s="18" t="s">
        <v>29</v>
      </c>
      <c r="F780" s="18" t="s">
        <v>80</v>
      </c>
      <c r="G780" s="18" t="s">
        <v>25</v>
      </c>
      <c r="H780" s="18" t="str">
        <f>Assumptions!$B$2</f>
        <v>Worst</v>
      </c>
      <c r="I780" s="18">
        <f>_xlfn.XLOOKUP(Assumptions!$B$2,Assumptions!$F$4:$H$4,Assumptions!$F$5:$H$5)</f>
        <v>1200</v>
      </c>
      <c r="J780" s="18">
        <f>_xlfn.XLOOKUP(Assumptions!$B$2,Assumptions!$F$4:$H$4,Assumptions!$F$6:$H$6)</f>
        <v>17</v>
      </c>
      <c r="K780" s="12">
        <f>_xlfn.XLOOKUP(Assumptions!$B$2,Assumptions!$F$4:$H$4,Assumptions!$F$8:$H$8)</f>
        <v>0.1</v>
      </c>
      <c r="L780" s="12">
        <f>_xlfn.XLOOKUP(Assumptions!$B$2,Assumptions!$F$4:$H$4,Assumptions!$F$9:$H$9)</f>
        <v>0.18</v>
      </c>
      <c r="M780" s="18">
        <f>_xlfn.XLOOKUP(Assumptions!$B$2,Assumptions!$F$4:$H$4,Assumptions!$F$10:$H$10)</f>
        <v>18000</v>
      </c>
      <c r="N780" s="12">
        <f>_xlfn.XLOOKUP(Assumptions!$B$2,Assumptions!$F$4:$H$4,Assumptions!$F$11:$H$11)</f>
        <v>0.3</v>
      </c>
      <c r="O780" s="14">
        <f>Final_Table[[#This Row],[Units Sold]]*Final_Table[[#This Row],[Sale Price]]</f>
        <v>20400</v>
      </c>
      <c r="P780" s="14">
        <f>Final_Table[[#This Row],[Gross Revenue]]*(1-Final_Table[[#This Row],[Discount %]])</f>
        <v>18360</v>
      </c>
      <c r="Q780">
        <f>Final_Table[[#This Row],[Net Revenue]]*Final_Table[[#This Row],[Variable Cost %]]</f>
        <v>3304.7999999999997</v>
      </c>
      <c r="R780">
        <f>Final_Table[[#This Row],[Variable Cost]]+Final_Table[[#This Row],[Fixed Monthly Cost]]</f>
        <v>21304.799999999999</v>
      </c>
      <c r="S780" s="5">
        <f>Final_Table[[#This Row],[Net Revenue]]-Final_Table[[#This Row],[Total Cost (COGS)]]</f>
        <v>-2944.7999999999993</v>
      </c>
      <c r="T780">
        <f>Final_Table[[#This Row],[Gross Profit]]*Final_Table[[#This Row],[Tax Rate]]</f>
        <v>-883.43999999999971</v>
      </c>
      <c r="U780" s="5">
        <f>Final_Table[[#This Row],[Gross Profit]]-Final_Table[[#This Row],[Tax]]</f>
        <v>-2061.3599999999997</v>
      </c>
      <c r="V780" s="12">
        <f>Final_Table[[#This Row],[Net Profit]]/Final_Table[[#This Row],[Gross Revenue]]</f>
        <v>-0.10104705882352939</v>
      </c>
    </row>
    <row r="781" spans="1:22">
      <c r="A781" s="18" t="s">
        <v>73</v>
      </c>
      <c r="B781">
        <v>2014</v>
      </c>
      <c r="C781" t="s">
        <v>124</v>
      </c>
      <c r="D781">
        <v>1</v>
      </c>
      <c r="E781" s="18" t="s">
        <v>29</v>
      </c>
      <c r="F781" s="18" t="s">
        <v>80</v>
      </c>
      <c r="G781" s="18" t="s">
        <v>17</v>
      </c>
      <c r="H781" s="18" t="str">
        <f>Assumptions!$B$2</f>
        <v>Worst</v>
      </c>
      <c r="I781" s="18">
        <f>_xlfn.XLOOKUP(Assumptions!$B$2,Assumptions!$F$4:$H$4,Assumptions!$F$5:$H$5)</f>
        <v>1200</v>
      </c>
      <c r="J781" s="18">
        <f>_xlfn.XLOOKUP(Assumptions!$B$2,Assumptions!$F$4:$H$4,Assumptions!$F$6:$H$6)</f>
        <v>17</v>
      </c>
      <c r="K781" s="12">
        <f>_xlfn.XLOOKUP(Assumptions!$B$2,Assumptions!$F$4:$H$4,Assumptions!$F$8:$H$8)</f>
        <v>0.1</v>
      </c>
      <c r="L781" s="12">
        <f>_xlfn.XLOOKUP(Assumptions!$B$2,Assumptions!$F$4:$H$4,Assumptions!$F$9:$H$9)</f>
        <v>0.18</v>
      </c>
      <c r="M781" s="18">
        <f>_xlfn.XLOOKUP(Assumptions!$B$2,Assumptions!$F$4:$H$4,Assumptions!$F$10:$H$10)</f>
        <v>18000</v>
      </c>
      <c r="N781" s="12">
        <f>_xlfn.XLOOKUP(Assumptions!$B$2,Assumptions!$F$4:$H$4,Assumptions!$F$11:$H$11)</f>
        <v>0.3</v>
      </c>
      <c r="O781" s="14">
        <f>Final_Table[[#This Row],[Units Sold]]*Final_Table[[#This Row],[Sale Price]]</f>
        <v>20400</v>
      </c>
      <c r="P781" s="14">
        <f>Final_Table[[#This Row],[Gross Revenue]]*(1-Final_Table[[#This Row],[Discount %]])</f>
        <v>18360</v>
      </c>
      <c r="Q781">
        <f>Final_Table[[#This Row],[Net Revenue]]*Final_Table[[#This Row],[Variable Cost %]]</f>
        <v>3304.7999999999997</v>
      </c>
      <c r="R781">
        <f>Final_Table[[#This Row],[Variable Cost]]+Final_Table[[#This Row],[Fixed Monthly Cost]]</f>
        <v>21304.799999999999</v>
      </c>
      <c r="S781" s="5">
        <f>Final_Table[[#This Row],[Net Revenue]]-Final_Table[[#This Row],[Total Cost (COGS)]]</f>
        <v>-2944.7999999999993</v>
      </c>
      <c r="T781">
        <f>Final_Table[[#This Row],[Gross Profit]]*Final_Table[[#This Row],[Tax Rate]]</f>
        <v>-883.43999999999971</v>
      </c>
      <c r="U781" s="5">
        <f>Final_Table[[#This Row],[Gross Profit]]-Final_Table[[#This Row],[Tax]]</f>
        <v>-2061.3599999999997</v>
      </c>
      <c r="V781" s="12">
        <f>Final_Table[[#This Row],[Net Profit]]/Final_Table[[#This Row],[Gross Revenue]]</f>
        <v>-0.10104705882352939</v>
      </c>
    </row>
    <row r="782" spans="1:22">
      <c r="A782" s="18" t="s">
        <v>73</v>
      </c>
      <c r="B782">
        <v>2014</v>
      </c>
      <c r="C782" t="s">
        <v>124</v>
      </c>
      <c r="D782">
        <v>1</v>
      </c>
      <c r="E782" s="18" t="s">
        <v>29</v>
      </c>
      <c r="F782" s="18" t="s">
        <v>108</v>
      </c>
      <c r="G782" s="18" t="s">
        <v>36</v>
      </c>
      <c r="H782" s="18" t="str">
        <f>Assumptions!$B$2</f>
        <v>Worst</v>
      </c>
      <c r="I782" s="18">
        <f>_xlfn.XLOOKUP(Assumptions!$B$2,Assumptions!$F$4:$H$4,Assumptions!$F$5:$H$5)</f>
        <v>1200</v>
      </c>
      <c r="J782" s="18">
        <f>_xlfn.XLOOKUP(Assumptions!$B$2,Assumptions!$F$4:$H$4,Assumptions!$F$6:$H$6)</f>
        <v>17</v>
      </c>
      <c r="K782" s="12">
        <f>_xlfn.XLOOKUP(Assumptions!$B$2,Assumptions!$F$4:$H$4,Assumptions!$F$8:$H$8)</f>
        <v>0.1</v>
      </c>
      <c r="L782" s="12">
        <f>_xlfn.XLOOKUP(Assumptions!$B$2,Assumptions!$F$4:$H$4,Assumptions!$F$9:$H$9)</f>
        <v>0.18</v>
      </c>
      <c r="M782" s="18">
        <f>_xlfn.XLOOKUP(Assumptions!$B$2,Assumptions!$F$4:$H$4,Assumptions!$F$10:$H$10)</f>
        <v>18000</v>
      </c>
      <c r="N782" s="12">
        <f>_xlfn.XLOOKUP(Assumptions!$B$2,Assumptions!$F$4:$H$4,Assumptions!$F$11:$H$11)</f>
        <v>0.3</v>
      </c>
      <c r="O782" s="14">
        <f>Final_Table[[#This Row],[Units Sold]]*Final_Table[[#This Row],[Sale Price]]</f>
        <v>20400</v>
      </c>
      <c r="P782" s="14">
        <f>Final_Table[[#This Row],[Gross Revenue]]*(1-Final_Table[[#This Row],[Discount %]])</f>
        <v>18360</v>
      </c>
      <c r="Q782">
        <f>Final_Table[[#This Row],[Net Revenue]]*Final_Table[[#This Row],[Variable Cost %]]</f>
        <v>3304.7999999999997</v>
      </c>
      <c r="R782">
        <f>Final_Table[[#This Row],[Variable Cost]]+Final_Table[[#This Row],[Fixed Monthly Cost]]</f>
        <v>21304.799999999999</v>
      </c>
      <c r="S782" s="5">
        <f>Final_Table[[#This Row],[Net Revenue]]-Final_Table[[#This Row],[Total Cost (COGS)]]</f>
        <v>-2944.7999999999993</v>
      </c>
      <c r="T782">
        <f>Final_Table[[#This Row],[Gross Profit]]*Final_Table[[#This Row],[Tax Rate]]</f>
        <v>-883.43999999999971</v>
      </c>
      <c r="U782" s="5">
        <f>Final_Table[[#This Row],[Gross Profit]]-Final_Table[[#This Row],[Tax]]</f>
        <v>-2061.3599999999997</v>
      </c>
      <c r="V782" s="12">
        <f>Final_Table[[#This Row],[Net Profit]]/Final_Table[[#This Row],[Gross Revenue]]</f>
        <v>-0.10104705882352939</v>
      </c>
    </row>
    <row r="783" spans="1:22">
      <c r="A783" s="18" t="s">
        <v>73</v>
      </c>
      <c r="B783">
        <v>2014</v>
      </c>
      <c r="C783" t="s">
        <v>124</v>
      </c>
      <c r="D783">
        <v>1</v>
      </c>
      <c r="E783" s="18" t="s">
        <v>29</v>
      </c>
      <c r="F783" s="18" t="s">
        <v>108</v>
      </c>
      <c r="G783" s="18" t="s">
        <v>23</v>
      </c>
      <c r="H783" s="18" t="str">
        <f>Assumptions!$B$2</f>
        <v>Worst</v>
      </c>
      <c r="I783" s="18">
        <f>_xlfn.XLOOKUP(Assumptions!$B$2,Assumptions!$F$4:$H$4,Assumptions!$F$5:$H$5)</f>
        <v>1200</v>
      </c>
      <c r="J783" s="18">
        <f>_xlfn.XLOOKUP(Assumptions!$B$2,Assumptions!$F$4:$H$4,Assumptions!$F$6:$H$6)</f>
        <v>17</v>
      </c>
      <c r="K783" s="12">
        <f>_xlfn.XLOOKUP(Assumptions!$B$2,Assumptions!$F$4:$H$4,Assumptions!$F$8:$H$8)</f>
        <v>0.1</v>
      </c>
      <c r="L783" s="12">
        <f>_xlfn.XLOOKUP(Assumptions!$B$2,Assumptions!$F$4:$H$4,Assumptions!$F$9:$H$9)</f>
        <v>0.18</v>
      </c>
      <c r="M783" s="18">
        <f>_xlfn.XLOOKUP(Assumptions!$B$2,Assumptions!$F$4:$H$4,Assumptions!$F$10:$H$10)</f>
        <v>18000</v>
      </c>
      <c r="N783" s="12">
        <f>_xlfn.XLOOKUP(Assumptions!$B$2,Assumptions!$F$4:$H$4,Assumptions!$F$11:$H$11)</f>
        <v>0.3</v>
      </c>
      <c r="O783" s="14">
        <f>Final_Table[[#This Row],[Units Sold]]*Final_Table[[#This Row],[Sale Price]]</f>
        <v>20400</v>
      </c>
      <c r="P783" s="14">
        <f>Final_Table[[#This Row],[Gross Revenue]]*(1-Final_Table[[#This Row],[Discount %]])</f>
        <v>18360</v>
      </c>
      <c r="Q783">
        <f>Final_Table[[#This Row],[Net Revenue]]*Final_Table[[#This Row],[Variable Cost %]]</f>
        <v>3304.7999999999997</v>
      </c>
      <c r="R783">
        <f>Final_Table[[#This Row],[Variable Cost]]+Final_Table[[#This Row],[Fixed Monthly Cost]]</f>
        <v>21304.799999999999</v>
      </c>
      <c r="S783" s="5">
        <f>Final_Table[[#This Row],[Net Revenue]]-Final_Table[[#This Row],[Total Cost (COGS)]]</f>
        <v>-2944.7999999999993</v>
      </c>
      <c r="T783">
        <f>Final_Table[[#This Row],[Gross Profit]]*Final_Table[[#This Row],[Tax Rate]]</f>
        <v>-883.43999999999971</v>
      </c>
      <c r="U783" s="5">
        <f>Final_Table[[#This Row],[Gross Profit]]-Final_Table[[#This Row],[Tax]]</f>
        <v>-2061.3599999999997</v>
      </c>
      <c r="V783" s="12">
        <f>Final_Table[[#This Row],[Net Profit]]/Final_Table[[#This Row],[Gross Revenue]]</f>
        <v>-0.10104705882352939</v>
      </c>
    </row>
    <row r="784" spans="1:22">
      <c r="A784" s="18" t="s">
        <v>73</v>
      </c>
      <c r="B784">
        <v>2014</v>
      </c>
      <c r="C784" t="s">
        <v>124</v>
      </c>
      <c r="D784">
        <v>1</v>
      </c>
      <c r="E784" s="18" t="s">
        <v>29</v>
      </c>
      <c r="F784" s="18" t="s">
        <v>108</v>
      </c>
      <c r="G784" s="18" t="s">
        <v>21</v>
      </c>
      <c r="H784" s="18" t="str">
        <f>Assumptions!$B$2</f>
        <v>Worst</v>
      </c>
      <c r="I784" s="18">
        <f>_xlfn.XLOOKUP(Assumptions!$B$2,Assumptions!$F$4:$H$4,Assumptions!$F$5:$H$5)</f>
        <v>1200</v>
      </c>
      <c r="J784" s="18">
        <f>_xlfn.XLOOKUP(Assumptions!$B$2,Assumptions!$F$4:$H$4,Assumptions!$F$6:$H$6)</f>
        <v>17</v>
      </c>
      <c r="K784" s="12">
        <f>_xlfn.XLOOKUP(Assumptions!$B$2,Assumptions!$F$4:$H$4,Assumptions!$F$8:$H$8)</f>
        <v>0.1</v>
      </c>
      <c r="L784" s="12">
        <f>_xlfn.XLOOKUP(Assumptions!$B$2,Assumptions!$F$4:$H$4,Assumptions!$F$9:$H$9)</f>
        <v>0.18</v>
      </c>
      <c r="M784" s="18">
        <f>_xlfn.XLOOKUP(Assumptions!$B$2,Assumptions!$F$4:$H$4,Assumptions!$F$10:$H$10)</f>
        <v>18000</v>
      </c>
      <c r="N784" s="12">
        <f>_xlfn.XLOOKUP(Assumptions!$B$2,Assumptions!$F$4:$H$4,Assumptions!$F$11:$H$11)</f>
        <v>0.3</v>
      </c>
      <c r="O784" s="14">
        <f>Final_Table[[#This Row],[Units Sold]]*Final_Table[[#This Row],[Sale Price]]</f>
        <v>20400</v>
      </c>
      <c r="P784" s="14">
        <f>Final_Table[[#This Row],[Gross Revenue]]*(1-Final_Table[[#This Row],[Discount %]])</f>
        <v>18360</v>
      </c>
      <c r="Q784">
        <f>Final_Table[[#This Row],[Net Revenue]]*Final_Table[[#This Row],[Variable Cost %]]</f>
        <v>3304.7999999999997</v>
      </c>
      <c r="R784">
        <f>Final_Table[[#This Row],[Variable Cost]]+Final_Table[[#This Row],[Fixed Monthly Cost]]</f>
        <v>21304.799999999999</v>
      </c>
      <c r="S784" s="5">
        <f>Final_Table[[#This Row],[Net Revenue]]-Final_Table[[#This Row],[Total Cost (COGS)]]</f>
        <v>-2944.7999999999993</v>
      </c>
      <c r="T784">
        <f>Final_Table[[#This Row],[Gross Profit]]*Final_Table[[#This Row],[Tax Rate]]</f>
        <v>-883.43999999999971</v>
      </c>
      <c r="U784" s="5">
        <f>Final_Table[[#This Row],[Gross Profit]]-Final_Table[[#This Row],[Tax]]</f>
        <v>-2061.3599999999997</v>
      </c>
      <c r="V784" s="12">
        <f>Final_Table[[#This Row],[Net Profit]]/Final_Table[[#This Row],[Gross Revenue]]</f>
        <v>-0.10104705882352939</v>
      </c>
    </row>
    <row r="785" spans="1:22">
      <c r="A785" s="18" t="s">
        <v>73</v>
      </c>
      <c r="B785">
        <v>2014</v>
      </c>
      <c r="C785" t="s">
        <v>124</v>
      </c>
      <c r="D785">
        <v>1</v>
      </c>
      <c r="E785" s="18" t="s">
        <v>29</v>
      </c>
      <c r="F785" s="18" t="s">
        <v>108</v>
      </c>
      <c r="G785" s="18" t="s">
        <v>25</v>
      </c>
      <c r="H785" s="18" t="str">
        <f>Assumptions!$B$2</f>
        <v>Worst</v>
      </c>
      <c r="I785" s="18">
        <f>_xlfn.XLOOKUP(Assumptions!$B$2,Assumptions!$F$4:$H$4,Assumptions!$F$5:$H$5)</f>
        <v>1200</v>
      </c>
      <c r="J785" s="18">
        <f>_xlfn.XLOOKUP(Assumptions!$B$2,Assumptions!$F$4:$H$4,Assumptions!$F$6:$H$6)</f>
        <v>17</v>
      </c>
      <c r="K785" s="12">
        <f>_xlfn.XLOOKUP(Assumptions!$B$2,Assumptions!$F$4:$H$4,Assumptions!$F$8:$H$8)</f>
        <v>0.1</v>
      </c>
      <c r="L785" s="12">
        <f>_xlfn.XLOOKUP(Assumptions!$B$2,Assumptions!$F$4:$H$4,Assumptions!$F$9:$H$9)</f>
        <v>0.18</v>
      </c>
      <c r="M785" s="18">
        <f>_xlfn.XLOOKUP(Assumptions!$B$2,Assumptions!$F$4:$H$4,Assumptions!$F$10:$H$10)</f>
        <v>18000</v>
      </c>
      <c r="N785" s="12">
        <f>_xlfn.XLOOKUP(Assumptions!$B$2,Assumptions!$F$4:$H$4,Assumptions!$F$11:$H$11)</f>
        <v>0.3</v>
      </c>
      <c r="O785" s="14">
        <f>Final_Table[[#This Row],[Units Sold]]*Final_Table[[#This Row],[Sale Price]]</f>
        <v>20400</v>
      </c>
      <c r="P785" s="14">
        <f>Final_Table[[#This Row],[Gross Revenue]]*(1-Final_Table[[#This Row],[Discount %]])</f>
        <v>18360</v>
      </c>
      <c r="Q785">
        <f>Final_Table[[#This Row],[Net Revenue]]*Final_Table[[#This Row],[Variable Cost %]]</f>
        <v>3304.7999999999997</v>
      </c>
      <c r="R785">
        <f>Final_Table[[#This Row],[Variable Cost]]+Final_Table[[#This Row],[Fixed Monthly Cost]]</f>
        <v>21304.799999999999</v>
      </c>
      <c r="S785" s="5">
        <f>Final_Table[[#This Row],[Net Revenue]]-Final_Table[[#This Row],[Total Cost (COGS)]]</f>
        <v>-2944.7999999999993</v>
      </c>
      <c r="T785">
        <f>Final_Table[[#This Row],[Gross Profit]]*Final_Table[[#This Row],[Tax Rate]]</f>
        <v>-883.43999999999971</v>
      </c>
      <c r="U785" s="5">
        <f>Final_Table[[#This Row],[Gross Profit]]-Final_Table[[#This Row],[Tax]]</f>
        <v>-2061.3599999999997</v>
      </c>
      <c r="V785" s="12">
        <f>Final_Table[[#This Row],[Net Profit]]/Final_Table[[#This Row],[Gross Revenue]]</f>
        <v>-0.10104705882352939</v>
      </c>
    </row>
    <row r="786" spans="1:22">
      <c r="A786" s="18" t="s">
        <v>73</v>
      </c>
      <c r="B786">
        <v>2014</v>
      </c>
      <c r="C786" t="s">
        <v>124</v>
      </c>
      <c r="D786">
        <v>1</v>
      </c>
      <c r="E786" s="18" t="s">
        <v>29</v>
      </c>
      <c r="F786" s="18" t="s">
        <v>108</v>
      </c>
      <c r="G786" s="18" t="s">
        <v>17</v>
      </c>
      <c r="H786" s="18" t="str">
        <f>Assumptions!$B$2</f>
        <v>Worst</v>
      </c>
      <c r="I786" s="18">
        <f>_xlfn.XLOOKUP(Assumptions!$B$2,Assumptions!$F$4:$H$4,Assumptions!$F$5:$H$5)</f>
        <v>1200</v>
      </c>
      <c r="J786" s="18">
        <f>_xlfn.XLOOKUP(Assumptions!$B$2,Assumptions!$F$4:$H$4,Assumptions!$F$6:$H$6)</f>
        <v>17</v>
      </c>
      <c r="K786" s="12">
        <f>_xlfn.XLOOKUP(Assumptions!$B$2,Assumptions!$F$4:$H$4,Assumptions!$F$8:$H$8)</f>
        <v>0.1</v>
      </c>
      <c r="L786" s="12">
        <f>_xlfn.XLOOKUP(Assumptions!$B$2,Assumptions!$F$4:$H$4,Assumptions!$F$9:$H$9)</f>
        <v>0.18</v>
      </c>
      <c r="M786" s="18">
        <f>_xlfn.XLOOKUP(Assumptions!$B$2,Assumptions!$F$4:$H$4,Assumptions!$F$10:$H$10)</f>
        <v>18000</v>
      </c>
      <c r="N786" s="12">
        <f>_xlfn.XLOOKUP(Assumptions!$B$2,Assumptions!$F$4:$H$4,Assumptions!$F$11:$H$11)</f>
        <v>0.3</v>
      </c>
      <c r="O786" s="14">
        <f>Final_Table[[#This Row],[Units Sold]]*Final_Table[[#This Row],[Sale Price]]</f>
        <v>20400</v>
      </c>
      <c r="P786" s="14">
        <f>Final_Table[[#This Row],[Gross Revenue]]*(1-Final_Table[[#This Row],[Discount %]])</f>
        <v>18360</v>
      </c>
      <c r="Q786">
        <f>Final_Table[[#This Row],[Net Revenue]]*Final_Table[[#This Row],[Variable Cost %]]</f>
        <v>3304.7999999999997</v>
      </c>
      <c r="R786">
        <f>Final_Table[[#This Row],[Variable Cost]]+Final_Table[[#This Row],[Fixed Monthly Cost]]</f>
        <v>21304.799999999999</v>
      </c>
      <c r="S786" s="5">
        <f>Final_Table[[#This Row],[Net Revenue]]-Final_Table[[#This Row],[Total Cost (COGS)]]</f>
        <v>-2944.7999999999993</v>
      </c>
      <c r="T786">
        <f>Final_Table[[#This Row],[Gross Profit]]*Final_Table[[#This Row],[Tax Rate]]</f>
        <v>-883.43999999999971</v>
      </c>
      <c r="U786" s="5">
        <f>Final_Table[[#This Row],[Gross Profit]]-Final_Table[[#This Row],[Tax]]</f>
        <v>-2061.3599999999997</v>
      </c>
      <c r="V786" s="12">
        <f>Final_Table[[#This Row],[Net Profit]]/Final_Table[[#This Row],[Gross Revenue]]</f>
        <v>-0.10104705882352939</v>
      </c>
    </row>
    <row r="787" spans="1:22">
      <c r="A787" s="18" t="s">
        <v>73</v>
      </c>
      <c r="B787">
        <v>2014</v>
      </c>
      <c r="C787" t="s">
        <v>124</v>
      </c>
      <c r="D787">
        <v>1</v>
      </c>
      <c r="E787" s="18" t="s">
        <v>29</v>
      </c>
      <c r="F787" s="18" t="s">
        <v>112</v>
      </c>
      <c r="G787" s="18" t="s">
        <v>36</v>
      </c>
      <c r="H787" s="18" t="str">
        <f>Assumptions!$B$2</f>
        <v>Worst</v>
      </c>
      <c r="I787" s="18">
        <f>_xlfn.XLOOKUP(Assumptions!$B$2,Assumptions!$F$4:$H$4,Assumptions!$F$5:$H$5)</f>
        <v>1200</v>
      </c>
      <c r="J787" s="18">
        <f>_xlfn.XLOOKUP(Assumptions!$B$2,Assumptions!$F$4:$H$4,Assumptions!$F$6:$H$6)</f>
        <v>17</v>
      </c>
      <c r="K787" s="12">
        <f>_xlfn.XLOOKUP(Assumptions!$B$2,Assumptions!$F$4:$H$4,Assumptions!$F$8:$H$8)</f>
        <v>0.1</v>
      </c>
      <c r="L787" s="12">
        <f>_xlfn.XLOOKUP(Assumptions!$B$2,Assumptions!$F$4:$H$4,Assumptions!$F$9:$H$9)</f>
        <v>0.18</v>
      </c>
      <c r="M787" s="18">
        <f>_xlfn.XLOOKUP(Assumptions!$B$2,Assumptions!$F$4:$H$4,Assumptions!$F$10:$H$10)</f>
        <v>18000</v>
      </c>
      <c r="N787" s="12">
        <f>_xlfn.XLOOKUP(Assumptions!$B$2,Assumptions!$F$4:$H$4,Assumptions!$F$11:$H$11)</f>
        <v>0.3</v>
      </c>
      <c r="O787" s="14">
        <f>Final_Table[[#This Row],[Units Sold]]*Final_Table[[#This Row],[Sale Price]]</f>
        <v>20400</v>
      </c>
      <c r="P787" s="14">
        <f>Final_Table[[#This Row],[Gross Revenue]]*(1-Final_Table[[#This Row],[Discount %]])</f>
        <v>18360</v>
      </c>
      <c r="Q787">
        <f>Final_Table[[#This Row],[Net Revenue]]*Final_Table[[#This Row],[Variable Cost %]]</f>
        <v>3304.7999999999997</v>
      </c>
      <c r="R787">
        <f>Final_Table[[#This Row],[Variable Cost]]+Final_Table[[#This Row],[Fixed Monthly Cost]]</f>
        <v>21304.799999999999</v>
      </c>
      <c r="S787" s="5">
        <f>Final_Table[[#This Row],[Net Revenue]]-Final_Table[[#This Row],[Total Cost (COGS)]]</f>
        <v>-2944.7999999999993</v>
      </c>
      <c r="T787">
        <f>Final_Table[[#This Row],[Gross Profit]]*Final_Table[[#This Row],[Tax Rate]]</f>
        <v>-883.43999999999971</v>
      </c>
      <c r="U787" s="5">
        <f>Final_Table[[#This Row],[Gross Profit]]-Final_Table[[#This Row],[Tax]]</f>
        <v>-2061.3599999999997</v>
      </c>
      <c r="V787" s="12">
        <f>Final_Table[[#This Row],[Net Profit]]/Final_Table[[#This Row],[Gross Revenue]]</f>
        <v>-0.10104705882352939</v>
      </c>
    </row>
    <row r="788" spans="1:22">
      <c r="A788" s="18" t="s">
        <v>73</v>
      </c>
      <c r="B788">
        <v>2014</v>
      </c>
      <c r="C788" t="s">
        <v>124</v>
      </c>
      <c r="D788">
        <v>1</v>
      </c>
      <c r="E788" s="18" t="s">
        <v>29</v>
      </c>
      <c r="F788" s="18" t="s">
        <v>112</v>
      </c>
      <c r="G788" s="18" t="s">
        <v>23</v>
      </c>
      <c r="H788" s="18" t="str">
        <f>Assumptions!$B$2</f>
        <v>Worst</v>
      </c>
      <c r="I788" s="18">
        <f>_xlfn.XLOOKUP(Assumptions!$B$2,Assumptions!$F$4:$H$4,Assumptions!$F$5:$H$5)</f>
        <v>1200</v>
      </c>
      <c r="J788" s="18">
        <f>_xlfn.XLOOKUP(Assumptions!$B$2,Assumptions!$F$4:$H$4,Assumptions!$F$6:$H$6)</f>
        <v>17</v>
      </c>
      <c r="K788" s="12">
        <f>_xlfn.XLOOKUP(Assumptions!$B$2,Assumptions!$F$4:$H$4,Assumptions!$F$8:$H$8)</f>
        <v>0.1</v>
      </c>
      <c r="L788" s="12">
        <f>_xlfn.XLOOKUP(Assumptions!$B$2,Assumptions!$F$4:$H$4,Assumptions!$F$9:$H$9)</f>
        <v>0.18</v>
      </c>
      <c r="M788" s="18">
        <f>_xlfn.XLOOKUP(Assumptions!$B$2,Assumptions!$F$4:$H$4,Assumptions!$F$10:$H$10)</f>
        <v>18000</v>
      </c>
      <c r="N788" s="12">
        <f>_xlfn.XLOOKUP(Assumptions!$B$2,Assumptions!$F$4:$H$4,Assumptions!$F$11:$H$11)</f>
        <v>0.3</v>
      </c>
      <c r="O788" s="14">
        <f>Final_Table[[#This Row],[Units Sold]]*Final_Table[[#This Row],[Sale Price]]</f>
        <v>20400</v>
      </c>
      <c r="P788" s="14">
        <f>Final_Table[[#This Row],[Gross Revenue]]*(1-Final_Table[[#This Row],[Discount %]])</f>
        <v>18360</v>
      </c>
      <c r="Q788">
        <f>Final_Table[[#This Row],[Net Revenue]]*Final_Table[[#This Row],[Variable Cost %]]</f>
        <v>3304.7999999999997</v>
      </c>
      <c r="R788">
        <f>Final_Table[[#This Row],[Variable Cost]]+Final_Table[[#This Row],[Fixed Monthly Cost]]</f>
        <v>21304.799999999999</v>
      </c>
      <c r="S788" s="5">
        <f>Final_Table[[#This Row],[Net Revenue]]-Final_Table[[#This Row],[Total Cost (COGS)]]</f>
        <v>-2944.7999999999993</v>
      </c>
      <c r="T788">
        <f>Final_Table[[#This Row],[Gross Profit]]*Final_Table[[#This Row],[Tax Rate]]</f>
        <v>-883.43999999999971</v>
      </c>
      <c r="U788" s="5">
        <f>Final_Table[[#This Row],[Gross Profit]]-Final_Table[[#This Row],[Tax]]</f>
        <v>-2061.3599999999997</v>
      </c>
      <c r="V788" s="12">
        <f>Final_Table[[#This Row],[Net Profit]]/Final_Table[[#This Row],[Gross Revenue]]</f>
        <v>-0.10104705882352939</v>
      </c>
    </row>
    <row r="789" spans="1:22">
      <c r="A789" s="18" t="s">
        <v>73</v>
      </c>
      <c r="B789">
        <v>2014</v>
      </c>
      <c r="C789" t="s">
        <v>124</v>
      </c>
      <c r="D789">
        <v>1</v>
      </c>
      <c r="E789" s="18" t="s">
        <v>29</v>
      </c>
      <c r="F789" s="18" t="s">
        <v>112</v>
      </c>
      <c r="G789" s="18" t="s">
        <v>21</v>
      </c>
      <c r="H789" s="18" t="str">
        <f>Assumptions!$B$2</f>
        <v>Worst</v>
      </c>
      <c r="I789" s="18">
        <f>_xlfn.XLOOKUP(Assumptions!$B$2,Assumptions!$F$4:$H$4,Assumptions!$F$5:$H$5)</f>
        <v>1200</v>
      </c>
      <c r="J789" s="18">
        <f>_xlfn.XLOOKUP(Assumptions!$B$2,Assumptions!$F$4:$H$4,Assumptions!$F$6:$H$6)</f>
        <v>17</v>
      </c>
      <c r="K789" s="12">
        <f>_xlfn.XLOOKUP(Assumptions!$B$2,Assumptions!$F$4:$H$4,Assumptions!$F$8:$H$8)</f>
        <v>0.1</v>
      </c>
      <c r="L789" s="12">
        <f>_xlfn.XLOOKUP(Assumptions!$B$2,Assumptions!$F$4:$H$4,Assumptions!$F$9:$H$9)</f>
        <v>0.18</v>
      </c>
      <c r="M789" s="18">
        <f>_xlfn.XLOOKUP(Assumptions!$B$2,Assumptions!$F$4:$H$4,Assumptions!$F$10:$H$10)</f>
        <v>18000</v>
      </c>
      <c r="N789" s="12">
        <f>_xlfn.XLOOKUP(Assumptions!$B$2,Assumptions!$F$4:$H$4,Assumptions!$F$11:$H$11)</f>
        <v>0.3</v>
      </c>
      <c r="O789" s="14">
        <f>Final_Table[[#This Row],[Units Sold]]*Final_Table[[#This Row],[Sale Price]]</f>
        <v>20400</v>
      </c>
      <c r="P789" s="14">
        <f>Final_Table[[#This Row],[Gross Revenue]]*(1-Final_Table[[#This Row],[Discount %]])</f>
        <v>18360</v>
      </c>
      <c r="Q789">
        <f>Final_Table[[#This Row],[Net Revenue]]*Final_Table[[#This Row],[Variable Cost %]]</f>
        <v>3304.7999999999997</v>
      </c>
      <c r="R789">
        <f>Final_Table[[#This Row],[Variable Cost]]+Final_Table[[#This Row],[Fixed Monthly Cost]]</f>
        <v>21304.799999999999</v>
      </c>
      <c r="S789" s="5">
        <f>Final_Table[[#This Row],[Net Revenue]]-Final_Table[[#This Row],[Total Cost (COGS)]]</f>
        <v>-2944.7999999999993</v>
      </c>
      <c r="T789">
        <f>Final_Table[[#This Row],[Gross Profit]]*Final_Table[[#This Row],[Tax Rate]]</f>
        <v>-883.43999999999971</v>
      </c>
      <c r="U789" s="5">
        <f>Final_Table[[#This Row],[Gross Profit]]-Final_Table[[#This Row],[Tax]]</f>
        <v>-2061.3599999999997</v>
      </c>
      <c r="V789" s="12">
        <f>Final_Table[[#This Row],[Net Profit]]/Final_Table[[#This Row],[Gross Revenue]]</f>
        <v>-0.10104705882352939</v>
      </c>
    </row>
    <row r="790" spans="1:22">
      <c r="A790" s="18" t="s">
        <v>73</v>
      </c>
      <c r="B790">
        <v>2014</v>
      </c>
      <c r="C790" t="s">
        <v>124</v>
      </c>
      <c r="D790">
        <v>1</v>
      </c>
      <c r="E790" s="18" t="s">
        <v>29</v>
      </c>
      <c r="F790" s="18" t="s">
        <v>112</v>
      </c>
      <c r="G790" s="18" t="s">
        <v>25</v>
      </c>
      <c r="H790" s="18" t="str">
        <f>Assumptions!$B$2</f>
        <v>Worst</v>
      </c>
      <c r="I790" s="18">
        <f>_xlfn.XLOOKUP(Assumptions!$B$2,Assumptions!$F$4:$H$4,Assumptions!$F$5:$H$5)</f>
        <v>1200</v>
      </c>
      <c r="J790" s="18">
        <f>_xlfn.XLOOKUP(Assumptions!$B$2,Assumptions!$F$4:$H$4,Assumptions!$F$6:$H$6)</f>
        <v>17</v>
      </c>
      <c r="K790" s="12">
        <f>_xlfn.XLOOKUP(Assumptions!$B$2,Assumptions!$F$4:$H$4,Assumptions!$F$8:$H$8)</f>
        <v>0.1</v>
      </c>
      <c r="L790" s="12">
        <f>_xlfn.XLOOKUP(Assumptions!$B$2,Assumptions!$F$4:$H$4,Assumptions!$F$9:$H$9)</f>
        <v>0.18</v>
      </c>
      <c r="M790" s="18">
        <f>_xlfn.XLOOKUP(Assumptions!$B$2,Assumptions!$F$4:$H$4,Assumptions!$F$10:$H$10)</f>
        <v>18000</v>
      </c>
      <c r="N790" s="12">
        <f>_xlfn.XLOOKUP(Assumptions!$B$2,Assumptions!$F$4:$H$4,Assumptions!$F$11:$H$11)</f>
        <v>0.3</v>
      </c>
      <c r="O790" s="14">
        <f>Final_Table[[#This Row],[Units Sold]]*Final_Table[[#This Row],[Sale Price]]</f>
        <v>20400</v>
      </c>
      <c r="P790" s="14">
        <f>Final_Table[[#This Row],[Gross Revenue]]*(1-Final_Table[[#This Row],[Discount %]])</f>
        <v>18360</v>
      </c>
      <c r="Q790">
        <f>Final_Table[[#This Row],[Net Revenue]]*Final_Table[[#This Row],[Variable Cost %]]</f>
        <v>3304.7999999999997</v>
      </c>
      <c r="R790">
        <f>Final_Table[[#This Row],[Variable Cost]]+Final_Table[[#This Row],[Fixed Monthly Cost]]</f>
        <v>21304.799999999999</v>
      </c>
      <c r="S790" s="5">
        <f>Final_Table[[#This Row],[Net Revenue]]-Final_Table[[#This Row],[Total Cost (COGS)]]</f>
        <v>-2944.7999999999993</v>
      </c>
      <c r="T790">
        <f>Final_Table[[#This Row],[Gross Profit]]*Final_Table[[#This Row],[Tax Rate]]</f>
        <v>-883.43999999999971</v>
      </c>
      <c r="U790" s="5">
        <f>Final_Table[[#This Row],[Gross Profit]]-Final_Table[[#This Row],[Tax]]</f>
        <v>-2061.3599999999997</v>
      </c>
      <c r="V790" s="12">
        <f>Final_Table[[#This Row],[Net Profit]]/Final_Table[[#This Row],[Gross Revenue]]</f>
        <v>-0.10104705882352939</v>
      </c>
    </row>
    <row r="791" spans="1:22">
      <c r="A791" s="18" t="s">
        <v>73</v>
      </c>
      <c r="B791">
        <v>2014</v>
      </c>
      <c r="C791" t="s">
        <v>124</v>
      </c>
      <c r="D791">
        <v>1</v>
      </c>
      <c r="E791" s="18" t="s">
        <v>29</v>
      </c>
      <c r="F791" s="18" t="s">
        <v>112</v>
      </c>
      <c r="G791" s="18" t="s">
        <v>17</v>
      </c>
      <c r="H791" s="18" t="str">
        <f>Assumptions!$B$2</f>
        <v>Worst</v>
      </c>
      <c r="I791" s="18">
        <f>_xlfn.XLOOKUP(Assumptions!$B$2,Assumptions!$F$4:$H$4,Assumptions!$F$5:$H$5)</f>
        <v>1200</v>
      </c>
      <c r="J791" s="18">
        <f>_xlfn.XLOOKUP(Assumptions!$B$2,Assumptions!$F$4:$H$4,Assumptions!$F$6:$H$6)</f>
        <v>17</v>
      </c>
      <c r="K791" s="12">
        <f>_xlfn.XLOOKUP(Assumptions!$B$2,Assumptions!$F$4:$H$4,Assumptions!$F$8:$H$8)</f>
        <v>0.1</v>
      </c>
      <c r="L791" s="12">
        <f>_xlfn.XLOOKUP(Assumptions!$B$2,Assumptions!$F$4:$H$4,Assumptions!$F$9:$H$9)</f>
        <v>0.18</v>
      </c>
      <c r="M791" s="18">
        <f>_xlfn.XLOOKUP(Assumptions!$B$2,Assumptions!$F$4:$H$4,Assumptions!$F$10:$H$10)</f>
        <v>18000</v>
      </c>
      <c r="N791" s="12">
        <f>_xlfn.XLOOKUP(Assumptions!$B$2,Assumptions!$F$4:$H$4,Assumptions!$F$11:$H$11)</f>
        <v>0.3</v>
      </c>
      <c r="O791" s="14">
        <f>Final_Table[[#This Row],[Units Sold]]*Final_Table[[#This Row],[Sale Price]]</f>
        <v>20400</v>
      </c>
      <c r="P791" s="14">
        <f>Final_Table[[#This Row],[Gross Revenue]]*(1-Final_Table[[#This Row],[Discount %]])</f>
        <v>18360</v>
      </c>
      <c r="Q791">
        <f>Final_Table[[#This Row],[Net Revenue]]*Final_Table[[#This Row],[Variable Cost %]]</f>
        <v>3304.7999999999997</v>
      </c>
      <c r="R791">
        <f>Final_Table[[#This Row],[Variable Cost]]+Final_Table[[#This Row],[Fixed Monthly Cost]]</f>
        <v>21304.799999999999</v>
      </c>
      <c r="S791" s="5">
        <f>Final_Table[[#This Row],[Net Revenue]]-Final_Table[[#This Row],[Total Cost (COGS)]]</f>
        <v>-2944.7999999999993</v>
      </c>
      <c r="T791">
        <f>Final_Table[[#This Row],[Gross Profit]]*Final_Table[[#This Row],[Tax Rate]]</f>
        <v>-883.43999999999971</v>
      </c>
      <c r="U791" s="5">
        <f>Final_Table[[#This Row],[Gross Profit]]-Final_Table[[#This Row],[Tax]]</f>
        <v>-2061.3599999999997</v>
      </c>
      <c r="V791" s="12">
        <f>Final_Table[[#This Row],[Net Profit]]/Final_Table[[#This Row],[Gross Revenue]]</f>
        <v>-0.10104705882352939</v>
      </c>
    </row>
    <row r="792" spans="1:22">
      <c r="A792" s="18" t="s">
        <v>73</v>
      </c>
      <c r="B792">
        <v>2014</v>
      </c>
      <c r="C792" t="s">
        <v>124</v>
      </c>
      <c r="D792">
        <v>1</v>
      </c>
      <c r="E792" s="18" t="s">
        <v>29</v>
      </c>
      <c r="F792" s="18" t="s">
        <v>113</v>
      </c>
      <c r="G792" s="18" t="s">
        <v>36</v>
      </c>
      <c r="H792" s="18" t="str">
        <f>Assumptions!$B$2</f>
        <v>Worst</v>
      </c>
      <c r="I792" s="18">
        <f>_xlfn.XLOOKUP(Assumptions!$B$2,Assumptions!$F$4:$H$4,Assumptions!$F$5:$H$5)</f>
        <v>1200</v>
      </c>
      <c r="J792" s="18">
        <f>_xlfn.XLOOKUP(Assumptions!$B$2,Assumptions!$F$4:$H$4,Assumptions!$F$6:$H$6)</f>
        <v>17</v>
      </c>
      <c r="K792" s="12">
        <f>_xlfn.XLOOKUP(Assumptions!$B$2,Assumptions!$F$4:$H$4,Assumptions!$F$8:$H$8)</f>
        <v>0.1</v>
      </c>
      <c r="L792" s="12">
        <f>_xlfn.XLOOKUP(Assumptions!$B$2,Assumptions!$F$4:$H$4,Assumptions!$F$9:$H$9)</f>
        <v>0.18</v>
      </c>
      <c r="M792" s="18">
        <f>_xlfn.XLOOKUP(Assumptions!$B$2,Assumptions!$F$4:$H$4,Assumptions!$F$10:$H$10)</f>
        <v>18000</v>
      </c>
      <c r="N792" s="12">
        <f>_xlfn.XLOOKUP(Assumptions!$B$2,Assumptions!$F$4:$H$4,Assumptions!$F$11:$H$11)</f>
        <v>0.3</v>
      </c>
      <c r="O792" s="14">
        <f>Final_Table[[#This Row],[Units Sold]]*Final_Table[[#This Row],[Sale Price]]</f>
        <v>20400</v>
      </c>
      <c r="P792" s="14">
        <f>Final_Table[[#This Row],[Gross Revenue]]*(1-Final_Table[[#This Row],[Discount %]])</f>
        <v>18360</v>
      </c>
      <c r="Q792">
        <f>Final_Table[[#This Row],[Net Revenue]]*Final_Table[[#This Row],[Variable Cost %]]</f>
        <v>3304.7999999999997</v>
      </c>
      <c r="R792">
        <f>Final_Table[[#This Row],[Variable Cost]]+Final_Table[[#This Row],[Fixed Monthly Cost]]</f>
        <v>21304.799999999999</v>
      </c>
      <c r="S792" s="5">
        <f>Final_Table[[#This Row],[Net Revenue]]-Final_Table[[#This Row],[Total Cost (COGS)]]</f>
        <v>-2944.7999999999993</v>
      </c>
      <c r="T792">
        <f>Final_Table[[#This Row],[Gross Profit]]*Final_Table[[#This Row],[Tax Rate]]</f>
        <v>-883.43999999999971</v>
      </c>
      <c r="U792" s="5">
        <f>Final_Table[[#This Row],[Gross Profit]]-Final_Table[[#This Row],[Tax]]</f>
        <v>-2061.3599999999997</v>
      </c>
      <c r="V792" s="12">
        <f>Final_Table[[#This Row],[Net Profit]]/Final_Table[[#This Row],[Gross Revenue]]</f>
        <v>-0.10104705882352939</v>
      </c>
    </row>
    <row r="793" spans="1:22">
      <c r="A793" s="18" t="s">
        <v>73</v>
      </c>
      <c r="B793">
        <v>2014</v>
      </c>
      <c r="C793" t="s">
        <v>124</v>
      </c>
      <c r="D793">
        <v>1</v>
      </c>
      <c r="E793" s="18" t="s">
        <v>29</v>
      </c>
      <c r="F793" s="18" t="s">
        <v>113</v>
      </c>
      <c r="G793" s="18" t="s">
        <v>23</v>
      </c>
      <c r="H793" s="18" t="str">
        <f>Assumptions!$B$2</f>
        <v>Worst</v>
      </c>
      <c r="I793" s="18">
        <f>_xlfn.XLOOKUP(Assumptions!$B$2,Assumptions!$F$4:$H$4,Assumptions!$F$5:$H$5)</f>
        <v>1200</v>
      </c>
      <c r="J793" s="18">
        <f>_xlfn.XLOOKUP(Assumptions!$B$2,Assumptions!$F$4:$H$4,Assumptions!$F$6:$H$6)</f>
        <v>17</v>
      </c>
      <c r="K793" s="12">
        <f>_xlfn.XLOOKUP(Assumptions!$B$2,Assumptions!$F$4:$H$4,Assumptions!$F$8:$H$8)</f>
        <v>0.1</v>
      </c>
      <c r="L793" s="12">
        <f>_xlfn.XLOOKUP(Assumptions!$B$2,Assumptions!$F$4:$H$4,Assumptions!$F$9:$H$9)</f>
        <v>0.18</v>
      </c>
      <c r="M793" s="18">
        <f>_xlfn.XLOOKUP(Assumptions!$B$2,Assumptions!$F$4:$H$4,Assumptions!$F$10:$H$10)</f>
        <v>18000</v>
      </c>
      <c r="N793" s="12">
        <f>_xlfn.XLOOKUP(Assumptions!$B$2,Assumptions!$F$4:$H$4,Assumptions!$F$11:$H$11)</f>
        <v>0.3</v>
      </c>
      <c r="O793" s="14">
        <f>Final_Table[[#This Row],[Units Sold]]*Final_Table[[#This Row],[Sale Price]]</f>
        <v>20400</v>
      </c>
      <c r="P793" s="14">
        <f>Final_Table[[#This Row],[Gross Revenue]]*(1-Final_Table[[#This Row],[Discount %]])</f>
        <v>18360</v>
      </c>
      <c r="Q793">
        <f>Final_Table[[#This Row],[Net Revenue]]*Final_Table[[#This Row],[Variable Cost %]]</f>
        <v>3304.7999999999997</v>
      </c>
      <c r="R793">
        <f>Final_Table[[#This Row],[Variable Cost]]+Final_Table[[#This Row],[Fixed Monthly Cost]]</f>
        <v>21304.799999999999</v>
      </c>
      <c r="S793" s="5">
        <f>Final_Table[[#This Row],[Net Revenue]]-Final_Table[[#This Row],[Total Cost (COGS)]]</f>
        <v>-2944.7999999999993</v>
      </c>
      <c r="T793">
        <f>Final_Table[[#This Row],[Gross Profit]]*Final_Table[[#This Row],[Tax Rate]]</f>
        <v>-883.43999999999971</v>
      </c>
      <c r="U793" s="5">
        <f>Final_Table[[#This Row],[Gross Profit]]-Final_Table[[#This Row],[Tax]]</f>
        <v>-2061.3599999999997</v>
      </c>
      <c r="V793" s="12">
        <f>Final_Table[[#This Row],[Net Profit]]/Final_Table[[#This Row],[Gross Revenue]]</f>
        <v>-0.10104705882352939</v>
      </c>
    </row>
    <row r="794" spans="1:22">
      <c r="A794" s="18" t="s">
        <v>73</v>
      </c>
      <c r="B794">
        <v>2014</v>
      </c>
      <c r="C794" t="s">
        <v>124</v>
      </c>
      <c r="D794">
        <v>1</v>
      </c>
      <c r="E794" s="18" t="s">
        <v>29</v>
      </c>
      <c r="F794" s="18" t="s">
        <v>113</v>
      </c>
      <c r="G794" s="18" t="s">
        <v>21</v>
      </c>
      <c r="H794" s="18" t="str">
        <f>Assumptions!$B$2</f>
        <v>Worst</v>
      </c>
      <c r="I794" s="18">
        <f>_xlfn.XLOOKUP(Assumptions!$B$2,Assumptions!$F$4:$H$4,Assumptions!$F$5:$H$5)</f>
        <v>1200</v>
      </c>
      <c r="J794" s="18">
        <f>_xlfn.XLOOKUP(Assumptions!$B$2,Assumptions!$F$4:$H$4,Assumptions!$F$6:$H$6)</f>
        <v>17</v>
      </c>
      <c r="K794" s="12">
        <f>_xlfn.XLOOKUP(Assumptions!$B$2,Assumptions!$F$4:$H$4,Assumptions!$F$8:$H$8)</f>
        <v>0.1</v>
      </c>
      <c r="L794" s="12">
        <f>_xlfn.XLOOKUP(Assumptions!$B$2,Assumptions!$F$4:$H$4,Assumptions!$F$9:$H$9)</f>
        <v>0.18</v>
      </c>
      <c r="M794" s="18">
        <f>_xlfn.XLOOKUP(Assumptions!$B$2,Assumptions!$F$4:$H$4,Assumptions!$F$10:$H$10)</f>
        <v>18000</v>
      </c>
      <c r="N794" s="12">
        <f>_xlfn.XLOOKUP(Assumptions!$B$2,Assumptions!$F$4:$H$4,Assumptions!$F$11:$H$11)</f>
        <v>0.3</v>
      </c>
      <c r="O794" s="14">
        <f>Final_Table[[#This Row],[Units Sold]]*Final_Table[[#This Row],[Sale Price]]</f>
        <v>20400</v>
      </c>
      <c r="P794" s="14">
        <f>Final_Table[[#This Row],[Gross Revenue]]*(1-Final_Table[[#This Row],[Discount %]])</f>
        <v>18360</v>
      </c>
      <c r="Q794">
        <f>Final_Table[[#This Row],[Net Revenue]]*Final_Table[[#This Row],[Variable Cost %]]</f>
        <v>3304.7999999999997</v>
      </c>
      <c r="R794">
        <f>Final_Table[[#This Row],[Variable Cost]]+Final_Table[[#This Row],[Fixed Monthly Cost]]</f>
        <v>21304.799999999999</v>
      </c>
      <c r="S794" s="5">
        <f>Final_Table[[#This Row],[Net Revenue]]-Final_Table[[#This Row],[Total Cost (COGS)]]</f>
        <v>-2944.7999999999993</v>
      </c>
      <c r="T794">
        <f>Final_Table[[#This Row],[Gross Profit]]*Final_Table[[#This Row],[Tax Rate]]</f>
        <v>-883.43999999999971</v>
      </c>
      <c r="U794" s="5">
        <f>Final_Table[[#This Row],[Gross Profit]]-Final_Table[[#This Row],[Tax]]</f>
        <v>-2061.3599999999997</v>
      </c>
      <c r="V794" s="12">
        <f>Final_Table[[#This Row],[Net Profit]]/Final_Table[[#This Row],[Gross Revenue]]</f>
        <v>-0.10104705882352939</v>
      </c>
    </row>
    <row r="795" spans="1:22">
      <c r="A795" s="18" t="s">
        <v>73</v>
      </c>
      <c r="B795">
        <v>2014</v>
      </c>
      <c r="C795" t="s">
        <v>124</v>
      </c>
      <c r="D795">
        <v>1</v>
      </c>
      <c r="E795" s="18" t="s">
        <v>29</v>
      </c>
      <c r="F795" s="18" t="s">
        <v>113</v>
      </c>
      <c r="G795" s="18" t="s">
        <v>25</v>
      </c>
      <c r="H795" s="18" t="str">
        <f>Assumptions!$B$2</f>
        <v>Worst</v>
      </c>
      <c r="I795" s="18">
        <f>_xlfn.XLOOKUP(Assumptions!$B$2,Assumptions!$F$4:$H$4,Assumptions!$F$5:$H$5)</f>
        <v>1200</v>
      </c>
      <c r="J795" s="18">
        <f>_xlfn.XLOOKUP(Assumptions!$B$2,Assumptions!$F$4:$H$4,Assumptions!$F$6:$H$6)</f>
        <v>17</v>
      </c>
      <c r="K795" s="12">
        <f>_xlfn.XLOOKUP(Assumptions!$B$2,Assumptions!$F$4:$H$4,Assumptions!$F$8:$H$8)</f>
        <v>0.1</v>
      </c>
      <c r="L795" s="12">
        <f>_xlfn.XLOOKUP(Assumptions!$B$2,Assumptions!$F$4:$H$4,Assumptions!$F$9:$H$9)</f>
        <v>0.18</v>
      </c>
      <c r="M795" s="18">
        <f>_xlfn.XLOOKUP(Assumptions!$B$2,Assumptions!$F$4:$H$4,Assumptions!$F$10:$H$10)</f>
        <v>18000</v>
      </c>
      <c r="N795" s="12">
        <f>_xlfn.XLOOKUP(Assumptions!$B$2,Assumptions!$F$4:$H$4,Assumptions!$F$11:$H$11)</f>
        <v>0.3</v>
      </c>
      <c r="O795" s="14">
        <f>Final_Table[[#This Row],[Units Sold]]*Final_Table[[#This Row],[Sale Price]]</f>
        <v>20400</v>
      </c>
      <c r="P795" s="14">
        <f>Final_Table[[#This Row],[Gross Revenue]]*(1-Final_Table[[#This Row],[Discount %]])</f>
        <v>18360</v>
      </c>
      <c r="Q795">
        <f>Final_Table[[#This Row],[Net Revenue]]*Final_Table[[#This Row],[Variable Cost %]]</f>
        <v>3304.7999999999997</v>
      </c>
      <c r="R795">
        <f>Final_Table[[#This Row],[Variable Cost]]+Final_Table[[#This Row],[Fixed Monthly Cost]]</f>
        <v>21304.799999999999</v>
      </c>
      <c r="S795" s="5">
        <f>Final_Table[[#This Row],[Net Revenue]]-Final_Table[[#This Row],[Total Cost (COGS)]]</f>
        <v>-2944.7999999999993</v>
      </c>
      <c r="T795">
        <f>Final_Table[[#This Row],[Gross Profit]]*Final_Table[[#This Row],[Tax Rate]]</f>
        <v>-883.43999999999971</v>
      </c>
      <c r="U795" s="5">
        <f>Final_Table[[#This Row],[Gross Profit]]-Final_Table[[#This Row],[Tax]]</f>
        <v>-2061.3599999999997</v>
      </c>
      <c r="V795" s="12">
        <f>Final_Table[[#This Row],[Net Profit]]/Final_Table[[#This Row],[Gross Revenue]]</f>
        <v>-0.10104705882352939</v>
      </c>
    </row>
    <row r="796" spans="1:22">
      <c r="A796" s="18" t="s">
        <v>73</v>
      </c>
      <c r="B796">
        <v>2014</v>
      </c>
      <c r="C796" t="s">
        <v>124</v>
      </c>
      <c r="D796">
        <v>1</v>
      </c>
      <c r="E796" s="18" t="s">
        <v>29</v>
      </c>
      <c r="F796" s="18" t="s">
        <v>113</v>
      </c>
      <c r="G796" s="18" t="s">
        <v>17</v>
      </c>
      <c r="H796" s="18" t="str">
        <f>Assumptions!$B$2</f>
        <v>Worst</v>
      </c>
      <c r="I796" s="18">
        <f>_xlfn.XLOOKUP(Assumptions!$B$2,Assumptions!$F$4:$H$4,Assumptions!$F$5:$H$5)</f>
        <v>1200</v>
      </c>
      <c r="J796" s="18">
        <f>_xlfn.XLOOKUP(Assumptions!$B$2,Assumptions!$F$4:$H$4,Assumptions!$F$6:$H$6)</f>
        <v>17</v>
      </c>
      <c r="K796" s="12">
        <f>_xlfn.XLOOKUP(Assumptions!$B$2,Assumptions!$F$4:$H$4,Assumptions!$F$8:$H$8)</f>
        <v>0.1</v>
      </c>
      <c r="L796" s="12">
        <f>_xlfn.XLOOKUP(Assumptions!$B$2,Assumptions!$F$4:$H$4,Assumptions!$F$9:$H$9)</f>
        <v>0.18</v>
      </c>
      <c r="M796" s="18">
        <f>_xlfn.XLOOKUP(Assumptions!$B$2,Assumptions!$F$4:$H$4,Assumptions!$F$10:$H$10)</f>
        <v>18000</v>
      </c>
      <c r="N796" s="12">
        <f>_xlfn.XLOOKUP(Assumptions!$B$2,Assumptions!$F$4:$H$4,Assumptions!$F$11:$H$11)</f>
        <v>0.3</v>
      </c>
      <c r="O796" s="14">
        <f>Final_Table[[#This Row],[Units Sold]]*Final_Table[[#This Row],[Sale Price]]</f>
        <v>20400</v>
      </c>
      <c r="P796" s="14">
        <f>Final_Table[[#This Row],[Gross Revenue]]*(1-Final_Table[[#This Row],[Discount %]])</f>
        <v>18360</v>
      </c>
      <c r="Q796">
        <f>Final_Table[[#This Row],[Net Revenue]]*Final_Table[[#This Row],[Variable Cost %]]</f>
        <v>3304.7999999999997</v>
      </c>
      <c r="R796">
        <f>Final_Table[[#This Row],[Variable Cost]]+Final_Table[[#This Row],[Fixed Monthly Cost]]</f>
        <v>21304.799999999999</v>
      </c>
      <c r="S796" s="5">
        <f>Final_Table[[#This Row],[Net Revenue]]-Final_Table[[#This Row],[Total Cost (COGS)]]</f>
        <v>-2944.7999999999993</v>
      </c>
      <c r="T796">
        <f>Final_Table[[#This Row],[Gross Profit]]*Final_Table[[#This Row],[Tax Rate]]</f>
        <v>-883.43999999999971</v>
      </c>
      <c r="U796" s="5">
        <f>Final_Table[[#This Row],[Gross Profit]]-Final_Table[[#This Row],[Tax]]</f>
        <v>-2061.3599999999997</v>
      </c>
      <c r="V796" s="12">
        <f>Final_Table[[#This Row],[Net Profit]]/Final_Table[[#This Row],[Gross Revenue]]</f>
        <v>-0.10104705882352939</v>
      </c>
    </row>
    <row r="797" spans="1:22">
      <c r="A797" s="18" t="s">
        <v>73</v>
      </c>
      <c r="B797">
        <v>2014</v>
      </c>
      <c r="C797" t="s">
        <v>124</v>
      </c>
      <c r="D797">
        <v>1</v>
      </c>
      <c r="E797" s="18" t="s">
        <v>29</v>
      </c>
      <c r="F797" s="18" t="s">
        <v>114</v>
      </c>
      <c r="G797" s="18" t="s">
        <v>36</v>
      </c>
      <c r="H797" s="18" t="str">
        <f>Assumptions!$B$2</f>
        <v>Worst</v>
      </c>
      <c r="I797" s="18">
        <f>_xlfn.XLOOKUP(Assumptions!$B$2,Assumptions!$F$4:$H$4,Assumptions!$F$5:$H$5)</f>
        <v>1200</v>
      </c>
      <c r="J797" s="18">
        <f>_xlfn.XLOOKUP(Assumptions!$B$2,Assumptions!$F$4:$H$4,Assumptions!$F$6:$H$6)</f>
        <v>17</v>
      </c>
      <c r="K797" s="12">
        <f>_xlfn.XLOOKUP(Assumptions!$B$2,Assumptions!$F$4:$H$4,Assumptions!$F$8:$H$8)</f>
        <v>0.1</v>
      </c>
      <c r="L797" s="12">
        <f>_xlfn.XLOOKUP(Assumptions!$B$2,Assumptions!$F$4:$H$4,Assumptions!$F$9:$H$9)</f>
        <v>0.18</v>
      </c>
      <c r="M797" s="18">
        <f>_xlfn.XLOOKUP(Assumptions!$B$2,Assumptions!$F$4:$H$4,Assumptions!$F$10:$H$10)</f>
        <v>18000</v>
      </c>
      <c r="N797" s="12">
        <f>_xlfn.XLOOKUP(Assumptions!$B$2,Assumptions!$F$4:$H$4,Assumptions!$F$11:$H$11)</f>
        <v>0.3</v>
      </c>
      <c r="O797" s="14">
        <f>Final_Table[[#This Row],[Units Sold]]*Final_Table[[#This Row],[Sale Price]]</f>
        <v>20400</v>
      </c>
      <c r="P797" s="14">
        <f>Final_Table[[#This Row],[Gross Revenue]]*(1-Final_Table[[#This Row],[Discount %]])</f>
        <v>18360</v>
      </c>
      <c r="Q797">
        <f>Final_Table[[#This Row],[Net Revenue]]*Final_Table[[#This Row],[Variable Cost %]]</f>
        <v>3304.7999999999997</v>
      </c>
      <c r="R797">
        <f>Final_Table[[#This Row],[Variable Cost]]+Final_Table[[#This Row],[Fixed Monthly Cost]]</f>
        <v>21304.799999999999</v>
      </c>
      <c r="S797" s="5">
        <f>Final_Table[[#This Row],[Net Revenue]]-Final_Table[[#This Row],[Total Cost (COGS)]]</f>
        <v>-2944.7999999999993</v>
      </c>
      <c r="T797">
        <f>Final_Table[[#This Row],[Gross Profit]]*Final_Table[[#This Row],[Tax Rate]]</f>
        <v>-883.43999999999971</v>
      </c>
      <c r="U797" s="5">
        <f>Final_Table[[#This Row],[Gross Profit]]-Final_Table[[#This Row],[Tax]]</f>
        <v>-2061.3599999999997</v>
      </c>
      <c r="V797" s="12">
        <f>Final_Table[[#This Row],[Net Profit]]/Final_Table[[#This Row],[Gross Revenue]]</f>
        <v>-0.10104705882352939</v>
      </c>
    </row>
    <row r="798" spans="1:22">
      <c r="A798" s="18" t="s">
        <v>73</v>
      </c>
      <c r="B798">
        <v>2014</v>
      </c>
      <c r="C798" t="s">
        <v>124</v>
      </c>
      <c r="D798">
        <v>1</v>
      </c>
      <c r="E798" s="18" t="s">
        <v>29</v>
      </c>
      <c r="F798" s="18" t="s">
        <v>114</v>
      </c>
      <c r="G798" s="18" t="s">
        <v>23</v>
      </c>
      <c r="H798" s="18" t="str">
        <f>Assumptions!$B$2</f>
        <v>Worst</v>
      </c>
      <c r="I798" s="18">
        <f>_xlfn.XLOOKUP(Assumptions!$B$2,Assumptions!$F$4:$H$4,Assumptions!$F$5:$H$5)</f>
        <v>1200</v>
      </c>
      <c r="J798" s="18">
        <f>_xlfn.XLOOKUP(Assumptions!$B$2,Assumptions!$F$4:$H$4,Assumptions!$F$6:$H$6)</f>
        <v>17</v>
      </c>
      <c r="K798" s="12">
        <f>_xlfn.XLOOKUP(Assumptions!$B$2,Assumptions!$F$4:$H$4,Assumptions!$F$8:$H$8)</f>
        <v>0.1</v>
      </c>
      <c r="L798" s="12">
        <f>_xlfn.XLOOKUP(Assumptions!$B$2,Assumptions!$F$4:$H$4,Assumptions!$F$9:$H$9)</f>
        <v>0.18</v>
      </c>
      <c r="M798" s="18">
        <f>_xlfn.XLOOKUP(Assumptions!$B$2,Assumptions!$F$4:$H$4,Assumptions!$F$10:$H$10)</f>
        <v>18000</v>
      </c>
      <c r="N798" s="12">
        <f>_xlfn.XLOOKUP(Assumptions!$B$2,Assumptions!$F$4:$H$4,Assumptions!$F$11:$H$11)</f>
        <v>0.3</v>
      </c>
      <c r="O798" s="14">
        <f>Final_Table[[#This Row],[Units Sold]]*Final_Table[[#This Row],[Sale Price]]</f>
        <v>20400</v>
      </c>
      <c r="P798" s="14">
        <f>Final_Table[[#This Row],[Gross Revenue]]*(1-Final_Table[[#This Row],[Discount %]])</f>
        <v>18360</v>
      </c>
      <c r="Q798">
        <f>Final_Table[[#This Row],[Net Revenue]]*Final_Table[[#This Row],[Variable Cost %]]</f>
        <v>3304.7999999999997</v>
      </c>
      <c r="R798">
        <f>Final_Table[[#This Row],[Variable Cost]]+Final_Table[[#This Row],[Fixed Monthly Cost]]</f>
        <v>21304.799999999999</v>
      </c>
      <c r="S798" s="5">
        <f>Final_Table[[#This Row],[Net Revenue]]-Final_Table[[#This Row],[Total Cost (COGS)]]</f>
        <v>-2944.7999999999993</v>
      </c>
      <c r="T798">
        <f>Final_Table[[#This Row],[Gross Profit]]*Final_Table[[#This Row],[Tax Rate]]</f>
        <v>-883.43999999999971</v>
      </c>
      <c r="U798" s="5">
        <f>Final_Table[[#This Row],[Gross Profit]]-Final_Table[[#This Row],[Tax]]</f>
        <v>-2061.3599999999997</v>
      </c>
      <c r="V798" s="12">
        <f>Final_Table[[#This Row],[Net Profit]]/Final_Table[[#This Row],[Gross Revenue]]</f>
        <v>-0.10104705882352939</v>
      </c>
    </row>
    <row r="799" spans="1:22">
      <c r="A799" s="18" t="s">
        <v>73</v>
      </c>
      <c r="B799">
        <v>2014</v>
      </c>
      <c r="C799" t="s">
        <v>124</v>
      </c>
      <c r="D799">
        <v>1</v>
      </c>
      <c r="E799" s="18" t="s">
        <v>29</v>
      </c>
      <c r="F799" s="18" t="s">
        <v>114</v>
      </c>
      <c r="G799" s="18" t="s">
        <v>21</v>
      </c>
      <c r="H799" s="18" t="str">
        <f>Assumptions!$B$2</f>
        <v>Worst</v>
      </c>
      <c r="I799" s="18">
        <f>_xlfn.XLOOKUP(Assumptions!$B$2,Assumptions!$F$4:$H$4,Assumptions!$F$5:$H$5)</f>
        <v>1200</v>
      </c>
      <c r="J799" s="18">
        <f>_xlfn.XLOOKUP(Assumptions!$B$2,Assumptions!$F$4:$H$4,Assumptions!$F$6:$H$6)</f>
        <v>17</v>
      </c>
      <c r="K799" s="12">
        <f>_xlfn.XLOOKUP(Assumptions!$B$2,Assumptions!$F$4:$H$4,Assumptions!$F$8:$H$8)</f>
        <v>0.1</v>
      </c>
      <c r="L799" s="12">
        <f>_xlfn.XLOOKUP(Assumptions!$B$2,Assumptions!$F$4:$H$4,Assumptions!$F$9:$H$9)</f>
        <v>0.18</v>
      </c>
      <c r="M799" s="18">
        <f>_xlfn.XLOOKUP(Assumptions!$B$2,Assumptions!$F$4:$H$4,Assumptions!$F$10:$H$10)</f>
        <v>18000</v>
      </c>
      <c r="N799" s="12">
        <f>_xlfn.XLOOKUP(Assumptions!$B$2,Assumptions!$F$4:$H$4,Assumptions!$F$11:$H$11)</f>
        <v>0.3</v>
      </c>
      <c r="O799" s="14">
        <f>Final_Table[[#This Row],[Units Sold]]*Final_Table[[#This Row],[Sale Price]]</f>
        <v>20400</v>
      </c>
      <c r="P799" s="14">
        <f>Final_Table[[#This Row],[Gross Revenue]]*(1-Final_Table[[#This Row],[Discount %]])</f>
        <v>18360</v>
      </c>
      <c r="Q799">
        <f>Final_Table[[#This Row],[Net Revenue]]*Final_Table[[#This Row],[Variable Cost %]]</f>
        <v>3304.7999999999997</v>
      </c>
      <c r="R799">
        <f>Final_Table[[#This Row],[Variable Cost]]+Final_Table[[#This Row],[Fixed Monthly Cost]]</f>
        <v>21304.799999999999</v>
      </c>
      <c r="S799" s="5">
        <f>Final_Table[[#This Row],[Net Revenue]]-Final_Table[[#This Row],[Total Cost (COGS)]]</f>
        <v>-2944.7999999999993</v>
      </c>
      <c r="T799">
        <f>Final_Table[[#This Row],[Gross Profit]]*Final_Table[[#This Row],[Tax Rate]]</f>
        <v>-883.43999999999971</v>
      </c>
      <c r="U799" s="5">
        <f>Final_Table[[#This Row],[Gross Profit]]-Final_Table[[#This Row],[Tax]]</f>
        <v>-2061.3599999999997</v>
      </c>
      <c r="V799" s="12">
        <f>Final_Table[[#This Row],[Net Profit]]/Final_Table[[#This Row],[Gross Revenue]]</f>
        <v>-0.10104705882352939</v>
      </c>
    </row>
    <row r="800" spans="1:22">
      <c r="A800" s="18" t="s">
        <v>73</v>
      </c>
      <c r="B800">
        <v>2014</v>
      </c>
      <c r="C800" t="s">
        <v>124</v>
      </c>
      <c r="D800">
        <v>1</v>
      </c>
      <c r="E800" s="18" t="s">
        <v>29</v>
      </c>
      <c r="F800" s="18" t="s">
        <v>114</v>
      </c>
      <c r="G800" s="18" t="s">
        <v>25</v>
      </c>
      <c r="H800" s="18" t="str">
        <f>Assumptions!$B$2</f>
        <v>Worst</v>
      </c>
      <c r="I800" s="18">
        <f>_xlfn.XLOOKUP(Assumptions!$B$2,Assumptions!$F$4:$H$4,Assumptions!$F$5:$H$5)</f>
        <v>1200</v>
      </c>
      <c r="J800" s="18">
        <f>_xlfn.XLOOKUP(Assumptions!$B$2,Assumptions!$F$4:$H$4,Assumptions!$F$6:$H$6)</f>
        <v>17</v>
      </c>
      <c r="K800" s="12">
        <f>_xlfn.XLOOKUP(Assumptions!$B$2,Assumptions!$F$4:$H$4,Assumptions!$F$8:$H$8)</f>
        <v>0.1</v>
      </c>
      <c r="L800" s="12">
        <f>_xlfn.XLOOKUP(Assumptions!$B$2,Assumptions!$F$4:$H$4,Assumptions!$F$9:$H$9)</f>
        <v>0.18</v>
      </c>
      <c r="M800" s="18">
        <f>_xlfn.XLOOKUP(Assumptions!$B$2,Assumptions!$F$4:$H$4,Assumptions!$F$10:$H$10)</f>
        <v>18000</v>
      </c>
      <c r="N800" s="12">
        <f>_xlfn.XLOOKUP(Assumptions!$B$2,Assumptions!$F$4:$H$4,Assumptions!$F$11:$H$11)</f>
        <v>0.3</v>
      </c>
      <c r="O800" s="14">
        <f>Final_Table[[#This Row],[Units Sold]]*Final_Table[[#This Row],[Sale Price]]</f>
        <v>20400</v>
      </c>
      <c r="P800" s="14">
        <f>Final_Table[[#This Row],[Gross Revenue]]*(1-Final_Table[[#This Row],[Discount %]])</f>
        <v>18360</v>
      </c>
      <c r="Q800">
        <f>Final_Table[[#This Row],[Net Revenue]]*Final_Table[[#This Row],[Variable Cost %]]</f>
        <v>3304.7999999999997</v>
      </c>
      <c r="R800">
        <f>Final_Table[[#This Row],[Variable Cost]]+Final_Table[[#This Row],[Fixed Monthly Cost]]</f>
        <v>21304.799999999999</v>
      </c>
      <c r="S800" s="5">
        <f>Final_Table[[#This Row],[Net Revenue]]-Final_Table[[#This Row],[Total Cost (COGS)]]</f>
        <v>-2944.7999999999993</v>
      </c>
      <c r="T800">
        <f>Final_Table[[#This Row],[Gross Profit]]*Final_Table[[#This Row],[Tax Rate]]</f>
        <v>-883.43999999999971</v>
      </c>
      <c r="U800" s="5">
        <f>Final_Table[[#This Row],[Gross Profit]]-Final_Table[[#This Row],[Tax]]</f>
        <v>-2061.3599999999997</v>
      </c>
      <c r="V800" s="12">
        <f>Final_Table[[#This Row],[Net Profit]]/Final_Table[[#This Row],[Gross Revenue]]</f>
        <v>-0.10104705882352939</v>
      </c>
    </row>
    <row r="801" spans="1:22">
      <c r="A801" s="18" t="s">
        <v>73</v>
      </c>
      <c r="B801">
        <v>2014</v>
      </c>
      <c r="C801" t="s">
        <v>124</v>
      </c>
      <c r="D801">
        <v>1</v>
      </c>
      <c r="E801" s="18" t="s">
        <v>29</v>
      </c>
      <c r="F801" s="18" t="s">
        <v>114</v>
      </c>
      <c r="G801" s="18" t="s">
        <v>17</v>
      </c>
      <c r="H801" s="18" t="str">
        <f>Assumptions!$B$2</f>
        <v>Worst</v>
      </c>
      <c r="I801" s="18">
        <f>_xlfn.XLOOKUP(Assumptions!$B$2,Assumptions!$F$4:$H$4,Assumptions!$F$5:$H$5)</f>
        <v>1200</v>
      </c>
      <c r="J801" s="18">
        <f>_xlfn.XLOOKUP(Assumptions!$B$2,Assumptions!$F$4:$H$4,Assumptions!$F$6:$H$6)</f>
        <v>17</v>
      </c>
      <c r="K801" s="12">
        <f>_xlfn.XLOOKUP(Assumptions!$B$2,Assumptions!$F$4:$H$4,Assumptions!$F$8:$H$8)</f>
        <v>0.1</v>
      </c>
      <c r="L801" s="12">
        <f>_xlfn.XLOOKUP(Assumptions!$B$2,Assumptions!$F$4:$H$4,Assumptions!$F$9:$H$9)</f>
        <v>0.18</v>
      </c>
      <c r="M801" s="18">
        <f>_xlfn.XLOOKUP(Assumptions!$B$2,Assumptions!$F$4:$H$4,Assumptions!$F$10:$H$10)</f>
        <v>18000</v>
      </c>
      <c r="N801" s="12">
        <f>_xlfn.XLOOKUP(Assumptions!$B$2,Assumptions!$F$4:$H$4,Assumptions!$F$11:$H$11)</f>
        <v>0.3</v>
      </c>
      <c r="O801" s="14">
        <f>Final_Table[[#This Row],[Units Sold]]*Final_Table[[#This Row],[Sale Price]]</f>
        <v>20400</v>
      </c>
      <c r="P801" s="14">
        <f>Final_Table[[#This Row],[Gross Revenue]]*(1-Final_Table[[#This Row],[Discount %]])</f>
        <v>18360</v>
      </c>
      <c r="Q801">
        <f>Final_Table[[#This Row],[Net Revenue]]*Final_Table[[#This Row],[Variable Cost %]]</f>
        <v>3304.7999999999997</v>
      </c>
      <c r="R801">
        <f>Final_Table[[#This Row],[Variable Cost]]+Final_Table[[#This Row],[Fixed Monthly Cost]]</f>
        <v>21304.799999999999</v>
      </c>
      <c r="S801" s="5">
        <f>Final_Table[[#This Row],[Net Revenue]]-Final_Table[[#This Row],[Total Cost (COGS)]]</f>
        <v>-2944.7999999999993</v>
      </c>
      <c r="T801">
        <f>Final_Table[[#This Row],[Gross Profit]]*Final_Table[[#This Row],[Tax Rate]]</f>
        <v>-883.43999999999971</v>
      </c>
      <c r="U801" s="5">
        <f>Final_Table[[#This Row],[Gross Profit]]-Final_Table[[#This Row],[Tax]]</f>
        <v>-2061.3599999999997</v>
      </c>
      <c r="V801" s="12">
        <f>Final_Table[[#This Row],[Net Profit]]/Final_Table[[#This Row],[Gross Revenue]]</f>
        <v>-0.10104705882352939</v>
      </c>
    </row>
    <row r="802" spans="1:22">
      <c r="A802" s="18" t="s">
        <v>73</v>
      </c>
      <c r="B802">
        <v>2014</v>
      </c>
      <c r="C802" t="s">
        <v>124</v>
      </c>
      <c r="D802">
        <v>1</v>
      </c>
      <c r="E802" s="18" t="s">
        <v>22</v>
      </c>
      <c r="F802" s="18" t="s">
        <v>80</v>
      </c>
      <c r="G802" s="18" t="s">
        <v>36</v>
      </c>
      <c r="H802" s="18" t="str">
        <f>Assumptions!$B$2</f>
        <v>Worst</v>
      </c>
      <c r="I802" s="18">
        <f>_xlfn.XLOOKUP(Assumptions!$B$2,Assumptions!$F$4:$H$4,Assumptions!$F$5:$H$5)</f>
        <v>1200</v>
      </c>
      <c r="J802" s="18">
        <f>_xlfn.XLOOKUP(Assumptions!$B$2,Assumptions!$F$4:$H$4,Assumptions!$F$6:$H$6)</f>
        <v>17</v>
      </c>
      <c r="K802" s="12">
        <f>_xlfn.XLOOKUP(Assumptions!$B$2,Assumptions!$F$4:$H$4,Assumptions!$F$8:$H$8)</f>
        <v>0.1</v>
      </c>
      <c r="L802" s="12">
        <f>_xlfn.XLOOKUP(Assumptions!$B$2,Assumptions!$F$4:$H$4,Assumptions!$F$9:$H$9)</f>
        <v>0.18</v>
      </c>
      <c r="M802" s="18">
        <f>_xlfn.XLOOKUP(Assumptions!$B$2,Assumptions!$F$4:$H$4,Assumptions!$F$10:$H$10)</f>
        <v>18000</v>
      </c>
      <c r="N802" s="12">
        <f>_xlfn.XLOOKUP(Assumptions!$B$2,Assumptions!$F$4:$H$4,Assumptions!$F$11:$H$11)</f>
        <v>0.3</v>
      </c>
      <c r="O802" s="14">
        <f>Final_Table[[#This Row],[Units Sold]]*Final_Table[[#This Row],[Sale Price]]</f>
        <v>20400</v>
      </c>
      <c r="P802" s="14">
        <f>Final_Table[[#This Row],[Gross Revenue]]*(1-Final_Table[[#This Row],[Discount %]])</f>
        <v>18360</v>
      </c>
      <c r="Q802">
        <f>Final_Table[[#This Row],[Net Revenue]]*Final_Table[[#This Row],[Variable Cost %]]</f>
        <v>3304.7999999999997</v>
      </c>
      <c r="R802">
        <f>Final_Table[[#This Row],[Variable Cost]]+Final_Table[[#This Row],[Fixed Monthly Cost]]</f>
        <v>21304.799999999999</v>
      </c>
      <c r="S802" s="5">
        <f>Final_Table[[#This Row],[Net Revenue]]-Final_Table[[#This Row],[Total Cost (COGS)]]</f>
        <v>-2944.7999999999993</v>
      </c>
      <c r="T802">
        <f>Final_Table[[#This Row],[Gross Profit]]*Final_Table[[#This Row],[Tax Rate]]</f>
        <v>-883.43999999999971</v>
      </c>
      <c r="U802" s="5">
        <f>Final_Table[[#This Row],[Gross Profit]]-Final_Table[[#This Row],[Tax]]</f>
        <v>-2061.3599999999997</v>
      </c>
      <c r="V802" s="12">
        <f>Final_Table[[#This Row],[Net Profit]]/Final_Table[[#This Row],[Gross Revenue]]</f>
        <v>-0.10104705882352939</v>
      </c>
    </row>
    <row r="803" spans="1:22">
      <c r="A803" s="18" t="s">
        <v>73</v>
      </c>
      <c r="B803">
        <v>2014</v>
      </c>
      <c r="C803" t="s">
        <v>124</v>
      </c>
      <c r="D803">
        <v>1</v>
      </c>
      <c r="E803" s="18" t="s">
        <v>22</v>
      </c>
      <c r="F803" s="18" t="s">
        <v>80</v>
      </c>
      <c r="G803" s="18" t="s">
        <v>23</v>
      </c>
      <c r="H803" s="18" t="str">
        <f>Assumptions!$B$2</f>
        <v>Worst</v>
      </c>
      <c r="I803" s="18">
        <f>_xlfn.XLOOKUP(Assumptions!$B$2,Assumptions!$F$4:$H$4,Assumptions!$F$5:$H$5)</f>
        <v>1200</v>
      </c>
      <c r="J803" s="18">
        <f>_xlfn.XLOOKUP(Assumptions!$B$2,Assumptions!$F$4:$H$4,Assumptions!$F$6:$H$6)</f>
        <v>17</v>
      </c>
      <c r="K803" s="12">
        <f>_xlfn.XLOOKUP(Assumptions!$B$2,Assumptions!$F$4:$H$4,Assumptions!$F$8:$H$8)</f>
        <v>0.1</v>
      </c>
      <c r="L803" s="12">
        <f>_xlfn.XLOOKUP(Assumptions!$B$2,Assumptions!$F$4:$H$4,Assumptions!$F$9:$H$9)</f>
        <v>0.18</v>
      </c>
      <c r="M803" s="18">
        <f>_xlfn.XLOOKUP(Assumptions!$B$2,Assumptions!$F$4:$H$4,Assumptions!$F$10:$H$10)</f>
        <v>18000</v>
      </c>
      <c r="N803" s="12">
        <f>_xlfn.XLOOKUP(Assumptions!$B$2,Assumptions!$F$4:$H$4,Assumptions!$F$11:$H$11)</f>
        <v>0.3</v>
      </c>
      <c r="O803" s="14">
        <f>Final_Table[[#This Row],[Units Sold]]*Final_Table[[#This Row],[Sale Price]]</f>
        <v>20400</v>
      </c>
      <c r="P803" s="14">
        <f>Final_Table[[#This Row],[Gross Revenue]]*(1-Final_Table[[#This Row],[Discount %]])</f>
        <v>18360</v>
      </c>
      <c r="Q803">
        <f>Final_Table[[#This Row],[Net Revenue]]*Final_Table[[#This Row],[Variable Cost %]]</f>
        <v>3304.7999999999997</v>
      </c>
      <c r="R803">
        <f>Final_Table[[#This Row],[Variable Cost]]+Final_Table[[#This Row],[Fixed Monthly Cost]]</f>
        <v>21304.799999999999</v>
      </c>
      <c r="S803" s="5">
        <f>Final_Table[[#This Row],[Net Revenue]]-Final_Table[[#This Row],[Total Cost (COGS)]]</f>
        <v>-2944.7999999999993</v>
      </c>
      <c r="T803">
        <f>Final_Table[[#This Row],[Gross Profit]]*Final_Table[[#This Row],[Tax Rate]]</f>
        <v>-883.43999999999971</v>
      </c>
      <c r="U803" s="5">
        <f>Final_Table[[#This Row],[Gross Profit]]-Final_Table[[#This Row],[Tax]]</f>
        <v>-2061.3599999999997</v>
      </c>
      <c r="V803" s="12">
        <f>Final_Table[[#This Row],[Net Profit]]/Final_Table[[#This Row],[Gross Revenue]]</f>
        <v>-0.10104705882352939</v>
      </c>
    </row>
    <row r="804" spans="1:22">
      <c r="A804" s="18" t="s">
        <v>73</v>
      </c>
      <c r="B804">
        <v>2014</v>
      </c>
      <c r="C804" t="s">
        <v>124</v>
      </c>
      <c r="D804">
        <v>1</v>
      </c>
      <c r="E804" s="18" t="s">
        <v>22</v>
      </c>
      <c r="F804" s="18" t="s">
        <v>80</v>
      </c>
      <c r="G804" s="18" t="s">
        <v>21</v>
      </c>
      <c r="H804" s="18" t="str">
        <f>Assumptions!$B$2</f>
        <v>Worst</v>
      </c>
      <c r="I804" s="18">
        <f>_xlfn.XLOOKUP(Assumptions!$B$2,Assumptions!$F$4:$H$4,Assumptions!$F$5:$H$5)</f>
        <v>1200</v>
      </c>
      <c r="J804" s="18">
        <f>_xlfn.XLOOKUP(Assumptions!$B$2,Assumptions!$F$4:$H$4,Assumptions!$F$6:$H$6)</f>
        <v>17</v>
      </c>
      <c r="K804" s="12">
        <f>_xlfn.XLOOKUP(Assumptions!$B$2,Assumptions!$F$4:$H$4,Assumptions!$F$8:$H$8)</f>
        <v>0.1</v>
      </c>
      <c r="L804" s="12">
        <f>_xlfn.XLOOKUP(Assumptions!$B$2,Assumptions!$F$4:$H$4,Assumptions!$F$9:$H$9)</f>
        <v>0.18</v>
      </c>
      <c r="M804" s="18">
        <f>_xlfn.XLOOKUP(Assumptions!$B$2,Assumptions!$F$4:$H$4,Assumptions!$F$10:$H$10)</f>
        <v>18000</v>
      </c>
      <c r="N804" s="12">
        <f>_xlfn.XLOOKUP(Assumptions!$B$2,Assumptions!$F$4:$H$4,Assumptions!$F$11:$H$11)</f>
        <v>0.3</v>
      </c>
      <c r="O804" s="14">
        <f>Final_Table[[#This Row],[Units Sold]]*Final_Table[[#This Row],[Sale Price]]</f>
        <v>20400</v>
      </c>
      <c r="P804" s="14">
        <f>Final_Table[[#This Row],[Gross Revenue]]*(1-Final_Table[[#This Row],[Discount %]])</f>
        <v>18360</v>
      </c>
      <c r="Q804">
        <f>Final_Table[[#This Row],[Net Revenue]]*Final_Table[[#This Row],[Variable Cost %]]</f>
        <v>3304.7999999999997</v>
      </c>
      <c r="R804">
        <f>Final_Table[[#This Row],[Variable Cost]]+Final_Table[[#This Row],[Fixed Monthly Cost]]</f>
        <v>21304.799999999999</v>
      </c>
      <c r="S804" s="5">
        <f>Final_Table[[#This Row],[Net Revenue]]-Final_Table[[#This Row],[Total Cost (COGS)]]</f>
        <v>-2944.7999999999993</v>
      </c>
      <c r="T804">
        <f>Final_Table[[#This Row],[Gross Profit]]*Final_Table[[#This Row],[Tax Rate]]</f>
        <v>-883.43999999999971</v>
      </c>
      <c r="U804" s="5">
        <f>Final_Table[[#This Row],[Gross Profit]]-Final_Table[[#This Row],[Tax]]</f>
        <v>-2061.3599999999997</v>
      </c>
      <c r="V804" s="12">
        <f>Final_Table[[#This Row],[Net Profit]]/Final_Table[[#This Row],[Gross Revenue]]</f>
        <v>-0.10104705882352939</v>
      </c>
    </row>
    <row r="805" spans="1:22">
      <c r="A805" s="18" t="s">
        <v>73</v>
      </c>
      <c r="B805">
        <v>2014</v>
      </c>
      <c r="C805" t="s">
        <v>124</v>
      </c>
      <c r="D805">
        <v>1</v>
      </c>
      <c r="E805" s="18" t="s">
        <v>22</v>
      </c>
      <c r="F805" s="18" t="s">
        <v>80</v>
      </c>
      <c r="G805" s="18" t="s">
        <v>25</v>
      </c>
      <c r="H805" s="18" t="str">
        <f>Assumptions!$B$2</f>
        <v>Worst</v>
      </c>
      <c r="I805" s="18">
        <f>_xlfn.XLOOKUP(Assumptions!$B$2,Assumptions!$F$4:$H$4,Assumptions!$F$5:$H$5)</f>
        <v>1200</v>
      </c>
      <c r="J805" s="18">
        <f>_xlfn.XLOOKUP(Assumptions!$B$2,Assumptions!$F$4:$H$4,Assumptions!$F$6:$H$6)</f>
        <v>17</v>
      </c>
      <c r="K805" s="12">
        <f>_xlfn.XLOOKUP(Assumptions!$B$2,Assumptions!$F$4:$H$4,Assumptions!$F$8:$H$8)</f>
        <v>0.1</v>
      </c>
      <c r="L805" s="12">
        <f>_xlfn.XLOOKUP(Assumptions!$B$2,Assumptions!$F$4:$H$4,Assumptions!$F$9:$H$9)</f>
        <v>0.18</v>
      </c>
      <c r="M805" s="18">
        <f>_xlfn.XLOOKUP(Assumptions!$B$2,Assumptions!$F$4:$H$4,Assumptions!$F$10:$H$10)</f>
        <v>18000</v>
      </c>
      <c r="N805" s="12">
        <f>_xlfn.XLOOKUP(Assumptions!$B$2,Assumptions!$F$4:$H$4,Assumptions!$F$11:$H$11)</f>
        <v>0.3</v>
      </c>
      <c r="O805" s="14">
        <f>Final_Table[[#This Row],[Units Sold]]*Final_Table[[#This Row],[Sale Price]]</f>
        <v>20400</v>
      </c>
      <c r="P805" s="14">
        <f>Final_Table[[#This Row],[Gross Revenue]]*(1-Final_Table[[#This Row],[Discount %]])</f>
        <v>18360</v>
      </c>
      <c r="Q805">
        <f>Final_Table[[#This Row],[Net Revenue]]*Final_Table[[#This Row],[Variable Cost %]]</f>
        <v>3304.7999999999997</v>
      </c>
      <c r="R805">
        <f>Final_Table[[#This Row],[Variable Cost]]+Final_Table[[#This Row],[Fixed Monthly Cost]]</f>
        <v>21304.799999999999</v>
      </c>
      <c r="S805" s="5">
        <f>Final_Table[[#This Row],[Net Revenue]]-Final_Table[[#This Row],[Total Cost (COGS)]]</f>
        <v>-2944.7999999999993</v>
      </c>
      <c r="T805">
        <f>Final_Table[[#This Row],[Gross Profit]]*Final_Table[[#This Row],[Tax Rate]]</f>
        <v>-883.43999999999971</v>
      </c>
      <c r="U805" s="5">
        <f>Final_Table[[#This Row],[Gross Profit]]-Final_Table[[#This Row],[Tax]]</f>
        <v>-2061.3599999999997</v>
      </c>
      <c r="V805" s="12">
        <f>Final_Table[[#This Row],[Net Profit]]/Final_Table[[#This Row],[Gross Revenue]]</f>
        <v>-0.10104705882352939</v>
      </c>
    </row>
    <row r="806" spans="1:22">
      <c r="A806" s="18" t="s">
        <v>73</v>
      </c>
      <c r="B806">
        <v>2014</v>
      </c>
      <c r="C806" t="s">
        <v>124</v>
      </c>
      <c r="D806">
        <v>1</v>
      </c>
      <c r="E806" s="18" t="s">
        <v>22</v>
      </c>
      <c r="F806" s="18" t="s">
        <v>80</v>
      </c>
      <c r="G806" s="18" t="s">
        <v>17</v>
      </c>
      <c r="H806" s="18" t="str">
        <f>Assumptions!$B$2</f>
        <v>Worst</v>
      </c>
      <c r="I806" s="18">
        <f>_xlfn.XLOOKUP(Assumptions!$B$2,Assumptions!$F$4:$H$4,Assumptions!$F$5:$H$5)</f>
        <v>1200</v>
      </c>
      <c r="J806" s="18">
        <f>_xlfn.XLOOKUP(Assumptions!$B$2,Assumptions!$F$4:$H$4,Assumptions!$F$6:$H$6)</f>
        <v>17</v>
      </c>
      <c r="K806" s="12">
        <f>_xlfn.XLOOKUP(Assumptions!$B$2,Assumptions!$F$4:$H$4,Assumptions!$F$8:$H$8)</f>
        <v>0.1</v>
      </c>
      <c r="L806" s="12">
        <f>_xlfn.XLOOKUP(Assumptions!$B$2,Assumptions!$F$4:$H$4,Assumptions!$F$9:$H$9)</f>
        <v>0.18</v>
      </c>
      <c r="M806" s="18">
        <f>_xlfn.XLOOKUP(Assumptions!$B$2,Assumptions!$F$4:$H$4,Assumptions!$F$10:$H$10)</f>
        <v>18000</v>
      </c>
      <c r="N806" s="12">
        <f>_xlfn.XLOOKUP(Assumptions!$B$2,Assumptions!$F$4:$H$4,Assumptions!$F$11:$H$11)</f>
        <v>0.3</v>
      </c>
      <c r="O806" s="14">
        <f>Final_Table[[#This Row],[Units Sold]]*Final_Table[[#This Row],[Sale Price]]</f>
        <v>20400</v>
      </c>
      <c r="P806" s="14">
        <f>Final_Table[[#This Row],[Gross Revenue]]*(1-Final_Table[[#This Row],[Discount %]])</f>
        <v>18360</v>
      </c>
      <c r="Q806">
        <f>Final_Table[[#This Row],[Net Revenue]]*Final_Table[[#This Row],[Variable Cost %]]</f>
        <v>3304.7999999999997</v>
      </c>
      <c r="R806">
        <f>Final_Table[[#This Row],[Variable Cost]]+Final_Table[[#This Row],[Fixed Monthly Cost]]</f>
        <v>21304.799999999999</v>
      </c>
      <c r="S806" s="5">
        <f>Final_Table[[#This Row],[Net Revenue]]-Final_Table[[#This Row],[Total Cost (COGS)]]</f>
        <v>-2944.7999999999993</v>
      </c>
      <c r="T806">
        <f>Final_Table[[#This Row],[Gross Profit]]*Final_Table[[#This Row],[Tax Rate]]</f>
        <v>-883.43999999999971</v>
      </c>
      <c r="U806" s="5">
        <f>Final_Table[[#This Row],[Gross Profit]]-Final_Table[[#This Row],[Tax]]</f>
        <v>-2061.3599999999997</v>
      </c>
      <c r="V806" s="12">
        <f>Final_Table[[#This Row],[Net Profit]]/Final_Table[[#This Row],[Gross Revenue]]</f>
        <v>-0.10104705882352939</v>
      </c>
    </row>
    <row r="807" spans="1:22">
      <c r="A807" s="18" t="s">
        <v>73</v>
      </c>
      <c r="B807">
        <v>2014</v>
      </c>
      <c r="C807" t="s">
        <v>124</v>
      </c>
      <c r="D807">
        <v>1</v>
      </c>
      <c r="E807" s="18" t="s">
        <v>22</v>
      </c>
      <c r="F807" s="18" t="s">
        <v>108</v>
      </c>
      <c r="G807" s="18" t="s">
        <v>36</v>
      </c>
      <c r="H807" s="18" t="str">
        <f>Assumptions!$B$2</f>
        <v>Worst</v>
      </c>
      <c r="I807" s="18">
        <f>_xlfn.XLOOKUP(Assumptions!$B$2,Assumptions!$F$4:$H$4,Assumptions!$F$5:$H$5)</f>
        <v>1200</v>
      </c>
      <c r="J807" s="18">
        <f>_xlfn.XLOOKUP(Assumptions!$B$2,Assumptions!$F$4:$H$4,Assumptions!$F$6:$H$6)</f>
        <v>17</v>
      </c>
      <c r="K807" s="12">
        <f>_xlfn.XLOOKUP(Assumptions!$B$2,Assumptions!$F$4:$H$4,Assumptions!$F$8:$H$8)</f>
        <v>0.1</v>
      </c>
      <c r="L807" s="12">
        <f>_xlfn.XLOOKUP(Assumptions!$B$2,Assumptions!$F$4:$H$4,Assumptions!$F$9:$H$9)</f>
        <v>0.18</v>
      </c>
      <c r="M807" s="18">
        <f>_xlfn.XLOOKUP(Assumptions!$B$2,Assumptions!$F$4:$H$4,Assumptions!$F$10:$H$10)</f>
        <v>18000</v>
      </c>
      <c r="N807" s="12">
        <f>_xlfn.XLOOKUP(Assumptions!$B$2,Assumptions!$F$4:$H$4,Assumptions!$F$11:$H$11)</f>
        <v>0.3</v>
      </c>
      <c r="O807" s="14">
        <f>Final_Table[[#This Row],[Units Sold]]*Final_Table[[#This Row],[Sale Price]]</f>
        <v>20400</v>
      </c>
      <c r="P807" s="14">
        <f>Final_Table[[#This Row],[Gross Revenue]]*(1-Final_Table[[#This Row],[Discount %]])</f>
        <v>18360</v>
      </c>
      <c r="Q807">
        <f>Final_Table[[#This Row],[Net Revenue]]*Final_Table[[#This Row],[Variable Cost %]]</f>
        <v>3304.7999999999997</v>
      </c>
      <c r="R807">
        <f>Final_Table[[#This Row],[Variable Cost]]+Final_Table[[#This Row],[Fixed Monthly Cost]]</f>
        <v>21304.799999999999</v>
      </c>
      <c r="S807" s="5">
        <f>Final_Table[[#This Row],[Net Revenue]]-Final_Table[[#This Row],[Total Cost (COGS)]]</f>
        <v>-2944.7999999999993</v>
      </c>
      <c r="T807">
        <f>Final_Table[[#This Row],[Gross Profit]]*Final_Table[[#This Row],[Tax Rate]]</f>
        <v>-883.43999999999971</v>
      </c>
      <c r="U807" s="5">
        <f>Final_Table[[#This Row],[Gross Profit]]-Final_Table[[#This Row],[Tax]]</f>
        <v>-2061.3599999999997</v>
      </c>
      <c r="V807" s="12">
        <f>Final_Table[[#This Row],[Net Profit]]/Final_Table[[#This Row],[Gross Revenue]]</f>
        <v>-0.10104705882352939</v>
      </c>
    </row>
    <row r="808" spans="1:22">
      <c r="A808" s="18" t="s">
        <v>73</v>
      </c>
      <c r="B808">
        <v>2014</v>
      </c>
      <c r="C808" t="s">
        <v>124</v>
      </c>
      <c r="D808">
        <v>1</v>
      </c>
      <c r="E808" s="18" t="s">
        <v>22</v>
      </c>
      <c r="F808" s="18" t="s">
        <v>108</v>
      </c>
      <c r="G808" s="18" t="s">
        <v>23</v>
      </c>
      <c r="H808" s="18" t="str">
        <f>Assumptions!$B$2</f>
        <v>Worst</v>
      </c>
      <c r="I808" s="18">
        <f>_xlfn.XLOOKUP(Assumptions!$B$2,Assumptions!$F$4:$H$4,Assumptions!$F$5:$H$5)</f>
        <v>1200</v>
      </c>
      <c r="J808" s="18">
        <f>_xlfn.XLOOKUP(Assumptions!$B$2,Assumptions!$F$4:$H$4,Assumptions!$F$6:$H$6)</f>
        <v>17</v>
      </c>
      <c r="K808" s="12">
        <f>_xlfn.XLOOKUP(Assumptions!$B$2,Assumptions!$F$4:$H$4,Assumptions!$F$8:$H$8)</f>
        <v>0.1</v>
      </c>
      <c r="L808" s="12">
        <f>_xlfn.XLOOKUP(Assumptions!$B$2,Assumptions!$F$4:$H$4,Assumptions!$F$9:$H$9)</f>
        <v>0.18</v>
      </c>
      <c r="M808" s="18">
        <f>_xlfn.XLOOKUP(Assumptions!$B$2,Assumptions!$F$4:$H$4,Assumptions!$F$10:$H$10)</f>
        <v>18000</v>
      </c>
      <c r="N808" s="12">
        <f>_xlfn.XLOOKUP(Assumptions!$B$2,Assumptions!$F$4:$H$4,Assumptions!$F$11:$H$11)</f>
        <v>0.3</v>
      </c>
      <c r="O808" s="14">
        <f>Final_Table[[#This Row],[Units Sold]]*Final_Table[[#This Row],[Sale Price]]</f>
        <v>20400</v>
      </c>
      <c r="P808" s="14">
        <f>Final_Table[[#This Row],[Gross Revenue]]*(1-Final_Table[[#This Row],[Discount %]])</f>
        <v>18360</v>
      </c>
      <c r="Q808">
        <f>Final_Table[[#This Row],[Net Revenue]]*Final_Table[[#This Row],[Variable Cost %]]</f>
        <v>3304.7999999999997</v>
      </c>
      <c r="R808">
        <f>Final_Table[[#This Row],[Variable Cost]]+Final_Table[[#This Row],[Fixed Monthly Cost]]</f>
        <v>21304.799999999999</v>
      </c>
      <c r="S808" s="5">
        <f>Final_Table[[#This Row],[Net Revenue]]-Final_Table[[#This Row],[Total Cost (COGS)]]</f>
        <v>-2944.7999999999993</v>
      </c>
      <c r="T808">
        <f>Final_Table[[#This Row],[Gross Profit]]*Final_Table[[#This Row],[Tax Rate]]</f>
        <v>-883.43999999999971</v>
      </c>
      <c r="U808" s="5">
        <f>Final_Table[[#This Row],[Gross Profit]]-Final_Table[[#This Row],[Tax]]</f>
        <v>-2061.3599999999997</v>
      </c>
      <c r="V808" s="12">
        <f>Final_Table[[#This Row],[Net Profit]]/Final_Table[[#This Row],[Gross Revenue]]</f>
        <v>-0.10104705882352939</v>
      </c>
    </row>
    <row r="809" spans="1:22">
      <c r="A809" s="18" t="s">
        <v>73</v>
      </c>
      <c r="B809">
        <v>2014</v>
      </c>
      <c r="C809" t="s">
        <v>124</v>
      </c>
      <c r="D809">
        <v>1</v>
      </c>
      <c r="E809" s="18" t="s">
        <v>22</v>
      </c>
      <c r="F809" s="18" t="s">
        <v>108</v>
      </c>
      <c r="G809" s="18" t="s">
        <v>21</v>
      </c>
      <c r="H809" s="18" t="str">
        <f>Assumptions!$B$2</f>
        <v>Worst</v>
      </c>
      <c r="I809" s="18">
        <f>_xlfn.XLOOKUP(Assumptions!$B$2,Assumptions!$F$4:$H$4,Assumptions!$F$5:$H$5)</f>
        <v>1200</v>
      </c>
      <c r="J809" s="18">
        <f>_xlfn.XLOOKUP(Assumptions!$B$2,Assumptions!$F$4:$H$4,Assumptions!$F$6:$H$6)</f>
        <v>17</v>
      </c>
      <c r="K809" s="12">
        <f>_xlfn.XLOOKUP(Assumptions!$B$2,Assumptions!$F$4:$H$4,Assumptions!$F$8:$H$8)</f>
        <v>0.1</v>
      </c>
      <c r="L809" s="12">
        <f>_xlfn.XLOOKUP(Assumptions!$B$2,Assumptions!$F$4:$H$4,Assumptions!$F$9:$H$9)</f>
        <v>0.18</v>
      </c>
      <c r="M809" s="18">
        <f>_xlfn.XLOOKUP(Assumptions!$B$2,Assumptions!$F$4:$H$4,Assumptions!$F$10:$H$10)</f>
        <v>18000</v>
      </c>
      <c r="N809" s="12">
        <f>_xlfn.XLOOKUP(Assumptions!$B$2,Assumptions!$F$4:$H$4,Assumptions!$F$11:$H$11)</f>
        <v>0.3</v>
      </c>
      <c r="O809" s="14">
        <f>Final_Table[[#This Row],[Units Sold]]*Final_Table[[#This Row],[Sale Price]]</f>
        <v>20400</v>
      </c>
      <c r="P809" s="14">
        <f>Final_Table[[#This Row],[Gross Revenue]]*(1-Final_Table[[#This Row],[Discount %]])</f>
        <v>18360</v>
      </c>
      <c r="Q809">
        <f>Final_Table[[#This Row],[Net Revenue]]*Final_Table[[#This Row],[Variable Cost %]]</f>
        <v>3304.7999999999997</v>
      </c>
      <c r="R809">
        <f>Final_Table[[#This Row],[Variable Cost]]+Final_Table[[#This Row],[Fixed Monthly Cost]]</f>
        <v>21304.799999999999</v>
      </c>
      <c r="S809" s="5">
        <f>Final_Table[[#This Row],[Net Revenue]]-Final_Table[[#This Row],[Total Cost (COGS)]]</f>
        <v>-2944.7999999999993</v>
      </c>
      <c r="T809">
        <f>Final_Table[[#This Row],[Gross Profit]]*Final_Table[[#This Row],[Tax Rate]]</f>
        <v>-883.43999999999971</v>
      </c>
      <c r="U809" s="5">
        <f>Final_Table[[#This Row],[Gross Profit]]-Final_Table[[#This Row],[Tax]]</f>
        <v>-2061.3599999999997</v>
      </c>
      <c r="V809" s="12">
        <f>Final_Table[[#This Row],[Net Profit]]/Final_Table[[#This Row],[Gross Revenue]]</f>
        <v>-0.10104705882352939</v>
      </c>
    </row>
    <row r="810" spans="1:22">
      <c r="A810" s="18" t="s">
        <v>73</v>
      </c>
      <c r="B810">
        <v>2014</v>
      </c>
      <c r="C810" t="s">
        <v>124</v>
      </c>
      <c r="D810">
        <v>1</v>
      </c>
      <c r="E810" s="18" t="s">
        <v>22</v>
      </c>
      <c r="F810" s="18" t="s">
        <v>108</v>
      </c>
      <c r="G810" s="18" t="s">
        <v>25</v>
      </c>
      <c r="H810" s="18" t="str">
        <f>Assumptions!$B$2</f>
        <v>Worst</v>
      </c>
      <c r="I810" s="18">
        <f>_xlfn.XLOOKUP(Assumptions!$B$2,Assumptions!$F$4:$H$4,Assumptions!$F$5:$H$5)</f>
        <v>1200</v>
      </c>
      <c r="J810" s="18">
        <f>_xlfn.XLOOKUP(Assumptions!$B$2,Assumptions!$F$4:$H$4,Assumptions!$F$6:$H$6)</f>
        <v>17</v>
      </c>
      <c r="K810" s="12">
        <f>_xlfn.XLOOKUP(Assumptions!$B$2,Assumptions!$F$4:$H$4,Assumptions!$F$8:$H$8)</f>
        <v>0.1</v>
      </c>
      <c r="L810" s="12">
        <f>_xlfn.XLOOKUP(Assumptions!$B$2,Assumptions!$F$4:$H$4,Assumptions!$F$9:$H$9)</f>
        <v>0.18</v>
      </c>
      <c r="M810" s="18">
        <f>_xlfn.XLOOKUP(Assumptions!$B$2,Assumptions!$F$4:$H$4,Assumptions!$F$10:$H$10)</f>
        <v>18000</v>
      </c>
      <c r="N810" s="12">
        <f>_xlfn.XLOOKUP(Assumptions!$B$2,Assumptions!$F$4:$H$4,Assumptions!$F$11:$H$11)</f>
        <v>0.3</v>
      </c>
      <c r="O810" s="14">
        <f>Final_Table[[#This Row],[Units Sold]]*Final_Table[[#This Row],[Sale Price]]</f>
        <v>20400</v>
      </c>
      <c r="P810" s="14">
        <f>Final_Table[[#This Row],[Gross Revenue]]*(1-Final_Table[[#This Row],[Discount %]])</f>
        <v>18360</v>
      </c>
      <c r="Q810">
        <f>Final_Table[[#This Row],[Net Revenue]]*Final_Table[[#This Row],[Variable Cost %]]</f>
        <v>3304.7999999999997</v>
      </c>
      <c r="R810">
        <f>Final_Table[[#This Row],[Variable Cost]]+Final_Table[[#This Row],[Fixed Monthly Cost]]</f>
        <v>21304.799999999999</v>
      </c>
      <c r="S810" s="5">
        <f>Final_Table[[#This Row],[Net Revenue]]-Final_Table[[#This Row],[Total Cost (COGS)]]</f>
        <v>-2944.7999999999993</v>
      </c>
      <c r="T810">
        <f>Final_Table[[#This Row],[Gross Profit]]*Final_Table[[#This Row],[Tax Rate]]</f>
        <v>-883.43999999999971</v>
      </c>
      <c r="U810" s="5">
        <f>Final_Table[[#This Row],[Gross Profit]]-Final_Table[[#This Row],[Tax]]</f>
        <v>-2061.3599999999997</v>
      </c>
      <c r="V810" s="12">
        <f>Final_Table[[#This Row],[Net Profit]]/Final_Table[[#This Row],[Gross Revenue]]</f>
        <v>-0.10104705882352939</v>
      </c>
    </row>
    <row r="811" spans="1:22">
      <c r="A811" s="18" t="s">
        <v>73</v>
      </c>
      <c r="B811">
        <v>2014</v>
      </c>
      <c r="C811" t="s">
        <v>124</v>
      </c>
      <c r="D811">
        <v>1</v>
      </c>
      <c r="E811" s="18" t="s">
        <v>22</v>
      </c>
      <c r="F811" s="18" t="s">
        <v>108</v>
      </c>
      <c r="G811" s="18" t="s">
        <v>17</v>
      </c>
      <c r="H811" s="18" t="str">
        <f>Assumptions!$B$2</f>
        <v>Worst</v>
      </c>
      <c r="I811" s="18">
        <f>_xlfn.XLOOKUP(Assumptions!$B$2,Assumptions!$F$4:$H$4,Assumptions!$F$5:$H$5)</f>
        <v>1200</v>
      </c>
      <c r="J811" s="18">
        <f>_xlfn.XLOOKUP(Assumptions!$B$2,Assumptions!$F$4:$H$4,Assumptions!$F$6:$H$6)</f>
        <v>17</v>
      </c>
      <c r="K811" s="12">
        <f>_xlfn.XLOOKUP(Assumptions!$B$2,Assumptions!$F$4:$H$4,Assumptions!$F$8:$H$8)</f>
        <v>0.1</v>
      </c>
      <c r="L811" s="12">
        <f>_xlfn.XLOOKUP(Assumptions!$B$2,Assumptions!$F$4:$H$4,Assumptions!$F$9:$H$9)</f>
        <v>0.18</v>
      </c>
      <c r="M811" s="18">
        <f>_xlfn.XLOOKUP(Assumptions!$B$2,Assumptions!$F$4:$H$4,Assumptions!$F$10:$H$10)</f>
        <v>18000</v>
      </c>
      <c r="N811" s="12">
        <f>_xlfn.XLOOKUP(Assumptions!$B$2,Assumptions!$F$4:$H$4,Assumptions!$F$11:$H$11)</f>
        <v>0.3</v>
      </c>
      <c r="O811" s="14">
        <f>Final_Table[[#This Row],[Units Sold]]*Final_Table[[#This Row],[Sale Price]]</f>
        <v>20400</v>
      </c>
      <c r="P811" s="14">
        <f>Final_Table[[#This Row],[Gross Revenue]]*(1-Final_Table[[#This Row],[Discount %]])</f>
        <v>18360</v>
      </c>
      <c r="Q811">
        <f>Final_Table[[#This Row],[Net Revenue]]*Final_Table[[#This Row],[Variable Cost %]]</f>
        <v>3304.7999999999997</v>
      </c>
      <c r="R811">
        <f>Final_Table[[#This Row],[Variable Cost]]+Final_Table[[#This Row],[Fixed Monthly Cost]]</f>
        <v>21304.799999999999</v>
      </c>
      <c r="S811" s="5">
        <f>Final_Table[[#This Row],[Net Revenue]]-Final_Table[[#This Row],[Total Cost (COGS)]]</f>
        <v>-2944.7999999999993</v>
      </c>
      <c r="T811">
        <f>Final_Table[[#This Row],[Gross Profit]]*Final_Table[[#This Row],[Tax Rate]]</f>
        <v>-883.43999999999971</v>
      </c>
      <c r="U811" s="5">
        <f>Final_Table[[#This Row],[Gross Profit]]-Final_Table[[#This Row],[Tax]]</f>
        <v>-2061.3599999999997</v>
      </c>
      <c r="V811" s="12">
        <f>Final_Table[[#This Row],[Net Profit]]/Final_Table[[#This Row],[Gross Revenue]]</f>
        <v>-0.10104705882352939</v>
      </c>
    </row>
    <row r="812" spans="1:22">
      <c r="A812" s="18" t="s">
        <v>73</v>
      </c>
      <c r="B812">
        <v>2014</v>
      </c>
      <c r="C812" t="s">
        <v>124</v>
      </c>
      <c r="D812">
        <v>1</v>
      </c>
      <c r="E812" s="18" t="s">
        <v>22</v>
      </c>
      <c r="F812" s="18" t="s">
        <v>112</v>
      </c>
      <c r="G812" s="18" t="s">
        <v>36</v>
      </c>
      <c r="H812" s="18" t="str">
        <f>Assumptions!$B$2</f>
        <v>Worst</v>
      </c>
      <c r="I812" s="18">
        <f>_xlfn.XLOOKUP(Assumptions!$B$2,Assumptions!$F$4:$H$4,Assumptions!$F$5:$H$5)</f>
        <v>1200</v>
      </c>
      <c r="J812" s="18">
        <f>_xlfn.XLOOKUP(Assumptions!$B$2,Assumptions!$F$4:$H$4,Assumptions!$F$6:$H$6)</f>
        <v>17</v>
      </c>
      <c r="K812" s="12">
        <f>_xlfn.XLOOKUP(Assumptions!$B$2,Assumptions!$F$4:$H$4,Assumptions!$F$8:$H$8)</f>
        <v>0.1</v>
      </c>
      <c r="L812" s="12">
        <f>_xlfn.XLOOKUP(Assumptions!$B$2,Assumptions!$F$4:$H$4,Assumptions!$F$9:$H$9)</f>
        <v>0.18</v>
      </c>
      <c r="M812" s="18">
        <f>_xlfn.XLOOKUP(Assumptions!$B$2,Assumptions!$F$4:$H$4,Assumptions!$F$10:$H$10)</f>
        <v>18000</v>
      </c>
      <c r="N812" s="12">
        <f>_xlfn.XLOOKUP(Assumptions!$B$2,Assumptions!$F$4:$H$4,Assumptions!$F$11:$H$11)</f>
        <v>0.3</v>
      </c>
      <c r="O812" s="14">
        <f>Final_Table[[#This Row],[Units Sold]]*Final_Table[[#This Row],[Sale Price]]</f>
        <v>20400</v>
      </c>
      <c r="P812" s="14">
        <f>Final_Table[[#This Row],[Gross Revenue]]*(1-Final_Table[[#This Row],[Discount %]])</f>
        <v>18360</v>
      </c>
      <c r="Q812">
        <f>Final_Table[[#This Row],[Net Revenue]]*Final_Table[[#This Row],[Variable Cost %]]</f>
        <v>3304.7999999999997</v>
      </c>
      <c r="R812">
        <f>Final_Table[[#This Row],[Variable Cost]]+Final_Table[[#This Row],[Fixed Monthly Cost]]</f>
        <v>21304.799999999999</v>
      </c>
      <c r="S812" s="5">
        <f>Final_Table[[#This Row],[Net Revenue]]-Final_Table[[#This Row],[Total Cost (COGS)]]</f>
        <v>-2944.7999999999993</v>
      </c>
      <c r="T812">
        <f>Final_Table[[#This Row],[Gross Profit]]*Final_Table[[#This Row],[Tax Rate]]</f>
        <v>-883.43999999999971</v>
      </c>
      <c r="U812" s="5">
        <f>Final_Table[[#This Row],[Gross Profit]]-Final_Table[[#This Row],[Tax]]</f>
        <v>-2061.3599999999997</v>
      </c>
      <c r="V812" s="12">
        <f>Final_Table[[#This Row],[Net Profit]]/Final_Table[[#This Row],[Gross Revenue]]</f>
        <v>-0.10104705882352939</v>
      </c>
    </row>
    <row r="813" spans="1:22">
      <c r="A813" s="18" t="s">
        <v>73</v>
      </c>
      <c r="B813">
        <v>2014</v>
      </c>
      <c r="C813" t="s">
        <v>124</v>
      </c>
      <c r="D813">
        <v>1</v>
      </c>
      <c r="E813" s="18" t="s">
        <v>22</v>
      </c>
      <c r="F813" s="18" t="s">
        <v>112</v>
      </c>
      <c r="G813" s="18" t="s">
        <v>23</v>
      </c>
      <c r="H813" s="18" t="str">
        <f>Assumptions!$B$2</f>
        <v>Worst</v>
      </c>
      <c r="I813" s="18">
        <f>_xlfn.XLOOKUP(Assumptions!$B$2,Assumptions!$F$4:$H$4,Assumptions!$F$5:$H$5)</f>
        <v>1200</v>
      </c>
      <c r="J813" s="18">
        <f>_xlfn.XLOOKUP(Assumptions!$B$2,Assumptions!$F$4:$H$4,Assumptions!$F$6:$H$6)</f>
        <v>17</v>
      </c>
      <c r="K813" s="12">
        <f>_xlfn.XLOOKUP(Assumptions!$B$2,Assumptions!$F$4:$H$4,Assumptions!$F$8:$H$8)</f>
        <v>0.1</v>
      </c>
      <c r="L813" s="12">
        <f>_xlfn.XLOOKUP(Assumptions!$B$2,Assumptions!$F$4:$H$4,Assumptions!$F$9:$H$9)</f>
        <v>0.18</v>
      </c>
      <c r="M813" s="18">
        <f>_xlfn.XLOOKUP(Assumptions!$B$2,Assumptions!$F$4:$H$4,Assumptions!$F$10:$H$10)</f>
        <v>18000</v>
      </c>
      <c r="N813" s="12">
        <f>_xlfn.XLOOKUP(Assumptions!$B$2,Assumptions!$F$4:$H$4,Assumptions!$F$11:$H$11)</f>
        <v>0.3</v>
      </c>
      <c r="O813" s="14">
        <f>Final_Table[[#This Row],[Units Sold]]*Final_Table[[#This Row],[Sale Price]]</f>
        <v>20400</v>
      </c>
      <c r="P813" s="14">
        <f>Final_Table[[#This Row],[Gross Revenue]]*(1-Final_Table[[#This Row],[Discount %]])</f>
        <v>18360</v>
      </c>
      <c r="Q813">
        <f>Final_Table[[#This Row],[Net Revenue]]*Final_Table[[#This Row],[Variable Cost %]]</f>
        <v>3304.7999999999997</v>
      </c>
      <c r="R813">
        <f>Final_Table[[#This Row],[Variable Cost]]+Final_Table[[#This Row],[Fixed Monthly Cost]]</f>
        <v>21304.799999999999</v>
      </c>
      <c r="S813" s="5">
        <f>Final_Table[[#This Row],[Net Revenue]]-Final_Table[[#This Row],[Total Cost (COGS)]]</f>
        <v>-2944.7999999999993</v>
      </c>
      <c r="T813">
        <f>Final_Table[[#This Row],[Gross Profit]]*Final_Table[[#This Row],[Tax Rate]]</f>
        <v>-883.43999999999971</v>
      </c>
      <c r="U813" s="5">
        <f>Final_Table[[#This Row],[Gross Profit]]-Final_Table[[#This Row],[Tax]]</f>
        <v>-2061.3599999999997</v>
      </c>
      <c r="V813" s="12">
        <f>Final_Table[[#This Row],[Net Profit]]/Final_Table[[#This Row],[Gross Revenue]]</f>
        <v>-0.10104705882352939</v>
      </c>
    </row>
    <row r="814" spans="1:22">
      <c r="A814" s="18" t="s">
        <v>73</v>
      </c>
      <c r="B814">
        <v>2014</v>
      </c>
      <c r="C814" t="s">
        <v>124</v>
      </c>
      <c r="D814">
        <v>1</v>
      </c>
      <c r="E814" s="18" t="s">
        <v>22</v>
      </c>
      <c r="F814" s="18" t="s">
        <v>112</v>
      </c>
      <c r="G814" s="18" t="s">
        <v>21</v>
      </c>
      <c r="H814" s="18" t="str">
        <f>Assumptions!$B$2</f>
        <v>Worst</v>
      </c>
      <c r="I814" s="18">
        <f>_xlfn.XLOOKUP(Assumptions!$B$2,Assumptions!$F$4:$H$4,Assumptions!$F$5:$H$5)</f>
        <v>1200</v>
      </c>
      <c r="J814" s="18">
        <f>_xlfn.XLOOKUP(Assumptions!$B$2,Assumptions!$F$4:$H$4,Assumptions!$F$6:$H$6)</f>
        <v>17</v>
      </c>
      <c r="K814" s="12">
        <f>_xlfn.XLOOKUP(Assumptions!$B$2,Assumptions!$F$4:$H$4,Assumptions!$F$8:$H$8)</f>
        <v>0.1</v>
      </c>
      <c r="L814" s="12">
        <f>_xlfn.XLOOKUP(Assumptions!$B$2,Assumptions!$F$4:$H$4,Assumptions!$F$9:$H$9)</f>
        <v>0.18</v>
      </c>
      <c r="M814" s="18">
        <f>_xlfn.XLOOKUP(Assumptions!$B$2,Assumptions!$F$4:$H$4,Assumptions!$F$10:$H$10)</f>
        <v>18000</v>
      </c>
      <c r="N814" s="12">
        <f>_xlfn.XLOOKUP(Assumptions!$B$2,Assumptions!$F$4:$H$4,Assumptions!$F$11:$H$11)</f>
        <v>0.3</v>
      </c>
      <c r="O814" s="14">
        <f>Final_Table[[#This Row],[Units Sold]]*Final_Table[[#This Row],[Sale Price]]</f>
        <v>20400</v>
      </c>
      <c r="P814" s="14">
        <f>Final_Table[[#This Row],[Gross Revenue]]*(1-Final_Table[[#This Row],[Discount %]])</f>
        <v>18360</v>
      </c>
      <c r="Q814">
        <f>Final_Table[[#This Row],[Net Revenue]]*Final_Table[[#This Row],[Variable Cost %]]</f>
        <v>3304.7999999999997</v>
      </c>
      <c r="R814">
        <f>Final_Table[[#This Row],[Variable Cost]]+Final_Table[[#This Row],[Fixed Monthly Cost]]</f>
        <v>21304.799999999999</v>
      </c>
      <c r="S814" s="5">
        <f>Final_Table[[#This Row],[Net Revenue]]-Final_Table[[#This Row],[Total Cost (COGS)]]</f>
        <v>-2944.7999999999993</v>
      </c>
      <c r="T814">
        <f>Final_Table[[#This Row],[Gross Profit]]*Final_Table[[#This Row],[Tax Rate]]</f>
        <v>-883.43999999999971</v>
      </c>
      <c r="U814" s="5">
        <f>Final_Table[[#This Row],[Gross Profit]]-Final_Table[[#This Row],[Tax]]</f>
        <v>-2061.3599999999997</v>
      </c>
      <c r="V814" s="12">
        <f>Final_Table[[#This Row],[Net Profit]]/Final_Table[[#This Row],[Gross Revenue]]</f>
        <v>-0.10104705882352939</v>
      </c>
    </row>
    <row r="815" spans="1:22">
      <c r="A815" s="18" t="s">
        <v>73</v>
      </c>
      <c r="B815">
        <v>2014</v>
      </c>
      <c r="C815" t="s">
        <v>124</v>
      </c>
      <c r="D815">
        <v>1</v>
      </c>
      <c r="E815" s="18" t="s">
        <v>22</v>
      </c>
      <c r="F815" s="18" t="s">
        <v>112</v>
      </c>
      <c r="G815" s="18" t="s">
        <v>25</v>
      </c>
      <c r="H815" s="18" t="str">
        <f>Assumptions!$B$2</f>
        <v>Worst</v>
      </c>
      <c r="I815" s="18">
        <f>_xlfn.XLOOKUP(Assumptions!$B$2,Assumptions!$F$4:$H$4,Assumptions!$F$5:$H$5)</f>
        <v>1200</v>
      </c>
      <c r="J815" s="18">
        <f>_xlfn.XLOOKUP(Assumptions!$B$2,Assumptions!$F$4:$H$4,Assumptions!$F$6:$H$6)</f>
        <v>17</v>
      </c>
      <c r="K815" s="12">
        <f>_xlfn.XLOOKUP(Assumptions!$B$2,Assumptions!$F$4:$H$4,Assumptions!$F$8:$H$8)</f>
        <v>0.1</v>
      </c>
      <c r="L815" s="12">
        <f>_xlfn.XLOOKUP(Assumptions!$B$2,Assumptions!$F$4:$H$4,Assumptions!$F$9:$H$9)</f>
        <v>0.18</v>
      </c>
      <c r="M815" s="18">
        <f>_xlfn.XLOOKUP(Assumptions!$B$2,Assumptions!$F$4:$H$4,Assumptions!$F$10:$H$10)</f>
        <v>18000</v>
      </c>
      <c r="N815" s="12">
        <f>_xlfn.XLOOKUP(Assumptions!$B$2,Assumptions!$F$4:$H$4,Assumptions!$F$11:$H$11)</f>
        <v>0.3</v>
      </c>
      <c r="O815" s="14">
        <f>Final_Table[[#This Row],[Units Sold]]*Final_Table[[#This Row],[Sale Price]]</f>
        <v>20400</v>
      </c>
      <c r="P815" s="14">
        <f>Final_Table[[#This Row],[Gross Revenue]]*(1-Final_Table[[#This Row],[Discount %]])</f>
        <v>18360</v>
      </c>
      <c r="Q815">
        <f>Final_Table[[#This Row],[Net Revenue]]*Final_Table[[#This Row],[Variable Cost %]]</f>
        <v>3304.7999999999997</v>
      </c>
      <c r="R815">
        <f>Final_Table[[#This Row],[Variable Cost]]+Final_Table[[#This Row],[Fixed Monthly Cost]]</f>
        <v>21304.799999999999</v>
      </c>
      <c r="S815" s="5">
        <f>Final_Table[[#This Row],[Net Revenue]]-Final_Table[[#This Row],[Total Cost (COGS)]]</f>
        <v>-2944.7999999999993</v>
      </c>
      <c r="T815">
        <f>Final_Table[[#This Row],[Gross Profit]]*Final_Table[[#This Row],[Tax Rate]]</f>
        <v>-883.43999999999971</v>
      </c>
      <c r="U815" s="5">
        <f>Final_Table[[#This Row],[Gross Profit]]-Final_Table[[#This Row],[Tax]]</f>
        <v>-2061.3599999999997</v>
      </c>
      <c r="V815" s="12">
        <f>Final_Table[[#This Row],[Net Profit]]/Final_Table[[#This Row],[Gross Revenue]]</f>
        <v>-0.10104705882352939</v>
      </c>
    </row>
    <row r="816" spans="1:22">
      <c r="A816" s="18" t="s">
        <v>73</v>
      </c>
      <c r="B816">
        <v>2014</v>
      </c>
      <c r="C816" t="s">
        <v>124</v>
      </c>
      <c r="D816">
        <v>1</v>
      </c>
      <c r="E816" s="18" t="s">
        <v>22</v>
      </c>
      <c r="F816" s="18" t="s">
        <v>112</v>
      </c>
      <c r="G816" s="18" t="s">
        <v>17</v>
      </c>
      <c r="H816" s="18" t="str">
        <f>Assumptions!$B$2</f>
        <v>Worst</v>
      </c>
      <c r="I816" s="18">
        <f>_xlfn.XLOOKUP(Assumptions!$B$2,Assumptions!$F$4:$H$4,Assumptions!$F$5:$H$5)</f>
        <v>1200</v>
      </c>
      <c r="J816" s="18">
        <f>_xlfn.XLOOKUP(Assumptions!$B$2,Assumptions!$F$4:$H$4,Assumptions!$F$6:$H$6)</f>
        <v>17</v>
      </c>
      <c r="K816" s="12">
        <f>_xlfn.XLOOKUP(Assumptions!$B$2,Assumptions!$F$4:$H$4,Assumptions!$F$8:$H$8)</f>
        <v>0.1</v>
      </c>
      <c r="L816" s="12">
        <f>_xlfn.XLOOKUP(Assumptions!$B$2,Assumptions!$F$4:$H$4,Assumptions!$F$9:$H$9)</f>
        <v>0.18</v>
      </c>
      <c r="M816" s="18">
        <f>_xlfn.XLOOKUP(Assumptions!$B$2,Assumptions!$F$4:$H$4,Assumptions!$F$10:$H$10)</f>
        <v>18000</v>
      </c>
      <c r="N816" s="12">
        <f>_xlfn.XLOOKUP(Assumptions!$B$2,Assumptions!$F$4:$H$4,Assumptions!$F$11:$H$11)</f>
        <v>0.3</v>
      </c>
      <c r="O816" s="14">
        <f>Final_Table[[#This Row],[Units Sold]]*Final_Table[[#This Row],[Sale Price]]</f>
        <v>20400</v>
      </c>
      <c r="P816" s="14">
        <f>Final_Table[[#This Row],[Gross Revenue]]*(1-Final_Table[[#This Row],[Discount %]])</f>
        <v>18360</v>
      </c>
      <c r="Q816">
        <f>Final_Table[[#This Row],[Net Revenue]]*Final_Table[[#This Row],[Variable Cost %]]</f>
        <v>3304.7999999999997</v>
      </c>
      <c r="R816">
        <f>Final_Table[[#This Row],[Variable Cost]]+Final_Table[[#This Row],[Fixed Monthly Cost]]</f>
        <v>21304.799999999999</v>
      </c>
      <c r="S816" s="5">
        <f>Final_Table[[#This Row],[Net Revenue]]-Final_Table[[#This Row],[Total Cost (COGS)]]</f>
        <v>-2944.7999999999993</v>
      </c>
      <c r="T816">
        <f>Final_Table[[#This Row],[Gross Profit]]*Final_Table[[#This Row],[Tax Rate]]</f>
        <v>-883.43999999999971</v>
      </c>
      <c r="U816" s="5">
        <f>Final_Table[[#This Row],[Gross Profit]]-Final_Table[[#This Row],[Tax]]</f>
        <v>-2061.3599999999997</v>
      </c>
      <c r="V816" s="12">
        <f>Final_Table[[#This Row],[Net Profit]]/Final_Table[[#This Row],[Gross Revenue]]</f>
        <v>-0.10104705882352939</v>
      </c>
    </row>
    <row r="817" spans="1:22">
      <c r="A817" s="18" t="s">
        <v>73</v>
      </c>
      <c r="B817">
        <v>2014</v>
      </c>
      <c r="C817" t="s">
        <v>124</v>
      </c>
      <c r="D817">
        <v>1</v>
      </c>
      <c r="E817" s="18" t="s">
        <v>22</v>
      </c>
      <c r="F817" s="18" t="s">
        <v>113</v>
      </c>
      <c r="G817" s="18" t="s">
        <v>36</v>
      </c>
      <c r="H817" s="18" t="str">
        <f>Assumptions!$B$2</f>
        <v>Worst</v>
      </c>
      <c r="I817" s="18">
        <f>_xlfn.XLOOKUP(Assumptions!$B$2,Assumptions!$F$4:$H$4,Assumptions!$F$5:$H$5)</f>
        <v>1200</v>
      </c>
      <c r="J817" s="18">
        <f>_xlfn.XLOOKUP(Assumptions!$B$2,Assumptions!$F$4:$H$4,Assumptions!$F$6:$H$6)</f>
        <v>17</v>
      </c>
      <c r="K817" s="12">
        <f>_xlfn.XLOOKUP(Assumptions!$B$2,Assumptions!$F$4:$H$4,Assumptions!$F$8:$H$8)</f>
        <v>0.1</v>
      </c>
      <c r="L817" s="12">
        <f>_xlfn.XLOOKUP(Assumptions!$B$2,Assumptions!$F$4:$H$4,Assumptions!$F$9:$H$9)</f>
        <v>0.18</v>
      </c>
      <c r="M817" s="18">
        <f>_xlfn.XLOOKUP(Assumptions!$B$2,Assumptions!$F$4:$H$4,Assumptions!$F$10:$H$10)</f>
        <v>18000</v>
      </c>
      <c r="N817" s="12">
        <f>_xlfn.XLOOKUP(Assumptions!$B$2,Assumptions!$F$4:$H$4,Assumptions!$F$11:$H$11)</f>
        <v>0.3</v>
      </c>
      <c r="O817" s="14">
        <f>Final_Table[[#This Row],[Units Sold]]*Final_Table[[#This Row],[Sale Price]]</f>
        <v>20400</v>
      </c>
      <c r="P817" s="14">
        <f>Final_Table[[#This Row],[Gross Revenue]]*(1-Final_Table[[#This Row],[Discount %]])</f>
        <v>18360</v>
      </c>
      <c r="Q817">
        <f>Final_Table[[#This Row],[Net Revenue]]*Final_Table[[#This Row],[Variable Cost %]]</f>
        <v>3304.7999999999997</v>
      </c>
      <c r="R817">
        <f>Final_Table[[#This Row],[Variable Cost]]+Final_Table[[#This Row],[Fixed Monthly Cost]]</f>
        <v>21304.799999999999</v>
      </c>
      <c r="S817" s="5">
        <f>Final_Table[[#This Row],[Net Revenue]]-Final_Table[[#This Row],[Total Cost (COGS)]]</f>
        <v>-2944.7999999999993</v>
      </c>
      <c r="T817">
        <f>Final_Table[[#This Row],[Gross Profit]]*Final_Table[[#This Row],[Tax Rate]]</f>
        <v>-883.43999999999971</v>
      </c>
      <c r="U817" s="5">
        <f>Final_Table[[#This Row],[Gross Profit]]-Final_Table[[#This Row],[Tax]]</f>
        <v>-2061.3599999999997</v>
      </c>
      <c r="V817" s="12">
        <f>Final_Table[[#This Row],[Net Profit]]/Final_Table[[#This Row],[Gross Revenue]]</f>
        <v>-0.10104705882352939</v>
      </c>
    </row>
    <row r="818" spans="1:22">
      <c r="A818" s="18" t="s">
        <v>73</v>
      </c>
      <c r="B818">
        <v>2014</v>
      </c>
      <c r="C818" t="s">
        <v>124</v>
      </c>
      <c r="D818">
        <v>1</v>
      </c>
      <c r="E818" s="18" t="s">
        <v>22</v>
      </c>
      <c r="F818" s="18" t="s">
        <v>113</v>
      </c>
      <c r="G818" s="18" t="s">
        <v>23</v>
      </c>
      <c r="H818" s="18" t="str">
        <f>Assumptions!$B$2</f>
        <v>Worst</v>
      </c>
      <c r="I818" s="18">
        <f>_xlfn.XLOOKUP(Assumptions!$B$2,Assumptions!$F$4:$H$4,Assumptions!$F$5:$H$5)</f>
        <v>1200</v>
      </c>
      <c r="J818" s="18">
        <f>_xlfn.XLOOKUP(Assumptions!$B$2,Assumptions!$F$4:$H$4,Assumptions!$F$6:$H$6)</f>
        <v>17</v>
      </c>
      <c r="K818" s="12">
        <f>_xlfn.XLOOKUP(Assumptions!$B$2,Assumptions!$F$4:$H$4,Assumptions!$F$8:$H$8)</f>
        <v>0.1</v>
      </c>
      <c r="L818" s="12">
        <f>_xlfn.XLOOKUP(Assumptions!$B$2,Assumptions!$F$4:$H$4,Assumptions!$F$9:$H$9)</f>
        <v>0.18</v>
      </c>
      <c r="M818" s="18">
        <f>_xlfn.XLOOKUP(Assumptions!$B$2,Assumptions!$F$4:$H$4,Assumptions!$F$10:$H$10)</f>
        <v>18000</v>
      </c>
      <c r="N818" s="12">
        <f>_xlfn.XLOOKUP(Assumptions!$B$2,Assumptions!$F$4:$H$4,Assumptions!$F$11:$H$11)</f>
        <v>0.3</v>
      </c>
      <c r="O818" s="14">
        <f>Final_Table[[#This Row],[Units Sold]]*Final_Table[[#This Row],[Sale Price]]</f>
        <v>20400</v>
      </c>
      <c r="P818" s="14">
        <f>Final_Table[[#This Row],[Gross Revenue]]*(1-Final_Table[[#This Row],[Discount %]])</f>
        <v>18360</v>
      </c>
      <c r="Q818">
        <f>Final_Table[[#This Row],[Net Revenue]]*Final_Table[[#This Row],[Variable Cost %]]</f>
        <v>3304.7999999999997</v>
      </c>
      <c r="R818">
        <f>Final_Table[[#This Row],[Variable Cost]]+Final_Table[[#This Row],[Fixed Monthly Cost]]</f>
        <v>21304.799999999999</v>
      </c>
      <c r="S818" s="5">
        <f>Final_Table[[#This Row],[Net Revenue]]-Final_Table[[#This Row],[Total Cost (COGS)]]</f>
        <v>-2944.7999999999993</v>
      </c>
      <c r="T818">
        <f>Final_Table[[#This Row],[Gross Profit]]*Final_Table[[#This Row],[Tax Rate]]</f>
        <v>-883.43999999999971</v>
      </c>
      <c r="U818" s="5">
        <f>Final_Table[[#This Row],[Gross Profit]]-Final_Table[[#This Row],[Tax]]</f>
        <v>-2061.3599999999997</v>
      </c>
      <c r="V818" s="12">
        <f>Final_Table[[#This Row],[Net Profit]]/Final_Table[[#This Row],[Gross Revenue]]</f>
        <v>-0.10104705882352939</v>
      </c>
    </row>
    <row r="819" spans="1:22">
      <c r="A819" s="18" t="s">
        <v>73</v>
      </c>
      <c r="B819">
        <v>2014</v>
      </c>
      <c r="C819" t="s">
        <v>124</v>
      </c>
      <c r="D819">
        <v>1</v>
      </c>
      <c r="E819" s="18" t="s">
        <v>22</v>
      </c>
      <c r="F819" s="18" t="s">
        <v>113</v>
      </c>
      <c r="G819" s="18" t="s">
        <v>21</v>
      </c>
      <c r="H819" s="18" t="str">
        <f>Assumptions!$B$2</f>
        <v>Worst</v>
      </c>
      <c r="I819" s="18">
        <f>_xlfn.XLOOKUP(Assumptions!$B$2,Assumptions!$F$4:$H$4,Assumptions!$F$5:$H$5)</f>
        <v>1200</v>
      </c>
      <c r="J819" s="18">
        <f>_xlfn.XLOOKUP(Assumptions!$B$2,Assumptions!$F$4:$H$4,Assumptions!$F$6:$H$6)</f>
        <v>17</v>
      </c>
      <c r="K819" s="12">
        <f>_xlfn.XLOOKUP(Assumptions!$B$2,Assumptions!$F$4:$H$4,Assumptions!$F$8:$H$8)</f>
        <v>0.1</v>
      </c>
      <c r="L819" s="12">
        <f>_xlfn.XLOOKUP(Assumptions!$B$2,Assumptions!$F$4:$H$4,Assumptions!$F$9:$H$9)</f>
        <v>0.18</v>
      </c>
      <c r="M819" s="18">
        <f>_xlfn.XLOOKUP(Assumptions!$B$2,Assumptions!$F$4:$H$4,Assumptions!$F$10:$H$10)</f>
        <v>18000</v>
      </c>
      <c r="N819" s="12">
        <f>_xlfn.XLOOKUP(Assumptions!$B$2,Assumptions!$F$4:$H$4,Assumptions!$F$11:$H$11)</f>
        <v>0.3</v>
      </c>
      <c r="O819" s="14">
        <f>Final_Table[[#This Row],[Units Sold]]*Final_Table[[#This Row],[Sale Price]]</f>
        <v>20400</v>
      </c>
      <c r="P819" s="14">
        <f>Final_Table[[#This Row],[Gross Revenue]]*(1-Final_Table[[#This Row],[Discount %]])</f>
        <v>18360</v>
      </c>
      <c r="Q819">
        <f>Final_Table[[#This Row],[Net Revenue]]*Final_Table[[#This Row],[Variable Cost %]]</f>
        <v>3304.7999999999997</v>
      </c>
      <c r="R819">
        <f>Final_Table[[#This Row],[Variable Cost]]+Final_Table[[#This Row],[Fixed Monthly Cost]]</f>
        <v>21304.799999999999</v>
      </c>
      <c r="S819" s="5">
        <f>Final_Table[[#This Row],[Net Revenue]]-Final_Table[[#This Row],[Total Cost (COGS)]]</f>
        <v>-2944.7999999999993</v>
      </c>
      <c r="T819">
        <f>Final_Table[[#This Row],[Gross Profit]]*Final_Table[[#This Row],[Tax Rate]]</f>
        <v>-883.43999999999971</v>
      </c>
      <c r="U819" s="5">
        <f>Final_Table[[#This Row],[Gross Profit]]-Final_Table[[#This Row],[Tax]]</f>
        <v>-2061.3599999999997</v>
      </c>
      <c r="V819" s="12">
        <f>Final_Table[[#This Row],[Net Profit]]/Final_Table[[#This Row],[Gross Revenue]]</f>
        <v>-0.10104705882352939</v>
      </c>
    </row>
    <row r="820" spans="1:22">
      <c r="A820" s="18" t="s">
        <v>73</v>
      </c>
      <c r="B820">
        <v>2014</v>
      </c>
      <c r="C820" t="s">
        <v>124</v>
      </c>
      <c r="D820">
        <v>1</v>
      </c>
      <c r="E820" s="18" t="s">
        <v>22</v>
      </c>
      <c r="F820" s="18" t="s">
        <v>113</v>
      </c>
      <c r="G820" s="18" t="s">
        <v>25</v>
      </c>
      <c r="H820" s="18" t="str">
        <f>Assumptions!$B$2</f>
        <v>Worst</v>
      </c>
      <c r="I820" s="18">
        <f>_xlfn.XLOOKUP(Assumptions!$B$2,Assumptions!$F$4:$H$4,Assumptions!$F$5:$H$5)</f>
        <v>1200</v>
      </c>
      <c r="J820" s="18">
        <f>_xlfn.XLOOKUP(Assumptions!$B$2,Assumptions!$F$4:$H$4,Assumptions!$F$6:$H$6)</f>
        <v>17</v>
      </c>
      <c r="K820" s="12">
        <f>_xlfn.XLOOKUP(Assumptions!$B$2,Assumptions!$F$4:$H$4,Assumptions!$F$8:$H$8)</f>
        <v>0.1</v>
      </c>
      <c r="L820" s="12">
        <f>_xlfn.XLOOKUP(Assumptions!$B$2,Assumptions!$F$4:$H$4,Assumptions!$F$9:$H$9)</f>
        <v>0.18</v>
      </c>
      <c r="M820" s="18">
        <f>_xlfn.XLOOKUP(Assumptions!$B$2,Assumptions!$F$4:$H$4,Assumptions!$F$10:$H$10)</f>
        <v>18000</v>
      </c>
      <c r="N820" s="12">
        <f>_xlfn.XLOOKUP(Assumptions!$B$2,Assumptions!$F$4:$H$4,Assumptions!$F$11:$H$11)</f>
        <v>0.3</v>
      </c>
      <c r="O820" s="14">
        <f>Final_Table[[#This Row],[Units Sold]]*Final_Table[[#This Row],[Sale Price]]</f>
        <v>20400</v>
      </c>
      <c r="P820" s="14">
        <f>Final_Table[[#This Row],[Gross Revenue]]*(1-Final_Table[[#This Row],[Discount %]])</f>
        <v>18360</v>
      </c>
      <c r="Q820">
        <f>Final_Table[[#This Row],[Net Revenue]]*Final_Table[[#This Row],[Variable Cost %]]</f>
        <v>3304.7999999999997</v>
      </c>
      <c r="R820">
        <f>Final_Table[[#This Row],[Variable Cost]]+Final_Table[[#This Row],[Fixed Monthly Cost]]</f>
        <v>21304.799999999999</v>
      </c>
      <c r="S820" s="5">
        <f>Final_Table[[#This Row],[Net Revenue]]-Final_Table[[#This Row],[Total Cost (COGS)]]</f>
        <v>-2944.7999999999993</v>
      </c>
      <c r="T820">
        <f>Final_Table[[#This Row],[Gross Profit]]*Final_Table[[#This Row],[Tax Rate]]</f>
        <v>-883.43999999999971</v>
      </c>
      <c r="U820" s="5">
        <f>Final_Table[[#This Row],[Gross Profit]]-Final_Table[[#This Row],[Tax]]</f>
        <v>-2061.3599999999997</v>
      </c>
      <c r="V820" s="12">
        <f>Final_Table[[#This Row],[Net Profit]]/Final_Table[[#This Row],[Gross Revenue]]</f>
        <v>-0.10104705882352939</v>
      </c>
    </row>
    <row r="821" spans="1:22">
      <c r="A821" s="18" t="s">
        <v>73</v>
      </c>
      <c r="B821">
        <v>2014</v>
      </c>
      <c r="C821" t="s">
        <v>124</v>
      </c>
      <c r="D821">
        <v>1</v>
      </c>
      <c r="E821" s="18" t="s">
        <v>22</v>
      </c>
      <c r="F821" s="18" t="s">
        <v>113</v>
      </c>
      <c r="G821" s="18" t="s">
        <v>17</v>
      </c>
      <c r="H821" s="18" t="str">
        <f>Assumptions!$B$2</f>
        <v>Worst</v>
      </c>
      <c r="I821" s="18">
        <f>_xlfn.XLOOKUP(Assumptions!$B$2,Assumptions!$F$4:$H$4,Assumptions!$F$5:$H$5)</f>
        <v>1200</v>
      </c>
      <c r="J821" s="18">
        <f>_xlfn.XLOOKUP(Assumptions!$B$2,Assumptions!$F$4:$H$4,Assumptions!$F$6:$H$6)</f>
        <v>17</v>
      </c>
      <c r="K821" s="12">
        <f>_xlfn.XLOOKUP(Assumptions!$B$2,Assumptions!$F$4:$H$4,Assumptions!$F$8:$H$8)</f>
        <v>0.1</v>
      </c>
      <c r="L821" s="12">
        <f>_xlfn.XLOOKUP(Assumptions!$B$2,Assumptions!$F$4:$H$4,Assumptions!$F$9:$H$9)</f>
        <v>0.18</v>
      </c>
      <c r="M821" s="18">
        <f>_xlfn.XLOOKUP(Assumptions!$B$2,Assumptions!$F$4:$H$4,Assumptions!$F$10:$H$10)</f>
        <v>18000</v>
      </c>
      <c r="N821" s="12">
        <f>_xlfn.XLOOKUP(Assumptions!$B$2,Assumptions!$F$4:$H$4,Assumptions!$F$11:$H$11)</f>
        <v>0.3</v>
      </c>
      <c r="O821" s="14">
        <f>Final_Table[[#This Row],[Units Sold]]*Final_Table[[#This Row],[Sale Price]]</f>
        <v>20400</v>
      </c>
      <c r="P821" s="14">
        <f>Final_Table[[#This Row],[Gross Revenue]]*(1-Final_Table[[#This Row],[Discount %]])</f>
        <v>18360</v>
      </c>
      <c r="Q821">
        <f>Final_Table[[#This Row],[Net Revenue]]*Final_Table[[#This Row],[Variable Cost %]]</f>
        <v>3304.7999999999997</v>
      </c>
      <c r="R821">
        <f>Final_Table[[#This Row],[Variable Cost]]+Final_Table[[#This Row],[Fixed Monthly Cost]]</f>
        <v>21304.799999999999</v>
      </c>
      <c r="S821" s="5">
        <f>Final_Table[[#This Row],[Net Revenue]]-Final_Table[[#This Row],[Total Cost (COGS)]]</f>
        <v>-2944.7999999999993</v>
      </c>
      <c r="T821">
        <f>Final_Table[[#This Row],[Gross Profit]]*Final_Table[[#This Row],[Tax Rate]]</f>
        <v>-883.43999999999971</v>
      </c>
      <c r="U821" s="5">
        <f>Final_Table[[#This Row],[Gross Profit]]-Final_Table[[#This Row],[Tax]]</f>
        <v>-2061.3599999999997</v>
      </c>
      <c r="V821" s="12">
        <f>Final_Table[[#This Row],[Net Profit]]/Final_Table[[#This Row],[Gross Revenue]]</f>
        <v>-0.10104705882352939</v>
      </c>
    </row>
    <row r="822" spans="1:22">
      <c r="A822" s="18" t="s">
        <v>73</v>
      </c>
      <c r="B822">
        <v>2014</v>
      </c>
      <c r="C822" t="s">
        <v>124</v>
      </c>
      <c r="D822">
        <v>1</v>
      </c>
      <c r="E822" s="18" t="s">
        <v>22</v>
      </c>
      <c r="F822" s="18" t="s">
        <v>114</v>
      </c>
      <c r="G822" s="18" t="s">
        <v>36</v>
      </c>
      <c r="H822" s="18" t="str">
        <f>Assumptions!$B$2</f>
        <v>Worst</v>
      </c>
      <c r="I822" s="18">
        <f>_xlfn.XLOOKUP(Assumptions!$B$2,Assumptions!$F$4:$H$4,Assumptions!$F$5:$H$5)</f>
        <v>1200</v>
      </c>
      <c r="J822" s="18">
        <f>_xlfn.XLOOKUP(Assumptions!$B$2,Assumptions!$F$4:$H$4,Assumptions!$F$6:$H$6)</f>
        <v>17</v>
      </c>
      <c r="K822" s="12">
        <f>_xlfn.XLOOKUP(Assumptions!$B$2,Assumptions!$F$4:$H$4,Assumptions!$F$8:$H$8)</f>
        <v>0.1</v>
      </c>
      <c r="L822" s="12">
        <f>_xlfn.XLOOKUP(Assumptions!$B$2,Assumptions!$F$4:$H$4,Assumptions!$F$9:$H$9)</f>
        <v>0.18</v>
      </c>
      <c r="M822" s="18">
        <f>_xlfn.XLOOKUP(Assumptions!$B$2,Assumptions!$F$4:$H$4,Assumptions!$F$10:$H$10)</f>
        <v>18000</v>
      </c>
      <c r="N822" s="12">
        <f>_xlfn.XLOOKUP(Assumptions!$B$2,Assumptions!$F$4:$H$4,Assumptions!$F$11:$H$11)</f>
        <v>0.3</v>
      </c>
      <c r="O822" s="14">
        <f>Final_Table[[#This Row],[Units Sold]]*Final_Table[[#This Row],[Sale Price]]</f>
        <v>20400</v>
      </c>
      <c r="P822" s="14">
        <f>Final_Table[[#This Row],[Gross Revenue]]*(1-Final_Table[[#This Row],[Discount %]])</f>
        <v>18360</v>
      </c>
      <c r="Q822">
        <f>Final_Table[[#This Row],[Net Revenue]]*Final_Table[[#This Row],[Variable Cost %]]</f>
        <v>3304.7999999999997</v>
      </c>
      <c r="R822">
        <f>Final_Table[[#This Row],[Variable Cost]]+Final_Table[[#This Row],[Fixed Monthly Cost]]</f>
        <v>21304.799999999999</v>
      </c>
      <c r="S822" s="5">
        <f>Final_Table[[#This Row],[Net Revenue]]-Final_Table[[#This Row],[Total Cost (COGS)]]</f>
        <v>-2944.7999999999993</v>
      </c>
      <c r="T822">
        <f>Final_Table[[#This Row],[Gross Profit]]*Final_Table[[#This Row],[Tax Rate]]</f>
        <v>-883.43999999999971</v>
      </c>
      <c r="U822" s="5">
        <f>Final_Table[[#This Row],[Gross Profit]]-Final_Table[[#This Row],[Tax]]</f>
        <v>-2061.3599999999997</v>
      </c>
      <c r="V822" s="12">
        <f>Final_Table[[#This Row],[Net Profit]]/Final_Table[[#This Row],[Gross Revenue]]</f>
        <v>-0.10104705882352939</v>
      </c>
    </row>
    <row r="823" spans="1:22">
      <c r="A823" s="18" t="s">
        <v>73</v>
      </c>
      <c r="B823">
        <v>2014</v>
      </c>
      <c r="C823" t="s">
        <v>124</v>
      </c>
      <c r="D823">
        <v>1</v>
      </c>
      <c r="E823" s="18" t="s">
        <v>22</v>
      </c>
      <c r="F823" s="18" t="s">
        <v>114</v>
      </c>
      <c r="G823" s="18" t="s">
        <v>23</v>
      </c>
      <c r="H823" s="18" t="str">
        <f>Assumptions!$B$2</f>
        <v>Worst</v>
      </c>
      <c r="I823" s="18">
        <f>_xlfn.XLOOKUP(Assumptions!$B$2,Assumptions!$F$4:$H$4,Assumptions!$F$5:$H$5)</f>
        <v>1200</v>
      </c>
      <c r="J823" s="18">
        <f>_xlfn.XLOOKUP(Assumptions!$B$2,Assumptions!$F$4:$H$4,Assumptions!$F$6:$H$6)</f>
        <v>17</v>
      </c>
      <c r="K823" s="12">
        <f>_xlfn.XLOOKUP(Assumptions!$B$2,Assumptions!$F$4:$H$4,Assumptions!$F$8:$H$8)</f>
        <v>0.1</v>
      </c>
      <c r="L823" s="12">
        <f>_xlfn.XLOOKUP(Assumptions!$B$2,Assumptions!$F$4:$H$4,Assumptions!$F$9:$H$9)</f>
        <v>0.18</v>
      </c>
      <c r="M823" s="18">
        <f>_xlfn.XLOOKUP(Assumptions!$B$2,Assumptions!$F$4:$H$4,Assumptions!$F$10:$H$10)</f>
        <v>18000</v>
      </c>
      <c r="N823" s="12">
        <f>_xlfn.XLOOKUP(Assumptions!$B$2,Assumptions!$F$4:$H$4,Assumptions!$F$11:$H$11)</f>
        <v>0.3</v>
      </c>
      <c r="O823" s="14">
        <f>Final_Table[[#This Row],[Units Sold]]*Final_Table[[#This Row],[Sale Price]]</f>
        <v>20400</v>
      </c>
      <c r="P823" s="14">
        <f>Final_Table[[#This Row],[Gross Revenue]]*(1-Final_Table[[#This Row],[Discount %]])</f>
        <v>18360</v>
      </c>
      <c r="Q823">
        <f>Final_Table[[#This Row],[Net Revenue]]*Final_Table[[#This Row],[Variable Cost %]]</f>
        <v>3304.7999999999997</v>
      </c>
      <c r="R823">
        <f>Final_Table[[#This Row],[Variable Cost]]+Final_Table[[#This Row],[Fixed Monthly Cost]]</f>
        <v>21304.799999999999</v>
      </c>
      <c r="S823" s="5">
        <f>Final_Table[[#This Row],[Net Revenue]]-Final_Table[[#This Row],[Total Cost (COGS)]]</f>
        <v>-2944.7999999999993</v>
      </c>
      <c r="T823">
        <f>Final_Table[[#This Row],[Gross Profit]]*Final_Table[[#This Row],[Tax Rate]]</f>
        <v>-883.43999999999971</v>
      </c>
      <c r="U823" s="5">
        <f>Final_Table[[#This Row],[Gross Profit]]-Final_Table[[#This Row],[Tax]]</f>
        <v>-2061.3599999999997</v>
      </c>
      <c r="V823" s="12">
        <f>Final_Table[[#This Row],[Net Profit]]/Final_Table[[#This Row],[Gross Revenue]]</f>
        <v>-0.10104705882352939</v>
      </c>
    </row>
    <row r="824" spans="1:22">
      <c r="A824" s="18" t="s">
        <v>73</v>
      </c>
      <c r="B824">
        <v>2014</v>
      </c>
      <c r="C824" t="s">
        <v>124</v>
      </c>
      <c r="D824">
        <v>1</v>
      </c>
      <c r="E824" s="18" t="s">
        <v>22</v>
      </c>
      <c r="F824" s="18" t="s">
        <v>114</v>
      </c>
      <c r="G824" s="18" t="s">
        <v>21</v>
      </c>
      <c r="H824" s="18" t="str">
        <f>Assumptions!$B$2</f>
        <v>Worst</v>
      </c>
      <c r="I824" s="18">
        <f>_xlfn.XLOOKUP(Assumptions!$B$2,Assumptions!$F$4:$H$4,Assumptions!$F$5:$H$5)</f>
        <v>1200</v>
      </c>
      <c r="J824" s="18">
        <f>_xlfn.XLOOKUP(Assumptions!$B$2,Assumptions!$F$4:$H$4,Assumptions!$F$6:$H$6)</f>
        <v>17</v>
      </c>
      <c r="K824" s="12">
        <f>_xlfn.XLOOKUP(Assumptions!$B$2,Assumptions!$F$4:$H$4,Assumptions!$F$8:$H$8)</f>
        <v>0.1</v>
      </c>
      <c r="L824" s="12">
        <f>_xlfn.XLOOKUP(Assumptions!$B$2,Assumptions!$F$4:$H$4,Assumptions!$F$9:$H$9)</f>
        <v>0.18</v>
      </c>
      <c r="M824" s="18">
        <f>_xlfn.XLOOKUP(Assumptions!$B$2,Assumptions!$F$4:$H$4,Assumptions!$F$10:$H$10)</f>
        <v>18000</v>
      </c>
      <c r="N824" s="12">
        <f>_xlfn.XLOOKUP(Assumptions!$B$2,Assumptions!$F$4:$H$4,Assumptions!$F$11:$H$11)</f>
        <v>0.3</v>
      </c>
      <c r="O824" s="14">
        <f>Final_Table[[#This Row],[Units Sold]]*Final_Table[[#This Row],[Sale Price]]</f>
        <v>20400</v>
      </c>
      <c r="P824" s="14">
        <f>Final_Table[[#This Row],[Gross Revenue]]*(1-Final_Table[[#This Row],[Discount %]])</f>
        <v>18360</v>
      </c>
      <c r="Q824">
        <f>Final_Table[[#This Row],[Net Revenue]]*Final_Table[[#This Row],[Variable Cost %]]</f>
        <v>3304.7999999999997</v>
      </c>
      <c r="R824">
        <f>Final_Table[[#This Row],[Variable Cost]]+Final_Table[[#This Row],[Fixed Monthly Cost]]</f>
        <v>21304.799999999999</v>
      </c>
      <c r="S824" s="5">
        <f>Final_Table[[#This Row],[Net Revenue]]-Final_Table[[#This Row],[Total Cost (COGS)]]</f>
        <v>-2944.7999999999993</v>
      </c>
      <c r="T824">
        <f>Final_Table[[#This Row],[Gross Profit]]*Final_Table[[#This Row],[Tax Rate]]</f>
        <v>-883.43999999999971</v>
      </c>
      <c r="U824" s="5">
        <f>Final_Table[[#This Row],[Gross Profit]]-Final_Table[[#This Row],[Tax]]</f>
        <v>-2061.3599999999997</v>
      </c>
      <c r="V824" s="12">
        <f>Final_Table[[#This Row],[Net Profit]]/Final_Table[[#This Row],[Gross Revenue]]</f>
        <v>-0.10104705882352939</v>
      </c>
    </row>
    <row r="825" spans="1:22">
      <c r="A825" s="18" t="s">
        <v>73</v>
      </c>
      <c r="B825">
        <v>2014</v>
      </c>
      <c r="C825" t="s">
        <v>124</v>
      </c>
      <c r="D825">
        <v>1</v>
      </c>
      <c r="E825" s="18" t="s">
        <v>22</v>
      </c>
      <c r="F825" s="18" t="s">
        <v>114</v>
      </c>
      <c r="G825" s="18" t="s">
        <v>25</v>
      </c>
      <c r="H825" s="18" t="str">
        <f>Assumptions!$B$2</f>
        <v>Worst</v>
      </c>
      <c r="I825" s="18">
        <f>_xlfn.XLOOKUP(Assumptions!$B$2,Assumptions!$F$4:$H$4,Assumptions!$F$5:$H$5)</f>
        <v>1200</v>
      </c>
      <c r="J825" s="18">
        <f>_xlfn.XLOOKUP(Assumptions!$B$2,Assumptions!$F$4:$H$4,Assumptions!$F$6:$H$6)</f>
        <v>17</v>
      </c>
      <c r="K825" s="12">
        <f>_xlfn.XLOOKUP(Assumptions!$B$2,Assumptions!$F$4:$H$4,Assumptions!$F$8:$H$8)</f>
        <v>0.1</v>
      </c>
      <c r="L825" s="12">
        <f>_xlfn.XLOOKUP(Assumptions!$B$2,Assumptions!$F$4:$H$4,Assumptions!$F$9:$H$9)</f>
        <v>0.18</v>
      </c>
      <c r="M825" s="18">
        <f>_xlfn.XLOOKUP(Assumptions!$B$2,Assumptions!$F$4:$H$4,Assumptions!$F$10:$H$10)</f>
        <v>18000</v>
      </c>
      <c r="N825" s="12">
        <f>_xlfn.XLOOKUP(Assumptions!$B$2,Assumptions!$F$4:$H$4,Assumptions!$F$11:$H$11)</f>
        <v>0.3</v>
      </c>
      <c r="O825" s="14">
        <f>Final_Table[[#This Row],[Units Sold]]*Final_Table[[#This Row],[Sale Price]]</f>
        <v>20400</v>
      </c>
      <c r="P825" s="14">
        <f>Final_Table[[#This Row],[Gross Revenue]]*(1-Final_Table[[#This Row],[Discount %]])</f>
        <v>18360</v>
      </c>
      <c r="Q825">
        <f>Final_Table[[#This Row],[Net Revenue]]*Final_Table[[#This Row],[Variable Cost %]]</f>
        <v>3304.7999999999997</v>
      </c>
      <c r="R825">
        <f>Final_Table[[#This Row],[Variable Cost]]+Final_Table[[#This Row],[Fixed Monthly Cost]]</f>
        <v>21304.799999999999</v>
      </c>
      <c r="S825" s="5">
        <f>Final_Table[[#This Row],[Net Revenue]]-Final_Table[[#This Row],[Total Cost (COGS)]]</f>
        <v>-2944.7999999999993</v>
      </c>
      <c r="T825">
        <f>Final_Table[[#This Row],[Gross Profit]]*Final_Table[[#This Row],[Tax Rate]]</f>
        <v>-883.43999999999971</v>
      </c>
      <c r="U825" s="5">
        <f>Final_Table[[#This Row],[Gross Profit]]-Final_Table[[#This Row],[Tax]]</f>
        <v>-2061.3599999999997</v>
      </c>
      <c r="V825" s="12">
        <f>Final_Table[[#This Row],[Net Profit]]/Final_Table[[#This Row],[Gross Revenue]]</f>
        <v>-0.10104705882352939</v>
      </c>
    </row>
    <row r="826" spans="1:22">
      <c r="A826" s="18" t="s">
        <v>73</v>
      </c>
      <c r="B826">
        <v>2014</v>
      </c>
      <c r="C826" t="s">
        <v>124</v>
      </c>
      <c r="D826">
        <v>1</v>
      </c>
      <c r="E826" s="18" t="s">
        <v>22</v>
      </c>
      <c r="F826" s="18" t="s">
        <v>114</v>
      </c>
      <c r="G826" s="18" t="s">
        <v>17</v>
      </c>
      <c r="H826" s="18" t="str">
        <f>Assumptions!$B$2</f>
        <v>Worst</v>
      </c>
      <c r="I826" s="18">
        <f>_xlfn.XLOOKUP(Assumptions!$B$2,Assumptions!$F$4:$H$4,Assumptions!$F$5:$H$5)</f>
        <v>1200</v>
      </c>
      <c r="J826" s="18">
        <f>_xlfn.XLOOKUP(Assumptions!$B$2,Assumptions!$F$4:$H$4,Assumptions!$F$6:$H$6)</f>
        <v>17</v>
      </c>
      <c r="K826" s="12">
        <f>_xlfn.XLOOKUP(Assumptions!$B$2,Assumptions!$F$4:$H$4,Assumptions!$F$8:$H$8)</f>
        <v>0.1</v>
      </c>
      <c r="L826" s="12">
        <f>_xlfn.XLOOKUP(Assumptions!$B$2,Assumptions!$F$4:$H$4,Assumptions!$F$9:$H$9)</f>
        <v>0.18</v>
      </c>
      <c r="M826" s="18">
        <f>_xlfn.XLOOKUP(Assumptions!$B$2,Assumptions!$F$4:$H$4,Assumptions!$F$10:$H$10)</f>
        <v>18000</v>
      </c>
      <c r="N826" s="12">
        <f>_xlfn.XLOOKUP(Assumptions!$B$2,Assumptions!$F$4:$H$4,Assumptions!$F$11:$H$11)</f>
        <v>0.3</v>
      </c>
      <c r="O826" s="14">
        <f>Final_Table[[#This Row],[Units Sold]]*Final_Table[[#This Row],[Sale Price]]</f>
        <v>20400</v>
      </c>
      <c r="P826" s="14">
        <f>Final_Table[[#This Row],[Gross Revenue]]*(1-Final_Table[[#This Row],[Discount %]])</f>
        <v>18360</v>
      </c>
      <c r="Q826">
        <f>Final_Table[[#This Row],[Net Revenue]]*Final_Table[[#This Row],[Variable Cost %]]</f>
        <v>3304.7999999999997</v>
      </c>
      <c r="R826">
        <f>Final_Table[[#This Row],[Variable Cost]]+Final_Table[[#This Row],[Fixed Monthly Cost]]</f>
        <v>21304.799999999999</v>
      </c>
      <c r="S826" s="5">
        <f>Final_Table[[#This Row],[Net Revenue]]-Final_Table[[#This Row],[Total Cost (COGS)]]</f>
        <v>-2944.7999999999993</v>
      </c>
      <c r="T826">
        <f>Final_Table[[#This Row],[Gross Profit]]*Final_Table[[#This Row],[Tax Rate]]</f>
        <v>-883.43999999999971</v>
      </c>
      <c r="U826" s="5">
        <f>Final_Table[[#This Row],[Gross Profit]]-Final_Table[[#This Row],[Tax]]</f>
        <v>-2061.3599999999997</v>
      </c>
      <c r="V826" s="12">
        <f>Final_Table[[#This Row],[Net Profit]]/Final_Table[[#This Row],[Gross Revenue]]</f>
        <v>-0.10104705882352939</v>
      </c>
    </row>
    <row r="827" spans="1:22">
      <c r="A827" s="18" t="s">
        <v>73</v>
      </c>
      <c r="B827">
        <v>2014</v>
      </c>
      <c r="C827" t="s">
        <v>124</v>
      </c>
      <c r="D827">
        <v>1</v>
      </c>
      <c r="E827" s="18" t="s">
        <v>16</v>
      </c>
      <c r="F827" s="18" t="s">
        <v>80</v>
      </c>
      <c r="G827" s="18" t="s">
        <v>36</v>
      </c>
      <c r="H827" s="18" t="str">
        <f>Assumptions!$B$2</f>
        <v>Worst</v>
      </c>
      <c r="I827" s="18">
        <f>_xlfn.XLOOKUP(Assumptions!$B$2,Assumptions!$F$4:$H$4,Assumptions!$F$5:$H$5)</f>
        <v>1200</v>
      </c>
      <c r="J827" s="18">
        <f>_xlfn.XLOOKUP(Assumptions!$B$2,Assumptions!$F$4:$H$4,Assumptions!$F$6:$H$6)</f>
        <v>17</v>
      </c>
      <c r="K827" s="12">
        <f>_xlfn.XLOOKUP(Assumptions!$B$2,Assumptions!$F$4:$H$4,Assumptions!$F$8:$H$8)</f>
        <v>0.1</v>
      </c>
      <c r="L827" s="12">
        <f>_xlfn.XLOOKUP(Assumptions!$B$2,Assumptions!$F$4:$H$4,Assumptions!$F$9:$H$9)</f>
        <v>0.18</v>
      </c>
      <c r="M827" s="18">
        <f>_xlfn.XLOOKUP(Assumptions!$B$2,Assumptions!$F$4:$H$4,Assumptions!$F$10:$H$10)</f>
        <v>18000</v>
      </c>
      <c r="N827" s="12">
        <f>_xlfn.XLOOKUP(Assumptions!$B$2,Assumptions!$F$4:$H$4,Assumptions!$F$11:$H$11)</f>
        <v>0.3</v>
      </c>
      <c r="O827" s="14">
        <f>Final_Table[[#This Row],[Units Sold]]*Final_Table[[#This Row],[Sale Price]]</f>
        <v>20400</v>
      </c>
      <c r="P827" s="14">
        <f>Final_Table[[#This Row],[Gross Revenue]]*(1-Final_Table[[#This Row],[Discount %]])</f>
        <v>18360</v>
      </c>
      <c r="Q827">
        <f>Final_Table[[#This Row],[Net Revenue]]*Final_Table[[#This Row],[Variable Cost %]]</f>
        <v>3304.7999999999997</v>
      </c>
      <c r="R827">
        <f>Final_Table[[#This Row],[Variable Cost]]+Final_Table[[#This Row],[Fixed Monthly Cost]]</f>
        <v>21304.799999999999</v>
      </c>
      <c r="S827" s="5">
        <f>Final_Table[[#This Row],[Net Revenue]]-Final_Table[[#This Row],[Total Cost (COGS)]]</f>
        <v>-2944.7999999999993</v>
      </c>
      <c r="T827">
        <f>Final_Table[[#This Row],[Gross Profit]]*Final_Table[[#This Row],[Tax Rate]]</f>
        <v>-883.43999999999971</v>
      </c>
      <c r="U827" s="5">
        <f>Final_Table[[#This Row],[Gross Profit]]-Final_Table[[#This Row],[Tax]]</f>
        <v>-2061.3599999999997</v>
      </c>
      <c r="V827" s="12">
        <f>Final_Table[[#This Row],[Net Profit]]/Final_Table[[#This Row],[Gross Revenue]]</f>
        <v>-0.10104705882352939</v>
      </c>
    </row>
    <row r="828" spans="1:22">
      <c r="A828" s="18" t="s">
        <v>73</v>
      </c>
      <c r="B828">
        <v>2014</v>
      </c>
      <c r="C828" t="s">
        <v>124</v>
      </c>
      <c r="D828">
        <v>1</v>
      </c>
      <c r="E828" s="18" t="s">
        <v>16</v>
      </c>
      <c r="F828" s="18" t="s">
        <v>80</v>
      </c>
      <c r="G828" s="18" t="s">
        <v>23</v>
      </c>
      <c r="H828" s="18" t="str">
        <f>Assumptions!$B$2</f>
        <v>Worst</v>
      </c>
      <c r="I828" s="18">
        <f>_xlfn.XLOOKUP(Assumptions!$B$2,Assumptions!$F$4:$H$4,Assumptions!$F$5:$H$5)</f>
        <v>1200</v>
      </c>
      <c r="J828" s="18">
        <f>_xlfn.XLOOKUP(Assumptions!$B$2,Assumptions!$F$4:$H$4,Assumptions!$F$6:$H$6)</f>
        <v>17</v>
      </c>
      <c r="K828" s="12">
        <f>_xlfn.XLOOKUP(Assumptions!$B$2,Assumptions!$F$4:$H$4,Assumptions!$F$8:$H$8)</f>
        <v>0.1</v>
      </c>
      <c r="L828" s="12">
        <f>_xlfn.XLOOKUP(Assumptions!$B$2,Assumptions!$F$4:$H$4,Assumptions!$F$9:$H$9)</f>
        <v>0.18</v>
      </c>
      <c r="M828" s="18">
        <f>_xlfn.XLOOKUP(Assumptions!$B$2,Assumptions!$F$4:$H$4,Assumptions!$F$10:$H$10)</f>
        <v>18000</v>
      </c>
      <c r="N828" s="12">
        <f>_xlfn.XLOOKUP(Assumptions!$B$2,Assumptions!$F$4:$H$4,Assumptions!$F$11:$H$11)</f>
        <v>0.3</v>
      </c>
      <c r="O828" s="14">
        <f>Final_Table[[#This Row],[Units Sold]]*Final_Table[[#This Row],[Sale Price]]</f>
        <v>20400</v>
      </c>
      <c r="P828" s="14">
        <f>Final_Table[[#This Row],[Gross Revenue]]*(1-Final_Table[[#This Row],[Discount %]])</f>
        <v>18360</v>
      </c>
      <c r="Q828">
        <f>Final_Table[[#This Row],[Net Revenue]]*Final_Table[[#This Row],[Variable Cost %]]</f>
        <v>3304.7999999999997</v>
      </c>
      <c r="R828">
        <f>Final_Table[[#This Row],[Variable Cost]]+Final_Table[[#This Row],[Fixed Monthly Cost]]</f>
        <v>21304.799999999999</v>
      </c>
      <c r="S828" s="5">
        <f>Final_Table[[#This Row],[Net Revenue]]-Final_Table[[#This Row],[Total Cost (COGS)]]</f>
        <v>-2944.7999999999993</v>
      </c>
      <c r="T828">
        <f>Final_Table[[#This Row],[Gross Profit]]*Final_Table[[#This Row],[Tax Rate]]</f>
        <v>-883.43999999999971</v>
      </c>
      <c r="U828" s="5">
        <f>Final_Table[[#This Row],[Gross Profit]]-Final_Table[[#This Row],[Tax]]</f>
        <v>-2061.3599999999997</v>
      </c>
      <c r="V828" s="12">
        <f>Final_Table[[#This Row],[Net Profit]]/Final_Table[[#This Row],[Gross Revenue]]</f>
        <v>-0.10104705882352939</v>
      </c>
    </row>
    <row r="829" spans="1:22">
      <c r="A829" s="18" t="s">
        <v>73</v>
      </c>
      <c r="B829">
        <v>2014</v>
      </c>
      <c r="C829" t="s">
        <v>124</v>
      </c>
      <c r="D829">
        <v>1</v>
      </c>
      <c r="E829" s="18" t="s">
        <v>16</v>
      </c>
      <c r="F829" s="18" t="s">
        <v>80</v>
      </c>
      <c r="G829" s="18" t="s">
        <v>21</v>
      </c>
      <c r="H829" s="18" t="str">
        <f>Assumptions!$B$2</f>
        <v>Worst</v>
      </c>
      <c r="I829" s="18">
        <f>_xlfn.XLOOKUP(Assumptions!$B$2,Assumptions!$F$4:$H$4,Assumptions!$F$5:$H$5)</f>
        <v>1200</v>
      </c>
      <c r="J829" s="18">
        <f>_xlfn.XLOOKUP(Assumptions!$B$2,Assumptions!$F$4:$H$4,Assumptions!$F$6:$H$6)</f>
        <v>17</v>
      </c>
      <c r="K829" s="12">
        <f>_xlfn.XLOOKUP(Assumptions!$B$2,Assumptions!$F$4:$H$4,Assumptions!$F$8:$H$8)</f>
        <v>0.1</v>
      </c>
      <c r="L829" s="12">
        <f>_xlfn.XLOOKUP(Assumptions!$B$2,Assumptions!$F$4:$H$4,Assumptions!$F$9:$H$9)</f>
        <v>0.18</v>
      </c>
      <c r="M829" s="18">
        <f>_xlfn.XLOOKUP(Assumptions!$B$2,Assumptions!$F$4:$H$4,Assumptions!$F$10:$H$10)</f>
        <v>18000</v>
      </c>
      <c r="N829" s="12">
        <f>_xlfn.XLOOKUP(Assumptions!$B$2,Assumptions!$F$4:$H$4,Assumptions!$F$11:$H$11)</f>
        <v>0.3</v>
      </c>
      <c r="O829" s="14">
        <f>Final_Table[[#This Row],[Units Sold]]*Final_Table[[#This Row],[Sale Price]]</f>
        <v>20400</v>
      </c>
      <c r="P829" s="14">
        <f>Final_Table[[#This Row],[Gross Revenue]]*(1-Final_Table[[#This Row],[Discount %]])</f>
        <v>18360</v>
      </c>
      <c r="Q829">
        <f>Final_Table[[#This Row],[Net Revenue]]*Final_Table[[#This Row],[Variable Cost %]]</f>
        <v>3304.7999999999997</v>
      </c>
      <c r="R829">
        <f>Final_Table[[#This Row],[Variable Cost]]+Final_Table[[#This Row],[Fixed Monthly Cost]]</f>
        <v>21304.799999999999</v>
      </c>
      <c r="S829" s="5">
        <f>Final_Table[[#This Row],[Net Revenue]]-Final_Table[[#This Row],[Total Cost (COGS)]]</f>
        <v>-2944.7999999999993</v>
      </c>
      <c r="T829">
        <f>Final_Table[[#This Row],[Gross Profit]]*Final_Table[[#This Row],[Tax Rate]]</f>
        <v>-883.43999999999971</v>
      </c>
      <c r="U829" s="5">
        <f>Final_Table[[#This Row],[Gross Profit]]-Final_Table[[#This Row],[Tax]]</f>
        <v>-2061.3599999999997</v>
      </c>
      <c r="V829" s="12">
        <f>Final_Table[[#This Row],[Net Profit]]/Final_Table[[#This Row],[Gross Revenue]]</f>
        <v>-0.10104705882352939</v>
      </c>
    </row>
    <row r="830" spans="1:22">
      <c r="A830" s="18" t="s">
        <v>73</v>
      </c>
      <c r="B830">
        <v>2014</v>
      </c>
      <c r="C830" t="s">
        <v>124</v>
      </c>
      <c r="D830">
        <v>1</v>
      </c>
      <c r="E830" s="18" t="s">
        <v>16</v>
      </c>
      <c r="F830" s="18" t="s">
        <v>80</v>
      </c>
      <c r="G830" s="18" t="s">
        <v>25</v>
      </c>
      <c r="H830" s="18" t="str">
        <f>Assumptions!$B$2</f>
        <v>Worst</v>
      </c>
      <c r="I830" s="18">
        <f>_xlfn.XLOOKUP(Assumptions!$B$2,Assumptions!$F$4:$H$4,Assumptions!$F$5:$H$5)</f>
        <v>1200</v>
      </c>
      <c r="J830" s="18">
        <f>_xlfn.XLOOKUP(Assumptions!$B$2,Assumptions!$F$4:$H$4,Assumptions!$F$6:$H$6)</f>
        <v>17</v>
      </c>
      <c r="K830" s="12">
        <f>_xlfn.XLOOKUP(Assumptions!$B$2,Assumptions!$F$4:$H$4,Assumptions!$F$8:$H$8)</f>
        <v>0.1</v>
      </c>
      <c r="L830" s="12">
        <f>_xlfn.XLOOKUP(Assumptions!$B$2,Assumptions!$F$4:$H$4,Assumptions!$F$9:$H$9)</f>
        <v>0.18</v>
      </c>
      <c r="M830" s="18">
        <f>_xlfn.XLOOKUP(Assumptions!$B$2,Assumptions!$F$4:$H$4,Assumptions!$F$10:$H$10)</f>
        <v>18000</v>
      </c>
      <c r="N830" s="12">
        <f>_xlfn.XLOOKUP(Assumptions!$B$2,Assumptions!$F$4:$H$4,Assumptions!$F$11:$H$11)</f>
        <v>0.3</v>
      </c>
      <c r="O830" s="14">
        <f>Final_Table[[#This Row],[Units Sold]]*Final_Table[[#This Row],[Sale Price]]</f>
        <v>20400</v>
      </c>
      <c r="P830" s="14">
        <f>Final_Table[[#This Row],[Gross Revenue]]*(1-Final_Table[[#This Row],[Discount %]])</f>
        <v>18360</v>
      </c>
      <c r="Q830">
        <f>Final_Table[[#This Row],[Net Revenue]]*Final_Table[[#This Row],[Variable Cost %]]</f>
        <v>3304.7999999999997</v>
      </c>
      <c r="R830">
        <f>Final_Table[[#This Row],[Variable Cost]]+Final_Table[[#This Row],[Fixed Monthly Cost]]</f>
        <v>21304.799999999999</v>
      </c>
      <c r="S830" s="5">
        <f>Final_Table[[#This Row],[Net Revenue]]-Final_Table[[#This Row],[Total Cost (COGS)]]</f>
        <v>-2944.7999999999993</v>
      </c>
      <c r="T830">
        <f>Final_Table[[#This Row],[Gross Profit]]*Final_Table[[#This Row],[Tax Rate]]</f>
        <v>-883.43999999999971</v>
      </c>
      <c r="U830" s="5">
        <f>Final_Table[[#This Row],[Gross Profit]]-Final_Table[[#This Row],[Tax]]</f>
        <v>-2061.3599999999997</v>
      </c>
      <c r="V830" s="12">
        <f>Final_Table[[#This Row],[Net Profit]]/Final_Table[[#This Row],[Gross Revenue]]</f>
        <v>-0.10104705882352939</v>
      </c>
    </row>
    <row r="831" spans="1:22">
      <c r="A831" s="18" t="s">
        <v>73</v>
      </c>
      <c r="B831">
        <v>2014</v>
      </c>
      <c r="C831" t="s">
        <v>124</v>
      </c>
      <c r="D831">
        <v>1</v>
      </c>
      <c r="E831" s="18" t="s">
        <v>16</v>
      </c>
      <c r="F831" s="18" t="s">
        <v>80</v>
      </c>
      <c r="G831" s="18" t="s">
        <v>17</v>
      </c>
      <c r="H831" s="18" t="str">
        <f>Assumptions!$B$2</f>
        <v>Worst</v>
      </c>
      <c r="I831" s="18">
        <f>_xlfn.XLOOKUP(Assumptions!$B$2,Assumptions!$F$4:$H$4,Assumptions!$F$5:$H$5)</f>
        <v>1200</v>
      </c>
      <c r="J831" s="18">
        <f>_xlfn.XLOOKUP(Assumptions!$B$2,Assumptions!$F$4:$H$4,Assumptions!$F$6:$H$6)</f>
        <v>17</v>
      </c>
      <c r="K831" s="12">
        <f>_xlfn.XLOOKUP(Assumptions!$B$2,Assumptions!$F$4:$H$4,Assumptions!$F$8:$H$8)</f>
        <v>0.1</v>
      </c>
      <c r="L831" s="12">
        <f>_xlfn.XLOOKUP(Assumptions!$B$2,Assumptions!$F$4:$H$4,Assumptions!$F$9:$H$9)</f>
        <v>0.18</v>
      </c>
      <c r="M831" s="18">
        <f>_xlfn.XLOOKUP(Assumptions!$B$2,Assumptions!$F$4:$H$4,Assumptions!$F$10:$H$10)</f>
        <v>18000</v>
      </c>
      <c r="N831" s="12">
        <f>_xlfn.XLOOKUP(Assumptions!$B$2,Assumptions!$F$4:$H$4,Assumptions!$F$11:$H$11)</f>
        <v>0.3</v>
      </c>
      <c r="O831" s="14">
        <f>Final_Table[[#This Row],[Units Sold]]*Final_Table[[#This Row],[Sale Price]]</f>
        <v>20400</v>
      </c>
      <c r="P831" s="14">
        <f>Final_Table[[#This Row],[Gross Revenue]]*(1-Final_Table[[#This Row],[Discount %]])</f>
        <v>18360</v>
      </c>
      <c r="Q831">
        <f>Final_Table[[#This Row],[Net Revenue]]*Final_Table[[#This Row],[Variable Cost %]]</f>
        <v>3304.7999999999997</v>
      </c>
      <c r="R831">
        <f>Final_Table[[#This Row],[Variable Cost]]+Final_Table[[#This Row],[Fixed Monthly Cost]]</f>
        <v>21304.799999999999</v>
      </c>
      <c r="S831" s="5">
        <f>Final_Table[[#This Row],[Net Revenue]]-Final_Table[[#This Row],[Total Cost (COGS)]]</f>
        <v>-2944.7999999999993</v>
      </c>
      <c r="T831">
        <f>Final_Table[[#This Row],[Gross Profit]]*Final_Table[[#This Row],[Tax Rate]]</f>
        <v>-883.43999999999971</v>
      </c>
      <c r="U831" s="5">
        <f>Final_Table[[#This Row],[Gross Profit]]-Final_Table[[#This Row],[Tax]]</f>
        <v>-2061.3599999999997</v>
      </c>
      <c r="V831" s="12">
        <f>Final_Table[[#This Row],[Net Profit]]/Final_Table[[#This Row],[Gross Revenue]]</f>
        <v>-0.10104705882352939</v>
      </c>
    </row>
    <row r="832" spans="1:22">
      <c r="A832" s="18" t="s">
        <v>73</v>
      </c>
      <c r="B832">
        <v>2014</v>
      </c>
      <c r="C832" t="s">
        <v>124</v>
      </c>
      <c r="D832">
        <v>1</v>
      </c>
      <c r="E832" s="18" t="s">
        <v>16</v>
      </c>
      <c r="F832" s="18" t="s">
        <v>108</v>
      </c>
      <c r="G832" s="18" t="s">
        <v>36</v>
      </c>
      <c r="H832" s="18" t="str">
        <f>Assumptions!$B$2</f>
        <v>Worst</v>
      </c>
      <c r="I832" s="18">
        <f>_xlfn.XLOOKUP(Assumptions!$B$2,Assumptions!$F$4:$H$4,Assumptions!$F$5:$H$5)</f>
        <v>1200</v>
      </c>
      <c r="J832" s="18">
        <f>_xlfn.XLOOKUP(Assumptions!$B$2,Assumptions!$F$4:$H$4,Assumptions!$F$6:$H$6)</f>
        <v>17</v>
      </c>
      <c r="K832" s="12">
        <f>_xlfn.XLOOKUP(Assumptions!$B$2,Assumptions!$F$4:$H$4,Assumptions!$F$8:$H$8)</f>
        <v>0.1</v>
      </c>
      <c r="L832" s="12">
        <f>_xlfn.XLOOKUP(Assumptions!$B$2,Assumptions!$F$4:$H$4,Assumptions!$F$9:$H$9)</f>
        <v>0.18</v>
      </c>
      <c r="M832" s="18">
        <f>_xlfn.XLOOKUP(Assumptions!$B$2,Assumptions!$F$4:$H$4,Assumptions!$F$10:$H$10)</f>
        <v>18000</v>
      </c>
      <c r="N832" s="12">
        <f>_xlfn.XLOOKUP(Assumptions!$B$2,Assumptions!$F$4:$H$4,Assumptions!$F$11:$H$11)</f>
        <v>0.3</v>
      </c>
      <c r="O832" s="14">
        <f>Final_Table[[#This Row],[Units Sold]]*Final_Table[[#This Row],[Sale Price]]</f>
        <v>20400</v>
      </c>
      <c r="P832" s="14">
        <f>Final_Table[[#This Row],[Gross Revenue]]*(1-Final_Table[[#This Row],[Discount %]])</f>
        <v>18360</v>
      </c>
      <c r="Q832">
        <f>Final_Table[[#This Row],[Net Revenue]]*Final_Table[[#This Row],[Variable Cost %]]</f>
        <v>3304.7999999999997</v>
      </c>
      <c r="R832">
        <f>Final_Table[[#This Row],[Variable Cost]]+Final_Table[[#This Row],[Fixed Monthly Cost]]</f>
        <v>21304.799999999999</v>
      </c>
      <c r="S832" s="5">
        <f>Final_Table[[#This Row],[Net Revenue]]-Final_Table[[#This Row],[Total Cost (COGS)]]</f>
        <v>-2944.7999999999993</v>
      </c>
      <c r="T832">
        <f>Final_Table[[#This Row],[Gross Profit]]*Final_Table[[#This Row],[Tax Rate]]</f>
        <v>-883.43999999999971</v>
      </c>
      <c r="U832" s="5">
        <f>Final_Table[[#This Row],[Gross Profit]]-Final_Table[[#This Row],[Tax]]</f>
        <v>-2061.3599999999997</v>
      </c>
      <c r="V832" s="12">
        <f>Final_Table[[#This Row],[Net Profit]]/Final_Table[[#This Row],[Gross Revenue]]</f>
        <v>-0.10104705882352939</v>
      </c>
    </row>
    <row r="833" spans="1:22">
      <c r="A833" s="18" t="s">
        <v>73</v>
      </c>
      <c r="B833">
        <v>2014</v>
      </c>
      <c r="C833" t="s">
        <v>124</v>
      </c>
      <c r="D833">
        <v>1</v>
      </c>
      <c r="E833" s="18" t="s">
        <v>16</v>
      </c>
      <c r="F833" s="18" t="s">
        <v>108</v>
      </c>
      <c r="G833" s="18" t="s">
        <v>23</v>
      </c>
      <c r="H833" s="18" t="str">
        <f>Assumptions!$B$2</f>
        <v>Worst</v>
      </c>
      <c r="I833" s="18">
        <f>_xlfn.XLOOKUP(Assumptions!$B$2,Assumptions!$F$4:$H$4,Assumptions!$F$5:$H$5)</f>
        <v>1200</v>
      </c>
      <c r="J833" s="18">
        <f>_xlfn.XLOOKUP(Assumptions!$B$2,Assumptions!$F$4:$H$4,Assumptions!$F$6:$H$6)</f>
        <v>17</v>
      </c>
      <c r="K833" s="12">
        <f>_xlfn.XLOOKUP(Assumptions!$B$2,Assumptions!$F$4:$H$4,Assumptions!$F$8:$H$8)</f>
        <v>0.1</v>
      </c>
      <c r="L833" s="12">
        <f>_xlfn.XLOOKUP(Assumptions!$B$2,Assumptions!$F$4:$H$4,Assumptions!$F$9:$H$9)</f>
        <v>0.18</v>
      </c>
      <c r="M833" s="18">
        <f>_xlfn.XLOOKUP(Assumptions!$B$2,Assumptions!$F$4:$H$4,Assumptions!$F$10:$H$10)</f>
        <v>18000</v>
      </c>
      <c r="N833" s="12">
        <f>_xlfn.XLOOKUP(Assumptions!$B$2,Assumptions!$F$4:$H$4,Assumptions!$F$11:$H$11)</f>
        <v>0.3</v>
      </c>
      <c r="O833" s="14">
        <f>Final_Table[[#This Row],[Units Sold]]*Final_Table[[#This Row],[Sale Price]]</f>
        <v>20400</v>
      </c>
      <c r="P833" s="14">
        <f>Final_Table[[#This Row],[Gross Revenue]]*(1-Final_Table[[#This Row],[Discount %]])</f>
        <v>18360</v>
      </c>
      <c r="Q833">
        <f>Final_Table[[#This Row],[Net Revenue]]*Final_Table[[#This Row],[Variable Cost %]]</f>
        <v>3304.7999999999997</v>
      </c>
      <c r="R833">
        <f>Final_Table[[#This Row],[Variable Cost]]+Final_Table[[#This Row],[Fixed Monthly Cost]]</f>
        <v>21304.799999999999</v>
      </c>
      <c r="S833" s="5">
        <f>Final_Table[[#This Row],[Net Revenue]]-Final_Table[[#This Row],[Total Cost (COGS)]]</f>
        <v>-2944.7999999999993</v>
      </c>
      <c r="T833">
        <f>Final_Table[[#This Row],[Gross Profit]]*Final_Table[[#This Row],[Tax Rate]]</f>
        <v>-883.43999999999971</v>
      </c>
      <c r="U833" s="5">
        <f>Final_Table[[#This Row],[Gross Profit]]-Final_Table[[#This Row],[Tax]]</f>
        <v>-2061.3599999999997</v>
      </c>
      <c r="V833" s="12">
        <f>Final_Table[[#This Row],[Net Profit]]/Final_Table[[#This Row],[Gross Revenue]]</f>
        <v>-0.10104705882352939</v>
      </c>
    </row>
    <row r="834" spans="1:22">
      <c r="A834" s="18" t="s">
        <v>73</v>
      </c>
      <c r="B834">
        <v>2014</v>
      </c>
      <c r="C834" t="s">
        <v>124</v>
      </c>
      <c r="D834">
        <v>1</v>
      </c>
      <c r="E834" s="18" t="s">
        <v>16</v>
      </c>
      <c r="F834" s="18" t="s">
        <v>108</v>
      </c>
      <c r="G834" s="18" t="s">
        <v>21</v>
      </c>
      <c r="H834" s="18" t="str">
        <f>Assumptions!$B$2</f>
        <v>Worst</v>
      </c>
      <c r="I834" s="18">
        <f>_xlfn.XLOOKUP(Assumptions!$B$2,Assumptions!$F$4:$H$4,Assumptions!$F$5:$H$5)</f>
        <v>1200</v>
      </c>
      <c r="J834" s="18">
        <f>_xlfn.XLOOKUP(Assumptions!$B$2,Assumptions!$F$4:$H$4,Assumptions!$F$6:$H$6)</f>
        <v>17</v>
      </c>
      <c r="K834" s="12">
        <f>_xlfn.XLOOKUP(Assumptions!$B$2,Assumptions!$F$4:$H$4,Assumptions!$F$8:$H$8)</f>
        <v>0.1</v>
      </c>
      <c r="L834" s="12">
        <f>_xlfn.XLOOKUP(Assumptions!$B$2,Assumptions!$F$4:$H$4,Assumptions!$F$9:$H$9)</f>
        <v>0.18</v>
      </c>
      <c r="M834" s="18">
        <f>_xlfn.XLOOKUP(Assumptions!$B$2,Assumptions!$F$4:$H$4,Assumptions!$F$10:$H$10)</f>
        <v>18000</v>
      </c>
      <c r="N834" s="12">
        <f>_xlfn.XLOOKUP(Assumptions!$B$2,Assumptions!$F$4:$H$4,Assumptions!$F$11:$H$11)</f>
        <v>0.3</v>
      </c>
      <c r="O834" s="14">
        <f>Final_Table[[#This Row],[Units Sold]]*Final_Table[[#This Row],[Sale Price]]</f>
        <v>20400</v>
      </c>
      <c r="P834" s="14">
        <f>Final_Table[[#This Row],[Gross Revenue]]*(1-Final_Table[[#This Row],[Discount %]])</f>
        <v>18360</v>
      </c>
      <c r="Q834">
        <f>Final_Table[[#This Row],[Net Revenue]]*Final_Table[[#This Row],[Variable Cost %]]</f>
        <v>3304.7999999999997</v>
      </c>
      <c r="R834">
        <f>Final_Table[[#This Row],[Variable Cost]]+Final_Table[[#This Row],[Fixed Monthly Cost]]</f>
        <v>21304.799999999999</v>
      </c>
      <c r="S834" s="5">
        <f>Final_Table[[#This Row],[Net Revenue]]-Final_Table[[#This Row],[Total Cost (COGS)]]</f>
        <v>-2944.7999999999993</v>
      </c>
      <c r="T834">
        <f>Final_Table[[#This Row],[Gross Profit]]*Final_Table[[#This Row],[Tax Rate]]</f>
        <v>-883.43999999999971</v>
      </c>
      <c r="U834" s="5">
        <f>Final_Table[[#This Row],[Gross Profit]]-Final_Table[[#This Row],[Tax]]</f>
        <v>-2061.3599999999997</v>
      </c>
      <c r="V834" s="12">
        <f>Final_Table[[#This Row],[Net Profit]]/Final_Table[[#This Row],[Gross Revenue]]</f>
        <v>-0.10104705882352939</v>
      </c>
    </row>
    <row r="835" spans="1:22">
      <c r="A835" s="18" t="s">
        <v>73</v>
      </c>
      <c r="B835">
        <v>2014</v>
      </c>
      <c r="C835" t="s">
        <v>124</v>
      </c>
      <c r="D835">
        <v>1</v>
      </c>
      <c r="E835" s="18" t="s">
        <v>16</v>
      </c>
      <c r="F835" s="18" t="s">
        <v>108</v>
      </c>
      <c r="G835" s="18" t="s">
        <v>25</v>
      </c>
      <c r="H835" s="18" t="str">
        <f>Assumptions!$B$2</f>
        <v>Worst</v>
      </c>
      <c r="I835" s="18">
        <f>_xlfn.XLOOKUP(Assumptions!$B$2,Assumptions!$F$4:$H$4,Assumptions!$F$5:$H$5)</f>
        <v>1200</v>
      </c>
      <c r="J835" s="18">
        <f>_xlfn.XLOOKUP(Assumptions!$B$2,Assumptions!$F$4:$H$4,Assumptions!$F$6:$H$6)</f>
        <v>17</v>
      </c>
      <c r="K835" s="12">
        <f>_xlfn.XLOOKUP(Assumptions!$B$2,Assumptions!$F$4:$H$4,Assumptions!$F$8:$H$8)</f>
        <v>0.1</v>
      </c>
      <c r="L835" s="12">
        <f>_xlfn.XLOOKUP(Assumptions!$B$2,Assumptions!$F$4:$H$4,Assumptions!$F$9:$H$9)</f>
        <v>0.18</v>
      </c>
      <c r="M835" s="18">
        <f>_xlfn.XLOOKUP(Assumptions!$B$2,Assumptions!$F$4:$H$4,Assumptions!$F$10:$H$10)</f>
        <v>18000</v>
      </c>
      <c r="N835" s="12">
        <f>_xlfn.XLOOKUP(Assumptions!$B$2,Assumptions!$F$4:$H$4,Assumptions!$F$11:$H$11)</f>
        <v>0.3</v>
      </c>
      <c r="O835" s="14">
        <f>Final_Table[[#This Row],[Units Sold]]*Final_Table[[#This Row],[Sale Price]]</f>
        <v>20400</v>
      </c>
      <c r="P835" s="14">
        <f>Final_Table[[#This Row],[Gross Revenue]]*(1-Final_Table[[#This Row],[Discount %]])</f>
        <v>18360</v>
      </c>
      <c r="Q835">
        <f>Final_Table[[#This Row],[Net Revenue]]*Final_Table[[#This Row],[Variable Cost %]]</f>
        <v>3304.7999999999997</v>
      </c>
      <c r="R835">
        <f>Final_Table[[#This Row],[Variable Cost]]+Final_Table[[#This Row],[Fixed Monthly Cost]]</f>
        <v>21304.799999999999</v>
      </c>
      <c r="S835" s="5">
        <f>Final_Table[[#This Row],[Net Revenue]]-Final_Table[[#This Row],[Total Cost (COGS)]]</f>
        <v>-2944.7999999999993</v>
      </c>
      <c r="T835">
        <f>Final_Table[[#This Row],[Gross Profit]]*Final_Table[[#This Row],[Tax Rate]]</f>
        <v>-883.43999999999971</v>
      </c>
      <c r="U835" s="5">
        <f>Final_Table[[#This Row],[Gross Profit]]-Final_Table[[#This Row],[Tax]]</f>
        <v>-2061.3599999999997</v>
      </c>
      <c r="V835" s="12">
        <f>Final_Table[[#This Row],[Net Profit]]/Final_Table[[#This Row],[Gross Revenue]]</f>
        <v>-0.10104705882352939</v>
      </c>
    </row>
    <row r="836" spans="1:22">
      <c r="A836" s="18" t="s">
        <v>73</v>
      </c>
      <c r="B836">
        <v>2014</v>
      </c>
      <c r="C836" t="s">
        <v>124</v>
      </c>
      <c r="D836">
        <v>1</v>
      </c>
      <c r="E836" s="18" t="s">
        <v>16</v>
      </c>
      <c r="F836" s="18" t="s">
        <v>108</v>
      </c>
      <c r="G836" s="18" t="s">
        <v>17</v>
      </c>
      <c r="H836" s="18" t="str">
        <f>Assumptions!$B$2</f>
        <v>Worst</v>
      </c>
      <c r="I836" s="18">
        <f>_xlfn.XLOOKUP(Assumptions!$B$2,Assumptions!$F$4:$H$4,Assumptions!$F$5:$H$5)</f>
        <v>1200</v>
      </c>
      <c r="J836" s="18">
        <f>_xlfn.XLOOKUP(Assumptions!$B$2,Assumptions!$F$4:$H$4,Assumptions!$F$6:$H$6)</f>
        <v>17</v>
      </c>
      <c r="K836" s="12">
        <f>_xlfn.XLOOKUP(Assumptions!$B$2,Assumptions!$F$4:$H$4,Assumptions!$F$8:$H$8)</f>
        <v>0.1</v>
      </c>
      <c r="L836" s="12">
        <f>_xlfn.XLOOKUP(Assumptions!$B$2,Assumptions!$F$4:$H$4,Assumptions!$F$9:$H$9)</f>
        <v>0.18</v>
      </c>
      <c r="M836" s="18">
        <f>_xlfn.XLOOKUP(Assumptions!$B$2,Assumptions!$F$4:$H$4,Assumptions!$F$10:$H$10)</f>
        <v>18000</v>
      </c>
      <c r="N836" s="12">
        <f>_xlfn.XLOOKUP(Assumptions!$B$2,Assumptions!$F$4:$H$4,Assumptions!$F$11:$H$11)</f>
        <v>0.3</v>
      </c>
      <c r="O836" s="14">
        <f>Final_Table[[#This Row],[Units Sold]]*Final_Table[[#This Row],[Sale Price]]</f>
        <v>20400</v>
      </c>
      <c r="P836" s="14">
        <f>Final_Table[[#This Row],[Gross Revenue]]*(1-Final_Table[[#This Row],[Discount %]])</f>
        <v>18360</v>
      </c>
      <c r="Q836">
        <f>Final_Table[[#This Row],[Net Revenue]]*Final_Table[[#This Row],[Variable Cost %]]</f>
        <v>3304.7999999999997</v>
      </c>
      <c r="R836">
        <f>Final_Table[[#This Row],[Variable Cost]]+Final_Table[[#This Row],[Fixed Monthly Cost]]</f>
        <v>21304.799999999999</v>
      </c>
      <c r="S836" s="5">
        <f>Final_Table[[#This Row],[Net Revenue]]-Final_Table[[#This Row],[Total Cost (COGS)]]</f>
        <v>-2944.7999999999993</v>
      </c>
      <c r="T836">
        <f>Final_Table[[#This Row],[Gross Profit]]*Final_Table[[#This Row],[Tax Rate]]</f>
        <v>-883.43999999999971</v>
      </c>
      <c r="U836" s="5">
        <f>Final_Table[[#This Row],[Gross Profit]]-Final_Table[[#This Row],[Tax]]</f>
        <v>-2061.3599999999997</v>
      </c>
      <c r="V836" s="12">
        <f>Final_Table[[#This Row],[Net Profit]]/Final_Table[[#This Row],[Gross Revenue]]</f>
        <v>-0.10104705882352939</v>
      </c>
    </row>
    <row r="837" spans="1:22">
      <c r="A837" s="18" t="s">
        <v>73</v>
      </c>
      <c r="B837">
        <v>2014</v>
      </c>
      <c r="C837" t="s">
        <v>124</v>
      </c>
      <c r="D837">
        <v>1</v>
      </c>
      <c r="E837" s="18" t="s">
        <v>16</v>
      </c>
      <c r="F837" s="18" t="s">
        <v>112</v>
      </c>
      <c r="G837" s="18" t="s">
        <v>36</v>
      </c>
      <c r="H837" s="18" t="str">
        <f>Assumptions!$B$2</f>
        <v>Worst</v>
      </c>
      <c r="I837" s="18">
        <f>_xlfn.XLOOKUP(Assumptions!$B$2,Assumptions!$F$4:$H$4,Assumptions!$F$5:$H$5)</f>
        <v>1200</v>
      </c>
      <c r="J837" s="18">
        <f>_xlfn.XLOOKUP(Assumptions!$B$2,Assumptions!$F$4:$H$4,Assumptions!$F$6:$H$6)</f>
        <v>17</v>
      </c>
      <c r="K837" s="12">
        <f>_xlfn.XLOOKUP(Assumptions!$B$2,Assumptions!$F$4:$H$4,Assumptions!$F$8:$H$8)</f>
        <v>0.1</v>
      </c>
      <c r="L837" s="12">
        <f>_xlfn.XLOOKUP(Assumptions!$B$2,Assumptions!$F$4:$H$4,Assumptions!$F$9:$H$9)</f>
        <v>0.18</v>
      </c>
      <c r="M837" s="18">
        <f>_xlfn.XLOOKUP(Assumptions!$B$2,Assumptions!$F$4:$H$4,Assumptions!$F$10:$H$10)</f>
        <v>18000</v>
      </c>
      <c r="N837" s="12">
        <f>_xlfn.XLOOKUP(Assumptions!$B$2,Assumptions!$F$4:$H$4,Assumptions!$F$11:$H$11)</f>
        <v>0.3</v>
      </c>
      <c r="O837" s="14">
        <f>Final_Table[[#This Row],[Units Sold]]*Final_Table[[#This Row],[Sale Price]]</f>
        <v>20400</v>
      </c>
      <c r="P837" s="14">
        <f>Final_Table[[#This Row],[Gross Revenue]]*(1-Final_Table[[#This Row],[Discount %]])</f>
        <v>18360</v>
      </c>
      <c r="Q837">
        <f>Final_Table[[#This Row],[Net Revenue]]*Final_Table[[#This Row],[Variable Cost %]]</f>
        <v>3304.7999999999997</v>
      </c>
      <c r="R837">
        <f>Final_Table[[#This Row],[Variable Cost]]+Final_Table[[#This Row],[Fixed Monthly Cost]]</f>
        <v>21304.799999999999</v>
      </c>
      <c r="S837" s="5">
        <f>Final_Table[[#This Row],[Net Revenue]]-Final_Table[[#This Row],[Total Cost (COGS)]]</f>
        <v>-2944.7999999999993</v>
      </c>
      <c r="T837">
        <f>Final_Table[[#This Row],[Gross Profit]]*Final_Table[[#This Row],[Tax Rate]]</f>
        <v>-883.43999999999971</v>
      </c>
      <c r="U837" s="5">
        <f>Final_Table[[#This Row],[Gross Profit]]-Final_Table[[#This Row],[Tax]]</f>
        <v>-2061.3599999999997</v>
      </c>
      <c r="V837" s="12">
        <f>Final_Table[[#This Row],[Net Profit]]/Final_Table[[#This Row],[Gross Revenue]]</f>
        <v>-0.10104705882352939</v>
      </c>
    </row>
    <row r="838" spans="1:22">
      <c r="A838" s="18" t="s">
        <v>73</v>
      </c>
      <c r="B838">
        <v>2014</v>
      </c>
      <c r="C838" t="s">
        <v>124</v>
      </c>
      <c r="D838">
        <v>1</v>
      </c>
      <c r="E838" s="18" t="s">
        <v>16</v>
      </c>
      <c r="F838" s="18" t="s">
        <v>112</v>
      </c>
      <c r="G838" s="18" t="s">
        <v>23</v>
      </c>
      <c r="H838" s="18" t="str">
        <f>Assumptions!$B$2</f>
        <v>Worst</v>
      </c>
      <c r="I838" s="18">
        <f>_xlfn.XLOOKUP(Assumptions!$B$2,Assumptions!$F$4:$H$4,Assumptions!$F$5:$H$5)</f>
        <v>1200</v>
      </c>
      <c r="J838" s="18">
        <f>_xlfn.XLOOKUP(Assumptions!$B$2,Assumptions!$F$4:$H$4,Assumptions!$F$6:$H$6)</f>
        <v>17</v>
      </c>
      <c r="K838" s="12">
        <f>_xlfn.XLOOKUP(Assumptions!$B$2,Assumptions!$F$4:$H$4,Assumptions!$F$8:$H$8)</f>
        <v>0.1</v>
      </c>
      <c r="L838" s="12">
        <f>_xlfn.XLOOKUP(Assumptions!$B$2,Assumptions!$F$4:$H$4,Assumptions!$F$9:$H$9)</f>
        <v>0.18</v>
      </c>
      <c r="M838" s="18">
        <f>_xlfn.XLOOKUP(Assumptions!$B$2,Assumptions!$F$4:$H$4,Assumptions!$F$10:$H$10)</f>
        <v>18000</v>
      </c>
      <c r="N838" s="12">
        <f>_xlfn.XLOOKUP(Assumptions!$B$2,Assumptions!$F$4:$H$4,Assumptions!$F$11:$H$11)</f>
        <v>0.3</v>
      </c>
      <c r="O838" s="14">
        <f>Final_Table[[#This Row],[Units Sold]]*Final_Table[[#This Row],[Sale Price]]</f>
        <v>20400</v>
      </c>
      <c r="P838" s="14">
        <f>Final_Table[[#This Row],[Gross Revenue]]*(1-Final_Table[[#This Row],[Discount %]])</f>
        <v>18360</v>
      </c>
      <c r="Q838">
        <f>Final_Table[[#This Row],[Net Revenue]]*Final_Table[[#This Row],[Variable Cost %]]</f>
        <v>3304.7999999999997</v>
      </c>
      <c r="R838">
        <f>Final_Table[[#This Row],[Variable Cost]]+Final_Table[[#This Row],[Fixed Monthly Cost]]</f>
        <v>21304.799999999999</v>
      </c>
      <c r="S838" s="5">
        <f>Final_Table[[#This Row],[Net Revenue]]-Final_Table[[#This Row],[Total Cost (COGS)]]</f>
        <v>-2944.7999999999993</v>
      </c>
      <c r="T838">
        <f>Final_Table[[#This Row],[Gross Profit]]*Final_Table[[#This Row],[Tax Rate]]</f>
        <v>-883.43999999999971</v>
      </c>
      <c r="U838" s="5">
        <f>Final_Table[[#This Row],[Gross Profit]]-Final_Table[[#This Row],[Tax]]</f>
        <v>-2061.3599999999997</v>
      </c>
      <c r="V838" s="12">
        <f>Final_Table[[#This Row],[Net Profit]]/Final_Table[[#This Row],[Gross Revenue]]</f>
        <v>-0.10104705882352939</v>
      </c>
    </row>
    <row r="839" spans="1:22">
      <c r="A839" s="18" t="s">
        <v>73</v>
      </c>
      <c r="B839">
        <v>2014</v>
      </c>
      <c r="C839" t="s">
        <v>124</v>
      </c>
      <c r="D839">
        <v>1</v>
      </c>
      <c r="E839" s="18" t="s">
        <v>16</v>
      </c>
      <c r="F839" s="18" t="s">
        <v>112</v>
      </c>
      <c r="G839" s="18" t="s">
        <v>21</v>
      </c>
      <c r="H839" s="18" t="str">
        <f>Assumptions!$B$2</f>
        <v>Worst</v>
      </c>
      <c r="I839" s="18">
        <f>_xlfn.XLOOKUP(Assumptions!$B$2,Assumptions!$F$4:$H$4,Assumptions!$F$5:$H$5)</f>
        <v>1200</v>
      </c>
      <c r="J839" s="18">
        <f>_xlfn.XLOOKUP(Assumptions!$B$2,Assumptions!$F$4:$H$4,Assumptions!$F$6:$H$6)</f>
        <v>17</v>
      </c>
      <c r="K839" s="12">
        <f>_xlfn.XLOOKUP(Assumptions!$B$2,Assumptions!$F$4:$H$4,Assumptions!$F$8:$H$8)</f>
        <v>0.1</v>
      </c>
      <c r="L839" s="12">
        <f>_xlfn.XLOOKUP(Assumptions!$B$2,Assumptions!$F$4:$H$4,Assumptions!$F$9:$H$9)</f>
        <v>0.18</v>
      </c>
      <c r="M839" s="18">
        <f>_xlfn.XLOOKUP(Assumptions!$B$2,Assumptions!$F$4:$H$4,Assumptions!$F$10:$H$10)</f>
        <v>18000</v>
      </c>
      <c r="N839" s="12">
        <f>_xlfn.XLOOKUP(Assumptions!$B$2,Assumptions!$F$4:$H$4,Assumptions!$F$11:$H$11)</f>
        <v>0.3</v>
      </c>
      <c r="O839" s="14">
        <f>Final_Table[[#This Row],[Units Sold]]*Final_Table[[#This Row],[Sale Price]]</f>
        <v>20400</v>
      </c>
      <c r="P839" s="14">
        <f>Final_Table[[#This Row],[Gross Revenue]]*(1-Final_Table[[#This Row],[Discount %]])</f>
        <v>18360</v>
      </c>
      <c r="Q839">
        <f>Final_Table[[#This Row],[Net Revenue]]*Final_Table[[#This Row],[Variable Cost %]]</f>
        <v>3304.7999999999997</v>
      </c>
      <c r="R839">
        <f>Final_Table[[#This Row],[Variable Cost]]+Final_Table[[#This Row],[Fixed Monthly Cost]]</f>
        <v>21304.799999999999</v>
      </c>
      <c r="S839" s="5">
        <f>Final_Table[[#This Row],[Net Revenue]]-Final_Table[[#This Row],[Total Cost (COGS)]]</f>
        <v>-2944.7999999999993</v>
      </c>
      <c r="T839">
        <f>Final_Table[[#This Row],[Gross Profit]]*Final_Table[[#This Row],[Tax Rate]]</f>
        <v>-883.43999999999971</v>
      </c>
      <c r="U839" s="5">
        <f>Final_Table[[#This Row],[Gross Profit]]-Final_Table[[#This Row],[Tax]]</f>
        <v>-2061.3599999999997</v>
      </c>
      <c r="V839" s="12">
        <f>Final_Table[[#This Row],[Net Profit]]/Final_Table[[#This Row],[Gross Revenue]]</f>
        <v>-0.10104705882352939</v>
      </c>
    </row>
    <row r="840" spans="1:22">
      <c r="A840" s="18" t="s">
        <v>73</v>
      </c>
      <c r="B840">
        <v>2014</v>
      </c>
      <c r="C840" t="s">
        <v>124</v>
      </c>
      <c r="D840">
        <v>1</v>
      </c>
      <c r="E840" s="18" t="s">
        <v>16</v>
      </c>
      <c r="F840" s="18" t="s">
        <v>112</v>
      </c>
      <c r="G840" s="18" t="s">
        <v>25</v>
      </c>
      <c r="H840" s="18" t="str">
        <f>Assumptions!$B$2</f>
        <v>Worst</v>
      </c>
      <c r="I840" s="18">
        <f>_xlfn.XLOOKUP(Assumptions!$B$2,Assumptions!$F$4:$H$4,Assumptions!$F$5:$H$5)</f>
        <v>1200</v>
      </c>
      <c r="J840" s="18">
        <f>_xlfn.XLOOKUP(Assumptions!$B$2,Assumptions!$F$4:$H$4,Assumptions!$F$6:$H$6)</f>
        <v>17</v>
      </c>
      <c r="K840" s="12">
        <f>_xlfn.XLOOKUP(Assumptions!$B$2,Assumptions!$F$4:$H$4,Assumptions!$F$8:$H$8)</f>
        <v>0.1</v>
      </c>
      <c r="L840" s="12">
        <f>_xlfn.XLOOKUP(Assumptions!$B$2,Assumptions!$F$4:$H$4,Assumptions!$F$9:$H$9)</f>
        <v>0.18</v>
      </c>
      <c r="M840" s="18">
        <f>_xlfn.XLOOKUP(Assumptions!$B$2,Assumptions!$F$4:$H$4,Assumptions!$F$10:$H$10)</f>
        <v>18000</v>
      </c>
      <c r="N840" s="12">
        <f>_xlfn.XLOOKUP(Assumptions!$B$2,Assumptions!$F$4:$H$4,Assumptions!$F$11:$H$11)</f>
        <v>0.3</v>
      </c>
      <c r="O840" s="14">
        <f>Final_Table[[#This Row],[Units Sold]]*Final_Table[[#This Row],[Sale Price]]</f>
        <v>20400</v>
      </c>
      <c r="P840" s="14">
        <f>Final_Table[[#This Row],[Gross Revenue]]*(1-Final_Table[[#This Row],[Discount %]])</f>
        <v>18360</v>
      </c>
      <c r="Q840">
        <f>Final_Table[[#This Row],[Net Revenue]]*Final_Table[[#This Row],[Variable Cost %]]</f>
        <v>3304.7999999999997</v>
      </c>
      <c r="R840">
        <f>Final_Table[[#This Row],[Variable Cost]]+Final_Table[[#This Row],[Fixed Monthly Cost]]</f>
        <v>21304.799999999999</v>
      </c>
      <c r="S840" s="5">
        <f>Final_Table[[#This Row],[Net Revenue]]-Final_Table[[#This Row],[Total Cost (COGS)]]</f>
        <v>-2944.7999999999993</v>
      </c>
      <c r="T840">
        <f>Final_Table[[#This Row],[Gross Profit]]*Final_Table[[#This Row],[Tax Rate]]</f>
        <v>-883.43999999999971</v>
      </c>
      <c r="U840" s="5">
        <f>Final_Table[[#This Row],[Gross Profit]]-Final_Table[[#This Row],[Tax]]</f>
        <v>-2061.3599999999997</v>
      </c>
      <c r="V840" s="12">
        <f>Final_Table[[#This Row],[Net Profit]]/Final_Table[[#This Row],[Gross Revenue]]</f>
        <v>-0.10104705882352939</v>
      </c>
    </row>
    <row r="841" spans="1:22">
      <c r="A841" s="18" t="s">
        <v>73</v>
      </c>
      <c r="B841">
        <v>2014</v>
      </c>
      <c r="C841" t="s">
        <v>124</v>
      </c>
      <c r="D841">
        <v>1</v>
      </c>
      <c r="E841" s="18" t="s">
        <v>16</v>
      </c>
      <c r="F841" s="18" t="s">
        <v>112</v>
      </c>
      <c r="G841" s="18" t="s">
        <v>17</v>
      </c>
      <c r="H841" s="18" t="str">
        <f>Assumptions!$B$2</f>
        <v>Worst</v>
      </c>
      <c r="I841" s="18">
        <f>_xlfn.XLOOKUP(Assumptions!$B$2,Assumptions!$F$4:$H$4,Assumptions!$F$5:$H$5)</f>
        <v>1200</v>
      </c>
      <c r="J841" s="18">
        <f>_xlfn.XLOOKUP(Assumptions!$B$2,Assumptions!$F$4:$H$4,Assumptions!$F$6:$H$6)</f>
        <v>17</v>
      </c>
      <c r="K841" s="12">
        <f>_xlfn.XLOOKUP(Assumptions!$B$2,Assumptions!$F$4:$H$4,Assumptions!$F$8:$H$8)</f>
        <v>0.1</v>
      </c>
      <c r="L841" s="12">
        <f>_xlfn.XLOOKUP(Assumptions!$B$2,Assumptions!$F$4:$H$4,Assumptions!$F$9:$H$9)</f>
        <v>0.18</v>
      </c>
      <c r="M841" s="18">
        <f>_xlfn.XLOOKUP(Assumptions!$B$2,Assumptions!$F$4:$H$4,Assumptions!$F$10:$H$10)</f>
        <v>18000</v>
      </c>
      <c r="N841" s="12">
        <f>_xlfn.XLOOKUP(Assumptions!$B$2,Assumptions!$F$4:$H$4,Assumptions!$F$11:$H$11)</f>
        <v>0.3</v>
      </c>
      <c r="O841" s="14">
        <f>Final_Table[[#This Row],[Units Sold]]*Final_Table[[#This Row],[Sale Price]]</f>
        <v>20400</v>
      </c>
      <c r="P841" s="14">
        <f>Final_Table[[#This Row],[Gross Revenue]]*(1-Final_Table[[#This Row],[Discount %]])</f>
        <v>18360</v>
      </c>
      <c r="Q841">
        <f>Final_Table[[#This Row],[Net Revenue]]*Final_Table[[#This Row],[Variable Cost %]]</f>
        <v>3304.7999999999997</v>
      </c>
      <c r="R841">
        <f>Final_Table[[#This Row],[Variable Cost]]+Final_Table[[#This Row],[Fixed Monthly Cost]]</f>
        <v>21304.799999999999</v>
      </c>
      <c r="S841" s="5">
        <f>Final_Table[[#This Row],[Net Revenue]]-Final_Table[[#This Row],[Total Cost (COGS)]]</f>
        <v>-2944.7999999999993</v>
      </c>
      <c r="T841">
        <f>Final_Table[[#This Row],[Gross Profit]]*Final_Table[[#This Row],[Tax Rate]]</f>
        <v>-883.43999999999971</v>
      </c>
      <c r="U841" s="5">
        <f>Final_Table[[#This Row],[Gross Profit]]-Final_Table[[#This Row],[Tax]]</f>
        <v>-2061.3599999999997</v>
      </c>
      <c r="V841" s="12">
        <f>Final_Table[[#This Row],[Net Profit]]/Final_Table[[#This Row],[Gross Revenue]]</f>
        <v>-0.10104705882352939</v>
      </c>
    </row>
    <row r="842" spans="1:22">
      <c r="A842" s="18" t="s">
        <v>73</v>
      </c>
      <c r="B842">
        <v>2014</v>
      </c>
      <c r="C842" t="s">
        <v>124</v>
      </c>
      <c r="D842">
        <v>1</v>
      </c>
      <c r="E842" s="18" t="s">
        <v>16</v>
      </c>
      <c r="F842" s="18" t="s">
        <v>113</v>
      </c>
      <c r="G842" s="18" t="s">
        <v>36</v>
      </c>
      <c r="H842" s="18" t="str">
        <f>Assumptions!$B$2</f>
        <v>Worst</v>
      </c>
      <c r="I842" s="18">
        <f>_xlfn.XLOOKUP(Assumptions!$B$2,Assumptions!$F$4:$H$4,Assumptions!$F$5:$H$5)</f>
        <v>1200</v>
      </c>
      <c r="J842" s="18">
        <f>_xlfn.XLOOKUP(Assumptions!$B$2,Assumptions!$F$4:$H$4,Assumptions!$F$6:$H$6)</f>
        <v>17</v>
      </c>
      <c r="K842" s="12">
        <f>_xlfn.XLOOKUP(Assumptions!$B$2,Assumptions!$F$4:$H$4,Assumptions!$F$8:$H$8)</f>
        <v>0.1</v>
      </c>
      <c r="L842" s="12">
        <f>_xlfn.XLOOKUP(Assumptions!$B$2,Assumptions!$F$4:$H$4,Assumptions!$F$9:$H$9)</f>
        <v>0.18</v>
      </c>
      <c r="M842" s="18">
        <f>_xlfn.XLOOKUP(Assumptions!$B$2,Assumptions!$F$4:$H$4,Assumptions!$F$10:$H$10)</f>
        <v>18000</v>
      </c>
      <c r="N842" s="12">
        <f>_xlfn.XLOOKUP(Assumptions!$B$2,Assumptions!$F$4:$H$4,Assumptions!$F$11:$H$11)</f>
        <v>0.3</v>
      </c>
      <c r="O842" s="14">
        <f>Final_Table[[#This Row],[Units Sold]]*Final_Table[[#This Row],[Sale Price]]</f>
        <v>20400</v>
      </c>
      <c r="P842" s="14">
        <f>Final_Table[[#This Row],[Gross Revenue]]*(1-Final_Table[[#This Row],[Discount %]])</f>
        <v>18360</v>
      </c>
      <c r="Q842">
        <f>Final_Table[[#This Row],[Net Revenue]]*Final_Table[[#This Row],[Variable Cost %]]</f>
        <v>3304.7999999999997</v>
      </c>
      <c r="R842">
        <f>Final_Table[[#This Row],[Variable Cost]]+Final_Table[[#This Row],[Fixed Monthly Cost]]</f>
        <v>21304.799999999999</v>
      </c>
      <c r="S842" s="5">
        <f>Final_Table[[#This Row],[Net Revenue]]-Final_Table[[#This Row],[Total Cost (COGS)]]</f>
        <v>-2944.7999999999993</v>
      </c>
      <c r="T842">
        <f>Final_Table[[#This Row],[Gross Profit]]*Final_Table[[#This Row],[Tax Rate]]</f>
        <v>-883.43999999999971</v>
      </c>
      <c r="U842" s="5">
        <f>Final_Table[[#This Row],[Gross Profit]]-Final_Table[[#This Row],[Tax]]</f>
        <v>-2061.3599999999997</v>
      </c>
      <c r="V842" s="12">
        <f>Final_Table[[#This Row],[Net Profit]]/Final_Table[[#This Row],[Gross Revenue]]</f>
        <v>-0.10104705882352939</v>
      </c>
    </row>
    <row r="843" spans="1:22">
      <c r="A843" s="18" t="s">
        <v>73</v>
      </c>
      <c r="B843">
        <v>2014</v>
      </c>
      <c r="C843" t="s">
        <v>124</v>
      </c>
      <c r="D843">
        <v>1</v>
      </c>
      <c r="E843" s="18" t="s">
        <v>16</v>
      </c>
      <c r="F843" s="18" t="s">
        <v>113</v>
      </c>
      <c r="G843" s="18" t="s">
        <v>23</v>
      </c>
      <c r="H843" s="18" t="str">
        <f>Assumptions!$B$2</f>
        <v>Worst</v>
      </c>
      <c r="I843" s="18">
        <f>_xlfn.XLOOKUP(Assumptions!$B$2,Assumptions!$F$4:$H$4,Assumptions!$F$5:$H$5)</f>
        <v>1200</v>
      </c>
      <c r="J843" s="18">
        <f>_xlfn.XLOOKUP(Assumptions!$B$2,Assumptions!$F$4:$H$4,Assumptions!$F$6:$H$6)</f>
        <v>17</v>
      </c>
      <c r="K843" s="12">
        <f>_xlfn.XLOOKUP(Assumptions!$B$2,Assumptions!$F$4:$H$4,Assumptions!$F$8:$H$8)</f>
        <v>0.1</v>
      </c>
      <c r="L843" s="12">
        <f>_xlfn.XLOOKUP(Assumptions!$B$2,Assumptions!$F$4:$H$4,Assumptions!$F$9:$H$9)</f>
        <v>0.18</v>
      </c>
      <c r="M843" s="18">
        <f>_xlfn.XLOOKUP(Assumptions!$B$2,Assumptions!$F$4:$H$4,Assumptions!$F$10:$H$10)</f>
        <v>18000</v>
      </c>
      <c r="N843" s="12">
        <f>_xlfn.XLOOKUP(Assumptions!$B$2,Assumptions!$F$4:$H$4,Assumptions!$F$11:$H$11)</f>
        <v>0.3</v>
      </c>
      <c r="O843" s="14">
        <f>Final_Table[[#This Row],[Units Sold]]*Final_Table[[#This Row],[Sale Price]]</f>
        <v>20400</v>
      </c>
      <c r="P843" s="14">
        <f>Final_Table[[#This Row],[Gross Revenue]]*(1-Final_Table[[#This Row],[Discount %]])</f>
        <v>18360</v>
      </c>
      <c r="Q843">
        <f>Final_Table[[#This Row],[Net Revenue]]*Final_Table[[#This Row],[Variable Cost %]]</f>
        <v>3304.7999999999997</v>
      </c>
      <c r="R843">
        <f>Final_Table[[#This Row],[Variable Cost]]+Final_Table[[#This Row],[Fixed Monthly Cost]]</f>
        <v>21304.799999999999</v>
      </c>
      <c r="S843" s="5">
        <f>Final_Table[[#This Row],[Net Revenue]]-Final_Table[[#This Row],[Total Cost (COGS)]]</f>
        <v>-2944.7999999999993</v>
      </c>
      <c r="T843">
        <f>Final_Table[[#This Row],[Gross Profit]]*Final_Table[[#This Row],[Tax Rate]]</f>
        <v>-883.43999999999971</v>
      </c>
      <c r="U843" s="5">
        <f>Final_Table[[#This Row],[Gross Profit]]-Final_Table[[#This Row],[Tax]]</f>
        <v>-2061.3599999999997</v>
      </c>
      <c r="V843" s="12">
        <f>Final_Table[[#This Row],[Net Profit]]/Final_Table[[#This Row],[Gross Revenue]]</f>
        <v>-0.10104705882352939</v>
      </c>
    </row>
    <row r="844" spans="1:22">
      <c r="A844" s="18" t="s">
        <v>73</v>
      </c>
      <c r="B844">
        <v>2014</v>
      </c>
      <c r="C844" t="s">
        <v>124</v>
      </c>
      <c r="D844">
        <v>1</v>
      </c>
      <c r="E844" s="18" t="s">
        <v>16</v>
      </c>
      <c r="F844" s="18" t="s">
        <v>113</v>
      </c>
      <c r="G844" s="18" t="s">
        <v>21</v>
      </c>
      <c r="H844" s="18" t="str">
        <f>Assumptions!$B$2</f>
        <v>Worst</v>
      </c>
      <c r="I844" s="18">
        <f>_xlfn.XLOOKUP(Assumptions!$B$2,Assumptions!$F$4:$H$4,Assumptions!$F$5:$H$5)</f>
        <v>1200</v>
      </c>
      <c r="J844" s="18">
        <f>_xlfn.XLOOKUP(Assumptions!$B$2,Assumptions!$F$4:$H$4,Assumptions!$F$6:$H$6)</f>
        <v>17</v>
      </c>
      <c r="K844" s="12">
        <f>_xlfn.XLOOKUP(Assumptions!$B$2,Assumptions!$F$4:$H$4,Assumptions!$F$8:$H$8)</f>
        <v>0.1</v>
      </c>
      <c r="L844" s="12">
        <f>_xlfn.XLOOKUP(Assumptions!$B$2,Assumptions!$F$4:$H$4,Assumptions!$F$9:$H$9)</f>
        <v>0.18</v>
      </c>
      <c r="M844" s="18">
        <f>_xlfn.XLOOKUP(Assumptions!$B$2,Assumptions!$F$4:$H$4,Assumptions!$F$10:$H$10)</f>
        <v>18000</v>
      </c>
      <c r="N844" s="12">
        <f>_xlfn.XLOOKUP(Assumptions!$B$2,Assumptions!$F$4:$H$4,Assumptions!$F$11:$H$11)</f>
        <v>0.3</v>
      </c>
      <c r="O844" s="14">
        <f>Final_Table[[#This Row],[Units Sold]]*Final_Table[[#This Row],[Sale Price]]</f>
        <v>20400</v>
      </c>
      <c r="P844" s="14">
        <f>Final_Table[[#This Row],[Gross Revenue]]*(1-Final_Table[[#This Row],[Discount %]])</f>
        <v>18360</v>
      </c>
      <c r="Q844">
        <f>Final_Table[[#This Row],[Net Revenue]]*Final_Table[[#This Row],[Variable Cost %]]</f>
        <v>3304.7999999999997</v>
      </c>
      <c r="R844">
        <f>Final_Table[[#This Row],[Variable Cost]]+Final_Table[[#This Row],[Fixed Monthly Cost]]</f>
        <v>21304.799999999999</v>
      </c>
      <c r="S844" s="5">
        <f>Final_Table[[#This Row],[Net Revenue]]-Final_Table[[#This Row],[Total Cost (COGS)]]</f>
        <v>-2944.7999999999993</v>
      </c>
      <c r="T844">
        <f>Final_Table[[#This Row],[Gross Profit]]*Final_Table[[#This Row],[Tax Rate]]</f>
        <v>-883.43999999999971</v>
      </c>
      <c r="U844" s="5">
        <f>Final_Table[[#This Row],[Gross Profit]]-Final_Table[[#This Row],[Tax]]</f>
        <v>-2061.3599999999997</v>
      </c>
      <c r="V844" s="12">
        <f>Final_Table[[#This Row],[Net Profit]]/Final_Table[[#This Row],[Gross Revenue]]</f>
        <v>-0.10104705882352939</v>
      </c>
    </row>
    <row r="845" spans="1:22">
      <c r="A845" s="18" t="s">
        <v>73</v>
      </c>
      <c r="B845">
        <v>2014</v>
      </c>
      <c r="C845" t="s">
        <v>124</v>
      </c>
      <c r="D845">
        <v>1</v>
      </c>
      <c r="E845" s="18" t="s">
        <v>16</v>
      </c>
      <c r="F845" s="18" t="s">
        <v>113</v>
      </c>
      <c r="G845" s="18" t="s">
        <v>25</v>
      </c>
      <c r="H845" s="18" t="str">
        <f>Assumptions!$B$2</f>
        <v>Worst</v>
      </c>
      <c r="I845" s="18">
        <f>_xlfn.XLOOKUP(Assumptions!$B$2,Assumptions!$F$4:$H$4,Assumptions!$F$5:$H$5)</f>
        <v>1200</v>
      </c>
      <c r="J845" s="18">
        <f>_xlfn.XLOOKUP(Assumptions!$B$2,Assumptions!$F$4:$H$4,Assumptions!$F$6:$H$6)</f>
        <v>17</v>
      </c>
      <c r="K845" s="12">
        <f>_xlfn.XLOOKUP(Assumptions!$B$2,Assumptions!$F$4:$H$4,Assumptions!$F$8:$H$8)</f>
        <v>0.1</v>
      </c>
      <c r="L845" s="12">
        <f>_xlfn.XLOOKUP(Assumptions!$B$2,Assumptions!$F$4:$H$4,Assumptions!$F$9:$H$9)</f>
        <v>0.18</v>
      </c>
      <c r="M845" s="18">
        <f>_xlfn.XLOOKUP(Assumptions!$B$2,Assumptions!$F$4:$H$4,Assumptions!$F$10:$H$10)</f>
        <v>18000</v>
      </c>
      <c r="N845" s="12">
        <f>_xlfn.XLOOKUP(Assumptions!$B$2,Assumptions!$F$4:$H$4,Assumptions!$F$11:$H$11)</f>
        <v>0.3</v>
      </c>
      <c r="O845" s="14">
        <f>Final_Table[[#This Row],[Units Sold]]*Final_Table[[#This Row],[Sale Price]]</f>
        <v>20400</v>
      </c>
      <c r="P845" s="14">
        <f>Final_Table[[#This Row],[Gross Revenue]]*(1-Final_Table[[#This Row],[Discount %]])</f>
        <v>18360</v>
      </c>
      <c r="Q845">
        <f>Final_Table[[#This Row],[Net Revenue]]*Final_Table[[#This Row],[Variable Cost %]]</f>
        <v>3304.7999999999997</v>
      </c>
      <c r="R845">
        <f>Final_Table[[#This Row],[Variable Cost]]+Final_Table[[#This Row],[Fixed Monthly Cost]]</f>
        <v>21304.799999999999</v>
      </c>
      <c r="S845" s="5">
        <f>Final_Table[[#This Row],[Net Revenue]]-Final_Table[[#This Row],[Total Cost (COGS)]]</f>
        <v>-2944.7999999999993</v>
      </c>
      <c r="T845">
        <f>Final_Table[[#This Row],[Gross Profit]]*Final_Table[[#This Row],[Tax Rate]]</f>
        <v>-883.43999999999971</v>
      </c>
      <c r="U845" s="5">
        <f>Final_Table[[#This Row],[Gross Profit]]-Final_Table[[#This Row],[Tax]]</f>
        <v>-2061.3599999999997</v>
      </c>
      <c r="V845" s="12">
        <f>Final_Table[[#This Row],[Net Profit]]/Final_Table[[#This Row],[Gross Revenue]]</f>
        <v>-0.10104705882352939</v>
      </c>
    </row>
    <row r="846" spans="1:22">
      <c r="A846" s="18" t="s">
        <v>73</v>
      </c>
      <c r="B846">
        <v>2014</v>
      </c>
      <c r="C846" t="s">
        <v>124</v>
      </c>
      <c r="D846">
        <v>1</v>
      </c>
      <c r="E846" s="18" t="s">
        <v>16</v>
      </c>
      <c r="F846" s="18" t="s">
        <v>113</v>
      </c>
      <c r="G846" s="18" t="s">
        <v>17</v>
      </c>
      <c r="H846" s="18" t="str">
        <f>Assumptions!$B$2</f>
        <v>Worst</v>
      </c>
      <c r="I846" s="18">
        <f>_xlfn.XLOOKUP(Assumptions!$B$2,Assumptions!$F$4:$H$4,Assumptions!$F$5:$H$5)</f>
        <v>1200</v>
      </c>
      <c r="J846" s="18">
        <f>_xlfn.XLOOKUP(Assumptions!$B$2,Assumptions!$F$4:$H$4,Assumptions!$F$6:$H$6)</f>
        <v>17</v>
      </c>
      <c r="K846" s="12">
        <f>_xlfn.XLOOKUP(Assumptions!$B$2,Assumptions!$F$4:$H$4,Assumptions!$F$8:$H$8)</f>
        <v>0.1</v>
      </c>
      <c r="L846" s="12">
        <f>_xlfn.XLOOKUP(Assumptions!$B$2,Assumptions!$F$4:$H$4,Assumptions!$F$9:$H$9)</f>
        <v>0.18</v>
      </c>
      <c r="M846" s="18">
        <f>_xlfn.XLOOKUP(Assumptions!$B$2,Assumptions!$F$4:$H$4,Assumptions!$F$10:$H$10)</f>
        <v>18000</v>
      </c>
      <c r="N846" s="12">
        <f>_xlfn.XLOOKUP(Assumptions!$B$2,Assumptions!$F$4:$H$4,Assumptions!$F$11:$H$11)</f>
        <v>0.3</v>
      </c>
      <c r="O846" s="14">
        <f>Final_Table[[#This Row],[Units Sold]]*Final_Table[[#This Row],[Sale Price]]</f>
        <v>20400</v>
      </c>
      <c r="P846" s="14">
        <f>Final_Table[[#This Row],[Gross Revenue]]*(1-Final_Table[[#This Row],[Discount %]])</f>
        <v>18360</v>
      </c>
      <c r="Q846">
        <f>Final_Table[[#This Row],[Net Revenue]]*Final_Table[[#This Row],[Variable Cost %]]</f>
        <v>3304.7999999999997</v>
      </c>
      <c r="R846">
        <f>Final_Table[[#This Row],[Variable Cost]]+Final_Table[[#This Row],[Fixed Monthly Cost]]</f>
        <v>21304.799999999999</v>
      </c>
      <c r="S846" s="5">
        <f>Final_Table[[#This Row],[Net Revenue]]-Final_Table[[#This Row],[Total Cost (COGS)]]</f>
        <v>-2944.7999999999993</v>
      </c>
      <c r="T846">
        <f>Final_Table[[#This Row],[Gross Profit]]*Final_Table[[#This Row],[Tax Rate]]</f>
        <v>-883.43999999999971</v>
      </c>
      <c r="U846" s="5">
        <f>Final_Table[[#This Row],[Gross Profit]]-Final_Table[[#This Row],[Tax]]</f>
        <v>-2061.3599999999997</v>
      </c>
      <c r="V846" s="12">
        <f>Final_Table[[#This Row],[Net Profit]]/Final_Table[[#This Row],[Gross Revenue]]</f>
        <v>-0.10104705882352939</v>
      </c>
    </row>
    <row r="847" spans="1:22">
      <c r="A847" s="18" t="s">
        <v>73</v>
      </c>
      <c r="B847">
        <v>2014</v>
      </c>
      <c r="C847" t="s">
        <v>124</v>
      </c>
      <c r="D847">
        <v>1</v>
      </c>
      <c r="E847" s="18" t="s">
        <v>16</v>
      </c>
      <c r="F847" s="18" t="s">
        <v>114</v>
      </c>
      <c r="G847" s="18" t="s">
        <v>36</v>
      </c>
      <c r="H847" s="18" t="str">
        <f>Assumptions!$B$2</f>
        <v>Worst</v>
      </c>
      <c r="I847" s="18">
        <f>_xlfn.XLOOKUP(Assumptions!$B$2,Assumptions!$F$4:$H$4,Assumptions!$F$5:$H$5)</f>
        <v>1200</v>
      </c>
      <c r="J847" s="18">
        <f>_xlfn.XLOOKUP(Assumptions!$B$2,Assumptions!$F$4:$H$4,Assumptions!$F$6:$H$6)</f>
        <v>17</v>
      </c>
      <c r="K847" s="12">
        <f>_xlfn.XLOOKUP(Assumptions!$B$2,Assumptions!$F$4:$H$4,Assumptions!$F$8:$H$8)</f>
        <v>0.1</v>
      </c>
      <c r="L847" s="12">
        <f>_xlfn.XLOOKUP(Assumptions!$B$2,Assumptions!$F$4:$H$4,Assumptions!$F$9:$H$9)</f>
        <v>0.18</v>
      </c>
      <c r="M847" s="18">
        <f>_xlfn.XLOOKUP(Assumptions!$B$2,Assumptions!$F$4:$H$4,Assumptions!$F$10:$H$10)</f>
        <v>18000</v>
      </c>
      <c r="N847" s="12">
        <f>_xlfn.XLOOKUP(Assumptions!$B$2,Assumptions!$F$4:$H$4,Assumptions!$F$11:$H$11)</f>
        <v>0.3</v>
      </c>
      <c r="O847" s="14">
        <f>Final_Table[[#This Row],[Units Sold]]*Final_Table[[#This Row],[Sale Price]]</f>
        <v>20400</v>
      </c>
      <c r="P847" s="14">
        <f>Final_Table[[#This Row],[Gross Revenue]]*(1-Final_Table[[#This Row],[Discount %]])</f>
        <v>18360</v>
      </c>
      <c r="Q847">
        <f>Final_Table[[#This Row],[Net Revenue]]*Final_Table[[#This Row],[Variable Cost %]]</f>
        <v>3304.7999999999997</v>
      </c>
      <c r="R847">
        <f>Final_Table[[#This Row],[Variable Cost]]+Final_Table[[#This Row],[Fixed Monthly Cost]]</f>
        <v>21304.799999999999</v>
      </c>
      <c r="S847" s="5">
        <f>Final_Table[[#This Row],[Net Revenue]]-Final_Table[[#This Row],[Total Cost (COGS)]]</f>
        <v>-2944.7999999999993</v>
      </c>
      <c r="T847">
        <f>Final_Table[[#This Row],[Gross Profit]]*Final_Table[[#This Row],[Tax Rate]]</f>
        <v>-883.43999999999971</v>
      </c>
      <c r="U847" s="5">
        <f>Final_Table[[#This Row],[Gross Profit]]-Final_Table[[#This Row],[Tax]]</f>
        <v>-2061.3599999999997</v>
      </c>
      <c r="V847" s="12">
        <f>Final_Table[[#This Row],[Net Profit]]/Final_Table[[#This Row],[Gross Revenue]]</f>
        <v>-0.10104705882352939</v>
      </c>
    </row>
    <row r="848" spans="1:22">
      <c r="A848" s="18" t="s">
        <v>73</v>
      </c>
      <c r="B848">
        <v>2014</v>
      </c>
      <c r="C848" t="s">
        <v>124</v>
      </c>
      <c r="D848">
        <v>1</v>
      </c>
      <c r="E848" s="18" t="s">
        <v>16</v>
      </c>
      <c r="F848" s="18" t="s">
        <v>114</v>
      </c>
      <c r="G848" s="18" t="s">
        <v>23</v>
      </c>
      <c r="H848" s="18" t="str">
        <f>Assumptions!$B$2</f>
        <v>Worst</v>
      </c>
      <c r="I848" s="18">
        <f>_xlfn.XLOOKUP(Assumptions!$B$2,Assumptions!$F$4:$H$4,Assumptions!$F$5:$H$5)</f>
        <v>1200</v>
      </c>
      <c r="J848" s="18">
        <f>_xlfn.XLOOKUP(Assumptions!$B$2,Assumptions!$F$4:$H$4,Assumptions!$F$6:$H$6)</f>
        <v>17</v>
      </c>
      <c r="K848" s="12">
        <f>_xlfn.XLOOKUP(Assumptions!$B$2,Assumptions!$F$4:$H$4,Assumptions!$F$8:$H$8)</f>
        <v>0.1</v>
      </c>
      <c r="L848" s="12">
        <f>_xlfn.XLOOKUP(Assumptions!$B$2,Assumptions!$F$4:$H$4,Assumptions!$F$9:$H$9)</f>
        <v>0.18</v>
      </c>
      <c r="M848" s="18">
        <f>_xlfn.XLOOKUP(Assumptions!$B$2,Assumptions!$F$4:$H$4,Assumptions!$F$10:$H$10)</f>
        <v>18000</v>
      </c>
      <c r="N848" s="12">
        <f>_xlfn.XLOOKUP(Assumptions!$B$2,Assumptions!$F$4:$H$4,Assumptions!$F$11:$H$11)</f>
        <v>0.3</v>
      </c>
      <c r="O848" s="14">
        <f>Final_Table[[#This Row],[Units Sold]]*Final_Table[[#This Row],[Sale Price]]</f>
        <v>20400</v>
      </c>
      <c r="P848" s="14">
        <f>Final_Table[[#This Row],[Gross Revenue]]*(1-Final_Table[[#This Row],[Discount %]])</f>
        <v>18360</v>
      </c>
      <c r="Q848">
        <f>Final_Table[[#This Row],[Net Revenue]]*Final_Table[[#This Row],[Variable Cost %]]</f>
        <v>3304.7999999999997</v>
      </c>
      <c r="R848">
        <f>Final_Table[[#This Row],[Variable Cost]]+Final_Table[[#This Row],[Fixed Monthly Cost]]</f>
        <v>21304.799999999999</v>
      </c>
      <c r="S848" s="5">
        <f>Final_Table[[#This Row],[Net Revenue]]-Final_Table[[#This Row],[Total Cost (COGS)]]</f>
        <v>-2944.7999999999993</v>
      </c>
      <c r="T848">
        <f>Final_Table[[#This Row],[Gross Profit]]*Final_Table[[#This Row],[Tax Rate]]</f>
        <v>-883.43999999999971</v>
      </c>
      <c r="U848" s="5">
        <f>Final_Table[[#This Row],[Gross Profit]]-Final_Table[[#This Row],[Tax]]</f>
        <v>-2061.3599999999997</v>
      </c>
      <c r="V848" s="12">
        <f>Final_Table[[#This Row],[Net Profit]]/Final_Table[[#This Row],[Gross Revenue]]</f>
        <v>-0.10104705882352939</v>
      </c>
    </row>
    <row r="849" spans="1:22">
      <c r="A849" s="18" t="s">
        <v>73</v>
      </c>
      <c r="B849">
        <v>2014</v>
      </c>
      <c r="C849" t="s">
        <v>124</v>
      </c>
      <c r="D849">
        <v>1</v>
      </c>
      <c r="E849" s="18" t="s">
        <v>16</v>
      </c>
      <c r="F849" s="18" t="s">
        <v>114</v>
      </c>
      <c r="G849" s="18" t="s">
        <v>21</v>
      </c>
      <c r="H849" s="18" t="str">
        <f>Assumptions!$B$2</f>
        <v>Worst</v>
      </c>
      <c r="I849" s="18">
        <f>_xlfn.XLOOKUP(Assumptions!$B$2,Assumptions!$F$4:$H$4,Assumptions!$F$5:$H$5)</f>
        <v>1200</v>
      </c>
      <c r="J849" s="18">
        <f>_xlfn.XLOOKUP(Assumptions!$B$2,Assumptions!$F$4:$H$4,Assumptions!$F$6:$H$6)</f>
        <v>17</v>
      </c>
      <c r="K849" s="12">
        <f>_xlfn.XLOOKUP(Assumptions!$B$2,Assumptions!$F$4:$H$4,Assumptions!$F$8:$H$8)</f>
        <v>0.1</v>
      </c>
      <c r="L849" s="12">
        <f>_xlfn.XLOOKUP(Assumptions!$B$2,Assumptions!$F$4:$H$4,Assumptions!$F$9:$H$9)</f>
        <v>0.18</v>
      </c>
      <c r="M849" s="18">
        <f>_xlfn.XLOOKUP(Assumptions!$B$2,Assumptions!$F$4:$H$4,Assumptions!$F$10:$H$10)</f>
        <v>18000</v>
      </c>
      <c r="N849" s="12">
        <f>_xlfn.XLOOKUP(Assumptions!$B$2,Assumptions!$F$4:$H$4,Assumptions!$F$11:$H$11)</f>
        <v>0.3</v>
      </c>
      <c r="O849" s="14">
        <f>Final_Table[[#This Row],[Units Sold]]*Final_Table[[#This Row],[Sale Price]]</f>
        <v>20400</v>
      </c>
      <c r="P849" s="14">
        <f>Final_Table[[#This Row],[Gross Revenue]]*(1-Final_Table[[#This Row],[Discount %]])</f>
        <v>18360</v>
      </c>
      <c r="Q849">
        <f>Final_Table[[#This Row],[Net Revenue]]*Final_Table[[#This Row],[Variable Cost %]]</f>
        <v>3304.7999999999997</v>
      </c>
      <c r="R849">
        <f>Final_Table[[#This Row],[Variable Cost]]+Final_Table[[#This Row],[Fixed Monthly Cost]]</f>
        <v>21304.799999999999</v>
      </c>
      <c r="S849" s="5">
        <f>Final_Table[[#This Row],[Net Revenue]]-Final_Table[[#This Row],[Total Cost (COGS)]]</f>
        <v>-2944.7999999999993</v>
      </c>
      <c r="T849">
        <f>Final_Table[[#This Row],[Gross Profit]]*Final_Table[[#This Row],[Tax Rate]]</f>
        <v>-883.43999999999971</v>
      </c>
      <c r="U849" s="5">
        <f>Final_Table[[#This Row],[Gross Profit]]-Final_Table[[#This Row],[Tax]]</f>
        <v>-2061.3599999999997</v>
      </c>
      <c r="V849" s="12">
        <f>Final_Table[[#This Row],[Net Profit]]/Final_Table[[#This Row],[Gross Revenue]]</f>
        <v>-0.10104705882352939</v>
      </c>
    </row>
    <row r="850" spans="1:22">
      <c r="A850" s="18" t="s">
        <v>73</v>
      </c>
      <c r="B850">
        <v>2014</v>
      </c>
      <c r="C850" t="s">
        <v>124</v>
      </c>
      <c r="D850">
        <v>1</v>
      </c>
      <c r="E850" s="18" t="s">
        <v>16</v>
      </c>
      <c r="F850" s="18" t="s">
        <v>114</v>
      </c>
      <c r="G850" s="18" t="s">
        <v>25</v>
      </c>
      <c r="H850" s="18" t="str">
        <f>Assumptions!$B$2</f>
        <v>Worst</v>
      </c>
      <c r="I850" s="18">
        <f>_xlfn.XLOOKUP(Assumptions!$B$2,Assumptions!$F$4:$H$4,Assumptions!$F$5:$H$5)</f>
        <v>1200</v>
      </c>
      <c r="J850" s="18">
        <f>_xlfn.XLOOKUP(Assumptions!$B$2,Assumptions!$F$4:$H$4,Assumptions!$F$6:$H$6)</f>
        <v>17</v>
      </c>
      <c r="K850" s="12">
        <f>_xlfn.XLOOKUP(Assumptions!$B$2,Assumptions!$F$4:$H$4,Assumptions!$F$8:$H$8)</f>
        <v>0.1</v>
      </c>
      <c r="L850" s="12">
        <f>_xlfn.XLOOKUP(Assumptions!$B$2,Assumptions!$F$4:$H$4,Assumptions!$F$9:$H$9)</f>
        <v>0.18</v>
      </c>
      <c r="M850" s="18">
        <f>_xlfn.XLOOKUP(Assumptions!$B$2,Assumptions!$F$4:$H$4,Assumptions!$F$10:$H$10)</f>
        <v>18000</v>
      </c>
      <c r="N850" s="12">
        <f>_xlfn.XLOOKUP(Assumptions!$B$2,Assumptions!$F$4:$H$4,Assumptions!$F$11:$H$11)</f>
        <v>0.3</v>
      </c>
      <c r="O850" s="14">
        <f>Final_Table[[#This Row],[Units Sold]]*Final_Table[[#This Row],[Sale Price]]</f>
        <v>20400</v>
      </c>
      <c r="P850" s="14">
        <f>Final_Table[[#This Row],[Gross Revenue]]*(1-Final_Table[[#This Row],[Discount %]])</f>
        <v>18360</v>
      </c>
      <c r="Q850">
        <f>Final_Table[[#This Row],[Net Revenue]]*Final_Table[[#This Row],[Variable Cost %]]</f>
        <v>3304.7999999999997</v>
      </c>
      <c r="R850">
        <f>Final_Table[[#This Row],[Variable Cost]]+Final_Table[[#This Row],[Fixed Monthly Cost]]</f>
        <v>21304.799999999999</v>
      </c>
      <c r="S850" s="5">
        <f>Final_Table[[#This Row],[Net Revenue]]-Final_Table[[#This Row],[Total Cost (COGS)]]</f>
        <v>-2944.7999999999993</v>
      </c>
      <c r="T850">
        <f>Final_Table[[#This Row],[Gross Profit]]*Final_Table[[#This Row],[Tax Rate]]</f>
        <v>-883.43999999999971</v>
      </c>
      <c r="U850" s="5">
        <f>Final_Table[[#This Row],[Gross Profit]]-Final_Table[[#This Row],[Tax]]</f>
        <v>-2061.3599999999997</v>
      </c>
      <c r="V850" s="12">
        <f>Final_Table[[#This Row],[Net Profit]]/Final_Table[[#This Row],[Gross Revenue]]</f>
        <v>-0.10104705882352939</v>
      </c>
    </row>
    <row r="851" spans="1:22">
      <c r="A851" s="18" t="s">
        <v>73</v>
      </c>
      <c r="B851">
        <v>2014</v>
      </c>
      <c r="C851" t="s">
        <v>124</v>
      </c>
      <c r="D851">
        <v>1</v>
      </c>
      <c r="E851" s="18" t="s">
        <v>16</v>
      </c>
      <c r="F851" s="18" t="s">
        <v>114</v>
      </c>
      <c r="G851" s="18" t="s">
        <v>17</v>
      </c>
      <c r="H851" s="18" t="str">
        <f>Assumptions!$B$2</f>
        <v>Worst</v>
      </c>
      <c r="I851" s="18">
        <f>_xlfn.XLOOKUP(Assumptions!$B$2,Assumptions!$F$4:$H$4,Assumptions!$F$5:$H$5)</f>
        <v>1200</v>
      </c>
      <c r="J851" s="18">
        <f>_xlfn.XLOOKUP(Assumptions!$B$2,Assumptions!$F$4:$H$4,Assumptions!$F$6:$H$6)</f>
        <v>17</v>
      </c>
      <c r="K851" s="12">
        <f>_xlfn.XLOOKUP(Assumptions!$B$2,Assumptions!$F$4:$H$4,Assumptions!$F$8:$H$8)</f>
        <v>0.1</v>
      </c>
      <c r="L851" s="12">
        <f>_xlfn.XLOOKUP(Assumptions!$B$2,Assumptions!$F$4:$H$4,Assumptions!$F$9:$H$9)</f>
        <v>0.18</v>
      </c>
      <c r="M851" s="18">
        <f>_xlfn.XLOOKUP(Assumptions!$B$2,Assumptions!$F$4:$H$4,Assumptions!$F$10:$H$10)</f>
        <v>18000</v>
      </c>
      <c r="N851" s="12">
        <f>_xlfn.XLOOKUP(Assumptions!$B$2,Assumptions!$F$4:$H$4,Assumptions!$F$11:$H$11)</f>
        <v>0.3</v>
      </c>
      <c r="O851" s="14">
        <f>Final_Table[[#This Row],[Units Sold]]*Final_Table[[#This Row],[Sale Price]]</f>
        <v>20400</v>
      </c>
      <c r="P851" s="14">
        <f>Final_Table[[#This Row],[Gross Revenue]]*(1-Final_Table[[#This Row],[Discount %]])</f>
        <v>18360</v>
      </c>
      <c r="Q851">
        <f>Final_Table[[#This Row],[Net Revenue]]*Final_Table[[#This Row],[Variable Cost %]]</f>
        <v>3304.7999999999997</v>
      </c>
      <c r="R851">
        <f>Final_Table[[#This Row],[Variable Cost]]+Final_Table[[#This Row],[Fixed Monthly Cost]]</f>
        <v>21304.799999999999</v>
      </c>
      <c r="S851" s="5">
        <f>Final_Table[[#This Row],[Net Revenue]]-Final_Table[[#This Row],[Total Cost (COGS)]]</f>
        <v>-2944.7999999999993</v>
      </c>
      <c r="T851">
        <f>Final_Table[[#This Row],[Gross Profit]]*Final_Table[[#This Row],[Tax Rate]]</f>
        <v>-883.43999999999971</v>
      </c>
      <c r="U851" s="5">
        <f>Final_Table[[#This Row],[Gross Profit]]-Final_Table[[#This Row],[Tax]]</f>
        <v>-2061.3599999999997</v>
      </c>
      <c r="V851" s="12">
        <f>Final_Table[[#This Row],[Net Profit]]/Final_Table[[#This Row],[Gross Revenue]]</f>
        <v>-0.10104705882352939</v>
      </c>
    </row>
    <row r="852" spans="1:22">
      <c r="A852" s="18" t="s">
        <v>73</v>
      </c>
      <c r="B852">
        <v>2014</v>
      </c>
      <c r="C852" t="s">
        <v>124</v>
      </c>
      <c r="D852">
        <v>1</v>
      </c>
      <c r="E852" s="18" t="s">
        <v>32</v>
      </c>
      <c r="F852" s="18" t="s">
        <v>80</v>
      </c>
      <c r="G852" s="18" t="s">
        <v>36</v>
      </c>
      <c r="H852" s="18" t="str">
        <f>Assumptions!$B$2</f>
        <v>Worst</v>
      </c>
      <c r="I852" s="18">
        <f>_xlfn.XLOOKUP(Assumptions!$B$2,Assumptions!$F$4:$H$4,Assumptions!$F$5:$H$5)</f>
        <v>1200</v>
      </c>
      <c r="J852" s="18">
        <f>_xlfn.XLOOKUP(Assumptions!$B$2,Assumptions!$F$4:$H$4,Assumptions!$F$6:$H$6)</f>
        <v>17</v>
      </c>
      <c r="K852" s="12">
        <f>_xlfn.XLOOKUP(Assumptions!$B$2,Assumptions!$F$4:$H$4,Assumptions!$F$8:$H$8)</f>
        <v>0.1</v>
      </c>
      <c r="L852" s="12">
        <f>_xlfn.XLOOKUP(Assumptions!$B$2,Assumptions!$F$4:$H$4,Assumptions!$F$9:$H$9)</f>
        <v>0.18</v>
      </c>
      <c r="M852" s="18">
        <f>_xlfn.XLOOKUP(Assumptions!$B$2,Assumptions!$F$4:$H$4,Assumptions!$F$10:$H$10)</f>
        <v>18000</v>
      </c>
      <c r="N852" s="12">
        <f>_xlfn.XLOOKUP(Assumptions!$B$2,Assumptions!$F$4:$H$4,Assumptions!$F$11:$H$11)</f>
        <v>0.3</v>
      </c>
      <c r="O852" s="14">
        <f>Final_Table[[#This Row],[Units Sold]]*Final_Table[[#This Row],[Sale Price]]</f>
        <v>20400</v>
      </c>
      <c r="P852" s="14">
        <f>Final_Table[[#This Row],[Gross Revenue]]*(1-Final_Table[[#This Row],[Discount %]])</f>
        <v>18360</v>
      </c>
      <c r="Q852">
        <f>Final_Table[[#This Row],[Net Revenue]]*Final_Table[[#This Row],[Variable Cost %]]</f>
        <v>3304.7999999999997</v>
      </c>
      <c r="R852">
        <f>Final_Table[[#This Row],[Variable Cost]]+Final_Table[[#This Row],[Fixed Monthly Cost]]</f>
        <v>21304.799999999999</v>
      </c>
      <c r="S852" s="5">
        <f>Final_Table[[#This Row],[Net Revenue]]-Final_Table[[#This Row],[Total Cost (COGS)]]</f>
        <v>-2944.7999999999993</v>
      </c>
      <c r="T852">
        <f>Final_Table[[#This Row],[Gross Profit]]*Final_Table[[#This Row],[Tax Rate]]</f>
        <v>-883.43999999999971</v>
      </c>
      <c r="U852" s="5">
        <f>Final_Table[[#This Row],[Gross Profit]]-Final_Table[[#This Row],[Tax]]</f>
        <v>-2061.3599999999997</v>
      </c>
      <c r="V852" s="12">
        <f>Final_Table[[#This Row],[Net Profit]]/Final_Table[[#This Row],[Gross Revenue]]</f>
        <v>-0.10104705882352939</v>
      </c>
    </row>
    <row r="853" spans="1:22">
      <c r="A853" s="18" t="s">
        <v>73</v>
      </c>
      <c r="B853">
        <v>2014</v>
      </c>
      <c r="C853" t="s">
        <v>124</v>
      </c>
      <c r="D853">
        <v>1</v>
      </c>
      <c r="E853" s="18" t="s">
        <v>32</v>
      </c>
      <c r="F853" s="18" t="s">
        <v>80</v>
      </c>
      <c r="G853" s="18" t="s">
        <v>23</v>
      </c>
      <c r="H853" s="18" t="str">
        <f>Assumptions!$B$2</f>
        <v>Worst</v>
      </c>
      <c r="I853" s="18">
        <f>_xlfn.XLOOKUP(Assumptions!$B$2,Assumptions!$F$4:$H$4,Assumptions!$F$5:$H$5)</f>
        <v>1200</v>
      </c>
      <c r="J853" s="18">
        <f>_xlfn.XLOOKUP(Assumptions!$B$2,Assumptions!$F$4:$H$4,Assumptions!$F$6:$H$6)</f>
        <v>17</v>
      </c>
      <c r="K853" s="12">
        <f>_xlfn.XLOOKUP(Assumptions!$B$2,Assumptions!$F$4:$H$4,Assumptions!$F$8:$H$8)</f>
        <v>0.1</v>
      </c>
      <c r="L853" s="12">
        <f>_xlfn.XLOOKUP(Assumptions!$B$2,Assumptions!$F$4:$H$4,Assumptions!$F$9:$H$9)</f>
        <v>0.18</v>
      </c>
      <c r="M853" s="18">
        <f>_xlfn.XLOOKUP(Assumptions!$B$2,Assumptions!$F$4:$H$4,Assumptions!$F$10:$H$10)</f>
        <v>18000</v>
      </c>
      <c r="N853" s="12">
        <f>_xlfn.XLOOKUP(Assumptions!$B$2,Assumptions!$F$4:$H$4,Assumptions!$F$11:$H$11)</f>
        <v>0.3</v>
      </c>
      <c r="O853" s="14">
        <f>Final_Table[[#This Row],[Units Sold]]*Final_Table[[#This Row],[Sale Price]]</f>
        <v>20400</v>
      </c>
      <c r="P853" s="14">
        <f>Final_Table[[#This Row],[Gross Revenue]]*(1-Final_Table[[#This Row],[Discount %]])</f>
        <v>18360</v>
      </c>
      <c r="Q853">
        <f>Final_Table[[#This Row],[Net Revenue]]*Final_Table[[#This Row],[Variable Cost %]]</f>
        <v>3304.7999999999997</v>
      </c>
      <c r="R853">
        <f>Final_Table[[#This Row],[Variable Cost]]+Final_Table[[#This Row],[Fixed Monthly Cost]]</f>
        <v>21304.799999999999</v>
      </c>
      <c r="S853" s="5">
        <f>Final_Table[[#This Row],[Net Revenue]]-Final_Table[[#This Row],[Total Cost (COGS)]]</f>
        <v>-2944.7999999999993</v>
      </c>
      <c r="T853">
        <f>Final_Table[[#This Row],[Gross Profit]]*Final_Table[[#This Row],[Tax Rate]]</f>
        <v>-883.43999999999971</v>
      </c>
      <c r="U853" s="5">
        <f>Final_Table[[#This Row],[Gross Profit]]-Final_Table[[#This Row],[Tax]]</f>
        <v>-2061.3599999999997</v>
      </c>
      <c r="V853" s="12">
        <f>Final_Table[[#This Row],[Net Profit]]/Final_Table[[#This Row],[Gross Revenue]]</f>
        <v>-0.10104705882352939</v>
      </c>
    </row>
    <row r="854" spans="1:22">
      <c r="A854" s="18" t="s">
        <v>73</v>
      </c>
      <c r="B854">
        <v>2014</v>
      </c>
      <c r="C854" t="s">
        <v>124</v>
      </c>
      <c r="D854">
        <v>1</v>
      </c>
      <c r="E854" s="18" t="s">
        <v>32</v>
      </c>
      <c r="F854" s="18" t="s">
        <v>80</v>
      </c>
      <c r="G854" s="18" t="s">
        <v>21</v>
      </c>
      <c r="H854" s="18" t="str">
        <f>Assumptions!$B$2</f>
        <v>Worst</v>
      </c>
      <c r="I854" s="18">
        <f>_xlfn.XLOOKUP(Assumptions!$B$2,Assumptions!$F$4:$H$4,Assumptions!$F$5:$H$5)</f>
        <v>1200</v>
      </c>
      <c r="J854" s="18">
        <f>_xlfn.XLOOKUP(Assumptions!$B$2,Assumptions!$F$4:$H$4,Assumptions!$F$6:$H$6)</f>
        <v>17</v>
      </c>
      <c r="K854" s="12">
        <f>_xlfn.XLOOKUP(Assumptions!$B$2,Assumptions!$F$4:$H$4,Assumptions!$F$8:$H$8)</f>
        <v>0.1</v>
      </c>
      <c r="L854" s="12">
        <f>_xlfn.XLOOKUP(Assumptions!$B$2,Assumptions!$F$4:$H$4,Assumptions!$F$9:$H$9)</f>
        <v>0.18</v>
      </c>
      <c r="M854" s="18">
        <f>_xlfn.XLOOKUP(Assumptions!$B$2,Assumptions!$F$4:$H$4,Assumptions!$F$10:$H$10)</f>
        <v>18000</v>
      </c>
      <c r="N854" s="12">
        <f>_xlfn.XLOOKUP(Assumptions!$B$2,Assumptions!$F$4:$H$4,Assumptions!$F$11:$H$11)</f>
        <v>0.3</v>
      </c>
      <c r="O854" s="14">
        <f>Final_Table[[#This Row],[Units Sold]]*Final_Table[[#This Row],[Sale Price]]</f>
        <v>20400</v>
      </c>
      <c r="P854" s="14">
        <f>Final_Table[[#This Row],[Gross Revenue]]*(1-Final_Table[[#This Row],[Discount %]])</f>
        <v>18360</v>
      </c>
      <c r="Q854">
        <f>Final_Table[[#This Row],[Net Revenue]]*Final_Table[[#This Row],[Variable Cost %]]</f>
        <v>3304.7999999999997</v>
      </c>
      <c r="R854">
        <f>Final_Table[[#This Row],[Variable Cost]]+Final_Table[[#This Row],[Fixed Monthly Cost]]</f>
        <v>21304.799999999999</v>
      </c>
      <c r="S854" s="5">
        <f>Final_Table[[#This Row],[Net Revenue]]-Final_Table[[#This Row],[Total Cost (COGS)]]</f>
        <v>-2944.7999999999993</v>
      </c>
      <c r="T854">
        <f>Final_Table[[#This Row],[Gross Profit]]*Final_Table[[#This Row],[Tax Rate]]</f>
        <v>-883.43999999999971</v>
      </c>
      <c r="U854" s="5">
        <f>Final_Table[[#This Row],[Gross Profit]]-Final_Table[[#This Row],[Tax]]</f>
        <v>-2061.3599999999997</v>
      </c>
      <c r="V854" s="12">
        <f>Final_Table[[#This Row],[Net Profit]]/Final_Table[[#This Row],[Gross Revenue]]</f>
        <v>-0.10104705882352939</v>
      </c>
    </row>
    <row r="855" spans="1:22">
      <c r="A855" s="18" t="s">
        <v>73</v>
      </c>
      <c r="B855">
        <v>2014</v>
      </c>
      <c r="C855" t="s">
        <v>124</v>
      </c>
      <c r="D855">
        <v>1</v>
      </c>
      <c r="E855" s="18" t="s">
        <v>32</v>
      </c>
      <c r="F855" s="18" t="s">
        <v>80</v>
      </c>
      <c r="G855" s="18" t="s">
        <v>25</v>
      </c>
      <c r="H855" s="18" t="str">
        <f>Assumptions!$B$2</f>
        <v>Worst</v>
      </c>
      <c r="I855" s="18">
        <f>_xlfn.XLOOKUP(Assumptions!$B$2,Assumptions!$F$4:$H$4,Assumptions!$F$5:$H$5)</f>
        <v>1200</v>
      </c>
      <c r="J855" s="18">
        <f>_xlfn.XLOOKUP(Assumptions!$B$2,Assumptions!$F$4:$H$4,Assumptions!$F$6:$H$6)</f>
        <v>17</v>
      </c>
      <c r="K855" s="12">
        <f>_xlfn.XLOOKUP(Assumptions!$B$2,Assumptions!$F$4:$H$4,Assumptions!$F$8:$H$8)</f>
        <v>0.1</v>
      </c>
      <c r="L855" s="12">
        <f>_xlfn.XLOOKUP(Assumptions!$B$2,Assumptions!$F$4:$H$4,Assumptions!$F$9:$H$9)</f>
        <v>0.18</v>
      </c>
      <c r="M855" s="18">
        <f>_xlfn.XLOOKUP(Assumptions!$B$2,Assumptions!$F$4:$H$4,Assumptions!$F$10:$H$10)</f>
        <v>18000</v>
      </c>
      <c r="N855" s="12">
        <f>_xlfn.XLOOKUP(Assumptions!$B$2,Assumptions!$F$4:$H$4,Assumptions!$F$11:$H$11)</f>
        <v>0.3</v>
      </c>
      <c r="O855" s="14">
        <f>Final_Table[[#This Row],[Units Sold]]*Final_Table[[#This Row],[Sale Price]]</f>
        <v>20400</v>
      </c>
      <c r="P855" s="14">
        <f>Final_Table[[#This Row],[Gross Revenue]]*(1-Final_Table[[#This Row],[Discount %]])</f>
        <v>18360</v>
      </c>
      <c r="Q855">
        <f>Final_Table[[#This Row],[Net Revenue]]*Final_Table[[#This Row],[Variable Cost %]]</f>
        <v>3304.7999999999997</v>
      </c>
      <c r="R855">
        <f>Final_Table[[#This Row],[Variable Cost]]+Final_Table[[#This Row],[Fixed Monthly Cost]]</f>
        <v>21304.799999999999</v>
      </c>
      <c r="S855" s="5">
        <f>Final_Table[[#This Row],[Net Revenue]]-Final_Table[[#This Row],[Total Cost (COGS)]]</f>
        <v>-2944.7999999999993</v>
      </c>
      <c r="T855">
        <f>Final_Table[[#This Row],[Gross Profit]]*Final_Table[[#This Row],[Tax Rate]]</f>
        <v>-883.43999999999971</v>
      </c>
      <c r="U855" s="5">
        <f>Final_Table[[#This Row],[Gross Profit]]-Final_Table[[#This Row],[Tax]]</f>
        <v>-2061.3599999999997</v>
      </c>
      <c r="V855" s="12">
        <f>Final_Table[[#This Row],[Net Profit]]/Final_Table[[#This Row],[Gross Revenue]]</f>
        <v>-0.10104705882352939</v>
      </c>
    </row>
    <row r="856" spans="1:22">
      <c r="A856" s="18" t="s">
        <v>73</v>
      </c>
      <c r="B856">
        <v>2014</v>
      </c>
      <c r="C856" t="s">
        <v>124</v>
      </c>
      <c r="D856">
        <v>1</v>
      </c>
      <c r="E856" s="18" t="s">
        <v>32</v>
      </c>
      <c r="F856" s="18" t="s">
        <v>80</v>
      </c>
      <c r="G856" s="18" t="s">
        <v>17</v>
      </c>
      <c r="H856" s="18" t="str">
        <f>Assumptions!$B$2</f>
        <v>Worst</v>
      </c>
      <c r="I856" s="18">
        <f>_xlfn.XLOOKUP(Assumptions!$B$2,Assumptions!$F$4:$H$4,Assumptions!$F$5:$H$5)</f>
        <v>1200</v>
      </c>
      <c r="J856" s="18">
        <f>_xlfn.XLOOKUP(Assumptions!$B$2,Assumptions!$F$4:$H$4,Assumptions!$F$6:$H$6)</f>
        <v>17</v>
      </c>
      <c r="K856" s="12">
        <f>_xlfn.XLOOKUP(Assumptions!$B$2,Assumptions!$F$4:$H$4,Assumptions!$F$8:$H$8)</f>
        <v>0.1</v>
      </c>
      <c r="L856" s="12">
        <f>_xlfn.XLOOKUP(Assumptions!$B$2,Assumptions!$F$4:$H$4,Assumptions!$F$9:$H$9)</f>
        <v>0.18</v>
      </c>
      <c r="M856" s="18">
        <f>_xlfn.XLOOKUP(Assumptions!$B$2,Assumptions!$F$4:$H$4,Assumptions!$F$10:$H$10)</f>
        <v>18000</v>
      </c>
      <c r="N856" s="12">
        <f>_xlfn.XLOOKUP(Assumptions!$B$2,Assumptions!$F$4:$H$4,Assumptions!$F$11:$H$11)</f>
        <v>0.3</v>
      </c>
      <c r="O856" s="14">
        <f>Final_Table[[#This Row],[Units Sold]]*Final_Table[[#This Row],[Sale Price]]</f>
        <v>20400</v>
      </c>
      <c r="P856" s="14">
        <f>Final_Table[[#This Row],[Gross Revenue]]*(1-Final_Table[[#This Row],[Discount %]])</f>
        <v>18360</v>
      </c>
      <c r="Q856">
        <f>Final_Table[[#This Row],[Net Revenue]]*Final_Table[[#This Row],[Variable Cost %]]</f>
        <v>3304.7999999999997</v>
      </c>
      <c r="R856">
        <f>Final_Table[[#This Row],[Variable Cost]]+Final_Table[[#This Row],[Fixed Monthly Cost]]</f>
        <v>21304.799999999999</v>
      </c>
      <c r="S856" s="5">
        <f>Final_Table[[#This Row],[Net Revenue]]-Final_Table[[#This Row],[Total Cost (COGS)]]</f>
        <v>-2944.7999999999993</v>
      </c>
      <c r="T856">
        <f>Final_Table[[#This Row],[Gross Profit]]*Final_Table[[#This Row],[Tax Rate]]</f>
        <v>-883.43999999999971</v>
      </c>
      <c r="U856" s="5">
        <f>Final_Table[[#This Row],[Gross Profit]]-Final_Table[[#This Row],[Tax]]</f>
        <v>-2061.3599999999997</v>
      </c>
      <c r="V856" s="12">
        <f>Final_Table[[#This Row],[Net Profit]]/Final_Table[[#This Row],[Gross Revenue]]</f>
        <v>-0.10104705882352939</v>
      </c>
    </row>
    <row r="857" spans="1:22">
      <c r="A857" s="18" t="s">
        <v>73</v>
      </c>
      <c r="B857">
        <v>2014</v>
      </c>
      <c r="C857" t="s">
        <v>124</v>
      </c>
      <c r="D857">
        <v>1</v>
      </c>
      <c r="E857" s="18" t="s">
        <v>32</v>
      </c>
      <c r="F857" s="18" t="s">
        <v>108</v>
      </c>
      <c r="G857" s="18" t="s">
        <v>36</v>
      </c>
      <c r="H857" s="18" t="str">
        <f>Assumptions!$B$2</f>
        <v>Worst</v>
      </c>
      <c r="I857" s="18">
        <f>_xlfn.XLOOKUP(Assumptions!$B$2,Assumptions!$F$4:$H$4,Assumptions!$F$5:$H$5)</f>
        <v>1200</v>
      </c>
      <c r="J857" s="18">
        <f>_xlfn.XLOOKUP(Assumptions!$B$2,Assumptions!$F$4:$H$4,Assumptions!$F$6:$H$6)</f>
        <v>17</v>
      </c>
      <c r="K857" s="12">
        <f>_xlfn.XLOOKUP(Assumptions!$B$2,Assumptions!$F$4:$H$4,Assumptions!$F$8:$H$8)</f>
        <v>0.1</v>
      </c>
      <c r="L857" s="12">
        <f>_xlfn.XLOOKUP(Assumptions!$B$2,Assumptions!$F$4:$H$4,Assumptions!$F$9:$H$9)</f>
        <v>0.18</v>
      </c>
      <c r="M857" s="18">
        <f>_xlfn.XLOOKUP(Assumptions!$B$2,Assumptions!$F$4:$H$4,Assumptions!$F$10:$H$10)</f>
        <v>18000</v>
      </c>
      <c r="N857" s="12">
        <f>_xlfn.XLOOKUP(Assumptions!$B$2,Assumptions!$F$4:$H$4,Assumptions!$F$11:$H$11)</f>
        <v>0.3</v>
      </c>
      <c r="O857" s="14">
        <f>Final_Table[[#This Row],[Units Sold]]*Final_Table[[#This Row],[Sale Price]]</f>
        <v>20400</v>
      </c>
      <c r="P857" s="14">
        <f>Final_Table[[#This Row],[Gross Revenue]]*(1-Final_Table[[#This Row],[Discount %]])</f>
        <v>18360</v>
      </c>
      <c r="Q857">
        <f>Final_Table[[#This Row],[Net Revenue]]*Final_Table[[#This Row],[Variable Cost %]]</f>
        <v>3304.7999999999997</v>
      </c>
      <c r="R857">
        <f>Final_Table[[#This Row],[Variable Cost]]+Final_Table[[#This Row],[Fixed Monthly Cost]]</f>
        <v>21304.799999999999</v>
      </c>
      <c r="S857" s="5">
        <f>Final_Table[[#This Row],[Net Revenue]]-Final_Table[[#This Row],[Total Cost (COGS)]]</f>
        <v>-2944.7999999999993</v>
      </c>
      <c r="T857">
        <f>Final_Table[[#This Row],[Gross Profit]]*Final_Table[[#This Row],[Tax Rate]]</f>
        <v>-883.43999999999971</v>
      </c>
      <c r="U857" s="5">
        <f>Final_Table[[#This Row],[Gross Profit]]-Final_Table[[#This Row],[Tax]]</f>
        <v>-2061.3599999999997</v>
      </c>
      <c r="V857" s="12">
        <f>Final_Table[[#This Row],[Net Profit]]/Final_Table[[#This Row],[Gross Revenue]]</f>
        <v>-0.10104705882352939</v>
      </c>
    </row>
    <row r="858" spans="1:22">
      <c r="A858" s="18" t="s">
        <v>73</v>
      </c>
      <c r="B858">
        <v>2014</v>
      </c>
      <c r="C858" t="s">
        <v>124</v>
      </c>
      <c r="D858">
        <v>1</v>
      </c>
      <c r="E858" s="18" t="s">
        <v>32</v>
      </c>
      <c r="F858" s="18" t="s">
        <v>108</v>
      </c>
      <c r="G858" s="18" t="s">
        <v>23</v>
      </c>
      <c r="H858" s="18" t="str">
        <f>Assumptions!$B$2</f>
        <v>Worst</v>
      </c>
      <c r="I858" s="18">
        <f>_xlfn.XLOOKUP(Assumptions!$B$2,Assumptions!$F$4:$H$4,Assumptions!$F$5:$H$5)</f>
        <v>1200</v>
      </c>
      <c r="J858" s="18">
        <f>_xlfn.XLOOKUP(Assumptions!$B$2,Assumptions!$F$4:$H$4,Assumptions!$F$6:$H$6)</f>
        <v>17</v>
      </c>
      <c r="K858" s="12">
        <f>_xlfn.XLOOKUP(Assumptions!$B$2,Assumptions!$F$4:$H$4,Assumptions!$F$8:$H$8)</f>
        <v>0.1</v>
      </c>
      <c r="L858" s="12">
        <f>_xlfn.XLOOKUP(Assumptions!$B$2,Assumptions!$F$4:$H$4,Assumptions!$F$9:$H$9)</f>
        <v>0.18</v>
      </c>
      <c r="M858" s="18">
        <f>_xlfn.XLOOKUP(Assumptions!$B$2,Assumptions!$F$4:$H$4,Assumptions!$F$10:$H$10)</f>
        <v>18000</v>
      </c>
      <c r="N858" s="12">
        <f>_xlfn.XLOOKUP(Assumptions!$B$2,Assumptions!$F$4:$H$4,Assumptions!$F$11:$H$11)</f>
        <v>0.3</v>
      </c>
      <c r="O858" s="14">
        <f>Final_Table[[#This Row],[Units Sold]]*Final_Table[[#This Row],[Sale Price]]</f>
        <v>20400</v>
      </c>
      <c r="P858" s="14">
        <f>Final_Table[[#This Row],[Gross Revenue]]*(1-Final_Table[[#This Row],[Discount %]])</f>
        <v>18360</v>
      </c>
      <c r="Q858">
        <f>Final_Table[[#This Row],[Net Revenue]]*Final_Table[[#This Row],[Variable Cost %]]</f>
        <v>3304.7999999999997</v>
      </c>
      <c r="R858">
        <f>Final_Table[[#This Row],[Variable Cost]]+Final_Table[[#This Row],[Fixed Monthly Cost]]</f>
        <v>21304.799999999999</v>
      </c>
      <c r="S858" s="5">
        <f>Final_Table[[#This Row],[Net Revenue]]-Final_Table[[#This Row],[Total Cost (COGS)]]</f>
        <v>-2944.7999999999993</v>
      </c>
      <c r="T858">
        <f>Final_Table[[#This Row],[Gross Profit]]*Final_Table[[#This Row],[Tax Rate]]</f>
        <v>-883.43999999999971</v>
      </c>
      <c r="U858" s="5">
        <f>Final_Table[[#This Row],[Gross Profit]]-Final_Table[[#This Row],[Tax]]</f>
        <v>-2061.3599999999997</v>
      </c>
      <c r="V858" s="12">
        <f>Final_Table[[#This Row],[Net Profit]]/Final_Table[[#This Row],[Gross Revenue]]</f>
        <v>-0.10104705882352939</v>
      </c>
    </row>
    <row r="859" spans="1:22">
      <c r="A859" s="18" t="s">
        <v>73</v>
      </c>
      <c r="B859">
        <v>2014</v>
      </c>
      <c r="C859" t="s">
        <v>124</v>
      </c>
      <c r="D859">
        <v>1</v>
      </c>
      <c r="E859" s="18" t="s">
        <v>32</v>
      </c>
      <c r="F859" s="18" t="s">
        <v>108</v>
      </c>
      <c r="G859" s="18" t="s">
        <v>21</v>
      </c>
      <c r="H859" s="18" t="str">
        <f>Assumptions!$B$2</f>
        <v>Worst</v>
      </c>
      <c r="I859" s="18">
        <f>_xlfn.XLOOKUP(Assumptions!$B$2,Assumptions!$F$4:$H$4,Assumptions!$F$5:$H$5)</f>
        <v>1200</v>
      </c>
      <c r="J859" s="18">
        <f>_xlfn.XLOOKUP(Assumptions!$B$2,Assumptions!$F$4:$H$4,Assumptions!$F$6:$H$6)</f>
        <v>17</v>
      </c>
      <c r="K859" s="12">
        <f>_xlfn.XLOOKUP(Assumptions!$B$2,Assumptions!$F$4:$H$4,Assumptions!$F$8:$H$8)</f>
        <v>0.1</v>
      </c>
      <c r="L859" s="12">
        <f>_xlfn.XLOOKUP(Assumptions!$B$2,Assumptions!$F$4:$H$4,Assumptions!$F$9:$H$9)</f>
        <v>0.18</v>
      </c>
      <c r="M859" s="18">
        <f>_xlfn.XLOOKUP(Assumptions!$B$2,Assumptions!$F$4:$H$4,Assumptions!$F$10:$H$10)</f>
        <v>18000</v>
      </c>
      <c r="N859" s="12">
        <f>_xlfn.XLOOKUP(Assumptions!$B$2,Assumptions!$F$4:$H$4,Assumptions!$F$11:$H$11)</f>
        <v>0.3</v>
      </c>
      <c r="O859" s="14">
        <f>Final_Table[[#This Row],[Units Sold]]*Final_Table[[#This Row],[Sale Price]]</f>
        <v>20400</v>
      </c>
      <c r="P859" s="14">
        <f>Final_Table[[#This Row],[Gross Revenue]]*(1-Final_Table[[#This Row],[Discount %]])</f>
        <v>18360</v>
      </c>
      <c r="Q859">
        <f>Final_Table[[#This Row],[Net Revenue]]*Final_Table[[#This Row],[Variable Cost %]]</f>
        <v>3304.7999999999997</v>
      </c>
      <c r="R859">
        <f>Final_Table[[#This Row],[Variable Cost]]+Final_Table[[#This Row],[Fixed Monthly Cost]]</f>
        <v>21304.799999999999</v>
      </c>
      <c r="S859" s="5">
        <f>Final_Table[[#This Row],[Net Revenue]]-Final_Table[[#This Row],[Total Cost (COGS)]]</f>
        <v>-2944.7999999999993</v>
      </c>
      <c r="T859">
        <f>Final_Table[[#This Row],[Gross Profit]]*Final_Table[[#This Row],[Tax Rate]]</f>
        <v>-883.43999999999971</v>
      </c>
      <c r="U859" s="5">
        <f>Final_Table[[#This Row],[Gross Profit]]-Final_Table[[#This Row],[Tax]]</f>
        <v>-2061.3599999999997</v>
      </c>
      <c r="V859" s="12">
        <f>Final_Table[[#This Row],[Net Profit]]/Final_Table[[#This Row],[Gross Revenue]]</f>
        <v>-0.10104705882352939</v>
      </c>
    </row>
    <row r="860" spans="1:22">
      <c r="A860" s="18" t="s">
        <v>73</v>
      </c>
      <c r="B860">
        <v>2014</v>
      </c>
      <c r="C860" t="s">
        <v>124</v>
      </c>
      <c r="D860">
        <v>1</v>
      </c>
      <c r="E860" s="18" t="s">
        <v>32</v>
      </c>
      <c r="F860" s="18" t="s">
        <v>108</v>
      </c>
      <c r="G860" s="18" t="s">
        <v>25</v>
      </c>
      <c r="H860" s="18" t="str">
        <f>Assumptions!$B$2</f>
        <v>Worst</v>
      </c>
      <c r="I860" s="18">
        <f>_xlfn.XLOOKUP(Assumptions!$B$2,Assumptions!$F$4:$H$4,Assumptions!$F$5:$H$5)</f>
        <v>1200</v>
      </c>
      <c r="J860" s="18">
        <f>_xlfn.XLOOKUP(Assumptions!$B$2,Assumptions!$F$4:$H$4,Assumptions!$F$6:$H$6)</f>
        <v>17</v>
      </c>
      <c r="K860" s="12">
        <f>_xlfn.XLOOKUP(Assumptions!$B$2,Assumptions!$F$4:$H$4,Assumptions!$F$8:$H$8)</f>
        <v>0.1</v>
      </c>
      <c r="L860" s="12">
        <f>_xlfn.XLOOKUP(Assumptions!$B$2,Assumptions!$F$4:$H$4,Assumptions!$F$9:$H$9)</f>
        <v>0.18</v>
      </c>
      <c r="M860" s="18">
        <f>_xlfn.XLOOKUP(Assumptions!$B$2,Assumptions!$F$4:$H$4,Assumptions!$F$10:$H$10)</f>
        <v>18000</v>
      </c>
      <c r="N860" s="12">
        <f>_xlfn.XLOOKUP(Assumptions!$B$2,Assumptions!$F$4:$H$4,Assumptions!$F$11:$H$11)</f>
        <v>0.3</v>
      </c>
      <c r="O860" s="14">
        <f>Final_Table[[#This Row],[Units Sold]]*Final_Table[[#This Row],[Sale Price]]</f>
        <v>20400</v>
      </c>
      <c r="P860" s="14">
        <f>Final_Table[[#This Row],[Gross Revenue]]*(1-Final_Table[[#This Row],[Discount %]])</f>
        <v>18360</v>
      </c>
      <c r="Q860">
        <f>Final_Table[[#This Row],[Net Revenue]]*Final_Table[[#This Row],[Variable Cost %]]</f>
        <v>3304.7999999999997</v>
      </c>
      <c r="R860">
        <f>Final_Table[[#This Row],[Variable Cost]]+Final_Table[[#This Row],[Fixed Monthly Cost]]</f>
        <v>21304.799999999999</v>
      </c>
      <c r="S860" s="5">
        <f>Final_Table[[#This Row],[Net Revenue]]-Final_Table[[#This Row],[Total Cost (COGS)]]</f>
        <v>-2944.7999999999993</v>
      </c>
      <c r="T860">
        <f>Final_Table[[#This Row],[Gross Profit]]*Final_Table[[#This Row],[Tax Rate]]</f>
        <v>-883.43999999999971</v>
      </c>
      <c r="U860" s="5">
        <f>Final_Table[[#This Row],[Gross Profit]]-Final_Table[[#This Row],[Tax]]</f>
        <v>-2061.3599999999997</v>
      </c>
      <c r="V860" s="12">
        <f>Final_Table[[#This Row],[Net Profit]]/Final_Table[[#This Row],[Gross Revenue]]</f>
        <v>-0.10104705882352939</v>
      </c>
    </row>
    <row r="861" spans="1:22">
      <c r="A861" s="18" t="s">
        <v>73</v>
      </c>
      <c r="B861">
        <v>2014</v>
      </c>
      <c r="C861" t="s">
        <v>124</v>
      </c>
      <c r="D861">
        <v>1</v>
      </c>
      <c r="E861" s="18" t="s">
        <v>32</v>
      </c>
      <c r="F861" s="18" t="s">
        <v>108</v>
      </c>
      <c r="G861" s="18" t="s">
        <v>17</v>
      </c>
      <c r="H861" s="18" t="str">
        <f>Assumptions!$B$2</f>
        <v>Worst</v>
      </c>
      <c r="I861" s="18">
        <f>_xlfn.XLOOKUP(Assumptions!$B$2,Assumptions!$F$4:$H$4,Assumptions!$F$5:$H$5)</f>
        <v>1200</v>
      </c>
      <c r="J861" s="18">
        <f>_xlfn.XLOOKUP(Assumptions!$B$2,Assumptions!$F$4:$H$4,Assumptions!$F$6:$H$6)</f>
        <v>17</v>
      </c>
      <c r="K861" s="12">
        <f>_xlfn.XLOOKUP(Assumptions!$B$2,Assumptions!$F$4:$H$4,Assumptions!$F$8:$H$8)</f>
        <v>0.1</v>
      </c>
      <c r="L861" s="12">
        <f>_xlfn.XLOOKUP(Assumptions!$B$2,Assumptions!$F$4:$H$4,Assumptions!$F$9:$H$9)</f>
        <v>0.18</v>
      </c>
      <c r="M861" s="18">
        <f>_xlfn.XLOOKUP(Assumptions!$B$2,Assumptions!$F$4:$H$4,Assumptions!$F$10:$H$10)</f>
        <v>18000</v>
      </c>
      <c r="N861" s="12">
        <f>_xlfn.XLOOKUP(Assumptions!$B$2,Assumptions!$F$4:$H$4,Assumptions!$F$11:$H$11)</f>
        <v>0.3</v>
      </c>
      <c r="O861" s="14">
        <f>Final_Table[[#This Row],[Units Sold]]*Final_Table[[#This Row],[Sale Price]]</f>
        <v>20400</v>
      </c>
      <c r="P861" s="14">
        <f>Final_Table[[#This Row],[Gross Revenue]]*(1-Final_Table[[#This Row],[Discount %]])</f>
        <v>18360</v>
      </c>
      <c r="Q861">
        <f>Final_Table[[#This Row],[Net Revenue]]*Final_Table[[#This Row],[Variable Cost %]]</f>
        <v>3304.7999999999997</v>
      </c>
      <c r="R861">
        <f>Final_Table[[#This Row],[Variable Cost]]+Final_Table[[#This Row],[Fixed Monthly Cost]]</f>
        <v>21304.799999999999</v>
      </c>
      <c r="S861" s="5">
        <f>Final_Table[[#This Row],[Net Revenue]]-Final_Table[[#This Row],[Total Cost (COGS)]]</f>
        <v>-2944.7999999999993</v>
      </c>
      <c r="T861">
        <f>Final_Table[[#This Row],[Gross Profit]]*Final_Table[[#This Row],[Tax Rate]]</f>
        <v>-883.43999999999971</v>
      </c>
      <c r="U861" s="5">
        <f>Final_Table[[#This Row],[Gross Profit]]-Final_Table[[#This Row],[Tax]]</f>
        <v>-2061.3599999999997</v>
      </c>
      <c r="V861" s="12">
        <f>Final_Table[[#This Row],[Net Profit]]/Final_Table[[#This Row],[Gross Revenue]]</f>
        <v>-0.10104705882352939</v>
      </c>
    </row>
    <row r="862" spans="1:22">
      <c r="A862" s="18" t="s">
        <v>73</v>
      </c>
      <c r="B862">
        <v>2014</v>
      </c>
      <c r="C862" t="s">
        <v>124</v>
      </c>
      <c r="D862">
        <v>1</v>
      </c>
      <c r="E862" s="18" t="s">
        <v>32</v>
      </c>
      <c r="F862" s="18" t="s">
        <v>112</v>
      </c>
      <c r="G862" s="18" t="s">
        <v>36</v>
      </c>
      <c r="H862" s="18" t="str">
        <f>Assumptions!$B$2</f>
        <v>Worst</v>
      </c>
      <c r="I862" s="18">
        <f>_xlfn.XLOOKUP(Assumptions!$B$2,Assumptions!$F$4:$H$4,Assumptions!$F$5:$H$5)</f>
        <v>1200</v>
      </c>
      <c r="J862" s="18">
        <f>_xlfn.XLOOKUP(Assumptions!$B$2,Assumptions!$F$4:$H$4,Assumptions!$F$6:$H$6)</f>
        <v>17</v>
      </c>
      <c r="K862" s="12">
        <f>_xlfn.XLOOKUP(Assumptions!$B$2,Assumptions!$F$4:$H$4,Assumptions!$F$8:$H$8)</f>
        <v>0.1</v>
      </c>
      <c r="L862" s="12">
        <f>_xlfn.XLOOKUP(Assumptions!$B$2,Assumptions!$F$4:$H$4,Assumptions!$F$9:$H$9)</f>
        <v>0.18</v>
      </c>
      <c r="M862" s="18">
        <f>_xlfn.XLOOKUP(Assumptions!$B$2,Assumptions!$F$4:$H$4,Assumptions!$F$10:$H$10)</f>
        <v>18000</v>
      </c>
      <c r="N862" s="12">
        <f>_xlfn.XLOOKUP(Assumptions!$B$2,Assumptions!$F$4:$H$4,Assumptions!$F$11:$H$11)</f>
        <v>0.3</v>
      </c>
      <c r="O862" s="14">
        <f>Final_Table[[#This Row],[Units Sold]]*Final_Table[[#This Row],[Sale Price]]</f>
        <v>20400</v>
      </c>
      <c r="P862" s="14">
        <f>Final_Table[[#This Row],[Gross Revenue]]*(1-Final_Table[[#This Row],[Discount %]])</f>
        <v>18360</v>
      </c>
      <c r="Q862">
        <f>Final_Table[[#This Row],[Net Revenue]]*Final_Table[[#This Row],[Variable Cost %]]</f>
        <v>3304.7999999999997</v>
      </c>
      <c r="R862">
        <f>Final_Table[[#This Row],[Variable Cost]]+Final_Table[[#This Row],[Fixed Monthly Cost]]</f>
        <v>21304.799999999999</v>
      </c>
      <c r="S862" s="5">
        <f>Final_Table[[#This Row],[Net Revenue]]-Final_Table[[#This Row],[Total Cost (COGS)]]</f>
        <v>-2944.7999999999993</v>
      </c>
      <c r="T862">
        <f>Final_Table[[#This Row],[Gross Profit]]*Final_Table[[#This Row],[Tax Rate]]</f>
        <v>-883.43999999999971</v>
      </c>
      <c r="U862" s="5">
        <f>Final_Table[[#This Row],[Gross Profit]]-Final_Table[[#This Row],[Tax]]</f>
        <v>-2061.3599999999997</v>
      </c>
      <c r="V862" s="12">
        <f>Final_Table[[#This Row],[Net Profit]]/Final_Table[[#This Row],[Gross Revenue]]</f>
        <v>-0.10104705882352939</v>
      </c>
    </row>
    <row r="863" spans="1:22">
      <c r="A863" s="18" t="s">
        <v>73</v>
      </c>
      <c r="B863">
        <v>2014</v>
      </c>
      <c r="C863" t="s">
        <v>124</v>
      </c>
      <c r="D863">
        <v>1</v>
      </c>
      <c r="E863" s="18" t="s">
        <v>32</v>
      </c>
      <c r="F863" s="18" t="s">
        <v>112</v>
      </c>
      <c r="G863" s="18" t="s">
        <v>23</v>
      </c>
      <c r="H863" s="18" t="str">
        <f>Assumptions!$B$2</f>
        <v>Worst</v>
      </c>
      <c r="I863" s="18">
        <f>_xlfn.XLOOKUP(Assumptions!$B$2,Assumptions!$F$4:$H$4,Assumptions!$F$5:$H$5)</f>
        <v>1200</v>
      </c>
      <c r="J863" s="18">
        <f>_xlfn.XLOOKUP(Assumptions!$B$2,Assumptions!$F$4:$H$4,Assumptions!$F$6:$H$6)</f>
        <v>17</v>
      </c>
      <c r="K863" s="12">
        <f>_xlfn.XLOOKUP(Assumptions!$B$2,Assumptions!$F$4:$H$4,Assumptions!$F$8:$H$8)</f>
        <v>0.1</v>
      </c>
      <c r="L863" s="12">
        <f>_xlfn.XLOOKUP(Assumptions!$B$2,Assumptions!$F$4:$H$4,Assumptions!$F$9:$H$9)</f>
        <v>0.18</v>
      </c>
      <c r="M863" s="18">
        <f>_xlfn.XLOOKUP(Assumptions!$B$2,Assumptions!$F$4:$H$4,Assumptions!$F$10:$H$10)</f>
        <v>18000</v>
      </c>
      <c r="N863" s="12">
        <f>_xlfn.XLOOKUP(Assumptions!$B$2,Assumptions!$F$4:$H$4,Assumptions!$F$11:$H$11)</f>
        <v>0.3</v>
      </c>
      <c r="O863" s="14">
        <f>Final_Table[[#This Row],[Units Sold]]*Final_Table[[#This Row],[Sale Price]]</f>
        <v>20400</v>
      </c>
      <c r="P863" s="14">
        <f>Final_Table[[#This Row],[Gross Revenue]]*(1-Final_Table[[#This Row],[Discount %]])</f>
        <v>18360</v>
      </c>
      <c r="Q863">
        <f>Final_Table[[#This Row],[Net Revenue]]*Final_Table[[#This Row],[Variable Cost %]]</f>
        <v>3304.7999999999997</v>
      </c>
      <c r="R863">
        <f>Final_Table[[#This Row],[Variable Cost]]+Final_Table[[#This Row],[Fixed Monthly Cost]]</f>
        <v>21304.799999999999</v>
      </c>
      <c r="S863" s="5">
        <f>Final_Table[[#This Row],[Net Revenue]]-Final_Table[[#This Row],[Total Cost (COGS)]]</f>
        <v>-2944.7999999999993</v>
      </c>
      <c r="T863">
        <f>Final_Table[[#This Row],[Gross Profit]]*Final_Table[[#This Row],[Tax Rate]]</f>
        <v>-883.43999999999971</v>
      </c>
      <c r="U863" s="5">
        <f>Final_Table[[#This Row],[Gross Profit]]-Final_Table[[#This Row],[Tax]]</f>
        <v>-2061.3599999999997</v>
      </c>
      <c r="V863" s="12">
        <f>Final_Table[[#This Row],[Net Profit]]/Final_Table[[#This Row],[Gross Revenue]]</f>
        <v>-0.10104705882352939</v>
      </c>
    </row>
    <row r="864" spans="1:22">
      <c r="A864" s="18" t="s">
        <v>73</v>
      </c>
      <c r="B864">
        <v>2014</v>
      </c>
      <c r="C864" t="s">
        <v>124</v>
      </c>
      <c r="D864">
        <v>1</v>
      </c>
      <c r="E864" s="18" t="s">
        <v>32</v>
      </c>
      <c r="F864" s="18" t="s">
        <v>112</v>
      </c>
      <c r="G864" s="18" t="s">
        <v>21</v>
      </c>
      <c r="H864" s="18" t="str">
        <f>Assumptions!$B$2</f>
        <v>Worst</v>
      </c>
      <c r="I864" s="18">
        <f>_xlfn.XLOOKUP(Assumptions!$B$2,Assumptions!$F$4:$H$4,Assumptions!$F$5:$H$5)</f>
        <v>1200</v>
      </c>
      <c r="J864" s="18">
        <f>_xlfn.XLOOKUP(Assumptions!$B$2,Assumptions!$F$4:$H$4,Assumptions!$F$6:$H$6)</f>
        <v>17</v>
      </c>
      <c r="K864" s="12">
        <f>_xlfn.XLOOKUP(Assumptions!$B$2,Assumptions!$F$4:$H$4,Assumptions!$F$8:$H$8)</f>
        <v>0.1</v>
      </c>
      <c r="L864" s="12">
        <f>_xlfn.XLOOKUP(Assumptions!$B$2,Assumptions!$F$4:$H$4,Assumptions!$F$9:$H$9)</f>
        <v>0.18</v>
      </c>
      <c r="M864" s="18">
        <f>_xlfn.XLOOKUP(Assumptions!$B$2,Assumptions!$F$4:$H$4,Assumptions!$F$10:$H$10)</f>
        <v>18000</v>
      </c>
      <c r="N864" s="12">
        <f>_xlfn.XLOOKUP(Assumptions!$B$2,Assumptions!$F$4:$H$4,Assumptions!$F$11:$H$11)</f>
        <v>0.3</v>
      </c>
      <c r="O864" s="14">
        <f>Final_Table[[#This Row],[Units Sold]]*Final_Table[[#This Row],[Sale Price]]</f>
        <v>20400</v>
      </c>
      <c r="P864" s="14">
        <f>Final_Table[[#This Row],[Gross Revenue]]*(1-Final_Table[[#This Row],[Discount %]])</f>
        <v>18360</v>
      </c>
      <c r="Q864">
        <f>Final_Table[[#This Row],[Net Revenue]]*Final_Table[[#This Row],[Variable Cost %]]</f>
        <v>3304.7999999999997</v>
      </c>
      <c r="R864">
        <f>Final_Table[[#This Row],[Variable Cost]]+Final_Table[[#This Row],[Fixed Monthly Cost]]</f>
        <v>21304.799999999999</v>
      </c>
      <c r="S864" s="5">
        <f>Final_Table[[#This Row],[Net Revenue]]-Final_Table[[#This Row],[Total Cost (COGS)]]</f>
        <v>-2944.7999999999993</v>
      </c>
      <c r="T864">
        <f>Final_Table[[#This Row],[Gross Profit]]*Final_Table[[#This Row],[Tax Rate]]</f>
        <v>-883.43999999999971</v>
      </c>
      <c r="U864" s="5">
        <f>Final_Table[[#This Row],[Gross Profit]]-Final_Table[[#This Row],[Tax]]</f>
        <v>-2061.3599999999997</v>
      </c>
      <c r="V864" s="12">
        <f>Final_Table[[#This Row],[Net Profit]]/Final_Table[[#This Row],[Gross Revenue]]</f>
        <v>-0.10104705882352939</v>
      </c>
    </row>
    <row r="865" spans="1:22">
      <c r="A865" s="18" t="s">
        <v>73</v>
      </c>
      <c r="B865">
        <v>2014</v>
      </c>
      <c r="C865" t="s">
        <v>124</v>
      </c>
      <c r="D865">
        <v>1</v>
      </c>
      <c r="E865" s="18" t="s">
        <v>32</v>
      </c>
      <c r="F865" s="18" t="s">
        <v>112</v>
      </c>
      <c r="G865" s="18" t="s">
        <v>25</v>
      </c>
      <c r="H865" s="18" t="str">
        <f>Assumptions!$B$2</f>
        <v>Worst</v>
      </c>
      <c r="I865" s="18">
        <f>_xlfn.XLOOKUP(Assumptions!$B$2,Assumptions!$F$4:$H$4,Assumptions!$F$5:$H$5)</f>
        <v>1200</v>
      </c>
      <c r="J865" s="18">
        <f>_xlfn.XLOOKUP(Assumptions!$B$2,Assumptions!$F$4:$H$4,Assumptions!$F$6:$H$6)</f>
        <v>17</v>
      </c>
      <c r="K865" s="12">
        <f>_xlfn.XLOOKUP(Assumptions!$B$2,Assumptions!$F$4:$H$4,Assumptions!$F$8:$H$8)</f>
        <v>0.1</v>
      </c>
      <c r="L865" s="12">
        <f>_xlfn.XLOOKUP(Assumptions!$B$2,Assumptions!$F$4:$H$4,Assumptions!$F$9:$H$9)</f>
        <v>0.18</v>
      </c>
      <c r="M865" s="18">
        <f>_xlfn.XLOOKUP(Assumptions!$B$2,Assumptions!$F$4:$H$4,Assumptions!$F$10:$H$10)</f>
        <v>18000</v>
      </c>
      <c r="N865" s="12">
        <f>_xlfn.XLOOKUP(Assumptions!$B$2,Assumptions!$F$4:$H$4,Assumptions!$F$11:$H$11)</f>
        <v>0.3</v>
      </c>
      <c r="O865" s="14">
        <f>Final_Table[[#This Row],[Units Sold]]*Final_Table[[#This Row],[Sale Price]]</f>
        <v>20400</v>
      </c>
      <c r="P865" s="14">
        <f>Final_Table[[#This Row],[Gross Revenue]]*(1-Final_Table[[#This Row],[Discount %]])</f>
        <v>18360</v>
      </c>
      <c r="Q865">
        <f>Final_Table[[#This Row],[Net Revenue]]*Final_Table[[#This Row],[Variable Cost %]]</f>
        <v>3304.7999999999997</v>
      </c>
      <c r="R865">
        <f>Final_Table[[#This Row],[Variable Cost]]+Final_Table[[#This Row],[Fixed Monthly Cost]]</f>
        <v>21304.799999999999</v>
      </c>
      <c r="S865" s="5">
        <f>Final_Table[[#This Row],[Net Revenue]]-Final_Table[[#This Row],[Total Cost (COGS)]]</f>
        <v>-2944.7999999999993</v>
      </c>
      <c r="T865">
        <f>Final_Table[[#This Row],[Gross Profit]]*Final_Table[[#This Row],[Tax Rate]]</f>
        <v>-883.43999999999971</v>
      </c>
      <c r="U865" s="5">
        <f>Final_Table[[#This Row],[Gross Profit]]-Final_Table[[#This Row],[Tax]]</f>
        <v>-2061.3599999999997</v>
      </c>
      <c r="V865" s="12">
        <f>Final_Table[[#This Row],[Net Profit]]/Final_Table[[#This Row],[Gross Revenue]]</f>
        <v>-0.10104705882352939</v>
      </c>
    </row>
    <row r="866" spans="1:22">
      <c r="A866" s="18" t="s">
        <v>73</v>
      </c>
      <c r="B866">
        <v>2014</v>
      </c>
      <c r="C866" t="s">
        <v>124</v>
      </c>
      <c r="D866">
        <v>1</v>
      </c>
      <c r="E866" s="18" t="s">
        <v>32</v>
      </c>
      <c r="F866" s="18" t="s">
        <v>112</v>
      </c>
      <c r="G866" s="18" t="s">
        <v>17</v>
      </c>
      <c r="H866" s="18" t="str">
        <f>Assumptions!$B$2</f>
        <v>Worst</v>
      </c>
      <c r="I866" s="18">
        <f>_xlfn.XLOOKUP(Assumptions!$B$2,Assumptions!$F$4:$H$4,Assumptions!$F$5:$H$5)</f>
        <v>1200</v>
      </c>
      <c r="J866" s="18">
        <f>_xlfn.XLOOKUP(Assumptions!$B$2,Assumptions!$F$4:$H$4,Assumptions!$F$6:$H$6)</f>
        <v>17</v>
      </c>
      <c r="K866" s="12">
        <f>_xlfn.XLOOKUP(Assumptions!$B$2,Assumptions!$F$4:$H$4,Assumptions!$F$8:$H$8)</f>
        <v>0.1</v>
      </c>
      <c r="L866" s="12">
        <f>_xlfn.XLOOKUP(Assumptions!$B$2,Assumptions!$F$4:$H$4,Assumptions!$F$9:$H$9)</f>
        <v>0.18</v>
      </c>
      <c r="M866" s="18">
        <f>_xlfn.XLOOKUP(Assumptions!$B$2,Assumptions!$F$4:$H$4,Assumptions!$F$10:$H$10)</f>
        <v>18000</v>
      </c>
      <c r="N866" s="12">
        <f>_xlfn.XLOOKUP(Assumptions!$B$2,Assumptions!$F$4:$H$4,Assumptions!$F$11:$H$11)</f>
        <v>0.3</v>
      </c>
      <c r="O866" s="14">
        <f>Final_Table[[#This Row],[Units Sold]]*Final_Table[[#This Row],[Sale Price]]</f>
        <v>20400</v>
      </c>
      <c r="P866" s="14">
        <f>Final_Table[[#This Row],[Gross Revenue]]*(1-Final_Table[[#This Row],[Discount %]])</f>
        <v>18360</v>
      </c>
      <c r="Q866">
        <f>Final_Table[[#This Row],[Net Revenue]]*Final_Table[[#This Row],[Variable Cost %]]</f>
        <v>3304.7999999999997</v>
      </c>
      <c r="R866">
        <f>Final_Table[[#This Row],[Variable Cost]]+Final_Table[[#This Row],[Fixed Monthly Cost]]</f>
        <v>21304.799999999999</v>
      </c>
      <c r="S866" s="5">
        <f>Final_Table[[#This Row],[Net Revenue]]-Final_Table[[#This Row],[Total Cost (COGS)]]</f>
        <v>-2944.7999999999993</v>
      </c>
      <c r="T866">
        <f>Final_Table[[#This Row],[Gross Profit]]*Final_Table[[#This Row],[Tax Rate]]</f>
        <v>-883.43999999999971</v>
      </c>
      <c r="U866" s="5">
        <f>Final_Table[[#This Row],[Gross Profit]]-Final_Table[[#This Row],[Tax]]</f>
        <v>-2061.3599999999997</v>
      </c>
      <c r="V866" s="12">
        <f>Final_Table[[#This Row],[Net Profit]]/Final_Table[[#This Row],[Gross Revenue]]</f>
        <v>-0.10104705882352939</v>
      </c>
    </row>
    <row r="867" spans="1:22">
      <c r="A867" s="18" t="s">
        <v>73</v>
      </c>
      <c r="B867">
        <v>2014</v>
      </c>
      <c r="C867" t="s">
        <v>124</v>
      </c>
      <c r="D867">
        <v>1</v>
      </c>
      <c r="E867" s="18" t="s">
        <v>32</v>
      </c>
      <c r="F867" s="18" t="s">
        <v>113</v>
      </c>
      <c r="G867" s="18" t="s">
        <v>36</v>
      </c>
      <c r="H867" s="18" t="str">
        <f>Assumptions!$B$2</f>
        <v>Worst</v>
      </c>
      <c r="I867" s="18">
        <f>_xlfn.XLOOKUP(Assumptions!$B$2,Assumptions!$F$4:$H$4,Assumptions!$F$5:$H$5)</f>
        <v>1200</v>
      </c>
      <c r="J867" s="18">
        <f>_xlfn.XLOOKUP(Assumptions!$B$2,Assumptions!$F$4:$H$4,Assumptions!$F$6:$H$6)</f>
        <v>17</v>
      </c>
      <c r="K867" s="12">
        <f>_xlfn.XLOOKUP(Assumptions!$B$2,Assumptions!$F$4:$H$4,Assumptions!$F$8:$H$8)</f>
        <v>0.1</v>
      </c>
      <c r="L867" s="12">
        <f>_xlfn.XLOOKUP(Assumptions!$B$2,Assumptions!$F$4:$H$4,Assumptions!$F$9:$H$9)</f>
        <v>0.18</v>
      </c>
      <c r="M867" s="18">
        <f>_xlfn.XLOOKUP(Assumptions!$B$2,Assumptions!$F$4:$H$4,Assumptions!$F$10:$H$10)</f>
        <v>18000</v>
      </c>
      <c r="N867" s="12">
        <f>_xlfn.XLOOKUP(Assumptions!$B$2,Assumptions!$F$4:$H$4,Assumptions!$F$11:$H$11)</f>
        <v>0.3</v>
      </c>
      <c r="O867" s="14">
        <f>Final_Table[[#This Row],[Units Sold]]*Final_Table[[#This Row],[Sale Price]]</f>
        <v>20400</v>
      </c>
      <c r="P867" s="14">
        <f>Final_Table[[#This Row],[Gross Revenue]]*(1-Final_Table[[#This Row],[Discount %]])</f>
        <v>18360</v>
      </c>
      <c r="Q867">
        <f>Final_Table[[#This Row],[Net Revenue]]*Final_Table[[#This Row],[Variable Cost %]]</f>
        <v>3304.7999999999997</v>
      </c>
      <c r="R867">
        <f>Final_Table[[#This Row],[Variable Cost]]+Final_Table[[#This Row],[Fixed Monthly Cost]]</f>
        <v>21304.799999999999</v>
      </c>
      <c r="S867" s="5">
        <f>Final_Table[[#This Row],[Net Revenue]]-Final_Table[[#This Row],[Total Cost (COGS)]]</f>
        <v>-2944.7999999999993</v>
      </c>
      <c r="T867">
        <f>Final_Table[[#This Row],[Gross Profit]]*Final_Table[[#This Row],[Tax Rate]]</f>
        <v>-883.43999999999971</v>
      </c>
      <c r="U867" s="5">
        <f>Final_Table[[#This Row],[Gross Profit]]-Final_Table[[#This Row],[Tax]]</f>
        <v>-2061.3599999999997</v>
      </c>
      <c r="V867" s="12">
        <f>Final_Table[[#This Row],[Net Profit]]/Final_Table[[#This Row],[Gross Revenue]]</f>
        <v>-0.10104705882352939</v>
      </c>
    </row>
    <row r="868" spans="1:22">
      <c r="A868" s="18" t="s">
        <v>73</v>
      </c>
      <c r="B868">
        <v>2014</v>
      </c>
      <c r="C868" t="s">
        <v>124</v>
      </c>
      <c r="D868">
        <v>1</v>
      </c>
      <c r="E868" s="18" t="s">
        <v>32</v>
      </c>
      <c r="F868" s="18" t="s">
        <v>113</v>
      </c>
      <c r="G868" s="18" t="s">
        <v>23</v>
      </c>
      <c r="H868" s="18" t="str">
        <f>Assumptions!$B$2</f>
        <v>Worst</v>
      </c>
      <c r="I868" s="18">
        <f>_xlfn.XLOOKUP(Assumptions!$B$2,Assumptions!$F$4:$H$4,Assumptions!$F$5:$H$5)</f>
        <v>1200</v>
      </c>
      <c r="J868" s="18">
        <f>_xlfn.XLOOKUP(Assumptions!$B$2,Assumptions!$F$4:$H$4,Assumptions!$F$6:$H$6)</f>
        <v>17</v>
      </c>
      <c r="K868" s="12">
        <f>_xlfn.XLOOKUP(Assumptions!$B$2,Assumptions!$F$4:$H$4,Assumptions!$F$8:$H$8)</f>
        <v>0.1</v>
      </c>
      <c r="L868" s="12">
        <f>_xlfn.XLOOKUP(Assumptions!$B$2,Assumptions!$F$4:$H$4,Assumptions!$F$9:$H$9)</f>
        <v>0.18</v>
      </c>
      <c r="M868" s="18">
        <f>_xlfn.XLOOKUP(Assumptions!$B$2,Assumptions!$F$4:$H$4,Assumptions!$F$10:$H$10)</f>
        <v>18000</v>
      </c>
      <c r="N868" s="12">
        <f>_xlfn.XLOOKUP(Assumptions!$B$2,Assumptions!$F$4:$H$4,Assumptions!$F$11:$H$11)</f>
        <v>0.3</v>
      </c>
      <c r="O868" s="14">
        <f>Final_Table[[#This Row],[Units Sold]]*Final_Table[[#This Row],[Sale Price]]</f>
        <v>20400</v>
      </c>
      <c r="P868" s="14">
        <f>Final_Table[[#This Row],[Gross Revenue]]*(1-Final_Table[[#This Row],[Discount %]])</f>
        <v>18360</v>
      </c>
      <c r="Q868">
        <f>Final_Table[[#This Row],[Net Revenue]]*Final_Table[[#This Row],[Variable Cost %]]</f>
        <v>3304.7999999999997</v>
      </c>
      <c r="R868">
        <f>Final_Table[[#This Row],[Variable Cost]]+Final_Table[[#This Row],[Fixed Monthly Cost]]</f>
        <v>21304.799999999999</v>
      </c>
      <c r="S868" s="5">
        <f>Final_Table[[#This Row],[Net Revenue]]-Final_Table[[#This Row],[Total Cost (COGS)]]</f>
        <v>-2944.7999999999993</v>
      </c>
      <c r="T868">
        <f>Final_Table[[#This Row],[Gross Profit]]*Final_Table[[#This Row],[Tax Rate]]</f>
        <v>-883.43999999999971</v>
      </c>
      <c r="U868" s="5">
        <f>Final_Table[[#This Row],[Gross Profit]]-Final_Table[[#This Row],[Tax]]</f>
        <v>-2061.3599999999997</v>
      </c>
      <c r="V868" s="12">
        <f>Final_Table[[#This Row],[Net Profit]]/Final_Table[[#This Row],[Gross Revenue]]</f>
        <v>-0.10104705882352939</v>
      </c>
    </row>
    <row r="869" spans="1:22">
      <c r="A869" s="18" t="s">
        <v>73</v>
      </c>
      <c r="B869">
        <v>2014</v>
      </c>
      <c r="C869" t="s">
        <v>124</v>
      </c>
      <c r="D869">
        <v>1</v>
      </c>
      <c r="E869" s="18" t="s">
        <v>32</v>
      </c>
      <c r="F869" s="18" t="s">
        <v>113</v>
      </c>
      <c r="G869" s="18" t="s">
        <v>21</v>
      </c>
      <c r="H869" s="18" t="str">
        <f>Assumptions!$B$2</f>
        <v>Worst</v>
      </c>
      <c r="I869" s="18">
        <f>_xlfn.XLOOKUP(Assumptions!$B$2,Assumptions!$F$4:$H$4,Assumptions!$F$5:$H$5)</f>
        <v>1200</v>
      </c>
      <c r="J869" s="18">
        <f>_xlfn.XLOOKUP(Assumptions!$B$2,Assumptions!$F$4:$H$4,Assumptions!$F$6:$H$6)</f>
        <v>17</v>
      </c>
      <c r="K869" s="12">
        <f>_xlfn.XLOOKUP(Assumptions!$B$2,Assumptions!$F$4:$H$4,Assumptions!$F$8:$H$8)</f>
        <v>0.1</v>
      </c>
      <c r="L869" s="12">
        <f>_xlfn.XLOOKUP(Assumptions!$B$2,Assumptions!$F$4:$H$4,Assumptions!$F$9:$H$9)</f>
        <v>0.18</v>
      </c>
      <c r="M869" s="18">
        <f>_xlfn.XLOOKUP(Assumptions!$B$2,Assumptions!$F$4:$H$4,Assumptions!$F$10:$H$10)</f>
        <v>18000</v>
      </c>
      <c r="N869" s="12">
        <f>_xlfn.XLOOKUP(Assumptions!$B$2,Assumptions!$F$4:$H$4,Assumptions!$F$11:$H$11)</f>
        <v>0.3</v>
      </c>
      <c r="O869" s="14">
        <f>Final_Table[[#This Row],[Units Sold]]*Final_Table[[#This Row],[Sale Price]]</f>
        <v>20400</v>
      </c>
      <c r="P869" s="14">
        <f>Final_Table[[#This Row],[Gross Revenue]]*(1-Final_Table[[#This Row],[Discount %]])</f>
        <v>18360</v>
      </c>
      <c r="Q869">
        <f>Final_Table[[#This Row],[Net Revenue]]*Final_Table[[#This Row],[Variable Cost %]]</f>
        <v>3304.7999999999997</v>
      </c>
      <c r="R869">
        <f>Final_Table[[#This Row],[Variable Cost]]+Final_Table[[#This Row],[Fixed Monthly Cost]]</f>
        <v>21304.799999999999</v>
      </c>
      <c r="S869" s="5">
        <f>Final_Table[[#This Row],[Net Revenue]]-Final_Table[[#This Row],[Total Cost (COGS)]]</f>
        <v>-2944.7999999999993</v>
      </c>
      <c r="T869">
        <f>Final_Table[[#This Row],[Gross Profit]]*Final_Table[[#This Row],[Tax Rate]]</f>
        <v>-883.43999999999971</v>
      </c>
      <c r="U869" s="5">
        <f>Final_Table[[#This Row],[Gross Profit]]-Final_Table[[#This Row],[Tax]]</f>
        <v>-2061.3599999999997</v>
      </c>
      <c r="V869" s="12">
        <f>Final_Table[[#This Row],[Net Profit]]/Final_Table[[#This Row],[Gross Revenue]]</f>
        <v>-0.10104705882352939</v>
      </c>
    </row>
    <row r="870" spans="1:22">
      <c r="A870" s="18" t="s">
        <v>73</v>
      </c>
      <c r="B870">
        <v>2014</v>
      </c>
      <c r="C870" t="s">
        <v>124</v>
      </c>
      <c r="D870">
        <v>1</v>
      </c>
      <c r="E870" s="18" t="s">
        <v>32</v>
      </c>
      <c r="F870" s="18" t="s">
        <v>113</v>
      </c>
      <c r="G870" s="18" t="s">
        <v>25</v>
      </c>
      <c r="H870" s="18" t="str">
        <f>Assumptions!$B$2</f>
        <v>Worst</v>
      </c>
      <c r="I870" s="18">
        <f>_xlfn.XLOOKUP(Assumptions!$B$2,Assumptions!$F$4:$H$4,Assumptions!$F$5:$H$5)</f>
        <v>1200</v>
      </c>
      <c r="J870" s="18">
        <f>_xlfn.XLOOKUP(Assumptions!$B$2,Assumptions!$F$4:$H$4,Assumptions!$F$6:$H$6)</f>
        <v>17</v>
      </c>
      <c r="K870" s="12">
        <f>_xlfn.XLOOKUP(Assumptions!$B$2,Assumptions!$F$4:$H$4,Assumptions!$F$8:$H$8)</f>
        <v>0.1</v>
      </c>
      <c r="L870" s="12">
        <f>_xlfn.XLOOKUP(Assumptions!$B$2,Assumptions!$F$4:$H$4,Assumptions!$F$9:$H$9)</f>
        <v>0.18</v>
      </c>
      <c r="M870" s="18">
        <f>_xlfn.XLOOKUP(Assumptions!$B$2,Assumptions!$F$4:$H$4,Assumptions!$F$10:$H$10)</f>
        <v>18000</v>
      </c>
      <c r="N870" s="12">
        <f>_xlfn.XLOOKUP(Assumptions!$B$2,Assumptions!$F$4:$H$4,Assumptions!$F$11:$H$11)</f>
        <v>0.3</v>
      </c>
      <c r="O870" s="14">
        <f>Final_Table[[#This Row],[Units Sold]]*Final_Table[[#This Row],[Sale Price]]</f>
        <v>20400</v>
      </c>
      <c r="P870" s="14">
        <f>Final_Table[[#This Row],[Gross Revenue]]*(1-Final_Table[[#This Row],[Discount %]])</f>
        <v>18360</v>
      </c>
      <c r="Q870">
        <f>Final_Table[[#This Row],[Net Revenue]]*Final_Table[[#This Row],[Variable Cost %]]</f>
        <v>3304.7999999999997</v>
      </c>
      <c r="R870">
        <f>Final_Table[[#This Row],[Variable Cost]]+Final_Table[[#This Row],[Fixed Monthly Cost]]</f>
        <v>21304.799999999999</v>
      </c>
      <c r="S870" s="5">
        <f>Final_Table[[#This Row],[Net Revenue]]-Final_Table[[#This Row],[Total Cost (COGS)]]</f>
        <v>-2944.7999999999993</v>
      </c>
      <c r="T870">
        <f>Final_Table[[#This Row],[Gross Profit]]*Final_Table[[#This Row],[Tax Rate]]</f>
        <v>-883.43999999999971</v>
      </c>
      <c r="U870" s="5">
        <f>Final_Table[[#This Row],[Gross Profit]]-Final_Table[[#This Row],[Tax]]</f>
        <v>-2061.3599999999997</v>
      </c>
      <c r="V870" s="12">
        <f>Final_Table[[#This Row],[Net Profit]]/Final_Table[[#This Row],[Gross Revenue]]</f>
        <v>-0.10104705882352939</v>
      </c>
    </row>
    <row r="871" spans="1:22">
      <c r="A871" s="18" t="s">
        <v>73</v>
      </c>
      <c r="B871">
        <v>2014</v>
      </c>
      <c r="C871" t="s">
        <v>124</v>
      </c>
      <c r="D871">
        <v>1</v>
      </c>
      <c r="E871" s="18" t="s">
        <v>32</v>
      </c>
      <c r="F871" s="18" t="s">
        <v>113</v>
      </c>
      <c r="G871" s="18" t="s">
        <v>17</v>
      </c>
      <c r="H871" s="18" t="str">
        <f>Assumptions!$B$2</f>
        <v>Worst</v>
      </c>
      <c r="I871" s="18">
        <f>_xlfn.XLOOKUP(Assumptions!$B$2,Assumptions!$F$4:$H$4,Assumptions!$F$5:$H$5)</f>
        <v>1200</v>
      </c>
      <c r="J871" s="18">
        <f>_xlfn.XLOOKUP(Assumptions!$B$2,Assumptions!$F$4:$H$4,Assumptions!$F$6:$H$6)</f>
        <v>17</v>
      </c>
      <c r="K871" s="12">
        <f>_xlfn.XLOOKUP(Assumptions!$B$2,Assumptions!$F$4:$H$4,Assumptions!$F$8:$H$8)</f>
        <v>0.1</v>
      </c>
      <c r="L871" s="12">
        <f>_xlfn.XLOOKUP(Assumptions!$B$2,Assumptions!$F$4:$H$4,Assumptions!$F$9:$H$9)</f>
        <v>0.18</v>
      </c>
      <c r="M871" s="18">
        <f>_xlfn.XLOOKUP(Assumptions!$B$2,Assumptions!$F$4:$H$4,Assumptions!$F$10:$H$10)</f>
        <v>18000</v>
      </c>
      <c r="N871" s="12">
        <f>_xlfn.XLOOKUP(Assumptions!$B$2,Assumptions!$F$4:$H$4,Assumptions!$F$11:$H$11)</f>
        <v>0.3</v>
      </c>
      <c r="O871" s="14">
        <f>Final_Table[[#This Row],[Units Sold]]*Final_Table[[#This Row],[Sale Price]]</f>
        <v>20400</v>
      </c>
      <c r="P871" s="14">
        <f>Final_Table[[#This Row],[Gross Revenue]]*(1-Final_Table[[#This Row],[Discount %]])</f>
        <v>18360</v>
      </c>
      <c r="Q871">
        <f>Final_Table[[#This Row],[Net Revenue]]*Final_Table[[#This Row],[Variable Cost %]]</f>
        <v>3304.7999999999997</v>
      </c>
      <c r="R871">
        <f>Final_Table[[#This Row],[Variable Cost]]+Final_Table[[#This Row],[Fixed Monthly Cost]]</f>
        <v>21304.799999999999</v>
      </c>
      <c r="S871" s="5">
        <f>Final_Table[[#This Row],[Net Revenue]]-Final_Table[[#This Row],[Total Cost (COGS)]]</f>
        <v>-2944.7999999999993</v>
      </c>
      <c r="T871">
        <f>Final_Table[[#This Row],[Gross Profit]]*Final_Table[[#This Row],[Tax Rate]]</f>
        <v>-883.43999999999971</v>
      </c>
      <c r="U871" s="5">
        <f>Final_Table[[#This Row],[Gross Profit]]-Final_Table[[#This Row],[Tax]]</f>
        <v>-2061.3599999999997</v>
      </c>
      <c r="V871" s="12">
        <f>Final_Table[[#This Row],[Net Profit]]/Final_Table[[#This Row],[Gross Revenue]]</f>
        <v>-0.10104705882352939</v>
      </c>
    </row>
    <row r="872" spans="1:22">
      <c r="A872" s="18" t="s">
        <v>73</v>
      </c>
      <c r="B872">
        <v>2014</v>
      </c>
      <c r="C872" t="s">
        <v>124</v>
      </c>
      <c r="D872">
        <v>1</v>
      </c>
      <c r="E872" s="18" t="s">
        <v>32</v>
      </c>
      <c r="F872" s="18" t="s">
        <v>114</v>
      </c>
      <c r="G872" s="18" t="s">
        <v>36</v>
      </c>
      <c r="H872" s="18" t="str">
        <f>Assumptions!$B$2</f>
        <v>Worst</v>
      </c>
      <c r="I872" s="18">
        <f>_xlfn.XLOOKUP(Assumptions!$B$2,Assumptions!$F$4:$H$4,Assumptions!$F$5:$H$5)</f>
        <v>1200</v>
      </c>
      <c r="J872" s="18">
        <f>_xlfn.XLOOKUP(Assumptions!$B$2,Assumptions!$F$4:$H$4,Assumptions!$F$6:$H$6)</f>
        <v>17</v>
      </c>
      <c r="K872" s="12">
        <f>_xlfn.XLOOKUP(Assumptions!$B$2,Assumptions!$F$4:$H$4,Assumptions!$F$8:$H$8)</f>
        <v>0.1</v>
      </c>
      <c r="L872" s="12">
        <f>_xlfn.XLOOKUP(Assumptions!$B$2,Assumptions!$F$4:$H$4,Assumptions!$F$9:$H$9)</f>
        <v>0.18</v>
      </c>
      <c r="M872" s="18">
        <f>_xlfn.XLOOKUP(Assumptions!$B$2,Assumptions!$F$4:$H$4,Assumptions!$F$10:$H$10)</f>
        <v>18000</v>
      </c>
      <c r="N872" s="12">
        <f>_xlfn.XLOOKUP(Assumptions!$B$2,Assumptions!$F$4:$H$4,Assumptions!$F$11:$H$11)</f>
        <v>0.3</v>
      </c>
      <c r="O872" s="14">
        <f>Final_Table[[#This Row],[Units Sold]]*Final_Table[[#This Row],[Sale Price]]</f>
        <v>20400</v>
      </c>
      <c r="P872" s="14">
        <f>Final_Table[[#This Row],[Gross Revenue]]*(1-Final_Table[[#This Row],[Discount %]])</f>
        <v>18360</v>
      </c>
      <c r="Q872">
        <f>Final_Table[[#This Row],[Net Revenue]]*Final_Table[[#This Row],[Variable Cost %]]</f>
        <v>3304.7999999999997</v>
      </c>
      <c r="R872">
        <f>Final_Table[[#This Row],[Variable Cost]]+Final_Table[[#This Row],[Fixed Monthly Cost]]</f>
        <v>21304.799999999999</v>
      </c>
      <c r="S872" s="5">
        <f>Final_Table[[#This Row],[Net Revenue]]-Final_Table[[#This Row],[Total Cost (COGS)]]</f>
        <v>-2944.7999999999993</v>
      </c>
      <c r="T872">
        <f>Final_Table[[#This Row],[Gross Profit]]*Final_Table[[#This Row],[Tax Rate]]</f>
        <v>-883.43999999999971</v>
      </c>
      <c r="U872" s="5">
        <f>Final_Table[[#This Row],[Gross Profit]]-Final_Table[[#This Row],[Tax]]</f>
        <v>-2061.3599999999997</v>
      </c>
      <c r="V872" s="12">
        <f>Final_Table[[#This Row],[Net Profit]]/Final_Table[[#This Row],[Gross Revenue]]</f>
        <v>-0.10104705882352939</v>
      </c>
    </row>
    <row r="873" spans="1:22">
      <c r="A873" s="18" t="s">
        <v>73</v>
      </c>
      <c r="B873">
        <v>2014</v>
      </c>
      <c r="C873" t="s">
        <v>124</v>
      </c>
      <c r="D873">
        <v>1</v>
      </c>
      <c r="E873" s="18" t="s">
        <v>32</v>
      </c>
      <c r="F873" s="18" t="s">
        <v>114</v>
      </c>
      <c r="G873" s="18" t="s">
        <v>23</v>
      </c>
      <c r="H873" s="18" t="str">
        <f>Assumptions!$B$2</f>
        <v>Worst</v>
      </c>
      <c r="I873" s="18">
        <f>_xlfn.XLOOKUP(Assumptions!$B$2,Assumptions!$F$4:$H$4,Assumptions!$F$5:$H$5)</f>
        <v>1200</v>
      </c>
      <c r="J873" s="18">
        <f>_xlfn.XLOOKUP(Assumptions!$B$2,Assumptions!$F$4:$H$4,Assumptions!$F$6:$H$6)</f>
        <v>17</v>
      </c>
      <c r="K873" s="12">
        <f>_xlfn.XLOOKUP(Assumptions!$B$2,Assumptions!$F$4:$H$4,Assumptions!$F$8:$H$8)</f>
        <v>0.1</v>
      </c>
      <c r="L873" s="12">
        <f>_xlfn.XLOOKUP(Assumptions!$B$2,Assumptions!$F$4:$H$4,Assumptions!$F$9:$H$9)</f>
        <v>0.18</v>
      </c>
      <c r="M873" s="18">
        <f>_xlfn.XLOOKUP(Assumptions!$B$2,Assumptions!$F$4:$H$4,Assumptions!$F$10:$H$10)</f>
        <v>18000</v>
      </c>
      <c r="N873" s="12">
        <f>_xlfn.XLOOKUP(Assumptions!$B$2,Assumptions!$F$4:$H$4,Assumptions!$F$11:$H$11)</f>
        <v>0.3</v>
      </c>
      <c r="O873" s="14">
        <f>Final_Table[[#This Row],[Units Sold]]*Final_Table[[#This Row],[Sale Price]]</f>
        <v>20400</v>
      </c>
      <c r="P873" s="14">
        <f>Final_Table[[#This Row],[Gross Revenue]]*(1-Final_Table[[#This Row],[Discount %]])</f>
        <v>18360</v>
      </c>
      <c r="Q873">
        <f>Final_Table[[#This Row],[Net Revenue]]*Final_Table[[#This Row],[Variable Cost %]]</f>
        <v>3304.7999999999997</v>
      </c>
      <c r="R873">
        <f>Final_Table[[#This Row],[Variable Cost]]+Final_Table[[#This Row],[Fixed Monthly Cost]]</f>
        <v>21304.799999999999</v>
      </c>
      <c r="S873" s="5">
        <f>Final_Table[[#This Row],[Net Revenue]]-Final_Table[[#This Row],[Total Cost (COGS)]]</f>
        <v>-2944.7999999999993</v>
      </c>
      <c r="T873">
        <f>Final_Table[[#This Row],[Gross Profit]]*Final_Table[[#This Row],[Tax Rate]]</f>
        <v>-883.43999999999971</v>
      </c>
      <c r="U873" s="5">
        <f>Final_Table[[#This Row],[Gross Profit]]-Final_Table[[#This Row],[Tax]]</f>
        <v>-2061.3599999999997</v>
      </c>
      <c r="V873" s="12">
        <f>Final_Table[[#This Row],[Net Profit]]/Final_Table[[#This Row],[Gross Revenue]]</f>
        <v>-0.10104705882352939</v>
      </c>
    </row>
    <row r="874" spans="1:22">
      <c r="A874" s="18" t="s">
        <v>73</v>
      </c>
      <c r="B874">
        <v>2014</v>
      </c>
      <c r="C874" t="s">
        <v>124</v>
      </c>
      <c r="D874">
        <v>1</v>
      </c>
      <c r="E874" s="18" t="s">
        <v>32</v>
      </c>
      <c r="F874" s="18" t="s">
        <v>114</v>
      </c>
      <c r="G874" s="18" t="s">
        <v>21</v>
      </c>
      <c r="H874" s="18" t="str">
        <f>Assumptions!$B$2</f>
        <v>Worst</v>
      </c>
      <c r="I874" s="18">
        <f>_xlfn.XLOOKUP(Assumptions!$B$2,Assumptions!$F$4:$H$4,Assumptions!$F$5:$H$5)</f>
        <v>1200</v>
      </c>
      <c r="J874" s="18">
        <f>_xlfn.XLOOKUP(Assumptions!$B$2,Assumptions!$F$4:$H$4,Assumptions!$F$6:$H$6)</f>
        <v>17</v>
      </c>
      <c r="K874" s="12">
        <f>_xlfn.XLOOKUP(Assumptions!$B$2,Assumptions!$F$4:$H$4,Assumptions!$F$8:$H$8)</f>
        <v>0.1</v>
      </c>
      <c r="L874" s="12">
        <f>_xlfn.XLOOKUP(Assumptions!$B$2,Assumptions!$F$4:$H$4,Assumptions!$F$9:$H$9)</f>
        <v>0.18</v>
      </c>
      <c r="M874" s="18">
        <f>_xlfn.XLOOKUP(Assumptions!$B$2,Assumptions!$F$4:$H$4,Assumptions!$F$10:$H$10)</f>
        <v>18000</v>
      </c>
      <c r="N874" s="12">
        <f>_xlfn.XLOOKUP(Assumptions!$B$2,Assumptions!$F$4:$H$4,Assumptions!$F$11:$H$11)</f>
        <v>0.3</v>
      </c>
      <c r="O874" s="14">
        <f>Final_Table[[#This Row],[Units Sold]]*Final_Table[[#This Row],[Sale Price]]</f>
        <v>20400</v>
      </c>
      <c r="P874" s="14">
        <f>Final_Table[[#This Row],[Gross Revenue]]*(1-Final_Table[[#This Row],[Discount %]])</f>
        <v>18360</v>
      </c>
      <c r="Q874">
        <f>Final_Table[[#This Row],[Net Revenue]]*Final_Table[[#This Row],[Variable Cost %]]</f>
        <v>3304.7999999999997</v>
      </c>
      <c r="R874">
        <f>Final_Table[[#This Row],[Variable Cost]]+Final_Table[[#This Row],[Fixed Monthly Cost]]</f>
        <v>21304.799999999999</v>
      </c>
      <c r="S874" s="5">
        <f>Final_Table[[#This Row],[Net Revenue]]-Final_Table[[#This Row],[Total Cost (COGS)]]</f>
        <v>-2944.7999999999993</v>
      </c>
      <c r="T874">
        <f>Final_Table[[#This Row],[Gross Profit]]*Final_Table[[#This Row],[Tax Rate]]</f>
        <v>-883.43999999999971</v>
      </c>
      <c r="U874" s="5">
        <f>Final_Table[[#This Row],[Gross Profit]]-Final_Table[[#This Row],[Tax]]</f>
        <v>-2061.3599999999997</v>
      </c>
      <c r="V874" s="12">
        <f>Final_Table[[#This Row],[Net Profit]]/Final_Table[[#This Row],[Gross Revenue]]</f>
        <v>-0.10104705882352939</v>
      </c>
    </row>
    <row r="875" spans="1:22">
      <c r="A875" s="18" t="s">
        <v>73</v>
      </c>
      <c r="B875">
        <v>2014</v>
      </c>
      <c r="C875" t="s">
        <v>124</v>
      </c>
      <c r="D875">
        <v>1</v>
      </c>
      <c r="E875" s="18" t="s">
        <v>32</v>
      </c>
      <c r="F875" s="18" t="s">
        <v>114</v>
      </c>
      <c r="G875" s="18" t="s">
        <v>25</v>
      </c>
      <c r="H875" s="18" t="str">
        <f>Assumptions!$B$2</f>
        <v>Worst</v>
      </c>
      <c r="I875" s="18">
        <f>_xlfn.XLOOKUP(Assumptions!$B$2,Assumptions!$F$4:$H$4,Assumptions!$F$5:$H$5)</f>
        <v>1200</v>
      </c>
      <c r="J875" s="18">
        <f>_xlfn.XLOOKUP(Assumptions!$B$2,Assumptions!$F$4:$H$4,Assumptions!$F$6:$H$6)</f>
        <v>17</v>
      </c>
      <c r="K875" s="12">
        <f>_xlfn.XLOOKUP(Assumptions!$B$2,Assumptions!$F$4:$H$4,Assumptions!$F$8:$H$8)</f>
        <v>0.1</v>
      </c>
      <c r="L875" s="12">
        <f>_xlfn.XLOOKUP(Assumptions!$B$2,Assumptions!$F$4:$H$4,Assumptions!$F$9:$H$9)</f>
        <v>0.18</v>
      </c>
      <c r="M875" s="18">
        <f>_xlfn.XLOOKUP(Assumptions!$B$2,Assumptions!$F$4:$H$4,Assumptions!$F$10:$H$10)</f>
        <v>18000</v>
      </c>
      <c r="N875" s="12">
        <f>_xlfn.XLOOKUP(Assumptions!$B$2,Assumptions!$F$4:$H$4,Assumptions!$F$11:$H$11)</f>
        <v>0.3</v>
      </c>
      <c r="O875" s="14">
        <f>Final_Table[[#This Row],[Units Sold]]*Final_Table[[#This Row],[Sale Price]]</f>
        <v>20400</v>
      </c>
      <c r="P875" s="14">
        <f>Final_Table[[#This Row],[Gross Revenue]]*(1-Final_Table[[#This Row],[Discount %]])</f>
        <v>18360</v>
      </c>
      <c r="Q875">
        <f>Final_Table[[#This Row],[Net Revenue]]*Final_Table[[#This Row],[Variable Cost %]]</f>
        <v>3304.7999999999997</v>
      </c>
      <c r="R875">
        <f>Final_Table[[#This Row],[Variable Cost]]+Final_Table[[#This Row],[Fixed Monthly Cost]]</f>
        <v>21304.799999999999</v>
      </c>
      <c r="S875" s="5">
        <f>Final_Table[[#This Row],[Net Revenue]]-Final_Table[[#This Row],[Total Cost (COGS)]]</f>
        <v>-2944.7999999999993</v>
      </c>
      <c r="T875">
        <f>Final_Table[[#This Row],[Gross Profit]]*Final_Table[[#This Row],[Tax Rate]]</f>
        <v>-883.43999999999971</v>
      </c>
      <c r="U875" s="5">
        <f>Final_Table[[#This Row],[Gross Profit]]-Final_Table[[#This Row],[Tax]]</f>
        <v>-2061.3599999999997</v>
      </c>
      <c r="V875" s="12">
        <f>Final_Table[[#This Row],[Net Profit]]/Final_Table[[#This Row],[Gross Revenue]]</f>
        <v>-0.10104705882352939</v>
      </c>
    </row>
    <row r="876" spans="1:22">
      <c r="A876" s="18" t="s">
        <v>73</v>
      </c>
      <c r="B876">
        <v>2014</v>
      </c>
      <c r="C876" t="s">
        <v>124</v>
      </c>
      <c r="D876">
        <v>1</v>
      </c>
      <c r="E876" s="18" t="s">
        <v>32</v>
      </c>
      <c r="F876" s="18" t="s">
        <v>114</v>
      </c>
      <c r="G876" s="18" t="s">
        <v>17</v>
      </c>
      <c r="H876" s="18" t="str">
        <f>Assumptions!$B$2</f>
        <v>Worst</v>
      </c>
      <c r="I876" s="18">
        <f>_xlfn.XLOOKUP(Assumptions!$B$2,Assumptions!$F$4:$H$4,Assumptions!$F$5:$H$5)</f>
        <v>1200</v>
      </c>
      <c r="J876" s="18">
        <f>_xlfn.XLOOKUP(Assumptions!$B$2,Assumptions!$F$4:$H$4,Assumptions!$F$6:$H$6)</f>
        <v>17</v>
      </c>
      <c r="K876" s="12">
        <f>_xlfn.XLOOKUP(Assumptions!$B$2,Assumptions!$F$4:$H$4,Assumptions!$F$8:$H$8)</f>
        <v>0.1</v>
      </c>
      <c r="L876" s="12">
        <f>_xlfn.XLOOKUP(Assumptions!$B$2,Assumptions!$F$4:$H$4,Assumptions!$F$9:$H$9)</f>
        <v>0.18</v>
      </c>
      <c r="M876" s="18">
        <f>_xlfn.XLOOKUP(Assumptions!$B$2,Assumptions!$F$4:$H$4,Assumptions!$F$10:$H$10)</f>
        <v>18000</v>
      </c>
      <c r="N876" s="12">
        <f>_xlfn.XLOOKUP(Assumptions!$B$2,Assumptions!$F$4:$H$4,Assumptions!$F$11:$H$11)</f>
        <v>0.3</v>
      </c>
      <c r="O876" s="14">
        <f>Final_Table[[#This Row],[Units Sold]]*Final_Table[[#This Row],[Sale Price]]</f>
        <v>20400</v>
      </c>
      <c r="P876" s="14">
        <f>Final_Table[[#This Row],[Gross Revenue]]*(1-Final_Table[[#This Row],[Discount %]])</f>
        <v>18360</v>
      </c>
      <c r="Q876">
        <f>Final_Table[[#This Row],[Net Revenue]]*Final_Table[[#This Row],[Variable Cost %]]</f>
        <v>3304.7999999999997</v>
      </c>
      <c r="R876">
        <f>Final_Table[[#This Row],[Variable Cost]]+Final_Table[[#This Row],[Fixed Monthly Cost]]</f>
        <v>21304.799999999999</v>
      </c>
      <c r="S876" s="5">
        <f>Final_Table[[#This Row],[Net Revenue]]-Final_Table[[#This Row],[Total Cost (COGS)]]</f>
        <v>-2944.7999999999993</v>
      </c>
      <c r="T876">
        <f>Final_Table[[#This Row],[Gross Profit]]*Final_Table[[#This Row],[Tax Rate]]</f>
        <v>-883.43999999999971</v>
      </c>
      <c r="U876" s="5">
        <f>Final_Table[[#This Row],[Gross Profit]]-Final_Table[[#This Row],[Tax]]</f>
        <v>-2061.3599999999997</v>
      </c>
      <c r="V876" s="12">
        <f>Final_Table[[#This Row],[Net Profit]]/Final_Table[[#This Row],[Gross Revenue]]</f>
        <v>-0.10104705882352939</v>
      </c>
    </row>
    <row r="877" spans="1:22">
      <c r="A877" s="18" t="s">
        <v>74</v>
      </c>
      <c r="B877">
        <v>2014</v>
      </c>
      <c r="C877" t="s">
        <v>125</v>
      </c>
      <c r="D877">
        <v>1</v>
      </c>
      <c r="E877" s="18" t="s">
        <v>30</v>
      </c>
      <c r="F877" s="18" t="s">
        <v>80</v>
      </c>
      <c r="G877" s="18" t="s">
        <v>36</v>
      </c>
      <c r="H877" s="18" t="str">
        <f>Assumptions!$B$2</f>
        <v>Worst</v>
      </c>
      <c r="I877" s="18">
        <f>_xlfn.XLOOKUP(Assumptions!$B$2,Assumptions!$F$4:$H$4,Assumptions!$F$5:$H$5)</f>
        <v>1200</v>
      </c>
      <c r="J877" s="18">
        <f>_xlfn.XLOOKUP(Assumptions!$B$2,Assumptions!$F$4:$H$4,Assumptions!$F$6:$H$6)</f>
        <v>17</v>
      </c>
      <c r="K877" s="12">
        <f>_xlfn.XLOOKUP(Assumptions!$B$2,Assumptions!$F$4:$H$4,Assumptions!$F$8:$H$8)</f>
        <v>0.1</v>
      </c>
      <c r="L877" s="12">
        <f>_xlfn.XLOOKUP(Assumptions!$B$2,Assumptions!$F$4:$H$4,Assumptions!$F$9:$H$9)</f>
        <v>0.18</v>
      </c>
      <c r="M877" s="18">
        <f>_xlfn.XLOOKUP(Assumptions!$B$2,Assumptions!$F$4:$H$4,Assumptions!$F$10:$H$10)</f>
        <v>18000</v>
      </c>
      <c r="N877" s="12">
        <f>_xlfn.XLOOKUP(Assumptions!$B$2,Assumptions!$F$4:$H$4,Assumptions!$F$11:$H$11)</f>
        <v>0.3</v>
      </c>
      <c r="O877" s="14">
        <f>Final_Table[[#This Row],[Units Sold]]*Final_Table[[#This Row],[Sale Price]]</f>
        <v>20400</v>
      </c>
      <c r="P877" s="14">
        <f>Final_Table[[#This Row],[Gross Revenue]]*(1-Final_Table[[#This Row],[Discount %]])</f>
        <v>18360</v>
      </c>
      <c r="Q877">
        <f>Final_Table[[#This Row],[Net Revenue]]*Final_Table[[#This Row],[Variable Cost %]]</f>
        <v>3304.7999999999997</v>
      </c>
      <c r="R877">
        <f>Final_Table[[#This Row],[Variable Cost]]+Final_Table[[#This Row],[Fixed Monthly Cost]]</f>
        <v>21304.799999999999</v>
      </c>
      <c r="S877" s="5">
        <f>Final_Table[[#This Row],[Net Revenue]]-Final_Table[[#This Row],[Total Cost (COGS)]]</f>
        <v>-2944.7999999999993</v>
      </c>
      <c r="T877">
        <f>Final_Table[[#This Row],[Gross Profit]]*Final_Table[[#This Row],[Tax Rate]]</f>
        <v>-883.43999999999971</v>
      </c>
      <c r="U877" s="5">
        <f>Final_Table[[#This Row],[Gross Profit]]-Final_Table[[#This Row],[Tax]]</f>
        <v>-2061.3599999999997</v>
      </c>
      <c r="V877" s="12">
        <f>Final_Table[[#This Row],[Net Profit]]/Final_Table[[#This Row],[Gross Revenue]]</f>
        <v>-0.10104705882352939</v>
      </c>
    </row>
    <row r="878" spans="1:22">
      <c r="A878" s="18" t="s">
        <v>74</v>
      </c>
      <c r="B878">
        <v>2014</v>
      </c>
      <c r="C878" t="s">
        <v>125</v>
      </c>
      <c r="D878">
        <v>1</v>
      </c>
      <c r="E878" s="18" t="s">
        <v>30</v>
      </c>
      <c r="F878" s="18" t="s">
        <v>80</v>
      </c>
      <c r="G878" s="18" t="s">
        <v>23</v>
      </c>
      <c r="H878" s="18" t="str">
        <f>Assumptions!$B$2</f>
        <v>Worst</v>
      </c>
      <c r="I878" s="18">
        <f>_xlfn.XLOOKUP(Assumptions!$B$2,Assumptions!$F$4:$H$4,Assumptions!$F$5:$H$5)</f>
        <v>1200</v>
      </c>
      <c r="J878" s="18">
        <f>_xlfn.XLOOKUP(Assumptions!$B$2,Assumptions!$F$4:$H$4,Assumptions!$F$6:$H$6)</f>
        <v>17</v>
      </c>
      <c r="K878" s="12">
        <f>_xlfn.XLOOKUP(Assumptions!$B$2,Assumptions!$F$4:$H$4,Assumptions!$F$8:$H$8)</f>
        <v>0.1</v>
      </c>
      <c r="L878" s="12">
        <f>_xlfn.XLOOKUP(Assumptions!$B$2,Assumptions!$F$4:$H$4,Assumptions!$F$9:$H$9)</f>
        <v>0.18</v>
      </c>
      <c r="M878" s="18">
        <f>_xlfn.XLOOKUP(Assumptions!$B$2,Assumptions!$F$4:$H$4,Assumptions!$F$10:$H$10)</f>
        <v>18000</v>
      </c>
      <c r="N878" s="12">
        <f>_xlfn.XLOOKUP(Assumptions!$B$2,Assumptions!$F$4:$H$4,Assumptions!$F$11:$H$11)</f>
        <v>0.3</v>
      </c>
      <c r="O878" s="14">
        <f>Final_Table[[#This Row],[Units Sold]]*Final_Table[[#This Row],[Sale Price]]</f>
        <v>20400</v>
      </c>
      <c r="P878" s="14">
        <f>Final_Table[[#This Row],[Gross Revenue]]*(1-Final_Table[[#This Row],[Discount %]])</f>
        <v>18360</v>
      </c>
      <c r="Q878">
        <f>Final_Table[[#This Row],[Net Revenue]]*Final_Table[[#This Row],[Variable Cost %]]</f>
        <v>3304.7999999999997</v>
      </c>
      <c r="R878">
        <f>Final_Table[[#This Row],[Variable Cost]]+Final_Table[[#This Row],[Fixed Monthly Cost]]</f>
        <v>21304.799999999999</v>
      </c>
      <c r="S878" s="5">
        <f>Final_Table[[#This Row],[Net Revenue]]-Final_Table[[#This Row],[Total Cost (COGS)]]</f>
        <v>-2944.7999999999993</v>
      </c>
      <c r="T878">
        <f>Final_Table[[#This Row],[Gross Profit]]*Final_Table[[#This Row],[Tax Rate]]</f>
        <v>-883.43999999999971</v>
      </c>
      <c r="U878" s="5">
        <f>Final_Table[[#This Row],[Gross Profit]]-Final_Table[[#This Row],[Tax]]</f>
        <v>-2061.3599999999997</v>
      </c>
      <c r="V878" s="12">
        <f>Final_Table[[#This Row],[Net Profit]]/Final_Table[[#This Row],[Gross Revenue]]</f>
        <v>-0.10104705882352939</v>
      </c>
    </row>
    <row r="879" spans="1:22">
      <c r="A879" s="18" t="s">
        <v>74</v>
      </c>
      <c r="B879">
        <v>2014</v>
      </c>
      <c r="C879" t="s">
        <v>125</v>
      </c>
      <c r="D879">
        <v>1</v>
      </c>
      <c r="E879" s="18" t="s">
        <v>30</v>
      </c>
      <c r="F879" s="18" t="s">
        <v>80</v>
      </c>
      <c r="G879" s="18" t="s">
        <v>21</v>
      </c>
      <c r="H879" s="18" t="str">
        <f>Assumptions!$B$2</f>
        <v>Worst</v>
      </c>
      <c r="I879" s="18">
        <f>_xlfn.XLOOKUP(Assumptions!$B$2,Assumptions!$F$4:$H$4,Assumptions!$F$5:$H$5)</f>
        <v>1200</v>
      </c>
      <c r="J879" s="18">
        <f>_xlfn.XLOOKUP(Assumptions!$B$2,Assumptions!$F$4:$H$4,Assumptions!$F$6:$H$6)</f>
        <v>17</v>
      </c>
      <c r="K879" s="12">
        <f>_xlfn.XLOOKUP(Assumptions!$B$2,Assumptions!$F$4:$H$4,Assumptions!$F$8:$H$8)</f>
        <v>0.1</v>
      </c>
      <c r="L879" s="12">
        <f>_xlfn.XLOOKUP(Assumptions!$B$2,Assumptions!$F$4:$H$4,Assumptions!$F$9:$H$9)</f>
        <v>0.18</v>
      </c>
      <c r="M879" s="18">
        <f>_xlfn.XLOOKUP(Assumptions!$B$2,Assumptions!$F$4:$H$4,Assumptions!$F$10:$H$10)</f>
        <v>18000</v>
      </c>
      <c r="N879" s="12">
        <f>_xlfn.XLOOKUP(Assumptions!$B$2,Assumptions!$F$4:$H$4,Assumptions!$F$11:$H$11)</f>
        <v>0.3</v>
      </c>
      <c r="O879" s="14">
        <f>Final_Table[[#This Row],[Units Sold]]*Final_Table[[#This Row],[Sale Price]]</f>
        <v>20400</v>
      </c>
      <c r="P879" s="14">
        <f>Final_Table[[#This Row],[Gross Revenue]]*(1-Final_Table[[#This Row],[Discount %]])</f>
        <v>18360</v>
      </c>
      <c r="Q879">
        <f>Final_Table[[#This Row],[Net Revenue]]*Final_Table[[#This Row],[Variable Cost %]]</f>
        <v>3304.7999999999997</v>
      </c>
      <c r="R879">
        <f>Final_Table[[#This Row],[Variable Cost]]+Final_Table[[#This Row],[Fixed Monthly Cost]]</f>
        <v>21304.799999999999</v>
      </c>
      <c r="S879" s="5">
        <f>Final_Table[[#This Row],[Net Revenue]]-Final_Table[[#This Row],[Total Cost (COGS)]]</f>
        <v>-2944.7999999999993</v>
      </c>
      <c r="T879">
        <f>Final_Table[[#This Row],[Gross Profit]]*Final_Table[[#This Row],[Tax Rate]]</f>
        <v>-883.43999999999971</v>
      </c>
      <c r="U879" s="5">
        <f>Final_Table[[#This Row],[Gross Profit]]-Final_Table[[#This Row],[Tax]]</f>
        <v>-2061.3599999999997</v>
      </c>
      <c r="V879" s="12">
        <f>Final_Table[[#This Row],[Net Profit]]/Final_Table[[#This Row],[Gross Revenue]]</f>
        <v>-0.10104705882352939</v>
      </c>
    </row>
    <row r="880" spans="1:22">
      <c r="A880" s="18" t="s">
        <v>74</v>
      </c>
      <c r="B880">
        <v>2014</v>
      </c>
      <c r="C880" t="s">
        <v>125</v>
      </c>
      <c r="D880">
        <v>1</v>
      </c>
      <c r="E880" s="18" t="s">
        <v>30</v>
      </c>
      <c r="F880" s="18" t="s">
        <v>80</v>
      </c>
      <c r="G880" s="18" t="s">
        <v>25</v>
      </c>
      <c r="H880" s="18" t="str">
        <f>Assumptions!$B$2</f>
        <v>Worst</v>
      </c>
      <c r="I880" s="18">
        <f>_xlfn.XLOOKUP(Assumptions!$B$2,Assumptions!$F$4:$H$4,Assumptions!$F$5:$H$5)</f>
        <v>1200</v>
      </c>
      <c r="J880" s="18">
        <f>_xlfn.XLOOKUP(Assumptions!$B$2,Assumptions!$F$4:$H$4,Assumptions!$F$6:$H$6)</f>
        <v>17</v>
      </c>
      <c r="K880" s="12">
        <f>_xlfn.XLOOKUP(Assumptions!$B$2,Assumptions!$F$4:$H$4,Assumptions!$F$8:$H$8)</f>
        <v>0.1</v>
      </c>
      <c r="L880" s="12">
        <f>_xlfn.XLOOKUP(Assumptions!$B$2,Assumptions!$F$4:$H$4,Assumptions!$F$9:$H$9)</f>
        <v>0.18</v>
      </c>
      <c r="M880" s="18">
        <f>_xlfn.XLOOKUP(Assumptions!$B$2,Assumptions!$F$4:$H$4,Assumptions!$F$10:$H$10)</f>
        <v>18000</v>
      </c>
      <c r="N880" s="12">
        <f>_xlfn.XLOOKUP(Assumptions!$B$2,Assumptions!$F$4:$H$4,Assumptions!$F$11:$H$11)</f>
        <v>0.3</v>
      </c>
      <c r="O880" s="14">
        <f>Final_Table[[#This Row],[Units Sold]]*Final_Table[[#This Row],[Sale Price]]</f>
        <v>20400</v>
      </c>
      <c r="P880" s="14">
        <f>Final_Table[[#This Row],[Gross Revenue]]*(1-Final_Table[[#This Row],[Discount %]])</f>
        <v>18360</v>
      </c>
      <c r="Q880">
        <f>Final_Table[[#This Row],[Net Revenue]]*Final_Table[[#This Row],[Variable Cost %]]</f>
        <v>3304.7999999999997</v>
      </c>
      <c r="R880">
        <f>Final_Table[[#This Row],[Variable Cost]]+Final_Table[[#This Row],[Fixed Monthly Cost]]</f>
        <v>21304.799999999999</v>
      </c>
      <c r="S880" s="5">
        <f>Final_Table[[#This Row],[Net Revenue]]-Final_Table[[#This Row],[Total Cost (COGS)]]</f>
        <v>-2944.7999999999993</v>
      </c>
      <c r="T880">
        <f>Final_Table[[#This Row],[Gross Profit]]*Final_Table[[#This Row],[Tax Rate]]</f>
        <v>-883.43999999999971</v>
      </c>
      <c r="U880" s="5">
        <f>Final_Table[[#This Row],[Gross Profit]]-Final_Table[[#This Row],[Tax]]</f>
        <v>-2061.3599999999997</v>
      </c>
      <c r="V880" s="12">
        <f>Final_Table[[#This Row],[Net Profit]]/Final_Table[[#This Row],[Gross Revenue]]</f>
        <v>-0.10104705882352939</v>
      </c>
    </row>
    <row r="881" spans="1:22">
      <c r="A881" s="18" t="s">
        <v>74</v>
      </c>
      <c r="B881">
        <v>2014</v>
      </c>
      <c r="C881" t="s">
        <v>125</v>
      </c>
      <c r="D881">
        <v>1</v>
      </c>
      <c r="E881" s="18" t="s">
        <v>30</v>
      </c>
      <c r="F881" s="18" t="s">
        <v>80</v>
      </c>
      <c r="G881" s="18" t="s">
        <v>17</v>
      </c>
      <c r="H881" s="18" t="str">
        <f>Assumptions!$B$2</f>
        <v>Worst</v>
      </c>
      <c r="I881" s="18">
        <f>_xlfn.XLOOKUP(Assumptions!$B$2,Assumptions!$F$4:$H$4,Assumptions!$F$5:$H$5)</f>
        <v>1200</v>
      </c>
      <c r="J881" s="18">
        <f>_xlfn.XLOOKUP(Assumptions!$B$2,Assumptions!$F$4:$H$4,Assumptions!$F$6:$H$6)</f>
        <v>17</v>
      </c>
      <c r="K881" s="12">
        <f>_xlfn.XLOOKUP(Assumptions!$B$2,Assumptions!$F$4:$H$4,Assumptions!$F$8:$H$8)</f>
        <v>0.1</v>
      </c>
      <c r="L881" s="12">
        <f>_xlfn.XLOOKUP(Assumptions!$B$2,Assumptions!$F$4:$H$4,Assumptions!$F$9:$H$9)</f>
        <v>0.18</v>
      </c>
      <c r="M881" s="18">
        <f>_xlfn.XLOOKUP(Assumptions!$B$2,Assumptions!$F$4:$H$4,Assumptions!$F$10:$H$10)</f>
        <v>18000</v>
      </c>
      <c r="N881" s="12">
        <f>_xlfn.XLOOKUP(Assumptions!$B$2,Assumptions!$F$4:$H$4,Assumptions!$F$11:$H$11)</f>
        <v>0.3</v>
      </c>
      <c r="O881" s="14">
        <f>Final_Table[[#This Row],[Units Sold]]*Final_Table[[#This Row],[Sale Price]]</f>
        <v>20400</v>
      </c>
      <c r="P881" s="14">
        <f>Final_Table[[#This Row],[Gross Revenue]]*(1-Final_Table[[#This Row],[Discount %]])</f>
        <v>18360</v>
      </c>
      <c r="Q881">
        <f>Final_Table[[#This Row],[Net Revenue]]*Final_Table[[#This Row],[Variable Cost %]]</f>
        <v>3304.7999999999997</v>
      </c>
      <c r="R881">
        <f>Final_Table[[#This Row],[Variable Cost]]+Final_Table[[#This Row],[Fixed Monthly Cost]]</f>
        <v>21304.799999999999</v>
      </c>
      <c r="S881" s="5">
        <f>Final_Table[[#This Row],[Net Revenue]]-Final_Table[[#This Row],[Total Cost (COGS)]]</f>
        <v>-2944.7999999999993</v>
      </c>
      <c r="T881">
        <f>Final_Table[[#This Row],[Gross Profit]]*Final_Table[[#This Row],[Tax Rate]]</f>
        <v>-883.43999999999971</v>
      </c>
      <c r="U881" s="5">
        <f>Final_Table[[#This Row],[Gross Profit]]-Final_Table[[#This Row],[Tax]]</f>
        <v>-2061.3599999999997</v>
      </c>
      <c r="V881" s="12">
        <f>Final_Table[[#This Row],[Net Profit]]/Final_Table[[#This Row],[Gross Revenue]]</f>
        <v>-0.10104705882352939</v>
      </c>
    </row>
    <row r="882" spans="1:22">
      <c r="A882" s="18" t="s">
        <v>74</v>
      </c>
      <c r="B882">
        <v>2014</v>
      </c>
      <c r="C882" t="s">
        <v>125</v>
      </c>
      <c r="D882">
        <v>1</v>
      </c>
      <c r="E882" s="18" t="s">
        <v>30</v>
      </c>
      <c r="F882" s="18" t="s">
        <v>108</v>
      </c>
      <c r="G882" s="18" t="s">
        <v>36</v>
      </c>
      <c r="H882" s="18" t="str">
        <f>Assumptions!$B$2</f>
        <v>Worst</v>
      </c>
      <c r="I882" s="18">
        <f>_xlfn.XLOOKUP(Assumptions!$B$2,Assumptions!$F$4:$H$4,Assumptions!$F$5:$H$5)</f>
        <v>1200</v>
      </c>
      <c r="J882" s="18">
        <f>_xlfn.XLOOKUP(Assumptions!$B$2,Assumptions!$F$4:$H$4,Assumptions!$F$6:$H$6)</f>
        <v>17</v>
      </c>
      <c r="K882" s="12">
        <f>_xlfn.XLOOKUP(Assumptions!$B$2,Assumptions!$F$4:$H$4,Assumptions!$F$8:$H$8)</f>
        <v>0.1</v>
      </c>
      <c r="L882" s="12">
        <f>_xlfn.XLOOKUP(Assumptions!$B$2,Assumptions!$F$4:$H$4,Assumptions!$F$9:$H$9)</f>
        <v>0.18</v>
      </c>
      <c r="M882" s="18">
        <f>_xlfn.XLOOKUP(Assumptions!$B$2,Assumptions!$F$4:$H$4,Assumptions!$F$10:$H$10)</f>
        <v>18000</v>
      </c>
      <c r="N882" s="12">
        <f>_xlfn.XLOOKUP(Assumptions!$B$2,Assumptions!$F$4:$H$4,Assumptions!$F$11:$H$11)</f>
        <v>0.3</v>
      </c>
      <c r="O882" s="14">
        <f>Final_Table[[#This Row],[Units Sold]]*Final_Table[[#This Row],[Sale Price]]</f>
        <v>20400</v>
      </c>
      <c r="P882" s="14">
        <f>Final_Table[[#This Row],[Gross Revenue]]*(1-Final_Table[[#This Row],[Discount %]])</f>
        <v>18360</v>
      </c>
      <c r="Q882">
        <f>Final_Table[[#This Row],[Net Revenue]]*Final_Table[[#This Row],[Variable Cost %]]</f>
        <v>3304.7999999999997</v>
      </c>
      <c r="R882">
        <f>Final_Table[[#This Row],[Variable Cost]]+Final_Table[[#This Row],[Fixed Monthly Cost]]</f>
        <v>21304.799999999999</v>
      </c>
      <c r="S882" s="5">
        <f>Final_Table[[#This Row],[Net Revenue]]-Final_Table[[#This Row],[Total Cost (COGS)]]</f>
        <v>-2944.7999999999993</v>
      </c>
      <c r="T882">
        <f>Final_Table[[#This Row],[Gross Profit]]*Final_Table[[#This Row],[Tax Rate]]</f>
        <v>-883.43999999999971</v>
      </c>
      <c r="U882" s="5">
        <f>Final_Table[[#This Row],[Gross Profit]]-Final_Table[[#This Row],[Tax]]</f>
        <v>-2061.3599999999997</v>
      </c>
      <c r="V882" s="12">
        <f>Final_Table[[#This Row],[Net Profit]]/Final_Table[[#This Row],[Gross Revenue]]</f>
        <v>-0.10104705882352939</v>
      </c>
    </row>
    <row r="883" spans="1:22">
      <c r="A883" s="18" t="s">
        <v>74</v>
      </c>
      <c r="B883">
        <v>2014</v>
      </c>
      <c r="C883" t="s">
        <v>125</v>
      </c>
      <c r="D883">
        <v>1</v>
      </c>
      <c r="E883" s="18" t="s">
        <v>30</v>
      </c>
      <c r="F883" s="18" t="s">
        <v>108</v>
      </c>
      <c r="G883" s="18" t="s">
        <v>23</v>
      </c>
      <c r="H883" s="18" t="str">
        <f>Assumptions!$B$2</f>
        <v>Worst</v>
      </c>
      <c r="I883" s="18">
        <f>_xlfn.XLOOKUP(Assumptions!$B$2,Assumptions!$F$4:$H$4,Assumptions!$F$5:$H$5)</f>
        <v>1200</v>
      </c>
      <c r="J883" s="18">
        <f>_xlfn.XLOOKUP(Assumptions!$B$2,Assumptions!$F$4:$H$4,Assumptions!$F$6:$H$6)</f>
        <v>17</v>
      </c>
      <c r="K883" s="12">
        <f>_xlfn.XLOOKUP(Assumptions!$B$2,Assumptions!$F$4:$H$4,Assumptions!$F$8:$H$8)</f>
        <v>0.1</v>
      </c>
      <c r="L883" s="12">
        <f>_xlfn.XLOOKUP(Assumptions!$B$2,Assumptions!$F$4:$H$4,Assumptions!$F$9:$H$9)</f>
        <v>0.18</v>
      </c>
      <c r="M883" s="18">
        <f>_xlfn.XLOOKUP(Assumptions!$B$2,Assumptions!$F$4:$H$4,Assumptions!$F$10:$H$10)</f>
        <v>18000</v>
      </c>
      <c r="N883" s="12">
        <f>_xlfn.XLOOKUP(Assumptions!$B$2,Assumptions!$F$4:$H$4,Assumptions!$F$11:$H$11)</f>
        <v>0.3</v>
      </c>
      <c r="O883" s="14">
        <f>Final_Table[[#This Row],[Units Sold]]*Final_Table[[#This Row],[Sale Price]]</f>
        <v>20400</v>
      </c>
      <c r="P883" s="14">
        <f>Final_Table[[#This Row],[Gross Revenue]]*(1-Final_Table[[#This Row],[Discount %]])</f>
        <v>18360</v>
      </c>
      <c r="Q883">
        <f>Final_Table[[#This Row],[Net Revenue]]*Final_Table[[#This Row],[Variable Cost %]]</f>
        <v>3304.7999999999997</v>
      </c>
      <c r="R883">
        <f>Final_Table[[#This Row],[Variable Cost]]+Final_Table[[#This Row],[Fixed Monthly Cost]]</f>
        <v>21304.799999999999</v>
      </c>
      <c r="S883" s="5">
        <f>Final_Table[[#This Row],[Net Revenue]]-Final_Table[[#This Row],[Total Cost (COGS)]]</f>
        <v>-2944.7999999999993</v>
      </c>
      <c r="T883">
        <f>Final_Table[[#This Row],[Gross Profit]]*Final_Table[[#This Row],[Tax Rate]]</f>
        <v>-883.43999999999971</v>
      </c>
      <c r="U883" s="5">
        <f>Final_Table[[#This Row],[Gross Profit]]-Final_Table[[#This Row],[Tax]]</f>
        <v>-2061.3599999999997</v>
      </c>
      <c r="V883" s="12">
        <f>Final_Table[[#This Row],[Net Profit]]/Final_Table[[#This Row],[Gross Revenue]]</f>
        <v>-0.10104705882352939</v>
      </c>
    </row>
    <row r="884" spans="1:22">
      <c r="A884" s="18" t="s">
        <v>74</v>
      </c>
      <c r="B884">
        <v>2014</v>
      </c>
      <c r="C884" t="s">
        <v>125</v>
      </c>
      <c r="D884">
        <v>1</v>
      </c>
      <c r="E884" s="18" t="s">
        <v>30</v>
      </c>
      <c r="F884" s="18" t="s">
        <v>108</v>
      </c>
      <c r="G884" s="18" t="s">
        <v>21</v>
      </c>
      <c r="H884" s="18" t="str">
        <f>Assumptions!$B$2</f>
        <v>Worst</v>
      </c>
      <c r="I884" s="18">
        <f>_xlfn.XLOOKUP(Assumptions!$B$2,Assumptions!$F$4:$H$4,Assumptions!$F$5:$H$5)</f>
        <v>1200</v>
      </c>
      <c r="J884" s="18">
        <f>_xlfn.XLOOKUP(Assumptions!$B$2,Assumptions!$F$4:$H$4,Assumptions!$F$6:$H$6)</f>
        <v>17</v>
      </c>
      <c r="K884" s="12">
        <f>_xlfn.XLOOKUP(Assumptions!$B$2,Assumptions!$F$4:$H$4,Assumptions!$F$8:$H$8)</f>
        <v>0.1</v>
      </c>
      <c r="L884" s="12">
        <f>_xlfn.XLOOKUP(Assumptions!$B$2,Assumptions!$F$4:$H$4,Assumptions!$F$9:$H$9)</f>
        <v>0.18</v>
      </c>
      <c r="M884" s="18">
        <f>_xlfn.XLOOKUP(Assumptions!$B$2,Assumptions!$F$4:$H$4,Assumptions!$F$10:$H$10)</f>
        <v>18000</v>
      </c>
      <c r="N884" s="12">
        <f>_xlfn.XLOOKUP(Assumptions!$B$2,Assumptions!$F$4:$H$4,Assumptions!$F$11:$H$11)</f>
        <v>0.3</v>
      </c>
      <c r="O884" s="14">
        <f>Final_Table[[#This Row],[Units Sold]]*Final_Table[[#This Row],[Sale Price]]</f>
        <v>20400</v>
      </c>
      <c r="P884" s="14">
        <f>Final_Table[[#This Row],[Gross Revenue]]*(1-Final_Table[[#This Row],[Discount %]])</f>
        <v>18360</v>
      </c>
      <c r="Q884">
        <f>Final_Table[[#This Row],[Net Revenue]]*Final_Table[[#This Row],[Variable Cost %]]</f>
        <v>3304.7999999999997</v>
      </c>
      <c r="R884">
        <f>Final_Table[[#This Row],[Variable Cost]]+Final_Table[[#This Row],[Fixed Monthly Cost]]</f>
        <v>21304.799999999999</v>
      </c>
      <c r="S884" s="5">
        <f>Final_Table[[#This Row],[Net Revenue]]-Final_Table[[#This Row],[Total Cost (COGS)]]</f>
        <v>-2944.7999999999993</v>
      </c>
      <c r="T884">
        <f>Final_Table[[#This Row],[Gross Profit]]*Final_Table[[#This Row],[Tax Rate]]</f>
        <v>-883.43999999999971</v>
      </c>
      <c r="U884" s="5">
        <f>Final_Table[[#This Row],[Gross Profit]]-Final_Table[[#This Row],[Tax]]</f>
        <v>-2061.3599999999997</v>
      </c>
      <c r="V884" s="12">
        <f>Final_Table[[#This Row],[Net Profit]]/Final_Table[[#This Row],[Gross Revenue]]</f>
        <v>-0.10104705882352939</v>
      </c>
    </row>
    <row r="885" spans="1:22">
      <c r="A885" s="18" t="s">
        <v>74</v>
      </c>
      <c r="B885">
        <v>2014</v>
      </c>
      <c r="C885" t="s">
        <v>125</v>
      </c>
      <c r="D885">
        <v>1</v>
      </c>
      <c r="E885" s="18" t="s">
        <v>30</v>
      </c>
      <c r="F885" s="18" t="s">
        <v>108</v>
      </c>
      <c r="G885" s="18" t="s">
        <v>25</v>
      </c>
      <c r="H885" s="18" t="str">
        <f>Assumptions!$B$2</f>
        <v>Worst</v>
      </c>
      <c r="I885" s="18">
        <f>_xlfn.XLOOKUP(Assumptions!$B$2,Assumptions!$F$4:$H$4,Assumptions!$F$5:$H$5)</f>
        <v>1200</v>
      </c>
      <c r="J885" s="18">
        <f>_xlfn.XLOOKUP(Assumptions!$B$2,Assumptions!$F$4:$H$4,Assumptions!$F$6:$H$6)</f>
        <v>17</v>
      </c>
      <c r="K885" s="12">
        <f>_xlfn.XLOOKUP(Assumptions!$B$2,Assumptions!$F$4:$H$4,Assumptions!$F$8:$H$8)</f>
        <v>0.1</v>
      </c>
      <c r="L885" s="12">
        <f>_xlfn.XLOOKUP(Assumptions!$B$2,Assumptions!$F$4:$H$4,Assumptions!$F$9:$H$9)</f>
        <v>0.18</v>
      </c>
      <c r="M885" s="18">
        <f>_xlfn.XLOOKUP(Assumptions!$B$2,Assumptions!$F$4:$H$4,Assumptions!$F$10:$H$10)</f>
        <v>18000</v>
      </c>
      <c r="N885" s="12">
        <f>_xlfn.XLOOKUP(Assumptions!$B$2,Assumptions!$F$4:$H$4,Assumptions!$F$11:$H$11)</f>
        <v>0.3</v>
      </c>
      <c r="O885" s="14">
        <f>Final_Table[[#This Row],[Units Sold]]*Final_Table[[#This Row],[Sale Price]]</f>
        <v>20400</v>
      </c>
      <c r="P885" s="14">
        <f>Final_Table[[#This Row],[Gross Revenue]]*(1-Final_Table[[#This Row],[Discount %]])</f>
        <v>18360</v>
      </c>
      <c r="Q885">
        <f>Final_Table[[#This Row],[Net Revenue]]*Final_Table[[#This Row],[Variable Cost %]]</f>
        <v>3304.7999999999997</v>
      </c>
      <c r="R885">
        <f>Final_Table[[#This Row],[Variable Cost]]+Final_Table[[#This Row],[Fixed Monthly Cost]]</f>
        <v>21304.799999999999</v>
      </c>
      <c r="S885" s="5">
        <f>Final_Table[[#This Row],[Net Revenue]]-Final_Table[[#This Row],[Total Cost (COGS)]]</f>
        <v>-2944.7999999999993</v>
      </c>
      <c r="T885">
        <f>Final_Table[[#This Row],[Gross Profit]]*Final_Table[[#This Row],[Tax Rate]]</f>
        <v>-883.43999999999971</v>
      </c>
      <c r="U885" s="5">
        <f>Final_Table[[#This Row],[Gross Profit]]-Final_Table[[#This Row],[Tax]]</f>
        <v>-2061.3599999999997</v>
      </c>
      <c r="V885" s="12">
        <f>Final_Table[[#This Row],[Net Profit]]/Final_Table[[#This Row],[Gross Revenue]]</f>
        <v>-0.10104705882352939</v>
      </c>
    </row>
    <row r="886" spans="1:22">
      <c r="A886" s="18" t="s">
        <v>74</v>
      </c>
      <c r="B886">
        <v>2014</v>
      </c>
      <c r="C886" t="s">
        <v>125</v>
      </c>
      <c r="D886">
        <v>1</v>
      </c>
      <c r="E886" s="18" t="s">
        <v>30</v>
      </c>
      <c r="F886" s="18" t="s">
        <v>108</v>
      </c>
      <c r="G886" s="18" t="s">
        <v>17</v>
      </c>
      <c r="H886" s="18" t="str">
        <f>Assumptions!$B$2</f>
        <v>Worst</v>
      </c>
      <c r="I886" s="18">
        <f>_xlfn.XLOOKUP(Assumptions!$B$2,Assumptions!$F$4:$H$4,Assumptions!$F$5:$H$5)</f>
        <v>1200</v>
      </c>
      <c r="J886" s="18">
        <f>_xlfn.XLOOKUP(Assumptions!$B$2,Assumptions!$F$4:$H$4,Assumptions!$F$6:$H$6)</f>
        <v>17</v>
      </c>
      <c r="K886" s="12">
        <f>_xlfn.XLOOKUP(Assumptions!$B$2,Assumptions!$F$4:$H$4,Assumptions!$F$8:$H$8)</f>
        <v>0.1</v>
      </c>
      <c r="L886" s="12">
        <f>_xlfn.XLOOKUP(Assumptions!$B$2,Assumptions!$F$4:$H$4,Assumptions!$F$9:$H$9)</f>
        <v>0.18</v>
      </c>
      <c r="M886" s="18">
        <f>_xlfn.XLOOKUP(Assumptions!$B$2,Assumptions!$F$4:$H$4,Assumptions!$F$10:$H$10)</f>
        <v>18000</v>
      </c>
      <c r="N886" s="12">
        <f>_xlfn.XLOOKUP(Assumptions!$B$2,Assumptions!$F$4:$H$4,Assumptions!$F$11:$H$11)</f>
        <v>0.3</v>
      </c>
      <c r="O886" s="14">
        <f>Final_Table[[#This Row],[Units Sold]]*Final_Table[[#This Row],[Sale Price]]</f>
        <v>20400</v>
      </c>
      <c r="P886" s="14">
        <f>Final_Table[[#This Row],[Gross Revenue]]*(1-Final_Table[[#This Row],[Discount %]])</f>
        <v>18360</v>
      </c>
      <c r="Q886">
        <f>Final_Table[[#This Row],[Net Revenue]]*Final_Table[[#This Row],[Variable Cost %]]</f>
        <v>3304.7999999999997</v>
      </c>
      <c r="R886">
        <f>Final_Table[[#This Row],[Variable Cost]]+Final_Table[[#This Row],[Fixed Monthly Cost]]</f>
        <v>21304.799999999999</v>
      </c>
      <c r="S886" s="5">
        <f>Final_Table[[#This Row],[Net Revenue]]-Final_Table[[#This Row],[Total Cost (COGS)]]</f>
        <v>-2944.7999999999993</v>
      </c>
      <c r="T886">
        <f>Final_Table[[#This Row],[Gross Profit]]*Final_Table[[#This Row],[Tax Rate]]</f>
        <v>-883.43999999999971</v>
      </c>
      <c r="U886" s="5">
        <f>Final_Table[[#This Row],[Gross Profit]]-Final_Table[[#This Row],[Tax]]</f>
        <v>-2061.3599999999997</v>
      </c>
      <c r="V886" s="12">
        <f>Final_Table[[#This Row],[Net Profit]]/Final_Table[[#This Row],[Gross Revenue]]</f>
        <v>-0.10104705882352939</v>
      </c>
    </row>
    <row r="887" spans="1:22">
      <c r="A887" s="18" t="s">
        <v>74</v>
      </c>
      <c r="B887">
        <v>2014</v>
      </c>
      <c r="C887" t="s">
        <v>125</v>
      </c>
      <c r="D887">
        <v>1</v>
      </c>
      <c r="E887" s="18" t="s">
        <v>30</v>
      </c>
      <c r="F887" s="18" t="s">
        <v>112</v>
      </c>
      <c r="G887" s="18" t="s">
        <v>36</v>
      </c>
      <c r="H887" s="18" t="str">
        <f>Assumptions!$B$2</f>
        <v>Worst</v>
      </c>
      <c r="I887" s="18">
        <f>_xlfn.XLOOKUP(Assumptions!$B$2,Assumptions!$F$4:$H$4,Assumptions!$F$5:$H$5)</f>
        <v>1200</v>
      </c>
      <c r="J887" s="18">
        <f>_xlfn.XLOOKUP(Assumptions!$B$2,Assumptions!$F$4:$H$4,Assumptions!$F$6:$H$6)</f>
        <v>17</v>
      </c>
      <c r="K887" s="12">
        <f>_xlfn.XLOOKUP(Assumptions!$B$2,Assumptions!$F$4:$H$4,Assumptions!$F$8:$H$8)</f>
        <v>0.1</v>
      </c>
      <c r="L887" s="12">
        <f>_xlfn.XLOOKUP(Assumptions!$B$2,Assumptions!$F$4:$H$4,Assumptions!$F$9:$H$9)</f>
        <v>0.18</v>
      </c>
      <c r="M887" s="18">
        <f>_xlfn.XLOOKUP(Assumptions!$B$2,Assumptions!$F$4:$H$4,Assumptions!$F$10:$H$10)</f>
        <v>18000</v>
      </c>
      <c r="N887" s="12">
        <f>_xlfn.XLOOKUP(Assumptions!$B$2,Assumptions!$F$4:$H$4,Assumptions!$F$11:$H$11)</f>
        <v>0.3</v>
      </c>
      <c r="O887" s="14">
        <f>Final_Table[[#This Row],[Units Sold]]*Final_Table[[#This Row],[Sale Price]]</f>
        <v>20400</v>
      </c>
      <c r="P887" s="14">
        <f>Final_Table[[#This Row],[Gross Revenue]]*(1-Final_Table[[#This Row],[Discount %]])</f>
        <v>18360</v>
      </c>
      <c r="Q887">
        <f>Final_Table[[#This Row],[Net Revenue]]*Final_Table[[#This Row],[Variable Cost %]]</f>
        <v>3304.7999999999997</v>
      </c>
      <c r="R887">
        <f>Final_Table[[#This Row],[Variable Cost]]+Final_Table[[#This Row],[Fixed Monthly Cost]]</f>
        <v>21304.799999999999</v>
      </c>
      <c r="S887" s="5">
        <f>Final_Table[[#This Row],[Net Revenue]]-Final_Table[[#This Row],[Total Cost (COGS)]]</f>
        <v>-2944.7999999999993</v>
      </c>
      <c r="T887">
        <f>Final_Table[[#This Row],[Gross Profit]]*Final_Table[[#This Row],[Tax Rate]]</f>
        <v>-883.43999999999971</v>
      </c>
      <c r="U887" s="5">
        <f>Final_Table[[#This Row],[Gross Profit]]-Final_Table[[#This Row],[Tax]]</f>
        <v>-2061.3599999999997</v>
      </c>
      <c r="V887" s="12">
        <f>Final_Table[[#This Row],[Net Profit]]/Final_Table[[#This Row],[Gross Revenue]]</f>
        <v>-0.10104705882352939</v>
      </c>
    </row>
    <row r="888" spans="1:22">
      <c r="A888" s="18" t="s">
        <v>74</v>
      </c>
      <c r="B888">
        <v>2014</v>
      </c>
      <c r="C888" t="s">
        <v>125</v>
      </c>
      <c r="D888">
        <v>1</v>
      </c>
      <c r="E888" s="18" t="s">
        <v>30</v>
      </c>
      <c r="F888" s="18" t="s">
        <v>112</v>
      </c>
      <c r="G888" s="18" t="s">
        <v>23</v>
      </c>
      <c r="H888" s="18" t="str">
        <f>Assumptions!$B$2</f>
        <v>Worst</v>
      </c>
      <c r="I888" s="18">
        <f>_xlfn.XLOOKUP(Assumptions!$B$2,Assumptions!$F$4:$H$4,Assumptions!$F$5:$H$5)</f>
        <v>1200</v>
      </c>
      <c r="J888" s="18">
        <f>_xlfn.XLOOKUP(Assumptions!$B$2,Assumptions!$F$4:$H$4,Assumptions!$F$6:$H$6)</f>
        <v>17</v>
      </c>
      <c r="K888" s="12">
        <f>_xlfn.XLOOKUP(Assumptions!$B$2,Assumptions!$F$4:$H$4,Assumptions!$F$8:$H$8)</f>
        <v>0.1</v>
      </c>
      <c r="L888" s="12">
        <f>_xlfn.XLOOKUP(Assumptions!$B$2,Assumptions!$F$4:$H$4,Assumptions!$F$9:$H$9)</f>
        <v>0.18</v>
      </c>
      <c r="M888" s="18">
        <f>_xlfn.XLOOKUP(Assumptions!$B$2,Assumptions!$F$4:$H$4,Assumptions!$F$10:$H$10)</f>
        <v>18000</v>
      </c>
      <c r="N888" s="12">
        <f>_xlfn.XLOOKUP(Assumptions!$B$2,Assumptions!$F$4:$H$4,Assumptions!$F$11:$H$11)</f>
        <v>0.3</v>
      </c>
      <c r="O888" s="14">
        <f>Final_Table[[#This Row],[Units Sold]]*Final_Table[[#This Row],[Sale Price]]</f>
        <v>20400</v>
      </c>
      <c r="P888" s="14">
        <f>Final_Table[[#This Row],[Gross Revenue]]*(1-Final_Table[[#This Row],[Discount %]])</f>
        <v>18360</v>
      </c>
      <c r="Q888">
        <f>Final_Table[[#This Row],[Net Revenue]]*Final_Table[[#This Row],[Variable Cost %]]</f>
        <v>3304.7999999999997</v>
      </c>
      <c r="R888">
        <f>Final_Table[[#This Row],[Variable Cost]]+Final_Table[[#This Row],[Fixed Monthly Cost]]</f>
        <v>21304.799999999999</v>
      </c>
      <c r="S888" s="5">
        <f>Final_Table[[#This Row],[Net Revenue]]-Final_Table[[#This Row],[Total Cost (COGS)]]</f>
        <v>-2944.7999999999993</v>
      </c>
      <c r="T888">
        <f>Final_Table[[#This Row],[Gross Profit]]*Final_Table[[#This Row],[Tax Rate]]</f>
        <v>-883.43999999999971</v>
      </c>
      <c r="U888" s="5">
        <f>Final_Table[[#This Row],[Gross Profit]]-Final_Table[[#This Row],[Tax]]</f>
        <v>-2061.3599999999997</v>
      </c>
      <c r="V888" s="12">
        <f>Final_Table[[#This Row],[Net Profit]]/Final_Table[[#This Row],[Gross Revenue]]</f>
        <v>-0.10104705882352939</v>
      </c>
    </row>
    <row r="889" spans="1:22">
      <c r="A889" s="18" t="s">
        <v>74</v>
      </c>
      <c r="B889">
        <v>2014</v>
      </c>
      <c r="C889" t="s">
        <v>125</v>
      </c>
      <c r="D889">
        <v>1</v>
      </c>
      <c r="E889" s="18" t="s">
        <v>30</v>
      </c>
      <c r="F889" s="18" t="s">
        <v>112</v>
      </c>
      <c r="G889" s="18" t="s">
        <v>21</v>
      </c>
      <c r="H889" s="18" t="str">
        <f>Assumptions!$B$2</f>
        <v>Worst</v>
      </c>
      <c r="I889" s="18">
        <f>_xlfn.XLOOKUP(Assumptions!$B$2,Assumptions!$F$4:$H$4,Assumptions!$F$5:$H$5)</f>
        <v>1200</v>
      </c>
      <c r="J889" s="18">
        <f>_xlfn.XLOOKUP(Assumptions!$B$2,Assumptions!$F$4:$H$4,Assumptions!$F$6:$H$6)</f>
        <v>17</v>
      </c>
      <c r="K889" s="12">
        <f>_xlfn.XLOOKUP(Assumptions!$B$2,Assumptions!$F$4:$H$4,Assumptions!$F$8:$H$8)</f>
        <v>0.1</v>
      </c>
      <c r="L889" s="12">
        <f>_xlfn.XLOOKUP(Assumptions!$B$2,Assumptions!$F$4:$H$4,Assumptions!$F$9:$H$9)</f>
        <v>0.18</v>
      </c>
      <c r="M889" s="18">
        <f>_xlfn.XLOOKUP(Assumptions!$B$2,Assumptions!$F$4:$H$4,Assumptions!$F$10:$H$10)</f>
        <v>18000</v>
      </c>
      <c r="N889" s="12">
        <f>_xlfn.XLOOKUP(Assumptions!$B$2,Assumptions!$F$4:$H$4,Assumptions!$F$11:$H$11)</f>
        <v>0.3</v>
      </c>
      <c r="O889" s="14">
        <f>Final_Table[[#This Row],[Units Sold]]*Final_Table[[#This Row],[Sale Price]]</f>
        <v>20400</v>
      </c>
      <c r="P889" s="14">
        <f>Final_Table[[#This Row],[Gross Revenue]]*(1-Final_Table[[#This Row],[Discount %]])</f>
        <v>18360</v>
      </c>
      <c r="Q889">
        <f>Final_Table[[#This Row],[Net Revenue]]*Final_Table[[#This Row],[Variable Cost %]]</f>
        <v>3304.7999999999997</v>
      </c>
      <c r="R889">
        <f>Final_Table[[#This Row],[Variable Cost]]+Final_Table[[#This Row],[Fixed Monthly Cost]]</f>
        <v>21304.799999999999</v>
      </c>
      <c r="S889" s="5">
        <f>Final_Table[[#This Row],[Net Revenue]]-Final_Table[[#This Row],[Total Cost (COGS)]]</f>
        <v>-2944.7999999999993</v>
      </c>
      <c r="T889">
        <f>Final_Table[[#This Row],[Gross Profit]]*Final_Table[[#This Row],[Tax Rate]]</f>
        <v>-883.43999999999971</v>
      </c>
      <c r="U889" s="5">
        <f>Final_Table[[#This Row],[Gross Profit]]-Final_Table[[#This Row],[Tax]]</f>
        <v>-2061.3599999999997</v>
      </c>
      <c r="V889" s="12">
        <f>Final_Table[[#This Row],[Net Profit]]/Final_Table[[#This Row],[Gross Revenue]]</f>
        <v>-0.10104705882352939</v>
      </c>
    </row>
    <row r="890" spans="1:22">
      <c r="A890" s="18" t="s">
        <v>74</v>
      </c>
      <c r="B890">
        <v>2014</v>
      </c>
      <c r="C890" t="s">
        <v>125</v>
      </c>
      <c r="D890">
        <v>1</v>
      </c>
      <c r="E890" s="18" t="s">
        <v>30</v>
      </c>
      <c r="F890" s="18" t="s">
        <v>112</v>
      </c>
      <c r="G890" s="18" t="s">
        <v>25</v>
      </c>
      <c r="H890" s="18" t="str">
        <f>Assumptions!$B$2</f>
        <v>Worst</v>
      </c>
      <c r="I890" s="18">
        <f>_xlfn.XLOOKUP(Assumptions!$B$2,Assumptions!$F$4:$H$4,Assumptions!$F$5:$H$5)</f>
        <v>1200</v>
      </c>
      <c r="J890" s="18">
        <f>_xlfn.XLOOKUP(Assumptions!$B$2,Assumptions!$F$4:$H$4,Assumptions!$F$6:$H$6)</f>
        <v>17</v>
      </c>
      <c r="K890" s="12">
        <f>_xlfn.XLOOKUP(Assumptions!$B$2,Assumptions!$F$4:$H$4,Assumptions!$F$8:$H$8)</f>
        <v>0.1</v>
      </c>
      <c r="L890" s="12">
        <f>_xlfn.XLOOKUP(Assumptions!$B$2,Assumptions!$F$4:$H$4,Assumptions!$F$9:$H$9)</f>
        <v>0.18</v>
      </c>
      <c r="M890" s="18">
        <f>_xlfn.XLOOKUP(Assumptions!$B$2,Assumptions!$F$4:$H$4,Assumptions!$F$10:$H$10)</f>
        <v>18000</v>
      </c>
      <c r="N890" s="12">
        <f>_xlfn.XLOOKUP(Assumptions!$B$2,Assumptions!$F$4:$H$4,Assumptions!$F$11:$H$11)</f>
        <v>0.3</v>
      </c>
      <c r="O890" s="14">
        <f>Final_Table[[#This Row],[Units Sold]]*Final_Table[[#This Row],[Sale Price]]</f>
        <v>20400</v>
      </c>
      <c r="P890" s="14">
        <f>Final_Table[[#This Row],[Gross Revenue]]*(1-Final_Table[[#This Row],[Discount %]])</f>
        <v>18360</v>
      </c>
      <c r="Q890">
        <f>Final_Table[[#This Row],[Net Revenue]]*Final_Table[[#This Row],[Variable Cost %]]</f>
        <v>3304.7999999999997</v>
      </c>
      <c r="R890">
        <f>Final_Table[[#This Row],[Variable Cost]]+Final_Table[[#This Row],[Fixed Monthly Cost]]</f>
        <v>21304.799999999999</v>
      </c>
      <c r="S890" s="5">
        <f>Final_Table[[#This Row],[Net Revenue]]-Final_Table[[#This Row],[Total Cost (COGS)]]</f>
        <v>-2944.7999999999993</v>
      </c>
      <c r="T890">
        <f>Final_Table[[#This Row],[Gross Profit]]*Final_Table[[#This Row],[Tax Rate]]</f>
        <v>-883.43999999999971</v>
      </c>
      <c r="U890" s="5">
        <f>Final_Table[[#This Row],[Gross Profit]]-Final_Table[[#This Row],[Tax]]</f>
        <v>-2061.3599999999997</v>
      </c>
      <c r="V890" s="12">
        <f>Final_Table[[#This Row],[Net Profit]]/Final_Table[[#This Row],[Gross Revenue]]</f>
        <v>-0.10104705882352939</v>
      </c>
    </row>
    <row r="891" spans="1:22">
      <c r="A891" s="18" t="s">
        <v>74</v>
      </c>
      <c r="B891">
        <v>2014</v>
      </c>
      <c r="C891" t="s">
        <v>125</v>
      </c>
      <c r="D891">
        <v>1</v>
      </c>
      <c r="E891" s="18" t="s">
        <v>30</v>
      </c>
      <c r="F891" s="18" t="s">
        <v>112</v>
      </c>
      <c r="G891" s="18" t="s">
        <v>17</v>
      </c>
      <c r="H891" s="18" t="str">
        <f>Assumptions!$B$2</f>
        <v>Worst</v>
      </c>
      <c r="I891" s="18">
        <f>_xlfn.XLOOKUP(Assumptions!$B$2,Assumptions!$F$4:$H$4,Assumptions!$F$5:$H$5)</f>
        <v>1200</v>
      </c>
      <c r="J891" s="18">
        <f>_xlfn.XLOOKUP(Assumptions!$B$2,Assumptions!$F$4:$H$4,Assumptions!$F$6:$H$6)</f>
        <v>17</v>
      </c>
      <c r="K891" s="12">
        <f>_xlfn.XLOOKUP(Assumptions!$B$2,Assumptions!$F$4:$H$4,Assumptions!$F$8:$H$8)</f>
        <v>0.1</v>
      </c>
      <c r="L891" s="12">
        <f>_xlfn.XLOOKUP(Assumptions!$B$2,Assumptions!$F$4:$H$4,Assumptions!$F$9:$H$9)</f>
        <v>0.18</v>
      </c>
      <c r="M891" s="18">
        <f>_xlfn.XLOOKUP(Assumptions!$B$2,Assumptions!$F$4:$H$4,Assumptions!$F$10:$H$10)</f>
        <v>18000</v>
      </c>
      <c r="N891" s="12">
        <f>_xlfn.XLOOKUP(Assumptions!$B$2,Assumptions!$F$4:$H$4,Assumptions!$F$11:$H$11)</f>
        <v>0.3</v>
      </c>
      <c r="O891" s="14">
        <f>Final_Table[[#This Row],[Units Sold]]*Final_Table[[#This Row],[Sale Price]]</f>
        <v>20400</v>
      </c>
      <c r="P891" s="14">
        <f>Final_Table[[#This Row],[Gross Revenue]]*(1-Final_Table[[#This Row],[Discount %]])</f>
        <v>18360</v>
      </c>
      <c r="Q891">
        <f>Final_Table[[#This Row],[Net Revenue]]*Final_Table[[#This Row],[Variable Cost %]]</f>
        <v>3304.7999999999997</v>
      </c>
      <c r="R891">
        <f>Final_Table[[#This Row],[Variable Cost]]+Final_Table[[#This Row],[Fixed Monthly Cost]]</f>
        <v>21304.799999999999</v>
      </c>
      <c r="S891" s="5">
        <f>Final_Table[[#This Row],[Net Revenue]]-Final_Table[[#This Row],[Total Cost (COGS)]]</f>
        <v>-2944.7999999999993</v>
      </c>
      <c r="T891">
        <f>Final_Table[[#This Row],[Gross Profit]]*Final_Table[[#This Row],[Tax Rate]]</f>
        <v>-883.43999999999971</v>
      </c>
      <c r="U891" s="5">
        <f>Final_Table[[#This Row],[Gross Profit]]-Final_Table[[#This Row],[Tax]]</f>
        <v>-2061.3599999999997</v>
      </c>
      <c r="V891" s="12">
        <f>Final_Table[[#This Row],[Net Profit]]/Final_Table[[#This Row],[Gross Revenue]]</f>
        <v>-0.10104705882352939</v>
      </c>
    </row>
    <row r="892" spans="1:22">
      <c r="A892" s="18" t="s">
        <v>74</v>
      </c>
      <c r="B892">
        <v>2014</v>
      </c>
      <c r="C892" t="s">
        <v>125</v>
      </c>
      <c r="D892">
        <v>1</v>
      </c>
      <c r="E892" s="18" t="s">
        <v>30</v>
      </c>
      <c r="F892" s="18" t="s">
        <v>113</v>
      </c>
      <c r="G892" s="18" t="s">
        <v>36</v>
      </c>
      <c r="H892" s="18" t="str">
        <f>Assumptions!$B$2</f>
        <v>Worst</v>
      </c>
      <c r="I892" s="18">
        <f>_xlfn.XLOOKUP(Assumptions!$B$2,Assumptions!$F$4:$H$4,Assumptions!$F$5:$H$5)</f>
        <v>1200</v>
      </c>
      <c r="J892" s="18">
        <f>_xlfn.XLOOKUP(Assumptions!$B$2,Assumptions!$F$4:$H$4,Assumptions!$F$6:$H$6)</f>
        <v>17</v>
      </c>
      <c r="K892" s="12">
        <f>_xlfn.XLOOKUP(Assumptions!$B$2,Assumptions!$F$4:$H$4,Assumptions!$F$8:$H$8)</f>
        <v>0.1</v>
      </c>
      <c r="L892" s="12">
        <f>_xlfn.XLOOKUP(Assumptions!$B$2,Assumptions!$F$4:$H$4,Assumptions!$F$9:$H$9)</f>
        <v>0.18</v>
      </c>
      <c r="M892" s="18">
        <f>_xlfn.XLOOKUP(Assumptions!$B$2,Assumptions!$F$4:$H$4,Assumptions!$F$10:$H$10)</f>
        <v>18000</v>
      </c>
      <c r="N892" s="12">
        <f>_xlfn.XLOOKUP(Assumptions!$B$2,Assumptions!$F$4:$H$4,Assumptions!$F$11:$H$11)</f>
        <v>0.3</v>
      </c>
      <c r="O892" s="14">
        <f>Final_Table[[#This Row],[Units Sold]]*Final_Table[[#This Row],[Sale Price]]</f>
        <v>20400</v>
      </c>
      <c r="P892" s="14">
        <f>Final_Table[[#This Row],[Gross Revenue]]*(1-Final_Table[[#This Row],[Discount %]])</f>
        <v>18360</v>
      </c>
      <c r="Q892">
        <f>Final_Table[[#This Row],[Net Revenue]]*Final_Table[[#This Row],[Variable Cost %]]</f>
        <v>3304.7999999999997</v>
      </c>
      <c r="R892">
        <f>Final_Table[[#This Row],[Variable Cost]]+Final_Table[[#This Row],[Fixed Monthly Cost]]</f>
        <v>21304.799999999999</v>
      </c>
      <c r="S892" s="5">
        <f>Final_Table[[#This Row],[Net Revenue]]-Final_Table[[#This Row],[Total Cost (COGS)]]</f>
        <v>-2944.7999999999993</v>
      </c>
      <c r="T892">
        <f>Final_Table[[#This Row],[Gross Profit]]*Final_Table[[#This Row],[Tax Rate]]</f>
        <v>-883.43999999999971</v>
      </c>
      <c r="U892" s="5">
        <f>Final_Table[[#This Row],[Gross Profit]]-Final_Table[[#This Row],[Tax]]</f>
        <v>-2061.3599999999997</v>
      </c>
      <c r="V892" s="12">
        <f>Final_Table[[#This Row],[Net Profit]]/Final_Table[[#This Row],[Gross Revenue]]</f>
        <v>-0.10104705882352939</v>
      </c>
    </row>
    <row r="893" spans="1:22">
      <c r="A893" s="18" t="s">
        <v>74</v>
      </c>
      <c r="B893">
        <v>2014</v>
      </c>
      <c r="C893" t="s">
        <v>125</v>
      </c>
      <c r="D893">
        <v>1</v>
      </c>
      <c r="E893" s="18" t="s">
        <v>30</v>
      </c>
      <c r="F893" s="18" t="s">
        <v>113</v>
      </c>
      <c r="G893" s="18" t="s">
        <v>23</v>
      </c>
      <c r="H893" s="18" t="str">
        <f>Assumptions!$B$2</f>
        <v>Worst</v>
      </c>
      <c r="I893" s="18">
        <f>_xlfn.XLOOKUP(Assumptions!$B$2,Assumptions!$F$4:$H$4,Assumptions!$F$5:$H$5)</f>
        <v>1200</v>
      </c>
      <c r="J893" s="18">
        <f>_xlfn.XLOOKUP(Assumptions!$B$2,Assumptions!$F$4:$H$4,Assumptions!$F$6:$H$6)</f>
        <v>17</v>
      </c>
      <c r="K893" s="12">
        <f>_xlfn.XLOOKUP(Assumptions!$B$2,Assumptions!$F$4:$H$4,Assumptions!$F$8:$H$8)</f>
        <v>0.1</v>
      </c>
      <c r="L893" s="12">
        <f>_xlfn.XLOOKUP(Assumptions!$B$2,Assumptions!$F$4:$H$4,Assumptions!$F$9:$H$9)</f>
        <v>0.18</v>
      </c>
      <c r="M893" s="18">
        <f>_xlfn.XLOOKUP(Assumptions!$B$2,Assumptions!$F$4:$H$4,Assumptions!$F$10:$H$10)</f>
        <v>18000</v>
      </c>
      <c r="N893" s="12">
        <f>_xlfn.XLOOKUP(Assumptions!$B$2,Assumptions!$F$4:$H$4,Assumptions!$F$11:$H$11)</f>
        <v>0.3</v>
      </c>
      <c r="O893" s="14">
        <f>Final_Table[[#This Row],[Units Sold]]*Final_Table[[#This Row],[Sale Price]]</f>
        <v>20400</v>
      </c>
      <c r="P893" s="14">
        <f>Final_Table[[#This Row],[Gross Revenue]]*(1-Final_Table[[#This Row],[Discount %]])</f>
        <v>18360</v>
      </c>
      <c r="Q893">
        <f>Final_Table[[#This Row],[Net Revenue]]*Final_Table[[#This Row],[Variable Cost %]]</f>
        <v>3304.7999999999997</v>
      </c>
      <c r="R893">
        <f>Final_Table[[#This Row],[Variable Cost]]+Final_Table[[#This Row],[Fixed Monthly Cost]]</f>
        <v>21304.799999999999</v>
      </c>
      <c r="S893" s="5">
        <f>Final_Table[[#This Row],[Net Revenue]]-Final_Table[[#This Row],[Total Cost (COGS)]]</f>
        <v>-2944.7999999999993</v>
      </c>
      <c r="T893">
        <f>Final_Table[[#This Row],[Gross Profit]]*Final_Table[[#This Row],[Tax Rate]]</f>
        <v>-883.43999999999971</v>
      </c>
      <c r="U893" s="5">
        <f>Final_Table[[#This Row],[Gross Profit]]-Final_Table[[#This Row],[Tax]]</f>
        <v>-2061.3599999999997</v>
      </c>
      <c r="V893" s="12">
        <f>Final_Table[[#This Row],[Net Profit]]/Final_Table[[#This Row],[Gross Revenue]]</f>
        <v>-0.10104705882352939</v>
      </c>
    </row>
    <row r="894" spans="1:22">
      <c r="A894" s="18" t="s">
        <v>74</v>
      </c>
      <c r="B894">
        <v>2014</v>
      </c>
      <c r="C894" t="s">
        <v>125</v>
      </c>
      <c r="D894">
        <v>1</v>
      </c>
      <c r="E894" s="18" t="s">
        <v>30</v>
      </c>
      <c r="F894" s="18" t="s">
        <v>113</v>
      </c>
      <c r="G894" s="18" t="s">
        <v>21</v>
      </c>
      <c r="H894" s="18" t="str">
        <f>Assumptions!$B$2</f>
        <v>Worst</v>
      </c>
      <c r="I894" s="18">
        <f>_xlfn.XLOOKUP(Assumptions!$B$2,Assumptions!$F$4:$H$4,Assumptions!$F$5:$H$5)</f>
        <v>1200</v>
      </c>
      <c r="J894" s="18">
        <f>_xlfn.XLOOKUP(Assumptions!$B$2,Assumptions!$F$4:$H$4,Assumptions!$F$6:$H$6)</f>
        <v>17</v>
      </c>
      <c r="K894" s="12">
        <f>_xlfn.XLOOKUP(Assumptions!$B$2,Assumptions!$F$4:$H$4,Assumptions!$F$8:$H$8)</f>
        <v>0.1</v>
      </c>
      <c r="L894" s="12">
        <f>_xlfn.XLOOKUP(Assumptions!$B$2,Assumptions!$F$4:$H$4,Assumptions!$F$9:$H$9)</f>
        <v>0.18</v>
      </c>
      <c r="M894" s="18">
        <f>_xlfn.XLOOKUP(Assumptions!$B$2,Assumptions!$F$4:$H$4,Assumptions!$F$10:$H$10)</f>
        <v>18000</v>
      </c>
      <c r="N894" s="12">
        <f>_xlfn.XLOOKUP(Assumptions!$B$2,Assumptions!$F$4:$H$4,Assumptions!$F$11:$H$11)</f>
        <v>0.3</v>
      </c>
      <c r="O894" s="14">
        <f>Final_Table[[#This Row],[Units Sold]]*Final_Table[[#This Row],[Sale Price]]</f>
        <v>20400</v>
      </c>
      <c r="P894" s="14">
        <f>Final_Table[[#This Row],[Gross Revenue]]*(1-Final_Table[[#This Row],[Discount %]])</f>
        <v>18360</v>
      </c>
      <c r="Q894">
        <f>Final_Table[[#This Row],[Net Revenue]]*Final_Table[[#This Row],[Variable Cost %]]</f>
        <v>3304.7999999999997</v>
      </c>
      <c r="R894">
        <f>Final_Table[[#This Row],[Variable Cost]]+Final_Table[[#This Row],[Fixed Monthly Cost]]</f>
        <v>21304.799999999999</v>
      </c>
      <c r="S894" s="5">
        <f>Final_Table[[#This Row],[Net Revenue]]-Final_Table[[#This Row],[Total Cost (COGS)]]</f>
        <v>-2944.7999999999993</v>
      </c>
      <c r="T894">
        <f>Final_Table[[#This Row],[Gross Profit]]*Final_Table[[#This Row],[Tax Rate]]</f>
        <v>-883.43999999999971</v>
      </c>
      <c r="U894" s="5">
        <f>Final_Table[[#This Row],[Gross Profit]]-Final_Table[[#This Row],[Tax]]</f>
        <v>-2061.3599999999997</v>
      </c>
      <c r="V894" s="12">
        <f>Final_Table[[#This Row],[Net Profit]]/Final_Table[[#This Row],[Gross Revenue]]</f>
        <v>-0.10104705882352939</v>
      </c>
    </row>
    <row r="895" spans="1:22">
      <c r="A895" s="18" t="s">
        <v>74</v>
      </c>
      <c r="B895">
        <v>2014</v>
      </c>
      <c r="C895" t="s">
        <v>125</v>
      </c>
      <c r="D895">
        <v>1</v>
      </c>
      <c r="E895" s="18" t="s">
        <v>30</v>
      </c>
      <c r="F895" s="18" t="s">
        <v>113</v>
      </c>
      <c r="G895" s="18" t="s">
        <v>25</v>
      </c>
      <c r="H895" s="18" t="str">
        <f>Assumptions!$B$2</f>
        <v>Worst</v>
      </c>
      <c r="I895" s="18">
        <f>_xlfn.XLOOKUP(Assumptions!$B$2,Assumptions!$F$4:$H$4,Assumptions!$F$5:$H$5)</f>
        <v>1200</v>
      </c>
      <c r="J895" s="18">
        <f>_xlfn.XLOOKUP(Assumptions!$B$2,Assumptions!$F$4:$H$4,Assumptions!$F$6:$H$6)</f>
        <v>17</v>
      </c>
      <c r="K895" s="12">
        <f>_xlfn.XLOOKUP(Assumptions!$B$2,Assumptions!$F$4:$H$4,Assumptions!$F$8:$H$8)</f>
        <v>0.1</v>
      </c>
      <c r="L895" s="12">
        <f>_xlfn.XLOOKUP(Assumptions!$B$2,Assumptions!$F$4:$H$4,Assumptions!$F$9:$H$9)</f>
        <v>0.18</v>
      </c>
      <c r="M895" s="18">
        <f>_xlfn.XLOOKUP(Assumptions!$B$2,Assumptions!$F$4:$H$4,Assumptions!$F$10:$H$10)</f>
        <v>18000</v>
      </c>
      <c r="N895" s="12">
        <f>_xlfn.XLOOKUP(Assumptions!$B$2,Assumptions!$F$4:$H$4,Assumptions!$F$11:$H$11)</f>
        <v>0.3</v>
      </c>
      <c r="O895" s="14">
        <f>Final_Table[[#This Row],[Units Sold]]*Final_Table[[#This Row],[Sale Price]]</f>
        <v>20400</v>
      </c>
      <c r="P895" s="14">
        <f>Final_Table[[#This Row],[Gross Revenue]]*(1-Final_Table[[#This Row],[Discount %]])</f>
        <v>18360</v>
      </c>
      <c r="Q895">
        <f>Final_Table[[#This Row],[Net Revenue]]*Final_Table[[#This Row],[Variable Cost %]]</f>
        <v>3304.7999999999997</v>
      </c>
      <c r="R895">
        <f>Final_Table[[#This Row],[Variable Cost]]+Final_Table[[#This Row],[Fixed Monthly Cost]]</f>
        <v>21304.799999999999</v>
      </c>
      <c r="S895" s="5">
        <f>Final_Table[[#This Row],[Net Revenue]]-Final_Table[[#This Row],[Total Cost (COGS)]]</f>
        <v>-2944.7999999999993</v>
      </c>
      <c r="T895">
        <f>Final_Table[[#This Row],[Gross Profit]]*Final_Table[[#This Row],[Tax Rate]]</f>
        <v>-883.43999999999971</v>
      </c>
      <c r="U895" s="5">
        <f>Final_Table[[#This Row],[Gross Profit]]-Final_Table[[#This Row],[Tax]]</f>
        <v>-2061.3599999999997</v>
      </c>
      <c r="V895" s="12">
        <f>Final_Table[[#This Row],[Net Profit]]/Final_Table[[#This Row],[Gross Revenue]]</f>
        <v>-0.10104705882352939</v>
      </c>
    </row>
    <row r="896" spans="1:22">
      <c r="A896" s="18" t="s">
        <v>74</v>
      </c>
      <c r="B896">
        <v>2014</v>
      </c>
      <c r="C896" t="s">
        <v>125</v>
      </c>
      <c r="D896">
        <v>1</v>
      </c>
      <c r="E896" s="18" t="s">
        <v>30</v>
      </c>
      <c r="F896" s="18" t="s">
        <v>113</v>
      </c>
      <c r="G896" s="18" t="s">
        <v>17</v>
      </c>
      <c r="H896" s="18" t="str">
        <f>Assumptions!$B$2</f>
        <v>Worst</v>
      </c>
      <c r="I896" s="18">
        <f>_xlfn.XLOOKUP(Assumptions!$B$2,Assumptions!$F$4:$H$4,Assumptions!$F$5:$H$5)</f>
        <v>1200</v>
      </c>
      <c r="J896" s="18">
        <f>_xlfn.XLOOKUP(Assumptions!$B$2,Assumptions!$F$4:$H$4,Assumptions!$F$6:$H$6)</f>
        <v>17</v>
      </c>
      <c r="K896" s="12">
        <f>_xlfn.XLOOKUP(Assumptions!$B$2,Assumptions!$F$4:$H$4,Assumptions!$F$8:$H$8)</f>
        <v>0.1</v>
      </c>
      <c r="L896" s="12">
        <f>_xlfn.XLOOKUP(Assumptions!$B$2,Assumptions!$F$4:$H$4,Assumptions!$F$9:$H$9)</f>
        <v>0.18</v>
      </c>
      <c r="M896" s="18">
        <f>_xlfn.XLOOKUP(Assumptions!$B$2,Assumptions!$F$4:$H$4,Assumptions!$F$10:$H$10)</f>
        <v>18000</v>
      </c>
      <c r="N896" s="12">
        <f>_xlfn.XLOOKUP(Assumptions!$B$2,Assumptions!$F$4:$H$4,Assumptions!$F$11:$H$11)</f>
        <v>0.3</v>
      </c>
      <c r="O896" s="14">
        <f>Final_Table[[#This Row],[Units Sold]]*Final_Table[[#This Row],[Sale Price]]</f>
        <v>20400</v>
      </c>
      <c r="P896" s="14">
        <f>Final_Table[[#This Row],[Gross Revenue]]*(1-Final_Table[[#This Row],[Discount %]])</f>
        <v>18360</v>
      </c>
      <c r="Q896">
        <f>Final_Table[[#This Row],[Net Revenue]]*Final_Table[[#This Row],[Variable Cost %]]</f>
        <v>3304.7999999999997</v>
      </c>
      <c r="R896">
        <f>Final_Table[[#This Row],[Variable Cost]]+Final_Table[[#This Row],[Fixed Monthly Cost]]</f>
        <v>21304.799999999999</v>
      </c>
      <c r="S896" s="5">
        <f>Final_Table[[#This Row],[Net Revenue]]-Final_Table[[#This Row],[Total Cost (COGS)]]</f>
        <v>-2944.7999999999993</v>
      </c>
      <c r="T896">
        <f>Final_Table[[#This Row],[Gross Profit]]*Final_Table[[#This Row],[Tax Rate]]</f>
        <v>-883.43999999999971</v>
      </c>
      <c r="U896" s="5">
        <f>Final_Table[[#This Row],[Gross Profit]]-Final_Table[[#This Row],[Tax]]</f>
        <v>-2061.3599999999997</v>
      </c>
      <c r="V896" s="12">
        <f>Final_Table[[#This Row],[Net Profit]]/Final_Table[[#This Row],[Gross Revenue]]</f>
        <v>-0.10104705882352939</v>
      </c>
    </row>
    <row r="897" spans="1:22">
      <c r="A897" s="18" t="s">
        <v>74</v>
      </c>
      <c r="B897">
        <v>2014</v>
      </c>
      <c r="C897" t="s">
        <v>125</v>
      </c>
      <c r="D897">
        <v>1</v>
      </c>
      <c r="E897" s="18" t="s">
        <v>30</v>
      </c>
      <c r="F897" s="18" t="s">
        <v>114</v>
      </c>
      <c r="G897" s="18" t="s">
        <v>36</v>
      </c>
      <c r="H897" s="18" t="str">
        <f>Assumptions!$B$2</f>
        <v>Worst</v>
      </c>
      <c r="I897" s="18">
        <f>_xlfn.XLOOKUP(Assumptions!$B$2,Assumptions!$F$4:$H$4,Assumptions!$F$5:$H$5)</f>
        <v>1200</v>
      </c>
      <c r="J897" s="18">
        <f>_xlfn.XLOOKUP(Assumptions!$B$2,Assumptions!$F$4:$H$4,Assumptions!$F$6:$H$6)</f>
        <v>17</v>
      </c>
      <c r="K897" s="12">
        <f>_xlfn.XLOOKUP(Assumptions!$B$2,Assumptions!$F$4:$H$4,Assumptions!$F$8:$H$8)</f>
        <v>0.1</v>
      </c>
      <c r="L897" s="12">
        <f>_xlfn.XLOOKUP(Assumptions!$B$2,Assumptions!$F$4:$H$4,Assumptions!$F$9:$H$9)</f>
        <v>0.18</v>
      </c>
      <c r="M897" s="18">
        <f>_xlfn.XLOOKUP(Assumptions!$B$2,Assumptions!$F$4:$H$4,Assumptions!$F$10:$H$10)</f>
        <v>18000</v>
      </c>
      <c r="N897" s="12">
        <f>_xlfn.XLOOKUP(Assumptions!$B$2,Assumptions!$F$4:$H$4,Assumptions!$F$11:$H$11)</f>
        <v>0.3</v>
      </c>
      <c r="O897" s="14">
        <f>Final_Table[[#This Row],[Units Sold]]*Final_Table[[#This Row],[Sale Price]]</f>
        <v>20400</v>
      </c>
      <c r="P897" s="14">
        <f>Final_Table[[#This Row],[Gross Revenue]]*(1-Final_Table[[#This Row],[Discount %]])</f>
        <v>18360</v>
      </c>
      <c r="Q897">
        <f>Final_Table[[#This Row],[Net Revenue]]*Final_Table[[#This Row],[Variable Cost %]]</f>
        <v>3304.7999999999997</v>
      </c>
      <c r="R897">
        <f>Final_Table[[#This Row],[Variable Cost]]+Final_Table[[#This Row],[Fixed Monthly Cost]]</f>
        <v>21304.799999999999</v>
      </c>
      <c r="S897" s="5">
        <f>Final_Table[[#This Row],[Net Revenue]]-Final_Table[[#This Row],[Total Cost (COGS)]]</f>
        <v>-2944.7999999999993</v>
      </c>
      <c r="T897">
        <f>Final_Table[[#This Row],[Gross Profit]]*Final_Table[[#This Row],[Tax Rate]]</f>
        <v>-883.43999999999971</v>
      </c>
      <c r="U897" s="5">
        <f>Final_Table[[#This Row],[Gross Profit]]-Final_Table[[#This Row],[Tax]]</f>
        <v>-2061.3599999999997</v>
      </c>
      <c r="V897" s="12">
        <f>Final_Table[[#This Row],[Net Profit]]/Final_Table[[#This Row],[Gross Revenue]]</f>
        <v>-0.10104705882352939</v>
      </c>
    </row>
    <row r="898" spans="1:22">
      <c r="A898" s="18" t="s">
        <v>74</v>
      </c>
      <c r="B898">
        <v>2014</v>
      </c>
      <c r="C898" t="s">
        <v>125</v>
      </c>
      <c r="D898">
        <v>1</v>
      </c>
      <c r="E898" s="18" t="s">
        <v>30</v>
      </c>
      <c r="F898" s="18" t="s">
        <v>114</v>
      </c>
      <c r="G898" s="18" t="s">
        <v>23</v>
      </c>
      <c r="H898" s="18" t="str">
        <f>Assumptions!$B$2</f>
        <v>Worst</v>
      </c>
      <c r="I898" s="18">
        <f>_xlfn.XLOOKUP(Assumptions!$B$2,Assumptions!$F$4:$H$4,Assumptions!$F$5:$H$5)</f>
        <v>1200</v>
      </c>
      <c r="J898" s="18">
        <f>_xlfn.XLOOKUP(Assumptions!$B$2,Assumptions!$F$4:$H$4,Assumptions!$F$6:$H$6)</f>
        <v>17</v>
      </c>
      <c r="K898" s="12">
        <f>_xlfn.XLOOKUP(Assumptions!$B$2,Assumptions!$F$4:$H$4,Assumptions!$F$8:$H$8)</f>
        <v>0.1</v>
      </c>
      <c r="L898" s="12">
        <f>_xlfn.XLOOKUP(Assumptions!$B$2,Assumptions!$F$4:$H$4,Assumptions!$F$9:$H$9)</f>
        <v>0.18</v>
      </c>
      <c r="M898" s="18">
        <f>_xlfn.XLOOKUP(Assumptions!$B$2,Assumptions!$F$4:$H$4,Assumptions!$F$10:$H$10)</f>
        <v>18000</v>
      </c>
      <c r="N898" s="12">
        <f>_xlfn.XLOOKUP(Assumptions!$B$2,Assumptions!$F$4:$H$4,Assumptions!$F$11:$H$11)</f>
        <v>0.3</v>
      </c>
      <c r="O898" s="14">
        <f>Final_Table[[#This Row],[Units Sold]]*Final_Table[[#This Row],[Sale Price]]</f>
        <v>20400</v>
      </c>
      <c r="P898" s="14">
        <f>Final_Table[[#This Row],[Gross Revenue]]*(1-Final_Table[[#This Row],[Discount %]])</f>
        <v>18360</v>
      </c>
      <c r="Q898">
        <f>Final_Table[[#This Row],[Net Revenue]]*Final_Table[[#This Row],[Variable Cost %]]</f>
        <v>3304.7999999999997</v>
      </c>
      <c r="R898">
        <f>Final_Table[[#This Row],[Variable Cost]]+Final_Table[[#This Row],[Fixed Monthly Cost]]</f>
        <v>21304.799999999999</v>
      </c>
      <c r="S898" s="5">
        <f>Final_Table[[#This Row],[Net Revenue]]-Final_Table[[#This Row],[Total Cost (COGS)]]</f>
        <v>-2944.7999999999993</v>
      </c>
      <c r="T898">
        <f>Final_Table[[#This Row],[Gross Profit]]*Final_Table[[#This Row],[Tax Rate]]</f>
        <v>-883.43999999999971</v>
      </c>
      <c r="U898" s="5">
        <f>Final_Table[[#This Row],[Gross Profit]]-Final_Table[[#This Row],[Tax]]</f>
        <v>-2061.3599999999997</v>
      </c>
      <c r="V898" s="12">
        <f>Final_Table[[#This Row],[Net Profit]]/Final_Table[[#This Row],[Gross Revenue]]</f>
        <v>-0.10104705882352939</v>
      </c>
    </row>
    <row r="899" spans="1:22">
      <c r="A899" s="18" t="s">
        <v>74</v>
      </c>
      <c r="B899">
        <v>2014</v>
      </c>
      <c r="C899" t="s">
        <v>125</v>
      </c>
      <c r="D899">
        <v>1</v>
      </c>
      <c r="E899" s="18" t="s">
        <v>30</v>
      </c>
      <c r="F899" s="18" t="s">
        <v>114</v>
      </c>
      <c r="G899" s="18" t="s">
        <v>21</v>
      </c>
      <c r="H899" s="18" t="str">
        <f>Assumptions!$B$2</f>
        <v>Worst</v>
      </c>
      <c r="I899" s="18">
        <f>_xlfn.XLOOKUP(Assumptions!$B$2,Assumptions!$F$4:$H$4,Assumptions!$F$5:$H$5)</f>
        <v>1200</v>
      </c>
      <c r="J899" s="18">
        <f>_xlfn.XLOOKUP(Assumptions!$B$2,Assumptions!$F$4:$H$4,Assumptions!$F$6:$H$6)</f>
        <v>17</v>
      </c>
      <c r="K899" s="12">
        <f>_xlfn.XLOOKUP(Assumptions!$B$2,Assumptions!$F$4:$H$4,Assumptions!$F$8:$H$8)</f>
        <v>0.1</v>
      </c>
      <c r="L899" s="12">
        <f>_xlfn.XLOOKUP(Assumptions!$B$2,Assumptions!$F$4:$H$4,Assumptions!$F$9:$H$9)</f>
        <v>0.18</v>
      </c>
      <c r="M899" s="18">
        <f>_xlfn.XLOOKUP(Assumptions!$B$2,Assumptions!$F$4:$H$4,Assumptions!$F$10:$H$10)</f>
        <v>18000</v>
      </c>
      <c r="N899" s="12">
        <f>_xlfn.XLOOKUP(Assumptions!$B$2,Assumptions!$F$4:$H$4,Assumptions!$F$11:$H$11)</f>
        <v>0.3</v>
      </c>
      <c r="O899" s="14">
        <f>Final_Table[[#This Row],[Units Sold]]*Final_Table[[#This Row],[Sale Price]]</f>
        <v>20400</v>
      </c>
      <c r="P899" s="14">
        <f>Final_Table[[#This Row],[Gross Revenue]]*(1-Final_Table[[#This Row],[Discount %]])</f>
        <v>18360</v>
      </c>
      <c r="Q899">
        <f>Final_Table[[#This Row],[Net Revenue]]*Final_Table[[#This Row],[Variable Cost %]]</f>
        <v>3304.7999999999997</v>
      </c>
      <c r="R899">
        <f>Final_Table[[#This Row],[Variable Cost]]+Final_Table[[#This Row],[Fixed Monthly Cost]]</f>
        <v>21304.799999999999</v>
      </c>
      <c r="S899" s="5">
        <f>Final_Table[[#This Row],[Net Revenue]]-Final_Table[[#This Row],[Total Cost (COGS)]]</f>
        <v>-2944.7999999999993</v>
      </c>
      <c r="T899">
        <f>Final_Table[[#This Row],[Gross Profit]]*Final_Table[[#This Row],[Tax Rate]]</f>
        <v>-883.43999999999971</v>
      </c>
      <c r="U899" s="5">
        <f>Final_Table[[#This Row],[Gross Profit]]-Final_Table[[#This Row],[Tax]]</f>
        <v>-2061.3599999999997</v>
      </c>
      <c r="V899" s="12">
        <f>Final_Table[[#This Row],[Net Profit]]/Final_Table[[#This Row],[Gross Revenue]]</f>
        <v>-0.10104705882352939</v>
      </c>
    </row>
    <row r="900" spans="1:22">
      <c r="A900" s="18" t="s">
        <v>74</v>
      </c>
      <c r="B900">
        <v>2014</v>
      </c>
      <c r="C900" t="s">
        <v>125</v>
      </c>
      <c r="D900">
        <v>1</v>
      </c>
      <c r="E900" s="18" t="s">
        <v>30</v>
      </c>
      <c r="F900" s="18" t="s">
        <v>114</v>
      </c>
      <c r="G900" s="18" t="s">
        <v>25</v>
      </c>
      <c r="H900" s="18" t="str">
        <f>Assumptions!$B$2</f>
        <v>Worst</v>
      </c>
      <c r="I900" s="18">
        <f>_xlfn.XLOOKUP(Assumptions!$B$2,Assumptions!$F$4:$H$4,Assumptions!$F$5:$H$5)</f>
        <v>1200</v>
      </c>
      <c r="J900" s="18">
        <f>_xlfn.XLOOKUP(Assumptions!$B$2,Assumptions!$F$4:$H$4,Assumptions!$F$6:$H$6)</f>
        <v>17</v>
      </c>
      <c r="K900" s="12">
        <f>_xlfn.XLOOKUP(Assumptions!$B$2,Assumptions!$F$4:$H$4,Assumptions!$F$8:$H$8)</f>
        <v>0.1</v>
      </c>
      <c r="L900" s="12">
        <f>_xlfn.XLOOKUP(Assumptions!$B$2,Assumptions!$F$4:$H$4,Assumptions!$F$9:$H$9)</f>
        <v>0.18</v>
      </c>
      <c r="M900" s="18">
        <f>_xlfn.XLOOKUP(Assumptions!$B$2,Assumptions!$F$4:$H$4,Assumptions!$F$10:$H$10)</f>
        <v>18000</v>
      </c>
      <c r="N900" s="12">
        <f>_xlfn.XLOOKUP(Assumptions!$B$2,Assumptions!$F$4:$H$4,Assumptions!$F$11:$H$11)</f>
        <v>0.3</v>
      </c>
      <c r="O900" s="14">
        <f>Final_Table[[#This Row],[Units Sold]]*Final_Table[[#This Row],[Sale Price]]</f>
        <v>20400</v>
      </c>
      <c r="P900" s="14">
        <f>Final_Table[[#This Row],[Gross Revenue]]*(1-Final_Table[[#This Row],[Discount %]])</f>
        <v>18360</v>
      </c>
      <c r="Q900">
        <f>Final_Table[[#This Row],[Net Revenue]]*Final_Table[[#This Row],[Variable Cost %]]</f>
        <v>3304.7999999999997</v>
      </c>
      <c r="R900">
        <f>Final_Table[[#This Row],[Variable Cost]]+Final_Table[[#This Row],[Fixed Monthly Cost]]</f>
        <v>21304.799999999999</v>
      </c>
      <c r="S900" s="5">
        <f>Final_Table[[#This Row],[Net Revenue]]-Final_Table[[#This Row],[Total Cost (COGS)]]</f>
        <v>-2944.7999999999993</v>
      </c>
      <c r="T900">
        <f>Final_Table[[#This Row],[Gross Profit]]*Final_Table[[#This Row],[Tax Rate]]</f>
        <v>-883.43999999999971</v>
      </c>
      <c r="U900" s="5">
        <f>Final_Table[[#This Row],[Gross Profit]]-Final_Table[[#This Row],[Tax]]</f>
        <v>-2061.3599999999997</v>
      </c>
      <c r="V900" s="12">
        <f>Final_Table[[#This Row],[Net Profit]]/Final_Table[[#This Row],[Gross Revenue]]</f>
        <v>-0.10104705882352939</v>
      </c>
    </row>
    <row r="901" spans="1:22">
      <c r="A901" s="18" t="s">
        <v>74</v>
      </c>
      <c r="B901">
        <v>2014</v>
      </c>
      <c r="C901" t="s">
        <v>125</v>
      </c>
      <c r="D901">
        <v>1</v>
      </c>
      <c r="E901" s="18" t="s">
        <v>30</v>
      </c>
      <c r="F901" s="18" t="s">
        <v>114</v>
      </c>
      <c r="G901" s="18" t="s">
        <v>17</v>
      </c>
      <c r="H901" s="18" t="str">
        <f>Assumptions!$B$2</f>
        <v>Worst</v>
      </c>
      <c r="I901" s="18">
        <f>_xlfn.XLOOKUP(Assumptions!$B$2,Assumptions!$F$4:$H$4,Assumptions!$F$5:$H$5)</f>
        <v>1200</v>
      </c>
      <c r="J901" s="18">
        <f>_xlfn.XLOOKUP(Assumptions!$B$2,Assumptions!$F$4:$H$4,Assumptions!$F$6:$H$6)</f>
        <v>17</v>
      </c>
      <c r="K901" s="12">
        <f>_xlfn.XLOOKUP(Assumptions!$B$2,Assumptions!$F$4:$H$4,Assumptions!$F$8:$H$8)</f>
        <v>0.1</v>
      </c>
      <c r="L901" s="12">
        <f>_xlfn.XLOOKUP(Assumptions!$B$2,Assumptions!$F$4:$H$4,Assumptions!$F$9:$H$9)</f>
        <v>0.18</v>
      </c>
      <c r="M901" s="18">
        <f>_xlfn.XLOOKUP(Assumptions!$B$2,Assumptions!$F$4:$H$4,Assumptions!$F$10:$H$10)</f>
        <v>18000</v>
      </c>
      <c r="N901" s="12">
        <f>_xlfn.XLOOKUP(Assumptions!$B$2,Assumptions!$F$4:$H$4,Assumptions!$F$11:$H$11)</f>
        <v>0.3</v>
      </c>
      <c r="O901" s="14">
        <f>Final_Table[[#This Row],[Units Sold]]*Final_Table[[#This Row],[Sale Price]]</f>
        <v>20400</v>
      </c>
      <c r="P901" s="14">
        <f>Final_Table[[#This Row],[Gross Revenue]]*(1-Final_Table[[#This Row],[Discount %]])</f>
        <v>18360</v>
      </c>
      <c r="Q901">
        <f>Final_Table[[#This Row],[Net Revenue]]*Final_Table[[#This Row],[Variable Cost %]]</f>
        <v>3304.7999999999997</v>
      </c>
      <c r="R901">
        <f>Final_Table[[#This Row],[Variable Cost]]+Final_Table[[#This Row],[Fixed Monthly Cost]]</f>
        <v>21304.799999999999</v>
      </c>
      <c r="S901" s="5">
        <f>Final_Table[[#This Row],[Net Revenue]]-Final_Table[[#This Row],[Total Cost (COGS)]]</f>
        <v>-2944.7999999999993</v>
      </c>
      <c r="T901">
        <f>Final_Table[[#This Row],[Gross Profit]]*Final_Table[[#This Row],[Tax Rate]]</f>
        <v>-883.43999999999971</v>
      </c>
      <c r="U901" s="5">
        <f>Final_Table[[#This Row],[Gross Profit]]-Final_Table[[#This Row],[Tax]]</f>
        <v>-2061.3599999999997</v>
      </c>
      <c r="V901" s="12">
        <f>Final_Table[[#This Row],[Net Profit]]/Final_Table[[#This Row],[Gross Revenue]]</f>
        <v>-0.10104705882352939</v>
      </c>
    </row>
    <row r="902" spans="1:22">
      <c r="A902" s="18" t="s">
        <v>74</v>
      </c>
      <c r="B902">
        <v>2014</v>
      </c>
      <c r="C902" t="s">
        <v>125</v>
      </c>
      <c r="D902">
        <v>1</v>
      </c>
      <c r="E902" s="18" t="s">
        <v>29</v>
      </c>
      <c r="F902" s="18" t="s">
        <v>80</v>
      </c>
      <c r="G902" s="18" t="s">
        <v>36</v>
      </c>
      <c r="H902" s="18" t="str">
        <f>Assumptions!$B$2</f>
        <v>Worst</v>
      </c>
      <c r="I902" s="18">
        <f>_xlfn.XLOOKUP(Assumptions!$B$2,Assumptions!$F$4:$H$4,Assumptions!$F$5:$H$5)</f>
        <v>1200</v>
      </c>
      <c r="J902" s="18">
        <f>_xlfn.XLOOKUP(Assumptions!$B$2,Assumptions!$F$4:$H$4,Assumptions!$F$6:$H$6)</f>
        <v>17</v>
      </c>
      <c r="K902" s="12">
        <f>_xlfn.XLOOKUP(Assumptions!$B$2,Assumptions!$F$4:$H$4,Assumptions!$F$8:$H$8)</f>
        <v>0.1</v>
      </c>
      <c r="L902" s="12">
        <f>_xlfn.XLOOKUP(Assumptions!$B$2,Assumptions!$F$4:$H$4,Assumptions!$F$9:$H$9)</f>
        <v>0.18</v>
      </c>
      <c r="M902" s="18">
        <f>_xlfn.XLOOKUP(Assumptions!$B$2,Assumptions!$F$4:$H$4,Assumptions!$F$10:$H$10)</f>
        <v>18000</v>
      </c>
      <c r="N902" s="12">
        <f>_xlfn.XLOOKUP(Assumptions!$B$2,Assumptions!$F$4:$H$4,Assumptions!$F$11:$H$11)</f>
        <v>0.3</v>
      </c>
      <c r="O902" s="14">
        <f>Final_Table[[#This Row],[Units Sold]]*Final_Table[[#This Row],[Sale Price]]</f>
        <v>20400</v>
      </c>
      <c r="P902" s="14">
        <f>Final_Table[[#This Row],[Gross Revenue]]*(1-Final_Table[[#This Row],[Discount %]])</f>
        <v>18360</v>
      </c>
      <c r="Q902">
        <f>Final_Table[[#This Row],[Net Revenue]]*Final_Table[[#This Row],[Variable Cost %]]</f>
        <v>3304.7999999999997</v>
      </c>
      <c r="R902">
        <f>Final_Table[[#This Row],[Variable Cost]]+Final_Table[[#This Row],[Fixed Monthly Cost]]</f>
        <v>21304.799999999999</v>
      </c>
      <c r="S902" s="5">
        <f>Final_Table[[#This Row],[Net Revenue]]-Final_Table[[#This Row],[Total Cost (COGS)]]</f>
        <v>-2944.7999999999993</v>
      </c>
      <c r="T902">
        <f>Final_Table[[#This Row],[Gross Profit]]*Final_Table[[#This Row],[Tax Rate]]</f>
        <v>-883.43999999999971</v>
      </c>
      <c r="U902" s="5">
        <f>Final_Table[[#This Row],[Gross Profit]]-Final_Table[[#This Row],[Tax]]</f>
        <v>-2061.3599999999997</v>
      </c>
      <c r="V902" s="12">
        <f>Final_Table[[#This Row],[Net Profit]]/Final_Table[[#This Row],[Gross Revenue]]</f>
        <v>-0.10104705882352939</v>
      </c>
    </row>
    <row r="903" spans="1:22">
      <c r="A903" s="18" t="s">
        <v>74</v>
      </c>
      <c r="B903">
        <v>2014</v>
      </c>
      <c r="C903" t="s">
        <v>125</v>
      </c>
      <c r="D903">
        <v>1</v>
      </c>
      <c r="E903" s="18" t="s">
        <v>29</v>
      </c>
      <c r="F903" s="18" t="s">
        <v>80</v>
      </c>
      <c r="G903" s="18" t="s">
        <v>23</v>
      </c>
      <c r="H903" s="18" t="str">
        <f>Assumptions!$B$2</f>
        <v>Worst</v>
      </c>
      <c r="I903" s="18">
        <f>_xlfn.XLOOKUP(Assumptions!$B$2,Assumptions!$F$4:$H$4,Assumptions!$F$5:$H$5)</f>
        <v>1200</v>
      </c>
      <c r="J903" s="18">
        <f>_xlfn.XLOOKUP(Assumptions!$B$2,Assumptions!$F$4:$H$4,Assumptions!$F$6:$H$6)</f>
        <v>17</v>
      </c>
      <c r="K903" s="12">
        <f>_xlfn.XLOOKUP(Assumptions!$B$2,Assumptions!$F$4:$H$4,Assumptions!$F$8:$H$8)</f>
        <v>0.1</v>
      </c>
      <c r="L903" s="12">
        <f>_xlfn.XLOOKUP(Assumptions!$B$2,Assumptions!$F$4:$H$4,Assumptions!$F$9:$H$9)</f>
        <v>0.18</v>
      </c>
      <c r="M903" s="18">
        <f>_xlfn.XLOOKUP(Assumptions!$B$2,Assumptions!$F$4:$H$4,Assumptions!$F$10:$H$10)</f>
        <v>18000</v>
      </c>
      <c r="N903" s="12">
        <f>_xlfn.XLOOKUP(Assumptions!$B$2,Assumptions!$F$4:$H$4,Assumptions!$F$11:$H$11)</f>
        <v>0.3</v>
      </c>
      <c r="O903" s="14">
        <f>Final_Table[[#This Row],[Units Sold]]*Final_Table[[#This Row],[Sale Price]]</f>
        <v>20400</v>
      </c>
      <c r="P903" s="14">
        <f>Final_Table[[#This Row],[Gross Revenue]]*(1-Final_Table[[#This Row],[Discount %]])</f>
        <v>18360</v>
      </c>
      <c r="Q903">
        <f>Final_Table[[#This Row],[Net Revenue]]*Final_Table[[#This Row],[Variable Cost %]]</f>
        <v>3304.7999999999997</v>
      </c>
      <c r="R903">
        <f>Final_Table[[#This Row],[Variable Cost]]+Final_Table[[#This Row],[Fixed Monthly Cost]]</f>
        <v>21304.799999999999</v>
      </c>
      <c r="S903" s="5">
        <f>Final_Table[[#This Row],[Net Revenue]]-Final_Table[[#This Row],[Total Cost (COGS)]]</f>
        <v>-2944.7999999999993</v>
      </c>
      <c r="T903">
        <f>Final_Table[[#This Row],[Gross Profit]]*Final_Table[[#This Row],[Tax Rate]]</f>
        <v>-883.43999999999971</v>
      </c>
      <c r="U903" s="5">
        <f>Final_Table[[#This Row],[Gross Profit]]-Final_Table[[#This Row],[Tax]]</f>
        <v>-2061.3599999999997</v>
      </c>
      <c r="V903" s="12">
        <f>Final_Table[[#This Row],[Net Profit]]/Final_Table[[#This Row],[Gross Revenue]]</f>
        <v>-0.10104705882352939</v>
      </c>
    </row>
    <row r="904" spans="1:22">
      <c r="A904" s="18" t="s">
        <v>74</v>
      </c>
      <c r="B904">
        <v>2014</v>
      </c>
      <c r="C904" t="s">
        <v>125</v>
      </c>
      <c r="D904">
        <v>1</v>
      </c>
      <c r="E904" s="18" t="s">
        <v>29</v>
      </c>
      <c r="F904" s="18" t="s">
        <v>80</v>
      </c>
      <c r="G904" s="18" t="s">
        <v>21</v>
      </c>
      <c r="H904" s="18" t="str">
        <f>Assumptions!$B$2</f>
        <v>Worst</v>
      </c>
      <c r="I904" s="18">
        <f>_xlfn.XLOOKUP(Assumptions!$B$2,Assumptions!$F$4:$H$4,Assumptions!$F$5:$H$5)</f>
        <v>1200</v>
      </c>
      <c r="J904" s="18">
        <f>_xlfn.XLOOKUP(Assumptions!$B$2,Assumptions!$F$4:$H$4,Assumptions!$F$6:$H$6)</f>
        <v>17</v>
      </c>
      <c r="K904" s="12">
        <f>_xlfn.XLOOKUP(Assumptions!$B$2,Assumptions!$F$4:$H$4,Assumptions!$F$8:$H$8)</f>
        <v>0.1</v>
      </c>
      <c r="L904" s="12">
        <f>_xlfn.XLOOKUP(Assumptions!$B$2,Assumptions!$F$4:$H$4,Assumptions!$F$9:$H$9)</f>
        <v>0.18</v>
      </c>
      <c r="M904" s="18">
        <f>_xlfn.XLOOKUP(Assumptions!$B$2,Assumptions!$F$4:$H$4,Assumptions!$F$10:$H$10)</f>
        <v>18000</v>
      </c>
      <c r="N904" s="12">
        <f>_xlfn.XLOOKUP(Assumptions!$B$2,Assumptions!$F$4:$H$4,Assumptions!$F$11:$H$11)</f>
        <v>0.3</v>
      </c>
      <c r="O904" s="14">
        <f>Final_Table[[#This Row],[Units Sold]]*Final_Table[[#This Row],[Sale Price]]</f>
        <v>20400</v>
      </c>
      <c r="P904" s="14">
        <f>Final_Table[[#This Row],[Gross Revenue]]*(1-Final_Table[[#This Row],[Discount %]])</f>
        <v>18360</v>
      </c>
      <c r="Q904">
        <f>Final_Table[[#This Row],[Net Revenue]]*Final_Table[[#This Row],[Variable Cost %]]</f>
        <v>3304.7999999999997</v>
      </c>
      <c r="R904">
        <f>Final_Table[[#This Row],[Variable Cost]]+Final_Table[[#This Row],[Fixed Monthly Cost]]</f>
        <v>21304.799999999999</v>
      </c>
      <c r="S904" s="5">
        <f>Final_Table[[#This Row],[Net Revenue]]-Final_Table[[#This Row],[Total Cost (COGS)]]</f>
        <v>-2944.7999999999993</v>
      </c>
      <c r="T904">
        <f>Final_Table[[#This Row],[Gross Profit]]*Final_Table[[#This Row],[Tax Rate]]</f>
        <v>-883.43999999999971</v>
      </c>
      <c r="U904" s="5">
        <f>Final_Table[[#This Row],[Gross Profit]]-Final_Table[[#This Row],[Tax]]</f>
        <v>-2061.3599999999997</v>
      </c>
      <c r="V904" s="12">
        <f>Final_Table[[#This Row],[Net Profit]]/Final_Table[[#This Row],[Gross Revenue]]</f>
        <v>-0.10104705882352939</v>
      </c>
    </row>
    <row r="905" spans="1:22">
      <c r="A905" s="18" t="s">
        <v>74</v>
      </c>
      <c r="B905">
        <v>2014</v>
      </c>
      <c r="C905" t="s">
        <v>125</v>
      </c>
      <c r="D905">
        <v>1</v>
      </c>
      <c r="E905" s="18" t="s">
        <v>29</v>
      </c>
      <c r="F905" s="18" t="s">
        <v>80</v>
      </c>
      <c r="G905" s="18" t="s">
        <v>25</v>
      </c>
      <c r="H905" s="18" t="str">
        <f>Assumptions!$B$2</f>
        <v>Worst</v>
      </c>
      <c r="I905" s="18">
        <f>_xlfn.XLOOKUP(Assumptions!$B$2,Assumptions!$F$4:$H$4,Assumptions!$F$5:$H$5)</f>
        <v>1200</v>
      </c>
      <c r="J905" s="18">
        <f>_xlfn.XLOOKUP(Assumptions!$B$2,Assumptions!$F$4:$H$4,Assumptions!$F$6:$H$6)</f>
        <v>17</v>
      </c>
      <c r="K905" s="12">
        <f>_xlfn.XLOOKUP(Assumptions!$B$2,Assumptions!$F$4:$H$4,Assumptions!$F$8:$H$8)</f>
        <v>0.1</v>
      </c>
      <c r="L905" s="12">
        <f>_xlfn.XLOOKUP(Assumptions!$B$2,Assumptions!$F$4:$H$4,Assumptions!$F$9:$H$9)</f>
        <v>0.18</v>
      </c>
      <c r="M905" s="18">
        <f>_xlfn.XLOOKUP(Assumptions!$B$2,Assumptions!$F$4:$H$4,Assumptions!$F$10:$H$10)</f>
        <v>18000</v>
      </c>
      <c r="N905" s="12">
        <f>_xlfn.XLOOKUP(Assumptions!$B$2,Assumptions!$F$4:$H$4,Assumptions!$F$11:$H$11)</f>
        <v>0.3</v>
      </c>
      <c r="O905" s="14">
        <f>Final_Table[[#This Row],[Units Sold]]*Final_Table[[#This Row],[Sale Price]]</f>
        <v>20400</v>
      </c>
      <c r="P905" s="14">
        <f>Final_Table[[#This Row],[Gross Revenue]]*(1-Final_Table[[#This Row],[Discount %]])</f>
        <v>18360</v>
      </c>
      <c r="Q905">
        <f>Final_Table[[#This Row],[Net Revenue]]*Final_Table[[#This Row],[Variable Cost %]]</f>
        <v>3304.7999999999997</v>
      </c>
      <c r="R905">
        <f>Final_Table[[#This Row],[Variable Cost]]+Final_Table[[#This Row],[Fixed Monthly Cost]]</f>
        <v>21304.799999999999</v>
      </c>
      <c r="S905" s="5">
        <f>Final_Table[[#This Row],[Net Revenue]]-Final_Table[[#This Row],[Total Cost (COGS)]]</f>
        <v>-2944.7999999999993</v>
      </c>
      <c r="T905">
        <f>Final_Table[[#This Row],[Gross Profit]]*Final_Table[[#This Row],[Tax Rate]]</f>
        <v>-883.43999999999971</v>
      </c>
      <c r="U905" s="5">
        <f>Final_Table[[#This Row],[Gross Profit]]-Final_Table[[#This Row],[Tax]]</f>
        <v>-2061.3599999999997</v>
      </c>
      <c r="V905" s="12">
        <f>Final_Table[[#This Row],[Net Profit]]/Final_Table[[#This Row],[Gross Revenue]]</f>
        <v>-0.10104705882352939</v>
      </c>
    </row>
    <row r="906" spans="1:22">
      <c r="A906" s="18" t="s">
        <v>74</v>
      </c>
      <c r="B906">
        <v>2014</v>
      </c>
      <c r="C906" t="s">
        <v>125</v>
      </c>
      <c r="D906">
        <v>1</v>
      </c>
      <c r="E906" s="18" t="s">
        <v>29</v>
      </c>
      <c r="F906" s="18" t="s">
        <v>80</v>
      </c>
      <c r="G906" s="18" t="s">
        <v>17</v>
      </c>
      <c r="H906" s="18" t="str">
        <f>Assumptions!$B$2</f>
        <v>Worst</v>
      </c>
      <c r="I906" s="18">
        <f>_xlfn.XLOOKUP(Assumptions!$B$2,Assumptions!$F$4:$H$4,Assumptions!$F$5:$H$5)</f>
        <v>1200</v>
      </c>
      <c r="J906" s="18">
        <f>_xlfn.XLOOKUP(Assumptions!$B$2,Assumptions!$F$4:$H$4,Assumptions!$F$6:$H$6)</f>
        <v>17</v>
      </c>
      <c r="K906" s="12">
        <f>_xlfn.XLOOKUP(Assumptions!$B$2,Assumptions!$F$4:$H$4,Assumptions!$F$8:$H$8)</f>
        <v>0.1</v>
      </c>
      <c r="L906" s="12">
        <f>_xlfn.XLOOKUP(Assumptions!$B$2,Assumptions!$F$4:$H$4,Assumptions!$F$9:$H$9)</f>
        <v>0.18</v>
      </c>
      <c r="M906" s="18">
        <f>_xlfn.XLOOKUP(Assumptions!$B$2,Assumptions!$F$4:$H$4,Assumptions!$F$10:$H$10)</f>
        <v>18000</v>
      </c>
      <c r="N906" s="12">
        <f>_xlfn.XLOOKUP(Assumptions!$B$2,Assumptions!$F$4:$H$4,Assumptions!$F$11:$H$11)</f>
        <v>0.3</v>
      </c>
      <c r="O906" s="14">
        <f>Final_Table[[#This Row],[Units Sold]]*Final_Table[[#This Row],[Sale Price]]</f>
        <v>20400</v>
      </c>
      <c r="P906" s="14">
        <f>Final_Table[[#This Row],[Gross Revenue]]*(1-Final_Table[[#This Row],[Discount %]])</f>
        <v>18360</v>
      </c>
      <c r="Q906">
        <f>Final_Table[[#This Row],[Net Revenue]]*Final_Table[[#This Row],[Variable Cost %]]</f>
        <v>3304.7999999999997</v>
      </c>
      <c r="R906">
        <f>Final_Table[[#This Row],[Variable Cost]]+Final_Table[[#This Row],[Fixed Monthly Cost]]</f>
        <v>21304.799999999999</v>
      </c>
      <c r="S906" s="5">
        <f>Final_Table[[#This Row],[Net Revenue]]-Final_Table[[#This Row],[Total Cost (COGS)]]</f>
        <v>-2944.7999999999993</v>
      </c>
      <c r="T906">
        <f>Final_Table[[#This Row],[Gross Profit]]*Final_Table[[#This Row],[Tax Rate]]</f>
        <v>-883.43999999999971</v>
      </c>
      <c r="U906" s="5">
        <f>Final_Table[[#This Row],[Gross Profit]]-Final_Table[[#This Row],[Tax]]</f>
        <v>-2061.3599999999997</v>
      </c>
      <c r="V906" s="12">
        <f>Final_Table[[#This Row],[Net Profit]]/Final_Table[[#This Row],[Gross Revenue]]</f>
        <v>-0.10104705882352939</v>
      </c>
    </row>
    <row r="907" spans="1:22">
      <c r="A907" s="18" t="s">
        <v>74</v>
      </c>
      <c r="B907">
        <v>2014</v>
      </c>
      <c r="C907" t="s">
        <v>125</v>
      </c>
      <c r="D907">
        <v>1</v>
      </c>
      <c r="E907" s="18" t="s">
        <v>29</v>
      </c>
      <c r="F907" s="18" t="s">
        <v>108</v>
      </c>
      <c r="G907" s="18" t="s">
        <v>36</v>
      </c>
      <c r="H907" s="18" t="str">
        <f>Assumptions!$B$2</f>
        <v>Worst</v>
      </c>
      <c r="I907" s="18">
        <f>_xlfn.XLOOKUP(Assumptions!$B$2,Assumptions!$F$4:$H$4,Assumptions!$F$5:$H$5)</f>
        <v>1200</v>
      </c>
      <c r="J907" s="18">
        <f>_xlfn.XLOOKUP(Assumptions!$B$2,Assumptions!$F$4:$H$4,Assumptions!$F$6:$H$6)</f>
        <v>17</v>
      </c>
      <c r="K907" s="12">
        <f>_xlfn.XLOOKUP(Assumptions!$B$2,Assumptions!$F$4:$H$4,Assumptions!$F$8:$H$8)</f>
        <v>0.1</v>
      </c>
      <c r="L907" s="12">
        <f>_xlfn.XLOOKUP(Assumptions!$B$2,Assumptions!$F$4:$H$4,Assumptions!$F$9:$H$9)</f>
        <v>0.18</v>
      </c>
      <c r="M907" s="18">
        <f>_xlfn.XLOOKUP(Assumptions!$B$2,Assumptions!$F$4:$H$4,Assumptions!$F$10:$H$10)</f>
        <v>18000</v>
      </c>
      <c r="N907" s="12">
        <f>_xlfn.XLOOKUP(Assumptions!$B$2,Assumptions!$F$4:$H$4,Assumptions!$F$11:$H$11)</f>
        <v>0.3</v>
      </c>
      <c r="O907" s="14">
        <f>Final_Table[[#This Row],[Units Sold]]*Final_Table[[#This Row],[Sale Price]]</f>
        <v>20400</v>
      </c>
      <c r="P907" s="14">
        <f>Final_Table[[#This Row],[Gross Revenue]]*(1-Final_Table[[#This Row],[Discount %]])</f>
        <v>18360</v>
      </c>
      <c r="Q907">
        <f>Final_Table[[#This Row],[Net Revenue]]*Final_Table[[#This Row],[Variable Cost %]]</f>
        <v>3304.7999999999997</v>
      </c>
      <c r="R907">
        <f>Final_Table[[#This Row],[Variable Cost]]+Final_Table[[#This Row],[Fixed Monthly Cost]]</f>
        <v>21304.799999999999</v>
      </c>
      <c r="S907" s="5">
        <f>Final_Table[[#This Row],[Net Revenue]]-Final_Table[[#This Row],[Total Cost (COGS)]]</f>
        <v>-2944.7999999999993</v>
      </c>
      <c r="T907">
        <f>Final_Table[[#This Row],[Gross Profit]]*Final_Table[[#This Row],[Tax Rate]]</f>
        <v>-883.43999999999971</v>
      </c>
      <c r="U907" s="5">
        <f>Final_Table[[#This Row],[Gross Profit]]-Final_Table[[#This Row],[Tax]]</f>
        <v>-2061.3599999999997</v>
      </c>
      <c r="V907" s="12">
        <f>Final_Table[[#This Row],[Net Profit]]/Final_Table[[#This Row],[Gross Revenue]]</f>
        <v>-0.10104705882352939</v>
      </c>
    </row>
    <row r="908" spans="1:22">
      <c r="A908" s="18" t="s">
        <v>74</v>
      </c>
      <c r="B908">
        <v>2014</v>
      </c>
      <c r="C908" t="s">
        <v>125</v>
      </c>
      <c r="D908">
        <v>1</v>
      </c>
      <c r="E908" s="18" t="s">
        <v>29</v>
      </c>
      <c r="F908" s="18" t="s">
        <v>108</v>
      </c>
      <c r="G908" s="18" t="s">
        <v>23</v>
      </c>
      <c r="H908" s="18" t="str">
        <f>Assumptions!$B$2</f>
        <v>Worst</v>
      </c>
      <c r="I908" s="18">
        <f>_xlfn.XLOOKUP(Assumptions!$B$2,Assumptions!$F$4:$H$4,Assumptions!$F$5:$H$5)</f>
        <v>1200</v>
      </c>
      <c r="J908" s="18">
        <f>_xlfn.XLOOKUP(Assumptions!$B$2,Assumptions!$F$4:$H$4,Assumptions!$F$6:$H$6)</f>
        <v>17</v>
      </c>
      <c r="K908" s="12">
        <f>_xlfn.XLOOKUP(Assumptions!$B$2,Assumptions!$F$4:$H$4,Assumptions!$F$8:$H$8)</f>
        <v>0.1</v>
      </c>
      <c r="L908" s="12">
        <f>_xlfn.XLOOKUP(Assumptions!$B$2,Assumptions!$F$4:$H$4,Assumptions!$F$9:$H$9)</f>
        <v>0.18</v>
      </c>
      <c r="M908" s="18">
        <f>_xlfn.XLOOKUP(Assumptions!$B$2,Assumptions!$F$4:$H$4,Assumptions!$F$10:$H$10)</f>
        <v>18000</v>
      </c>
      <c r="N908" s="12">
        <f>_xlfn.XLOOKUP(Assumptions!$B$2,Assumptions!$F$4:$H$4,Assumptions!$F$11:$H$11)</f>
        <v>0.3</v>
      </c>
      <c r="O908" s="14">
        <f>Final_Table[[#This Row],[Units Sold]]*Final_Table[[#This Row],[Sale Price]]</f>
        <v>20400</v>
      </c>
      <c r="P908" s="14">
        <f>Final_Table[[#This Row],[Gross Revenue]]*(1-Final_Table[[#This Row],[Discount %]])</f>
        <v>18360</v>
      </c>
      <c r="Q908">
        <f>Final_Table[[#This Row],[Net Revenue]]*Final_Table[[#This Row],[Variable Cost %]]</f>
        <v>3304.7999999999997</v>
      </c>
      <c r="R908">
        <f>Final_Table[[#This Row],[Variable Cost]]+Final_Table[[#This Row],[Fixed Monthly Cost]]</f>
        <v>21304.799999999999</v>
      </c>
      <c r="S908" s="5">
        <f>Final_Table[[#This Row],[Net Revenue]]-Final_Table[[#This Row],[Total Cost (COGS)]]</f>
        <v>-2944.7999999999993</v>
      </c>
      <c r="T908">
        <f>Final_Table[[#This Row],[Gross Profit]]*Final_Table[[#This Row],[Tax Rate]]</f>
        <v>-883.43999999999971</v>
      </c>
      <c r="U908" s="5">
        <f>Final_Table[[#This Row],[Gross Profit]]-Final_Table[[#This Row],[Tax]]</f>
        <v>-2061.3599999999997</v>
      </c>
      <c r="V908" s="12">
        <f>Final_Table[[#This Row],[Net Profit]]/Final_Table[[#This Row],[Gross Revenue]]</f>
        <v>-0.10104705882352939</v>
      </c>
    </row>
    <row r="909" spans="1:22">
      <c r="A909" s="18" t="s">
        <v>74</v>
      </c>
      <c r="B909">
        <v>2014</v>
      </c>
      <c r="C909" t="s">
        <v>125</v>
      </c>
      <c r="D909">
        <v>1</v>
      </c>
      <c r="E909" s="18" t="s">
        <v>29</v>
      </c>
      <c r="F909" s="18" t="s">
        <v>108</v>
      </c>
      <c r="G909" s="18" t="s">
        <v>21</v>
      </c>
      <c r="H909" s="18" t="str">
        <f>Assumptions!$B$2</f>
        <v>Worst</v>
      </c>
      <c r="I909" s="18">
        <f>_xlfn.XLOOKUP(Assumptions!$B$2,Assumptions!$F$4:$H$4,Assumptions!$F$5:$H$5)</f>
        <v>1200</v>
      </c>
      <c r="J909" s="18">
        <f>_xlfn.XLOOKUP(Assumptions!$B$2,Assumptions!$F$4:$H$4,Assumptions!$F$6:$H$6)</f>
        <v>17</v>
      </c>
      <c r="K909" s="12">
        <f>_xlfn.XLOOKUP(Assumptions!$B$2,Assumptions!$F$4:$H$4,Assumptions!$F$8:$H$8)</f>
        <v>0.1</v>
      </c>
      <c r="L909" s="12">
        <f>_xlfn.XLOOKUP(Assumptions!$B$2,Assumptions!$F$4:$H$4,Assumptions!$F$9:$H$9)</f>
        <v>0.18</v>
      </c>
      <c r="M909" s="18">
        <f>_xlfn.XLOOKUP(Assumptions!$B$2,Assumptions!$F$4:$H$4,Assumptions!$F$10:$H$10)</f>
        <v>18000</v>
      </c>
      <c r="N909" s="12">
        <f>_xlfn.XLOOKUP(Assumptions!$B$2,Assumptions!$F$4:$H$4,Assumptions!$F$11:$H$11)</f>
        <v>0.3</v>
      </c>
      <c r="O909" s="14">
        <f>Final_Table[[#This Row],[Units Sold]]*Final_Table[[#This Row],[Sale Price]]</f>
        <v>20400</v>
      </c>
      <c r="P909" s="14">
        <f>Final_Table[[#This Row],[Gross Revenue]]*(1-Final_Table[[#This Row],[Discount %]])</f>
        <v>18360</v>
      </c>
      <c r="Q909">
        <f>Final_Table[[#This Row],[Net Revenue]]*Final_Table[[#This Row],[Variable Cost %]]</f>
        <v>3304.7999999999997</v>
      </c>
      <c r="R909">
        <f>Final_Table[[#This Row],[Variable Cost]]+Final_Table[[#This Row],[Fixed Monthly Cost]]</f>
        <v>21304.799999999999</v>
      </c>
      <c r="S909" s="5">
        <f>Final_Table[[#This Row],[Net Revenue]]-Final_Table[[#This Row],[Total Cost (COGS)]]</f>
        <v>-2944.7999999999993</v>
      </c>
      <c r="T909">
        <f>Final_Table[[#This Row],[Gross Profit]]*Final_Table[[#This Row],[Tax Rate]]</f>
        <v>-883.43999999999971</v>
      </c>
      <c r="U909" s="5">
        <f>Final_Table[[#This Row],[Gross Profit]]-Final_Table[[#This Row],[Tax]]</f>
        <v>-2061.3599999999997</v>
      </c>
      <c r="V909" s="12">
        <f>Final_Table[[#This Row],[Net Profit]]/Final_Table[[#This Row],[Gross Revenue]]</f>
        <v>-0.10104705882352939</v>
      </c>
    </row>
    <row r="910" spans="1:22">
      <c r="A910" s="18" t="s">
        <v>74</v>
      </c>
      <c r="B910">
        <v>2014</v>
      </c>
      <c r="C910" t="s">
        <v>125</v>
      </c>
      <c r="D910">
        <v>1</v>
      </c>
      <c r="E910" s="18" t="s">
        <v>29</v>
      </c>
      <c r="F910" s="18" t="s">
        <v>108</v>
      </c>
      <c r="G910" s="18" t="s">
        <v>25</v>
      </c>
      <c r="H910" s="18" t="str">
        <f>Assumptions!$B$2</f>
        <v>Worst</v>
      </c>
      <c r="I910" s="18">
        <f>_xlfn.XLOOKUP(Assumptions!$B$2,Assumptions!$F$4:$H$4,Assumptions!$F$5:$H$5)</f>
        <v>1200</v>
      </c>
      <c r="J910" s="18">
        <f>_xlfn.XLOOKUP(Assumptions!$B$2,Assumptions!$F$4:$H$4,Assumptions!$F$6:$H$6)</f>
        <v>17</v>
      </c>
      <c r="K910" s="12">
        <f>_xlfn.XLOOKUP(Assumptions!$B$2,Assumptions!$F$4:$H$4,Assumptions!$F$8:$H$8)</f>
        <v>0.1</v>
      </c>
      <c r="L910" s="12">
        <f>_xlfn.XLOOKUP(Assumptions!$B$2,Assumptions!$F$4:$H$4,Assumptions!$F$9:$H$9)</f>
        <v>0.18</v>
      </c>
      <c r="M910" s="18">
        <f>_xlfn.XLOOKUP(Assumptions!$B$2,Assumptions!$F$4:$H$4,Assumptions!$F$10:$H$10)</f>
        <v>18000</v>
      </c>
      <c r="N910" s="12">
        <f>_xlfn.XLOOKUP(Assumptions!$B$2,Assumptions!$F$4:$H$4,Assumptions!$F$11:$H$11)</f>
        <v>0.3</v>
      </c>
      <c r="O910" s="14">
        <f>Final_Table[[#This Row],[Units Sold]]*Final_Table[[#This Row],[Sale Price]]</f>
        <v>20400</v>
      </c>
      <c r="P910" s="14">
        <f>Final_Table[[#This Row],[Gross Revenue]]*(1-Final_Table[[#This Row],[Discount %]])</f>
        <v>18360</v>
      </c>
      <c r="Q910">
        <f>Final_Table[[#This Row],[Net Revenue]]*Final_Table[[#This Row],[Variable Cost %]]</f>
        <v>3304.7999999999997</v>
      </c>
      <c r="R910">
        <f>Final_Table[[#This Row],[Variable Cost]]+Final_Table[[#This Row],[Fixed Monthly Cost]]</f>
        <v>21304.799999999999</v>
      </c>
      <c r="S910" s="5">
        <f>Final_Table[[#This Row],[Net Revenue]]-Final_Table[[#This Row],[Total Cost (COGS)]]</f>
        <v>-2944.7999999999993</v>
      </c>
      <c r="T910">
        <f>Final_Table[[#This Row],[Gross Profit]]*Final_Table[[#This Row],[Tax Rate]]</f>
        <v>-883.43999999999971</v>
      </c>
      <c r="U910" s="5">
        <f>Final_Table[[#This Row],[Gross Profit]]-Final_Table[[#This Row],[Tax]]</f>
        <v>-2061.3599999999997</v>
      </c>
      <c r="V910" s="12">
        <f>Final_Table[[#This Row],[Net Profit]]/Final_Table[[#This Row],[Gross Revenue]]</f>
        <v>-0.10104705882352939</v>
      </c>
    </row>
    <row r="911" spans="1:22">
      <c r="A911" s="18" t="s">
        <v>74</v>
      </c>
      <c r="B911">
        <v>2014</v>
      </c>
      <c r="C911" t="s">
        <v>125</v>
      </c>
      <c r="D911">
        <v>1</v>
      </c>
      <c r="E911" s="18" t="s">
        <v>29</v>
      </c>
      <c r="F911" s="18" t="s">
        <v>108</v>
      </c>
      <c r="G911" s="18" t="s">
        <v>17</v>
      </c>
      <c r="H911" s="18" t="str">
        <f>Assumptions!$B$2</f>
        <v>Worst</v>
      </c>
      <c r="I911" s="18">
        <f>_xlfn.XLOOKUP(Assumptions!$B$2,Assumptions!$F$4:$H$4,Assumptions!$F$5:$H$5)</f>
        <v>1200</v>
      </c>
      <c r="J911" s="18">
        <f>_xlfn.XLOOKUP(Assumptions!$B$2,Assumptions!$F$4:$H$4,Assumptions!$F$6:$H$6)</f>
        <v>17</v>
      </c>
      <c r="K911" s="12">
        <f>_xlfn.XLOOKUP(Assumptions!$B$2,Assumptions!$F$4:$H$4,Assumptions!$F$8:$H$8)</f>
        <v>0.1</v>
      </c>
      <c r="L911" s="12">
        <f>_xlfn.XLOOKUP(Assumptions!$B$2,Assumptions!$F$4:$H$4,Assumptions!$F$9:$H$9)</f>
        <v>0.18</v>
      </c>
      <c r="M911" s="18">
        <f>_xlfn.XLOOKUP(Assumptions!$B$2,Assumptions!$F$4:$H$4,Assumptions!$F$10:$H$10)</f>
        <v>18000</v>
      </c>
      <c r="N911" s="12">
        <f>_xlfn.XLOOKUP(Assumptions!$B$2,Assumptions!$F$4:$H$4,Assumptions!$F$11:$H$11)</f>
        <v>0.3</v>
      </c>
      <c r="O911" s="14">
        <f>Final_Table[[#This Row],[Units Sold]]*Final_Table[[#This Row],[Sale Price]]</f>
        <v>20400</v>
      </c>
      <c r="P911" s="14">
        <f>Final_Table[[#This Row],[Gross Revenue]]*(1-Final_Table[[#This Row],[Discount %]])</f>
        <v>18360</v>
      </c>
      <c r="Q911">
        <f>Final_Table[[#This Row],[Net Revenue]]*Final_Table[[#This Row],[Variable Cost %]]</f>
        <v>3304.7999999999997</v>
      </c>
      <c r="R911">
        <f>Final_Table[[#This Row],[Variable Cost]]+Final_Table[[#This Row],[Fixed Monthly Cost]]</f>
        <v>21304.799999999999</v>
      </c>
      <c r="S911" s="5">
        <f>Final_Table[[#This Row],[Net Revenue]]-Final_Table[[#This Row],[Total Cost (COGS)]]</f>
        <v>-2944.7999999999993</v>
      </c>
      <c r="T911">
        <f>Final_Table[[#This Row],[Gross Profit]]*Final_Table[[#This Row],[Tax Rate]]</f>
        <v>-883.43999999999971</v>
      </c>
      <c r="U911" s="5">
        <f>Final_Table[[#This Row],[Gross Profit]]-Final_Table[[#This Row],[Tax]]</f>
        <v>-2061.3599999999997</v>
      </c>
      <c r="V911" s="12">
        <f>Final_Table[[#This Row],[Net Profit]]/Final_Table[[#This Row],[Gross Revenue]]</f>
        <v>-0.10104705882352939</v>
      </c>
    </row>
    <row r="912" spans="1:22">
      <c r="A912" s="18" t="s">
        <v>74</v>
      </c>
      <c r="B912">
        <v>2014</v>
      </c>
      <c r="C912" t="s">
        <v>125</v>
      </c>
      <c r="D912">
        <v>1</v>
      </c>
      <c r="E912" s="18" t="s">
        <v>29</v>
      </c>
      <c r="F912" s="18" t="s">
        <v>112</v>
      </c>
      <c r="G912" s="18" t="s">
        <v>36</v>
      </c>
      <c r="H912" s="18" t="str">
        <f>Assumptions!$B$2</f>
        <v>Worst</v>
      </c>
      <c r="I912" s="18">
        <f>_xlfn.XLOOKUP(Assumptions!$B$2,Assumptions!$F$4:$H$4,Assumptions!$F$5:$H$5)</f>
        <v>1200</v>
      </c>
      <c r="J912" s="18">
        <f>_xlfn.XLOOKUP(Assumptions!$B$2,Assumptions!$F$4:$H$4,Assumptions!$F$6:$H$6)</f>
        <v>17</v>
      </c>
      <c r="K912" s="12">
        <f>_xlfn.XLOOKUP(Assumptions!$B$2,Assumptions!$F$4:$H$4,Assumptions!$F$8:$H$8)</f>
        <v>0.1</v>
      </c>
      <c r="L912" s="12">
        <f>_xlfn.XLOOKUP(Assumptions!$B$2,Assumptions!$F$4:$H$4,Assumptions!$F$9:$H$9)</f>
        <v>0.18</v>
      </c>
      <c r="M912" s="18">
        <f>_xlfn.XLOOKUP(Assumptions!$B$2,Assumptions!$F$4:$H$4,Assumptions!$F$10:$H$10)</f>
        <v>18000</v>
      </c>
      <c r="N912" s="12">
        <f>_xlfn.XLOOKUP(Assumptions!$B$2,Assumptions!$F$4:$H$4,Assumptions!$F$11:$H$11)</f>
        <v>0.3</v>
      </c>
      <c r="O912" s="14">
        <f>Final_Table[[#This Row],[Units Sold]]*Final_Table[[#This Row],[Sale Price]]</f>
        <v>20400</v>
      </c>
      <c r="P912" s="14">
        <f>Final_Table[[#This Row],[Gross Revenue]]*(1-Final_Table[[#This Row],[Discount %]])</f>
        <v>18360</v>
      </c>
      <c r="Q912">
        <f>Final_Table[[#This Row],[Net Revenue]]*Final_Table[[#This Row],[Variable Cost %]]</f>
        <v>3304.7999999999997</v>
      </c>
      <c r="R912">
        <f>Final_Table[[#This Row],[Variable Cost]]+Final_Table[[#This Row],[Fixed Monthly Cost]]</f>
        <v>21304.799999999999</v>
      </c>
      <c r="S912" s="5">
        <f>Final_Table[[#This Row],[Net Revenue]]-Final_Table[[#This Row],[Total Cost (COGS)]]</f>
        <v>-2944.7999999999993</v>
      </c>
      <c r="T912">
        <f>Final_Table[[#This Row],[Gross Profit]]*Final_Table[[#This Row],[Tax Rate]]</f>
        <v>-883.43999999999971</v>
      </c>
      <c r="U912" s="5">
        <f>Final_Table[[#This Row],[Gross Profit]]-Final_Table[[#This Row],[Tax]]</f>
        <v>-2061.3599999999997</v>
      </c>
      <c r="V912" s="12">
        <f>Final_Table[[#This Row],[Net Profit]]/Final_Table[[#This Row],[Gross Revenue]]</f>
        <v>-0.10104705882352939</v>
      </c>
    </row>
    <row r="913" spans="1:22">
      <c r="A913" s="18" t="s">
        <v>74</v>
      </c>
      <c r="B913">
        <v>2014</v>
      </c>
      <c r="C913" t="s">
        <v>125</v>
      </c>
      <c r="D913">
        <v>1</v>
      </c>
      <c r="E913" s="18" t="s">
        <v>29</v>
      </c>
      <c r="F913" s="18" t="s">
        <v>112</v>
      </c>
      <c r="G913" s="18" t="s">
        <v>23</v>
      </c>
      <c r="H913" s="18" t="str">
        <f>Assumptions!$B$2</f>
        <v>Worst</v>
      </c>
      <c r="I913" s="18">
        <f>_xlfn.XLOOKUP(Assumptions!$B$2,Assumptions!$F$4:$H$4,Assumptions!$F$5:$H$5)</f>
        <v>1200</v>
      </c>
      <c r="J913" s="18">
        <f>_xlfn.XLOOKUP(Assumptions!$B$2,Assumptions!$F$4:$H$4,Assumptions!$F$6:$H$6)</f>
        <v>17</v>
      </c>
      <c r="K913" s="12">
        <f>_xlfn.XLOOKUP(Assumptions!$B$2,Assumptions!$F$4:$H$4,Assumptions!$F$8:$H$8)</f>
        <v>0.1</v>
      </c>
      <c r="L913" s="12">
        <f>_xlfn.XLOOKUP(Assumptions!$B$2,Assumptions!$F$4:$H$4,Assumptions!$F$9:$H$9)</f>
        <v>0.18</v>
      </c>
      <c r="M913" s="18">
        <f>_xlfn.XLOOKUP(Assumptions!$B$2,Assumptions!$F$4:$H$4,Assumptions!$F$10:$H$10)</f>
        <v>18000</v>
      </c>
      <c r="N913" s="12">
        <f>_xlfn.XLOOKUP(Assumptions!$B$2,Assumptions!$F$4:$H$4,Assumptions!$F$11:$H$11)</f>
        <v>0.3</v>
      </c>
      <c r="O913" s="14">
        <f>Final_Table[[#This Row],[Units Sold]]*Final_Table[[#This Row],[Sale Price]]</f>
        <v>20400</v>
      </c>
      <c r="P913" s="14">
        <f>Final_Table[[#This Row],[Gross Revenue]]*(1-Final_Table[[#This Row],[Discount %]])</f>
        <v>18360</v>
      </c>
      <c r="Q913">
        <f>Final_Table[[#This Row],[Net Revenue]]*Final_Table[[#This Row],[Variable Cost %]]</f>
        <v>3304.7999999999997</v>
      </c>
      <c r="R913">
        <f>Final_Table[[#This Row],[Variable Cost]]+Final_Table[[#This Row],[Fixed Monthly Cost]]</f>
        <v>21304.799999999999</v>
      </c>
      <c r="S913" s="5">
        <f>Final_Table[[#This Row],[Net Revenue]]-Final_Table[[#This Row],[Total Cost (COGS)]]</f>
        <v>-2944.7999999999993</v>
      </c>
      <c r="T913">
        <f>Final_Table[[#This Row],[Gross Profit]]*Final_Table[[#This Row],[Tax Rate]]</f>
        <v>-883.43999999999971</v>
      </c>
      <c r="U913" s="5">
        <f>Final_Table[[#This Row],[Gross Profit]]-Final_Table[[#This Row],[Tax]]</f>
        <v>-2061.3599999999997</v>
      </c>
      <c r="V913" s="12">
        <f>Final_Table[[#This Row],[Net Profit]]/Final_Table[[#This Row],[Gross Revenue]]</f>
        <v>-0.10104705882352939</v>
      </c>
    </row>
    <row r="914" spans="1:22">
      <c r="A914" s="18" t="s">
        <v>74</v>
      </c>
      <c r="B914">
        <v>2014</v>
      </c>
      <c r="C914" t="s">
        <v>125</v>
      </c>
      <c r="D914">
        <v>1</v>
      </c>
      <c r="E914" s="18" t="s">
        <v>29</v>
      </c>
      <c r="F914" s="18" t="s">
        <v>112</v>
      </c>
      <c r="G914" s="18" t="s">
        <v>21</v>
      </c>
      <c r="H914" s="18" t="str">
        <f>Assumptions!$B$2</f>
        <v>Worst</v>
      </c>
      <c r="I914" s="18">
        <f>_xlfn.XLOOKUP(Assumptions!$B$2,Assumptions!$F$4:$H$4,Assumptions!$F$5:$H$5)</f>
        <v>1200</v>
      </c>
      <c r="J914" s="18">
        <f>_xlfn.XLOOKUP(Assumptions!$B$2,Assumptions!$F$4:$H$4,Assumptions!$F$6:$H$6)</f>
        <v>17</v>
      </c>
      <c r="K914" s="12">
        <f>_xlfn.XLOOKUP(Assumptions!$B$2,Assumptions!$F$4:$H$4,Assumptions!$F$8:$H$8)</f>
        <v>0.1</v>
      </c>
      <c r="L914" s="12">
        <f>_xlfn.XLOOKUP(Assumptions!$B$2,Assumptions!$F$4:$H$4,Assumptions!$F$9:$H$9)</f>
        <v>0.18</v>
      </c>
      <c r="M914" s="18">
        <f>_xlfn.XLOOKUP(Assumptions!$B$2,Assumptions!$F$4:$H$4,Assumptions!$F$10:$H$10)</f>
        <v>18000</v>
      </c>
      <c r="N914" s="12">
        <f>_xlfn.XLOOKUP(Assumptions!$B$2,Assumptions!$F$4:$H$4,Assumptions!$F$11:$H$11)</f>
        <v>0.3</v>
      </c>
      <c r="O914" s="14">
        <f>Final_Table[[#This Row],[Units Sold]]*Final_Table[[#This Row],[Sale Price]]</f>
        <v>20400</v>
      </c>
      <c r="P914" s="14">
        <f>Final_Table[[#This Row],[Gross Revenue]]*(1-Final_Table[[#This Row],[Discount %]])</f>
        <v>18360</v>
      </c>
      <c r="Q914">
        <f>Final_Table[[#This Row],[Net Revenue]]*Final_Table[[#This Row],[Variable Cost %]]</f>
        <v>3304.7999999999997</v>
      </c>
      <c r="R914">
        <f>Final_Table[[#This Row],[Variable Cost]]+Final_Table[[#This Row],[Fixed Monthly Cost]]</f>
        <v>21304.799999999999</v>
      </c>
      <c r="S914" s="5">
        <f>Final_Table[[#This Row],[Net Revenue]]-Final_Table[[#This Row],[Total Cost (COGS)]]</f>
        <v>-2944.7999999999993</v>
      </c>
      <c r="T914">
        <f>Final_Table[[#This Row],[Gross Profit]]*Final_Table[[#This Row],[Tax Rate]]</f>
        <v>-883.43999999999971</v>
      </c>
      <c r="U914" s="5">
        <f>Final_Table[[#This Row],[Gross Profit]]-Final_Table[[#This Row],[Tax]]</f>
        <v>-2061.3599999999997</v>
      </c>
      <c r="V914" s="12">
        <f>Final_Table[[#This Row],[Net Profit]]/Final_Table[[#This Row],[Gross Revenue]]</f>
        <v>-0.10104705882352939</v>
      </c>
    </row>
    <row r="915" spans="1:22">
      <c r="A915" s="18" t="s">
        <v>74</v>
      </c>
      <c r="B915">
        <v>2014</v>
      </c>
      <c r="C915" t="s">
        <v>125</v>
      </c>
      <c r="D915">
        <v>1</v>
      </c>
      <c r="E915" s="18" t="s">
        <v>29</v>
      </c>
      <c r="F915" s="18" t="s">
        <v>112</v>
      </c>
      <c r="G915" s="18" t="s">
        <v>25</v>
      </c>
      <c r="H915" s="18" t="str">
        <f>Assumptions!$B$2</f>
        <v>Worst</v>
      </c>
      <c r="I915" s="18">
        <f>_xlfn.XLOOKUP(Assumptions!$B$2,Assumptions!$F$4:$H$4,Assumptions!$F$5:$H$5)</f>
        <v>1200</v>
      </c>
      <c r="J915" s="18">
        <f>_xlfn.XLOOKUP(Assumptions!$B$2,Assumptions!$F$4:$H$4,Assumptions!$F$6:$H$6)</f>
        <v>17</v>
      </c>
      <c r="K915" s="12">
        <f>_xlfn.XLOOKUP(Assumptions!$B$2,Assumptions!$F$4:$H$4,Assumptions!$F$8:$H$8)</f>
        <v>0.1</v>
      </c>
      <c r="L915" s="12">
        <f>_xlfn.XLOOKUP(Assumptions!$B$2,Assumptions!$F$4:$H$4,Assumptions!$F$9:$H$9)</f>
        <v>0.18</v>
      </c>
      <c r="M915" s="18">
        <f>_xlfn.XLOOKUP(Assumptions!$B$2,Assumptions!$F$4:$H$4,Assumptions!$F$10:$H$10)</f>
        <v>18000</v>
      </c>
      <c r="N915" s="12">
        <f>_xlfn.XLOOKUP(Assumptions!$B$2,Assumptions!$F$4:$H$4,Assumptions!$F$11:$H$11)</f>
        <v>0.3</v>
      </c>
      <c r="O915" s="14">
        <f>Final_Table[[#This Row],[Units Sold]]*Final_Table[[#This Row],[Sale Price]]</f>
        <v>20400</v>
      </c>
      <c r="P915" s="14">
        <f>Final_Table[[#This Row],[Gross Revenue]]*(1-Final_Table[[#This Row],[Discount %]])</f>
        <v>18360</v>
      </c>
      <c r="Q915">
        <f>Final_Table[[#This Row],[Net Revenue]]*Final_Table[[#This Row],[Variable Cost %]]</f>
        <v>3304.7999999999997</v>
      </c>
      <c r="R915">
        <f>Final_Table[[#This Row],[Variable Cost]]+Final_Table[[#This Row],[Fixed Monthly Cost]]</f>
        <v>21304.799999999999</v>
      </c>
      <c r="S915" s="5">
        <f>Final_Table[[#This Row],[Net Revenue]]-Final_Table[[#This Row],[Total Cost (COGS)]]</f>
        <v>-2944.7999999999993</v>
      </c>
      <c r="T915">
        <f>Final_Table[[#This Row],[Gross Profit]]*Final_Table[[#This Row],[Tax Rate]]</f>
        <v>-883.43999999999971</v>
      </c>
      <c r="U915" s="5">
        <f>Final_Table[[#This Row],[Gross Profit]]-Final_Table[[#This Row],[Tax]]</f>
        <v>-2061.3599999999997</v>
      </c>
      <c r="V915" s="12">
        <f>Final_Table[[#This Row],[Net Profit]]/Final_Table[[#This Row],[Gross Revenue]]</f>
        <v>-0.10104705882352939</v>
      </c>
    </row>
    <row r="916" spans="1:22">
      <c r="A916" s="18" t="s">
        <v>74</v>
      </c>
      <c r="B916">
        <v>2014</v>
      </c>
      <c r="C916" t="s">
        <v>125</v>
      </c>
      <c r="D916">
        <v>1</v>
      </c>
      <c r="E916" s="18" t="s">
        <v>29</v>
      </c>
      <c r="F916" s="18" t="s">
        <v>112</v>
      </c>
      <c r="G916" s="18" t="s">
        <v>17</v>
      </c>
      <c r="H916" s="18" t="str">
        <f>Assumptions!$B$2</f>
        <v>Worst</v>
      </c>
      <c r="I916" s="18">
        <f>_xlfn.XLOOKUP(Assumptions!$B$2,Assumptions!$F$4:$H$4,Assumptions!$F$5:$H$5)</f>
        <v>1200</v>
      </c>
      <c r="J916" s="18">
        <f>_xlfn.XLOOKUP(Assumptions!$B$2,Assumptions!$F$4:$H$4,Assumptions!$F$6:$H$6)</f>
        <v>17</v>
      </c>
      <c r="K916" s="12">
        <f>_xlfn.XLOOKUP(Assumptions!$B$2,Assumptions!$F$4:$H$4,Assumptions!$F$8:$H$8)</f>
        <v>0.1</v>
      </c>
      <c r="L916" s="12">
        <f>_xlfn.XLOOKUP(Assumptions!$B$2,Assumptions!$F$4:$H$4,Assumptions!$F$9:$H$9)</f>
        <v>0.18</v>
      </c>
      <c r="M916" s="18">
        <f>_xlfn.XLOOKUP(Assumptions!$B$2,Assumptions!$F$4:$H$4,Assumptions!$F$10:$H$10)</f>
        <v>18000</v>
      </c>
      <c r="N916" s="12">
        <f>_xlfn.XLOOKUP(Assumptions!$B$2,Assumptions!$F$4:$H$4,Assumptions!$F$11:$H$11)</f>
        <v>0.3</v>
      </c>
      <c r="O916" s="14">
        <f>Final_Table[[#This Row],[Units Sold]]*Final_Table[[#This Row],[Sale Price]]</f>
        <v>20400</v>
      </c>
      <c r="P916" s="14">
        <f>Final_Table[[#This Row],[Gross Revenue]]*(1-Final_Table[[#This Row],[Discount %]])</f>
        <v>18360</v>
      </c>
      <c r="Q916">
        <f>Final_Table[[#This Row],[Net Revenue]]*Final_Table[[#This Row],[Variable Cost %]]</f>
        <v>3304.7999999999997</v>
      </c>
      <c r="R916">
        <f>Final_Table[[#This Row],[Variable Cost]]+Final_Table[[#This Row],[Fixed Monthly Cost]]</f>
        <v>21304.799999999999</v>
      </c>
      <c r="S916" s="5">
        <f>Final_Table[[#This Row],[Net Revenue]]-Final_Table[[#This Row],[Total Cost (COGS)]]</f>
        <v>-2944.7999999999993</v>
      </c>
      <c r="T916">
        <f>Final_Table[[#This Row],[Gross Profit]]*Final_Table[[#This Row],[Tax Rate]]</f>
        <v>-883.43999999999971</v>
      </c>
      <c r="U916" s="5">
        <f>Final_Table[[#This Row],[Gross Profit]]-Final_Table[[#This Row],[Tax]]</f>
        <v>-2061.3599999999997</v>
      </c>
      <c r="V916" s="12">
        <f>Final_Table[[#This Row],[Net Profit]]/Final_Table[[#This Row],[Gross Revenue]]</f>
        <v>-0.10104705882352939</v>
      </c>
    </row>
    <row r="917" spans="1:22">
      <c r="A917" s="18" t="s">
        <v>74</v>
      </c>
      <c r="B917">
        <v>2014</v>
      </c>
      <c r="C917" t="s">
        <v>125</v>
      </c>
      <c r="D917">
        <v>1</v>
      </c>
      <c r="E917" s="18" t="s">
        <v>29</v>
      </c>
      <c r="F917" s="18" t="s">
        <v>113</v>
      </c>
      <c r="G917" s="18" t="s">
        <v>36</v>
      </c>
      <c r="H917" s="18" t="str">
        <f>Assumptions!$B$2</f>
        <v>Worst</v>
      </c>
      <c r="I917" s="18">
        <f>_xlfn.XLOOKUP(Assumptions!$B$2,Assumptions!$F$4:$H$4,Assumptions!$F$5:$H$5)</f>
        <v>1200</v>
      </c>
      <c r="J917" s="18">
        <f>_xlfn.XLOOKUP(Assumptions!$B$2,Assumptions!$F$4:$H$4,Assumptions!$F$6:$H$6)</f>
        <v>17</v>
      </c>
      <c r="K917" s="12">
        <f>_xlfn.XLOOKUP(Assumptions!$B$2,Assumptions!$F$4:$H$4,Assumptions!$F$8:$H$8)</f>
        <v>0.1</v>
      </c>
      <c r="L917" s="12">
        <f>_xlfn.XLOOKUP(Assumptions!$B$2,Assumptions!$F$4:$H$4,Assumptions!$F$9:$H$9)</f>
        <v>0.18</v>
      </c>
      <c r="M917" s="18">
        <f>_xlfn.XLOOKUP(Assumptions!$B$2,Assumptions!$F$4:$H$4,Assumptions!$F$10:$H$10)</f>
        <v>18000</v>
      </c>
      <c r="N917" s="12">
        <f>_xlfn.XLOOKUP(Assumptions!$B$2,Assumptions!$F$4:$H$4,Assumptions!$F$11:$H$11)</f>
        <v>0.3</v>
      </c>
      <c r="O917" s="14">
        <f>Final_Table[[#This Row],[Units Sold]]*Final_Table[[#This Row],[Sale Price]]</f>
        <v>20400</v>
      </c>
      <c r="P917" s="14">
        <f>Final_Table[[#This Row],[Gross Revenue]]*(1-Final_Table[[#This Row],[Discount %]])</f>
        <v>18360</v>
      </c>
      <c r="Q917">
        <f>Final_Table[[#This Row],[Net Revenue]]*Final_Table[[#This Row],[Variable Cost %]]</f>
        <v>3304.7999999999997</v>
      </c>
      <c r="R917">
        <f>Final_Table[[#This Row],[Variable Cost]]+Final_Table[[#This Row],[Fixed Monthly Cost]]</f>
        <v>21304.799999999999</v>
      </c>
      <c r="S917" s="5">
        <f>Final_Table[[#This Row],[Net Revenue]]-Final_Table[[#This Row],[Total Cost (COGS)]]</f>
        <v>-2944.7999999999993</v>
      </c>
      <c r="T917">
        <f>Final_Table[[#This Row],[Gross Profit]]*Final_Table[[#This Row],[Tax Rate]]</f>
        <v>-883.43999999999971</v>
      </c>
      <c r="U917" s="5">
        <f>Final_Table[[#This Row],[Gross Profit]]-Final_Table[[#This Row],[Tax]]</f>
        <v>-2061.3599999999997</v>
      </c>
      <c r="V917" s="12">
        <f>Final_Table[[#This Row],[Net Profit]]/Final_Table[[#This Row],[Gross Revenue]]</f>
        <v>-0.10104705882352939</v>
      </c>
    </row>
    <row r="918" spans="1:22">
      <c r="A918" s="18" t="s">
        <v>74</v>
      </c>
      <c r="B918">
        <v>2014</v>
      </c>
      <c r="C918" t="s">
        <v>125</v>
      </c>
      <c r="D918">
        <v>1</v>
      </c>
      <c r="E918" s="18" t="s">
        <v>29</v>
      </c>
      <c r="F918" s="18" t="s">
        <v>113</v>
      </c>
      <c r="G918" s="18" t="s">
        <v>23</v>
      </c>
      <c r="H918" s="18" t="str">
        <f>Assumptions!$B$2</f>
        <v>Worst</v>
      </c>
      <c r="I918" s="18">
        <f>_xlfn.XLOOKUP(Assumptions!$B$2,Assumptions!$F$4:$H$4,Assumptions!$F$5:$H$5)</f>
        <v>1200</v>
      </c>
      <c r="J918" s="18">
        <f>_xlfn.XLOOKUP(Assumptions!$B$2,Assumptions!$F$4:$H$4,Assumptions!$F$6:$H$6)</f>
        <v>17</v>
      </c>
      <c r="K918" s="12">
        <f>_xlfn.XLOOKUP(Assumptions!$B$2,Assumptions!$F$4:$H$4,Assumptions!$F$8:$H$8)</f>
        <v>0.1</v>
      </c>
      <c r="L918" s="12">
        <f>_xlfn.XLOOKUP(Assumptions!$B$2,Assumptions!$F$4:$H$4,Assumptions!$F$9:$H$9)</f>
        <v>0.18</v>
      </c>
      <c r="M918" s="18">
        <f>_xlfn.XLOOKUP(Assumptions!$B$2,Assumptions!$F$4:$H$4,Assumptions!$F$10:$H$10)</f>
        <v>18000</v>
      </c>
      <c r="N918" s="12">
        <f>_xlfn.XLOOKUP(Assumptions!$B$2,Assumptions!$F$4:$H$4,Assumptions!$F$11:$H$11)</f>
        <v>0.3</v>
      </c>
      <c r="O918" s="14">
        <f>Final_Table[[#This Row],[Units Sold]]*Final_Table[[#This Row],[Sale Price]]</f>
        <v>20400</v>
      </c>
      <c r="P918" s="14">
        <f>Final_Table[[#This Row],[Gross Revenue]]*(1-Final_Table[[#This Row],[Discount %]])</f>
        <v>18360</v>
      </c>
      <c r="Q918">
        <f>Final_Table[[#This Row],[Net Revenue]]*Final_Table[[#This Row],[Variable Cost %]]</f>
        <v>3304.7999999999997</v>
      </c>
      <c r="R918">
        <f>Final_Table[[#This Row],[Variable Cost]]+Final_Table[[#This Row],[Fixed Monthly Cost]]</f>
        <v>21304.799999999999</v>
      </c>
      <c r="S918" s="5">
        <f>Final_Table[[#This Row],[Net Revenue]]-Final_Table[[#This Row],[Total Cost (COGS)]]</f>
        <v>-2944.7999999999993</v>
      </c>
      <c r="T918">
        <f>Final_Table[[#This Row],[Gross Profit]]*Final_Table[[#This Row],[Tax Rate]]</f>
        <v>-883.43999999999971</v>
      </c>
      <c r="U918" s="5">
        <f>Final_Table[[#This Row],[Gross Profit]]-Final_Table[[#This Row],[Tax]]</f>
        <v>-2061.3599999999997</v>
      </c>
      <c r="V918" s="12">
        <f>Final_Table[[#This Row],[Net Profit]]/Final_Table[[#This Row],[Gross Revenue]]</f>
        <v>-0.10104705882352939</v>
      </c>
    </row>
    <row r="919" spans="1:22">
      <c r="A919" s="18" t="s">
        <v>74</v>
      </c>
      <c r="B919">
        <v>2014</v>
      </c>
      <c r="C919" t="s">
        <v>125</v>
      </c>
      <c r="D919">
        <v>1</v>
      </c>
      <c r="E919" s="18" t="s">
        <v>29</v>
      </c>
      <c r="F919" s="18" t="s">
        <v>113</v>
      </c>
      <c r="G919" s="18" t="s">
        <v>21</v>
      </c>
      <c r="H919" s="18" t="str">
        <f>Assumptions!$B$2</f>
        <v>Worst</v>
      </c>
      <c r="I919" s="18">
        <f>_xlfn.XLOOKUP(Assumptions!$B$2,Assumptions!$F$4:$H$4,Assumptions!$F$5:$H$5)</f>
        <v>1200</v>
      </c>
      <c r="J919" s="18">
        <f>_xlfn.XLOOKUP(Assumptions!$B$2,Assumptions!$F$4:$H$4,Assumptions!$F$6:$H$6)</f>
        <v>17</v>
      </c>
      <c r="K919" s="12">
        <f>_xlfn.XLOOKUP(Assumptions!$B$2,Assumptions!$F$4:$H$4,Assumptions!$F$8:$H$8)</f>
        <v>0.1</v>
      </c>
      <c r="L919" s="12">
        <f>_xlfn.XLOOKUP(Assumptions!$B$2,Assumptions!$F$4:$H$4,Assumptions!$F$9:$H$9)</f>
        <v>0.18</v>
      </c>
      <c r="M919" s="18">
        <f>_xlfn.XLOOKUP(Assumptions!$B$2,Assumptions!$F$4:$H$4,Assumptions!$F$10:$H$10)</f>
        <v>18000</v>
      </c>
      <c r="N919" s="12">
        <f>_xlfn.XLOOKUP(Assumptions!$B$2,Assumptions!$F$4:$H$4,Assumptions!$F$11:$H$11)</f>
        <v>0.3</v>
      </c>
      <c r="O919" s="14">
        <f>Final_Table[[#This Row],[Units Sold]]*Final_Table[[#This Row],[Sale Price]]</f>
        <v>20400</v>
      </c>
      <c r="P919" s="14">
        <f>Final_Table[[#This Row],[Gross Revenue]]*(1-Final_Table[[#This Row],[Discount %]])</f>
        <v>18360</v>
      </c>
      <c r="Q919">
        <f>Final_Table[[#This Row],[Net Revenue]]*Final_Table[[#This Row],[Variable Cost %]]</f>
        <v>3304.7999999999997</v>
      </c>
      <c r="R919">
        <f>Final_Table[[#This Row],[Variable Cost]]+Final_Table[[#This Row],[Fixed Monthly Cost]]</f>
        <v>21304.799999999999</v>
      </c>
      <c r="S919" s="5">
        <f>Final_Table[[#This Row],[Net Revenue]]-Final_Table[[#This Row],[Total Cost (COGS)]]</f>
        <v>-2944.7999999999993</v>
      </c>
      <c r="T919">
        <f>Final_Table[[#This Row],[Gross Profit]]*Final_Table[[#This Row],[Tax Rate]]</f>
        <v>-883.43999999999971</v>
      </c>
      <c r="U919" s="5">
        <f>Final_Table[[#This Row],[Gross Profit]]-Final_Table[[#This Row],[Tax]]</f>
        <v>-2061.3599999999997</v>
      </c>
      <c r="V919" s="12">
        <f>Final_Table[[#This Row],[Net Profit]]/Final_Table[[#This Row],[Gross Revenue]]</f>
        <v>-0.10104705882352939</v>
      </c>
    </row>
    <row r="920" spans="1:22">
      <c r="A920" s="18" t="s">
        <v>74</v>
      </c>
      <c r="B920">
        <v>2014</v>
      </c>
      <c r="C920" t="s">
        <v>125</v>
      </c>
      <c r="D920">
        <v>1</v>
      </c>
      <c r="E920" s="18" t="s">
        <v>29</v>
      </c>
      <c r="F920" s="18" t="s">
        <v>113</v>
      </c>
      <c r="G920" s="18" t="s">
        <v>25</v>
      </c>
      <c r="H920" s="18" t="str">
        <f>Assumptions!$B$2</f>
        <v>Worst</v>
      </c>
      <c r="I920" s="18">
        <f>_xlfn.XLOOKUP(Assumptions!$B$2,Assumptions!$F$4:$H$4,Assumptions!$F$5:$H$5)</f>
        <v>1200</v>
      </c>
      <c r="J920" s="18">
        <f>_xlfn.XLOOKUP(Assumptions!$B$2,Assumptions!$F$4:$H$4,Assumptions!$F$6:$H$6)</f>
        <v>17</v>
      </c>
      <c r="K920" s="12">
        <f>_xlfn.XLOOKUP(Assumptions!$B$2,Assumptions!$F$4:$H$4,Assumptions!$F$8:$H$8)</f>
        <v>0.1</v>
      </c>
      <c r="L920" s="12">
        <f>_xlfn.XLOOKUP(Assumptions!$B$2,Assumptions!$F$4:$H$4,Assumptions!$F$9:$H$9)</f>
        <v>0.18</v>
      </c>
      <c r="M920" s="18">
        <f>_xlfn.XLOOKUP(Assumptions!$B$2,Assumptions!$F$4:$H$4,Assumptions!$F$10:$H$10)</f>
        <v>18000</v>
      </c>
      <c r="N920" s="12">
        <f>_xlfn.XLOOKUP(Assumptions!$B$2,Assumptions!$F$4:$H$4,Assumptions!$F$11:$H$11)</f>
        <v>0.3</v>
      </c>
      <c r="O920" s="14">
        <f>Final_Table[[#This Row],[Units Sold]]*Final_Table[[#This Row],[Sale Price]]</f>
        <v>20400</v>
      </c>
      <c r="P920" s="14">
        <f>Final_Table[[#This Row],[Gross Revenue]]*(1-Final_Table[[#This Row],[Discount %]])</f>
        <v>18360</v>
      </c>
      <c r="Q920">
        <f>Final_Table[[#This Row],[Net Revenue]]*Final_Table[[#This Row],[Variable Cost %]]</f>
        <v>3304.7999999999997</v>
      </c>
      <c r="R920">
        <f>Final_Table[[#This Row],[Variable Cost]]+Final_Table[[#This Row],[Fixed Monthly Cost]]</f>
        <v>21304.799999999999</v>
      </c>
      <c r="S920" s="5">
        <f>Final_Table[[#This Row],[Net Revenue]]-Final_Table[[#This Row],[Total Cost (COGS)]]</f>
        <v>-2944.7999999999993</v>
      </c>
      <c r="T920">
        <f>Final_Table[[#This Row],[Gross Profit]]*Final_Table[[#This Row],[Tax Rate]]</f>
        <v>-883.43999999999971</v>
      </c>
      <c r="U920" s="5">
        <f>Final_Table[[#This Row],[Gross Profit]]-Final_Table[[#This Row],[Tax]]</f>
        <v>-2061.3599999999997</v>
      </c>
      <c r="V920" s="12">
        <f>Final_Table[[#This Row],[Net Profit]]/Final_Table[[#This Row],[Gross Revenue]]</f>
        <v>-0.10104705882352939</v>
      </c>
    </row>
    <row r="921" spans="1:22">
      <c r="A921" s="18" t="s">
        <v>74</v>
      </c>
      <c r="B921">
        <v>2014</v>
      </c>
      <c r="C921" t="s">
        <v>125</v>
      </c>
      <c r="D921">
        <v>1</v>
      </c>
      <c r="E921" s="18" t="s">
        <v>29</v>
      </c>
      <c r="F921" s="18" t="s">
        <v>113</v>
      </c>
      <c r="G921" s="18" t="s">
        <v>17</v>
      </c>
      <c r="H921" s="18" t="str">
        <f>Assumptions!$B$2</f>
        <v>Worst</v>
      </c>
      <c r="I921" s="18">
        <f>_xlfn.XLOOKUP(Assumptions!$B$2,Assumptions!$F$4:$H$4,Assumptions!$F$5:$H$5)</f>
        <v>1200</v>
      </c>
      <c r="J921" s="18">
        <f>_xlfn.XLOOKUP(Assumptions!$B$2,Assumptions!$F$4:$H$4,Assumptions!$F$6:$H$6)</f>
        <v>17</v>
      </c>
      <c r="K921" s="12">
        <f>_xlfn.XLOOKUP(Assumptions!$B$2,Assumptions!$F$4:$H$4,Assumptions!$F$8:$H$8)</f>
        <v>0.1</v>
      </c>
      <c r="L921" s="12">
        <f>_xlfn.XLOOKUP(Assumptions!$B$2,Assumptions!$F$4:$H$4,Assumptions!$F$9:$H$9)</f>
        <v>0.18</v>
      </c>
      <c r="M921" s="18">
        <f>_xlfn.XLOOKUP(Assumptions!$B$2,Assumptions!$F$4:$H$4,Assumptions!$F$10:$H$10)</f>
        <v>18000</v>
      </c>
      <c r="N921" s="12">
        <f>_xlfn.XLOOKUP(Assumptions!$B$2,Assumptions!$F$4:$H$4,Assumptions!$F$11:$H$11)</f>
        <v>0.3</v>
      </c>
      <c r="O921" s="14">
        <f>Final_Table[[#This Row],[Units Sold]]*Final_Table[[#This Row],[Sale Price]]</f>
        <v>20400</v>
      </c>
      <c r="P921" s="14">
        <f>Final_Table[[#This Row],[Gross Revenue]]*(1-Final_Table[[#This Row],[Discount %]])</f>
        <v>18360</v>
      </c>
      <c r="Q921">
        <f>Final_Table[[#This Row],[Net Revenue]]*Final_Table[[#This Row],[Variable Cost %]]</f>
        <v>3304.7999999999997</v>
      </c>
      <c r="R921">
        <f>Final_Table[[#This Row],[Variable Cost]]+Final_Table[[#This Row],[Fixed Monthly Cost]]</f>
        <v>21304.799999999999</v>
      </c>
      <c r="S921" s="5">
        <f>Final_Table[[#This Row],[Net Revenue]]-Final_Table[[#This Row],[Total Cost (COGS)]]</f>
        <v>-2944.7999999999993</v>
      </c>
      <c r="T921">
        <f>Final_Table[[#This Row],[Gross Profit]]*Final_Table[[#This Row],[Tax Rate]]</f>
        <v>-883.43999999999971</v>
      </c>
      <c r="U921" s="5">
        <f>Final_Table[[#This Row],[Gross Profit]]-Final_Table[[#This Row],[Tax]]</f>
        <v>-2061.3599999999997</v>
      </c>
      <c r="V921" s="12">
        <f>Final_Table[[#This Row],[Net Profit]]/Final_Table[[#This Row],[Gross Revenue]]</f>
        <v>-0.10104705882352939</v>
      </c>
    </row>
    <row r="922" spans="1:22">
      <c r="A922" s="18" t="s">
        <v>74</v>
      </c>
      <c r="B922">
        <v>2014</v>
      </c>
      <c r="C922" t="s">
        <v>125</v>
      </c>
      <c r="D922">
        <v>1</v>
      </c>
      <c r="E922" s="18" t="s">
        <v>29</v>
      </c>
      <c r="F922" s="18" t="s">
        <v>114</v>
      </c>
      <c r="G922" s="18" t="s">
        <v>36</v>
      </c>
      <c r="H922" s="18" t="str">
        <f>Assumptions!$B$2</f>
        <v>Worst</v>
      </c>
      <c r="I922" s="18">
        <f>_xlfn.XLOOKUP(Assumptions!$B$2,Assumptions!$F$4:$H$4,Assumptions!$F$5:$H$5)</f>
        <v>1200</v>
      </c>
      <c r="J922" s="18">
        <f>_xlfn.XLOOKUP(Assumptions!$B$2,Assumptions!$F$4:$H$4,Assumptions!$F$6:$H$6)</f>
        <v>17</v>
      </c>
      <c r="K922" s="12">
        <f>_xlfn.XLOOKUP(Assumptions!$B$2,Assumptions!$F$4:$H$4,Assumptions!$F$8:$H$8)</f>
        <v>0.1</v>
      </c>
      <c r="L922" s="12">
        <f>_xlfn.XLOOKUP(Assumptions!$B$2,Assumptions!$F$4:$H$4,Assumptions!$F$9:$H$9)</f>
        <v>0.18</v>
      </c>
      <c r="M922" s="18">
        <f>_xlfn.XLOOKUP(Assumptions!$B$2,Assumptions!$F$4:$H$4,Assumptions!$F$10:$H$10)</f>
        <v>18000</v>
      </c>
      <c r="N922" s="12">
        <f>_xlfn.XLOOKUP(Assumptions!$B$2,Assumptions!$F$4:$H$4,Assumptions!$F$11:$H$11)</f>
        <v>0.3</v>
      </c>
      <c r="O922" s="14">
        <f>Final_Table[[#This Row],[Units Sold]]*Final_Table[[#This Row],[Sale Price]]</f>
        <v>20400</v>
      </c>
      <c r="P922" s="14">
        <f>Final_Table[[#This Row],[Gross Revenue]]*(1-Final_Table[[#This Row],[Discount %]])</f>
        <v>18360</v>
      </c>
      <c r="Q922">
        <f>Final_Table[[#This Row],[Net Revenue]]*Final_Table[[#This Row],[Variable Cost %]]</f>
        <v>3304.7999999999997</v>
      </c>
      <c r="R922">
        <f>Final_Table[[#This Row],[Variable Cost]]+Final_Table[[#This Row],[Fixed Monthly Cost]]</f>
        <v>21304.799999999999</v>
      </c>
      <c r="S922" s="5">
        <f>Final_Table[[#This Row],[Net Revenue]]-Final_Table[[#This Row],[Total Cost (COGS)]]</f>
        <v>-2944.7999999999993</v>
      </c>
      <c r="T922">
        <f>Final_Table[[#This Row],[Gross Profit]]*Final_Table[[#This Row],[Tax Rate]]</f>
        <v>-883.43999999999971</v>
      </c>
      <c r="U922" s="5">
        <f>Final_Table[[#This Row],[Gross Profit]]-Final_Table[[#This Row],[Tax]]</f>
        <v>-2061.3599999999997</v>
      </c>
      <c r="V922" s="12">
        <f>Final_Table[[#This Row],[Net Profit]]/Final_Table[[#This Row],[Gross Revenue]]</f>
        <v>-0.10104705882352939</v>
      </c>
    </row>
    <row r="923" spans="1:22">
      <c r="A923" s="18" t="s">
        <v>74</v>
      </c>
      <c r="B923">
        <v>2014</v>
      </c>
      <c r="C923" t="s">
        <v>125</v>
      </c>
      <c r="D923">
        <v>1</v>
      </c>
      <c r="E923" s="18" t="s">
        <v>29</v>
      </c>
      <c r="F923" s="18" t="s">
        <v>114</v>
      </c>
      <c r="G923" s="18" t="s">
        <v>23</v>
      </c>
      <c r="H923" s="18" t="str">
        <f>Assumptions!$B$2</f>
        <v>Worst</v>
      </c>
      <c r="I923" s="18">
        <f>_xlfn.XLOOKUP(Assumptions!$B$2,Assumptions!$F$4:$H$4,Assumptions!$F$5:$H$5)</f>
        <v>1200</v>
      </c>
      <c r="J923" s="18">
        <f>_xlfn.XLOOKUP(Assumptions!$B$2,Assumptions!$F$4:$H$4,Assumptions!$F$6:$H$6)</f>
        <v>17</v>
      </c>
      <c r="K923" s="12">
        <f>_xlfn.XLOOKUP(Assumptions!$B$2,Assumptions!$F$4:$H$4,Assumptions!$F$8:$H$8)</f>
        <v>0.1</v>
      </c>
      <c r="L923" s="12">
        <f>_xlfn.XLOOKUP(Assumptions!$B$2,Assumptions!$F$4:$H$4,Assumptions!$F$9:$H$9)</f>
        <v>0.18</v>
      </c>
      <c r="M923" s="18">
        <f>_xlfn.XLOOKUP(Assumptions!$B$2,Assumptions!$F$4:$H$4,Assumptions!$F$10:$H$10)</f>
        <v>18000</v>
      </c>
      <c r="N923" s="12">
        <f>_xlfn.XLOOKUP(Assumptions!$B$2,Assumptions!$F$4:$H$4,Assumptions!$F$11:$H$11)</f>
        <v>0.3</v>
      </c>
      <c r="O923" s="14">
        <f>Final_Table[[#This Row],[Units Sold]]*Final_Table[[#This Row],[Sale Price]]</f>
        <v>20400</v>
      </c>
      <c r="P923" s="14">
        <f>Final_Table[[#This Row],[Gross Revenue]]*(1-Final_Table[[#This Row],[Discount %]])</f>
        <v>18360</v>
      </c>
      <c r="Q923">
        <f>Final_Table[[#This Row],[Net Revenue]]*Final_Table[[#This Row],[Variable Cost %]]</f>
        <v>3304.7999999999997</v>
      </c>
      <c r="R923">
        <f>Final_Table[[#This Row],[Variable Cost]]+Final_Table[[#This Row],[Fixed Monthly Cost]]</f>
        <v>21304.799999999999</v>
      </c>
      <c r="S923" s="5">
        <f>Final_Table[[#This Row],[Net Revenue]]-Final_Table[[#This Row],[Total Cost (COGS)]]</f>
        <v>-2944.7999999999993</v>
      </c>
      <c r="T923">
        <f>Final_Table[[#This Row],[Gross Profit]]*Final_Table[[#This Row],[Tax Rate]]</f>
        <v>-883.43999999999971</v>
      </c>
      <c r="U923" s="5">
        <f>Final_Table[[#This Row],[Gross Profit]]-Final_Table[[#This Row],[Tax]]</f>
        <v>-2061.3599999999997</v>
      </c>
      <c r="V923" s="12">
        <f>Final_Table[[#This Row],[Net Profit]]/Final_Table[[#This Row],[Gross Revenue]]</f>
        <v>-0.10104705882352939</v>
      </c>
    </row>
    <row r="924" spans="1:22">
      <c r="A924" s="18" t="s">
        <v>74</v>
      </c>
      <c r="B924">
        <v>2014</v>
      </c>
      <c r="C924" t="s">
        <v>125</v>
      </c>
      <c r="D924">
        <v>1</v>
      </c>
      <c r="E924" s="18" t="s">
        <v>29</v>
      </c>
      <c r="F924" s="18" t="s">
        <v>114</v>
      </c>
      <c r="G924" s="18" t="s">
        <v>21</v>
      </c>
      <c r="H924" s="18" t="str">
        <f>Assumptions!$B$2</f>
        <v>Worst</v>
      </c>
      <c r="I924" s="18">
        <f>_xlfn.XLOOKUP(Assumptions!$B$2,Assumptions!$F$4:$H$4,Assumptions!$F$5:$H$5)</f>
        <v>1200</v>
      </c>
      <c r="J924" s="18">
        <f>_xlfn.XLOOKUP(Assumptions!$B$2,Assumptions!$F$4:$H$4,Assumptions!$F$6:$H$6)</f>
        <v>17</v>
      </c>
      <c r="K924" s="12">
        <f>_xlfn.XLOOKUP(Assumptions!$B$2,Assumptions!$F$4:$H$4,Assumptions!$F$8:$H$8)</f>
        <v>0.1</v>
      </c>
      <c r="L924" s="12">
        <f>_xlfn.XLOOKUP(Assumptions!$B$2,Assumptions!$F$4:$H$4,Assumptions!$F$9:$H$9)</f>
        <v>0.18</v>
      </c>
      <c r="M924" s="18">
        <f>_xlfn.XLOOKUP(Assumptions!$B$2,Assumptions!$F$4:$H$4,Assumptions!$F$10:$H$10)</f>
        <v>18000</v>
      </c>
      <c r="N924" s="12">
        <f>_xlfn.XLOOKUP(Assumptions!$B$2,Assumptions!$F$4:$H$4,Assumptions!$F$11:$H$11)</f>
        <v>0.3</v>
      </c>
      <c r="O924" s="14">
        <f>Final_Table[[#This Row],[Units Sold]]*Final_Table[[#This Row],[Sale Price]]</f>
        <v>20400</v>
      </c>
      <c r="P924" s="14">
        <f>Final_Table[[#This Row],[Gross Revenue]]*(1-Final_Table[[#This Row],[Discount %]])</f>
        <v>18360</v>
      </c>
      <c r="Q924">
        <f>Final_Table[[#This Row],[Net Revenue]]*Final_Table[[#This Row],[Variable Cost %]]</f>
        <v>3304.7999999999997</v>
      </c>
      <c r="R924">
        <f>Final_Table[[#This Row],[Variable Cost]]+Final_Table[[#This Row],[Fixed Monthly Cost]]</f>
        <v>21304.799999999999</v>
      </c>
      <c r="S924" s="5">
        <f>Final_Table[[#This Row],[Net Revenue]]-Final_Table[[#This Row],[Total Cost (COGS)]]</f>
        <v>-2944.7999999999993</v>
      </c>
      <c r="T924">
        <f>Final_Table[[#This Row],[Gross Profit]]*Final_Table[[#This Row],[Tax Rate]]</f>
        <v>-883.43999999999971</v>
      </c>
      <c r="U924" s="5">
        <f>Final_Table[[#This Row],[Gross Profit]]-Final_Table[[#This Row],[Tax]]</f>
        <v>-2061.3599999999997</v>
      </c>
      <c r="V924" s="12">
        <f>Final_Table[[#This Row],[Net Profit]]/Final_Table[[#This Row],[Gross Revenue]]</f>
        <v>-0.10104705882352939</v>
      </c>
    </row>
    <row r="925" spans="1:22">
      <c r="A925" s="18" t="s">
        <v>74</v>
      </c>
      <c r="B925">
        <v>2014</v>
      </c>
      <c r="C925" t="s">
        <v>125</v>
      </c>
      <c r="D925">
        <v>1</v>
      </c>
      <c r="E925" s="18" t="s">
        <v>29</v>
      </c>
      <c r="F925" s="18" t="s">
        <v>114</v>
      </c>
      <c r="G925" s="18" t="s">
        <v>25</v>
      </c>
      <c r="H925" s="18" t="str">
        <f>Assumptions!$B$2</f>
        <v>Worst</v>
      </c>
      <c r="I925" s="18">
        <f>_xlfn.XLOOKUP(Assumptions!$B$2,Assumptions!$F$4:$H$4,Assumptions!$F$5:$H$5)</f>
        <v>1200</v>
      </c>
      <c r="J925" s="18">
        <f>_xlfn.XLOOKUP(Assumptions!$B$2,Assumptions!$F$4:$H$4,Assumptions!$F$6:$H$6)</f>
        <v>17</v>
      </c>
      <c r="K925" s="12">
        <f>_xlfn.XLOOKUP(Assumptions!$B$2,Assumptions!$F$4:$H$4,Assumptions!$F$8:$H$8)</f>
        <v>0.1</v>
      </c>
      <c r="L925" s="12">
        <f>_xlfn.XLOOKUP(Assumptions!$B$2,Assumptions!$F$4:$H$4,Assumptions!$F$9:$H$9)</f>
        <v>0.18</v>
      </c>
      <c r="M925" s="18">
        <f>_xlfn.XLOOKUP(Assumptions!$B$2,Assumptions!$F$4:$H$4,Assumptions!$F$10:$H$10)</f>
        <v>18000</v>
      </c>
      <c r="N925" s="12">
        <f>_xlfn.XLOOKUP(Assumptions!$B$2,Assumptions!$F$4:$H$4,Assumptions!$F$11:$H$11)</f>
        <v>0.3</v>
      </c>
      <c r="O925" s="14">
        <f>Final_Table[[#This Row],[Units Sold]]*Final_Table[[#This Row],[Sale Price]]</f>
        <v>20400</v>
      </c>
      <c r="P925" s="14">
        <f>Final_Table[[#This Row],[Gross Revenue]]*(1-Final_Table[[#This Row],[Discount %]])</f>
        <v>18360</v>
      </c>
      <c r="Q925">
        <f>Final_Table[[#This Row],[Net Revenue]]*Final_Table[[#This Row],[Variable Cost %]]</f>
        <v>3304.7999999999997</v>
      </c>
      <c r="R925">
        <f>Final_Table[[#This Row],[Variable Cost]]+Final_Table[[#This Row],[Fixed Monthly Cost]]</f>
        <v>21304.799999999999</v>
      </c>
      <c r="S925" s="5">
        <f>Final_Table[[#This Row],[Net Revenue]]-Final_Table[[#This Row],[Total Cost (COGS)]]</f>
        <v>-2944.7999999999993</v>
      </c>
      <c r="T925">
        <f>Final_Table[[#This Row],[Gross Profit]]*Final_Table[[#This Row],[Tax Rate]]</f>
        <v>-883.43999999999971</v>
      </c>
      <c r="U925" s="5">
        <f>Final_Table[[#This Row],[Gross Profit]]-Final_Table[[#This Row],[Tax]]</f>
        <v>-2061.3599999999997</v>
      </c>
      <c r="V925" s="12">
        <f>Final_Table[[#This Row],[Net Profit]]/Final_Table[[#This Row],[Gross Revenue]]</f>
        <v>-0.10104705882352939</v>
      </c>
    </row>
    <row r="926" spans="1:22">
      <c r="A926" s="18" t="s">
        <v>74</v>
      </c>
      <c r="B926">
        <v>2014</v>
      </c>
      <c r="C926" t="s">
        <v>125</v>
      </c>
      <c r="D926">
        <v>1</v>
      </c>
      <c r="E926" s="18" t="s">
        <v>29</v>
      </c>
      <c r="F926" s="18" t="s">
        <v>114</v>
      </c>
      <c r="G926" s="18" t="s">
        <v>17</v>
      </c>
      <c r="H926" s="18" t="str">
        <f>Assumptions!$B$2</f>
        <v>Worst</v>
      </c>
      <c r="I926" s="18">
        <f>_xlfn.XLOOKUP(Assumptions!$B$2,Assumptions!$F$4:$H$4,Assumptions!$F$5:$H$5)</f>
        <v>1200</v>
      </c>
      <c r="J926" s="18">
        <f>_xlfn.XLOOKUP(Assumptions!$B$2,Assumptions!$F$4:$H$4,Assumptions!$F$6:$H$6)</f>
        <v>17</v>
      </c>
      <c r="K926" s="12">
        <f>_xlfn.XLOOKUP(Assumptions!$B$2,Assumptions!$F$4:$H$4,Assumptions!$F$8:$H$8)</f>
        <v>0.1</v>
      </c>
      <c r="L926" s="12">
        <f>_xlfn.XLOOKUP(Assumptions!$B$2,Assumptions!$F$4:$H$4,Assumptions!$F$9:$H$9)</f>
        <v>0.18</v>
      </c>
      <c r="M926" s="18">
        <f>_xlfn.XLOOKUP(Assumptions!$B$2,Assumptions!$F$4:$H$4,Assumptions!$F$10:$H$10)</f>
        <v>18000</v>
      </c>
      <c r="N926" s="12">
        <f>_xlfn.XLOOKUP(Assumptions!$B$2,Assumptions!$F$4:$H$4,Assumptions!$F$11:$H$11)</f>
        <v>0.3</v>
      </c>
      <c r="O926" s="14">
        <f>Final_Table[[#This Row],[Units Sold]]*Final_Table[[#This Row],[Sale Price]]</f>
        <v>20400</v>
      </c>
      <c r="P926" s="14">
        <f>Final_Table[[#This Row],[Gross Revenue]]*(1-Final_Table[[#This Row],[Discount %]])</f>
        <v>18360</v>
      </c>
      <c r="Q926">
        <f>Final_Table[[#This Row],[Net Revenue]]*Final_Table[[#This Row],[Variable Cost %]]</f>
        <v>3304.7999999999997</v>
      </c>
      <c r="R926">
        <f>Final_Table[[#This Row],[Variable Cost]]+Final_Table[[#This Row],[Fixed Monthly Cost]]</f>
        <v>21304.799999999999</v>
      </c>
      <c r="S926" s="5">
        <f>Final_Table[[#This Row],[Net Revenue]]-Final_Table[[#This Row],[Total Cost (COGS)]]</f>
        <v>-2944.7999999999993</v>
      </c>
      <c r="T926">
        <f>Final_Table[[#This Row],[Gross Profit]]*Final_Table[[#This Row],[Tax Rate]]</f>
        <v>-883.43999999999971</v>
      </c>
      <c r="U926" s="5">
        <f>Final_Table[[#This Row],[Gross Profit]]-Final_Table[[#This Row],[Tax]]</f>
        <v>-2061.3599999999997</v>
      </c>
      <c r="V926" s="12">
        <f>Final_Table[[#This Row],[Net Profit]]/Final_Table[[#This Row],[Gross Revenue]]</f>
        <v>-0.10104705882352939</v>
      </c>
    </row>
    <row r="927" spans="1:22">
      <c r="A927" s="18" t="s">
        <v>74</v>
      </c>
      <c r="B927">
        <v>2014</v>
      </c>
      <c r="C927" t="s">
        <v>125</v>
      </c>
      <c r="D927">
        <v>1</v>
      </c>
      <c r="E927" s="18" t="s">
        <v>22</v>
      </c>
      <c r="F927" s="18" t="s">
        <v>80</v>
      </c>
      <c r="G927" s="18" t="s">
        <v>36</v>
      </c>
      <c r="H927" s="18" t="str">
        <f>Assumptions!$B$2</f>
        <v>Worst</v>
      </c>
      <c r="I927" s="18">
        <f>_xlfn.XLOOKUP(Assumptions!$B$2,Assumptions!$F$4:$H$4,Assumptions!$F$5:$H$5)</f>
        <v>1200</v>
      </c>
      <c r="J927" s="18">
        <f>_xlfn.XLOOKUP(Assumptions!$B$2,Assumptions!$F$4:$H$4,Assumptions!$F$6:$H$6)</f>
        <v>17</v>
      </c>
      <c r="K927" s="12">
        <f>_xlfn.XLOOKUP(Assumptions!$B$2,Assumptions!$F$4:$H$4,Assumptions!$F$8:$H$8)</f>
        <v>0.1</v>
      </c>
      <c r="L927" s="12">
        <f>_xlfn.XLOOKUP(Assumptions!$B$2,Assumptions!$F$4:$H$4,Assumptions!$F$9:$H$9)</f>
        <v>0.18</v>
      </c>
      <c r="M927" s="18">
        <f>_xlfn.XLOOKUP(Assumptions!$B$2,Assumptions!$F$4:$H$4,Assumptions!$F$10:$H$10)</f>
        <v>18000</v>
      </c>
      <c r="N927" s="12">
        <f>_xlfn.XLOOKUP(Assumptions!$B$2,Assumptions!$F$4:$H$4,Assumptions!$F$11:$H$11)</f>
        <v>0.3</v>
      </c>
      <c r="O927" s="14">
        <f>Final_Table[[#This Row],[Units Sold]]*Final_Table[[#This Row],[Sale Price]]</f>
        <v>20400</v>
      </c>
      <c r="P927" s="14">
        <f>Final_Table[[#This Row],[Gross Revenue]]*(1-Final_Table[[#This Row],[Discount %]])</f>
        <v>18360</v>
      </c>
      <c r="Q927">
        <f>Final_Table[[#This Row],[Net Revenue]]*Final_Table[[#This Row],[Variable Cost %]]</f>
        <v>3304.7999999999997</v>
      </c>
      <c r="R927">
        <f>Final_Table[[#This Row],[Variable Cost]]+Final_Table[[#This Row],[Fixed Monthly Cost]]</f>
        <v>21304.799999999999</v>
      </c>
      <c r="S927" s="5">
        <f>Final_Table[[#This Row],[Net Revenue]]-Final_Table[[#This Row],[Total Cost (COGS)]]</f>
        <v>-2944.7999999999993</v>
      </c>
      <c r="T927">
        <f>Final_Table[[#This Row],[Gross Profit]]*Final_Table[[#This Row],[Tax Rate]]</f>
        <v>-883.43999999999971</v>
      </c>
      <c r="U927" s="5">
        <f>Final_Table[[#This Row],[Gross Profit]]-Final_Table[[#This Row],[Tax]]</f>
        <v>-2061.3599999999997</v>
      </c>
      <c r="V927" s="12">
        <f>Final_Table[[#This Row],[Net Profit]]/Final_Table[[#This Row],[Gross Revenue]]</f>
        <v>-0.10104705882352939</v>
      </c>
    </row>
    <row r="928" spans="1:22">
      <c r="A928" s="18" t="s">
        <v>74</v>
      </c>
      <c r="B928">
        <v>2014</v>
      </c>
      <c r="C928" t="s">
        <v>125</v>
      </c>
      <c r="D928">
        <v>1</v>
      </c>
      <c r="E928" s="18" t="s">
        <v>22</v>
      </c>
      <c r="F928" s="18" t="s">
        <v>80</v>
      </c>
      <c r="G928" s="18" t="s">
        <v>23</v>
      </c>
      <c r="H928" s="18" t="str">
        <f>Assumptions!$B$2</f>
        <v>Worst</v>
      </c>
      <c r="I928" s="18">
        <f>_xlfn.XLOOKUP(Assumptions!$B$2,Assumptions!$F$4:$H$4,Assumptions!$F$5:$H$5)</f>
        <v>1200</v>
      </c>
      <c r="J928" s="18">
        <f>_xlfn.XLOOKUP(Assumptions!$B$2,Assumptions!$F$4:$H$4,Assumptions!$F$6:$H$6)</f>
        <v>17</v>
      </c>
      <c r="K928" s="12">
        <f>_xlfn.XLOOKUP(Assumptions!$B$2,Assumptions!$F$4:$H$4,Assumptions!$F$8:$H$8)</f>
        <v>0.1</v>
      </c>
      <c r="L928" s="12">
        <f>_xlfn.XLOOKUP(Assumptions!$B$2,Assumptions!$F$4:$H$4,Assumptions!$F$9:$H$9)</f>
        <v>0.18</v>
      </c>
      <c r="M928" s="18">
        <f>_xlfn.XLOOKUP(Assumptions!$B$2,Assumptions!$F$4:$H$4,Assumptions!$F$10:$H$10)</f>
        <v>18000</v>
      </c>
      <c r="N928" s="12">
        <f>_xlfn.XLOOKUP(Assumptions!$B$2,Assumptions!$F$4:$H$4,Assumptions!$F$11:$H$11)</f>
        <v>0.3</v>
      </c>
      <c r="O928" s="14">
        <f>Final_Table[[#This Row],[Units Sold]]*Final_Table[[#This Row],[Sale Price]]</f>
        <v>20400</v>
      </c>
      <c r="P928" s="14">
        <f>Final_Table[[#This Row],[Gross Revenue]]*(1-Final_Table[[#This Row],[Discount %]])</f>
        <v>18360</v>
      </c>
      <c r="Q928">
        <f>Final_Table[[#This Row],[Net Revenue]]*Final_Table[[#This Row],[Variable Cost %]]</f>
        <v>3304.7999999999997</v>
      </c>
      <c r="R928">
        <f>Final_Table[[#This Row],[Variable Cost]]+Final_Table[[#This Row],[Fixed Monthly Cost]]</f>
        <v>21304.799999999999</v>
      </c>
      <c r="S928" s="5">
        <f>Final_Table[[#This Row],[Net Revenue]]-Final_Table[[#This Row],[Total Cost (COGS)]]</f>
        <v>-2944.7999999999993</v>
      </c>
      <c r="T928">
        <f>Final_Table[[#This Row],[Gross Profit]]*Final_Table[[#This Row],[Tax Rate]]</f>
        <v>-883.43999999999971</v>
      </c>
      <c r="U928" s="5">
        <f>Final_Table[[#This Row],[Gross Profit]]-Final_Table[[#This Row],[Tax]]</f>
        <v>-2061.3599999999997</v>
      </c>
      <c r="V928" s="12">
        <f>Final_Table[[#This Row],[Net Profit]]/Final_Table[[#This Row],[Gross Revenue]]</f>
        <v>-0.10104705882352939</v>
      </c>
    </row>
    <row r="929" spans="1:22">
      <c r="A929" s="18" t="s">
        <v>74</v>
      </c>
      <c r="B929">
        <v>2014</v>
      </c>
      <c r="C929" t="s">
        <v>125</v>
      </c>
      <c r="D929">
        <v>1</v>
      </c>
      <c r="E929" s="18" t="s">
        <v>22</v>
      </c>
      <c r="F929" s="18" t="s">
        <v>80</v>
      </c>
      <c r="G929" s="18" t="s">
        <v>21</v>
      </c>
      <c r="H929" s="18" t="str">
        <f>Assumptions!$B$2</f>
        <v>Worst</v>
      </c>
      <c r="I929" s="18">
        <f>_xlfn.XLOOKUP(Assumptions!$B$2,Assumptions!$F$4:$H$4,Assumptions!$F$5:$H$5)</f>
        <v>1200</v>
      </c>
      <c r="J929" s="18">
        <f>_xlfn.XLOOKUP(Assumptions!$B$2,Assumptions!$F$4:$H$4,Assumptions!$F$6:$H$6)</f>
        <v>17</v>
      </c>
      <c r="K929" s="12">
        <f>_xlfn.XLOOKUP(Assumptions!$B$2,Assumptions!$F$4:$H$4,Assumptions!$F$8:$H$8)</f>
        <v>0.1</v>
      </c>
      <c r="L929" s="12">
        <f>_xlfn.XLOOKUP(Assumptions!$B$2,Assumptions!$F$4:$H$4,Assumptions!$F$9:$H$9)</f>
        <v>0.18</v>
      </c>
      <c r="M929" s="18">
        <f>_xlfn.XLOOKUP(Assumptions!$B$2,Assumptions!$F$4:$H$4,Assumptions!$F$10:$H$10)</f>
        <v>18000</v>
      </c>
      <c r="N929" s="12">
        <f>_xlfn.XLOOKUP(Assumptions!$B$2,Assumptions!$F$4:$H$4,Assumptions!$F$11:$H$11)</f>
        <v>0.3</v>
      </c>
      <c r="O929" s="14">
        <f>Final_Table[[#This Row],[Units Sold]]*Final_Table[[#This Row],[Sale Price]]</f>
        <v>20400</v>
      </c>
      <c r="P929" s="14">
        <f>Final_Table[[#This Row],[Gross Revenue]]*(1-Final_Table[[#This Row],[Discount %]])</f>
        <v>18360</v>
      </c>
      <c r="Q929">
        <f>Final_Table[[#This Row],[Net Revenue]]*Final_Table[[#This Row],[Variable Cost %]]</f>
        <v>3304.7999999999997</v>
      </c>
      <c r="R929">
        <f>Final_Table[[#This Row],[Variable Cost]]+Final_Table[[#This Row],[Fixed Monthly Cost]]</f>
        <v>21304.799999999999</v>
      </c>
      <c r="S929" s="5">
        <f>Final_Table[[#This Row],[Net Revenue]]-Final_Table[[#This Row],[Total Cost (COGS)]]</f>
        <v>-2944.7999999999993</v>
      </c>
      <c r="T929">
        <f>Final_Table[[#This Row],[Gross Profit]]*Final_Table[[#This Row],[Tax Rate]]</f>
        <v>-883.43999999999971</v>
      </c>
      <c r="U929" s="5">
        <f>Final_Table[[#This Row],[Gross Profit]]-Final_Table[[#This Row],[Tax]]</f>
        <v>-2061.3599999999997</v>
      </c>
      <c r="V929" s="12">
        <f>Final_Table[[#This Row],[Net Profit]]/Final_Table[[#This Row],[Gross Revenue]]</f>
        <v>-0.10104705882352939</v>
      </c>
    </row>
    <row r="930" spans="1:22">
      <c r="A930" s="18" t="s">
        <v>74</v>
      </c>
      <c r="B930">
        <v>2014</v>
      </c>
      <c r="C930" t="s">
        <v>125</v>
      </c>
      <c r="D930">
        <v>1</v>
      </c>
      <c r="E930" s="18" t="s">
        <v>22</v>
      </c>
      <c r="F930" s="18" t="s">
        <v>80</v>
      </c>
      <c r="G930" s="18" t="s">
        <v>25</v>
      </c>
      <c r="H930" s="18" t="str">
        <f>Assumptions!$B$2</f>
        <v>Worst</v>
      </c>
      <c r="I930" s="18">
        <f>_xlfn.XLOOKUP(Assumptions!$B$2,Assumptions!$F$4:$H$4,Assumptions!$F$5:$H$5)</f>
        <v>1200</v>
      </c>
      <c r="J930" s="18">
        <f>_xlfn.XLOOKUP(Assumptions!$B$2,Assumptions!$F$4:$H$4,Assumptions!$F$6:$H$6)</f>
        <v>17</v>
      </c>
      <c r="K930" s="12">
        <f>_xlfn.XLOOKUP(Assumptions!$B$2,Assumptions!$F$4:$H$4,Assumptions!$F$8:$H$8)</f>
        <v>0.1</v>
      </c>
      <c r="L930" s="12">
        <f>_xlfn.XLOOKUP(Assumptions!$B$2,Assumptions!$F$4:$H$4,Assumptions!$F$9:$H$9)</f>
        <v>0.18</v>
      </c>
      <c r="M930" s="18">
        <f>_xlfn.XLOOKUP(Assumptions!$B$2,Assumptions!$F$4:$H$4,Assumptions!$F$10:$H$10)</f>
        <v>18000</v>
      </c>
      <c r="N930" s="12">
        <f>_xlfn.XLOOKUP(Assumptions!$B$2,Assumptions!$F$4:$H$4,Assumptions!$F$11:$H$11)</f>
        <v>0.3</v>
      </c>
      <c r="O930" s="14">
        <f>Final_Table[[#This Row],[Units Sold]]*Final_Table[[#This Row],[Sale Price]]</f>
        <v>20400</v>
      </c>
      <c r="P930" s="14">
        <f>Final_Table[[#This Row],[Gross Revenue]]*(1-Final_Table[[#This Row],[Discount %]])</f>
        <v>18360</v>
      </c>
      <c r="Q930">
        <f>Final_Table[[#This Row],[Net Revenue]]*Final_Table[[#This Row],[Variable Cost %]]</f>
        <v>3304.7999999999997</v>
      </c>
      <c r="R930">
        <f>Final_Table[[#This Row],[Variable Cost]]+Final_Table[[#This Row],[Fixed Monthly Cost]]</f>
        <v>21304.799999999999</v>
      </c>
      <c r="S930" s="5">
        <f>Final_Table[[#This Row],[Net Revenue]]-Final_Table[[#This Row],[Total Cost (COGS)]]</f>
        <v>-2944.7999999999993</v>
      </c>
      <c r="T930">
        <f>Final_Table[[#This Row],[Gross Profit]]*Final_Table[[#This Row],[Tax Rate]]</f>
        <v>-883.43999999999971</v>
      </c>
      <c r="U930" s="5">
        <f>Final_Table[[#This Row],[Gross Profit]]-Final_Table[[#This Row],[Tax]]</f>
        <v>-2061.3599999999997</v>
      </c>
      <c r="V930" s="12">
        <f>Final_Table[[#This Row],[Net Profit]]/Final_Table[[#This Row],[Gross Revenue]]</f>
        <v>-0.10104705882352939</v>
      </c>
    </row>
    <row r="931" spans="1:22">
      <c r="A931" s="18" t="s">
        <v>74</v>
      </c>
      <c r="B931">
        <v>2014</v>
      </c>
      <c r="C931" t="s">
        <v>125</v>
      </c>
      <c r="D931">
        <v>1</v>
      </c>
      <c r="E931" s="18" t="s">
        <v>22</v>
      </c>
      <c r="F931" s="18" t="s">
        <v>80</v>
      </c>
      <c r="G931" s="18" t="s">
        <v>17</v>
      </c>
      <c r="H931" s="18" t="str">
        <f>Assumptions!$B$2</f>
        <v>Worst</v>
      </c>
      <c r="I931" s="18">
        <f>_xlfn.XLOOKUP(Assumptions!$B$2,Assumptions!$F$4:$H$4,Assumptions!$F$5:$H$5)</f>
        <v>1200</v>
      </c>
      <c r="J931" s="18">
        <f>_xlfn.XLOOKUP(Assumptions!$B$2,Assumptions!$F$4:$H$4,Assumptions!$F$6:$H$6)</f>
        <v>17</v>
      </c>
      <c r="K931" s="12">
        <f>_xlfn.XLOOKUP(Assumptions!$B$2,Assumptions!$F$4:$H$4,Assumptions!$F$8:$H$8)</f>
        <v>0.1</v>
      </c>
      <c r="L931" s="12">
        <f>_xlfn.XLOOKUP(Assumptions!$B$2,Assumptions!$F$4:$H$4,Assumptions!$F$9:$H$9)</f>
        <v>0.18</v>
      </c>
      <c r="M931" s="18">
        <f>_xlfn.XLOOKUP(Assumptions!$B$2,Assumptions!$F$4:$H$4,Assumptions!$F$10:$H$10)</f>
        <v>18000</v>
      </c>
      <c r="N931" s="12">
        <f>_xlfn.XLOOKUP(Assumptions!$B$2,Assumptions!$F$4:$H$4,Assumptions!$F$11:$H$11)</f>
        <v>0.3</v>
      </c>
      <c r="O931" s="14">
        <f>Final_Table[[#This Row],[Units Sold]]*Final_Table[[#This Row],[Sale Price]]</f>
        <v>20400</v>
      </c>
      <c r="P931" s="14">
        <f>Final_Table[[#This Row],[Gross Revenue]]*(1-Final_Table[[#This Row],[Discount %]])</f>
        <v>18360</v>
      </c>
      <c r="Q931">
        <f>Final_Table[[#This Row],[Net Revenue]]*Final_Table[[#This Row],[Variable Cost %]]</f>
        <v>3304.7999999999997</v>
      </c>
      <c r="R931">
        <f>Final_Table[[#This Row],[Variable Cost]]+Final_Table[[#This Row],[Fixed Monthly Cost]]</f>
        <v>21304.799999999999</v>
      </c>
      <c r="S931" s="5">
        <f>Final_Table[[#This Row],[Net Revenue]]-Final_Table[[#This Row],[Total Cost (COGS)]]</f>
        <v>-2944.7999999999993</v>
      </c>
      <c r="T931">
        <f>Final_Table[[#This Row],[Gross Profit]]*Final_Table[[#This Row],[Tax Rate]]</f>
        <v>-883.43999999999971</v>
      </c>
      <c r="U931" s="5">
        <f>Final_Table[[#This Row],[Gross Profit]]-Final_Table[[#This Row],[Tax]]</f>
        <v>-2061.3599999999997</v>
      </c>
      <c r="V931" s="12">
        <f>Final_Table[[#This Row],[Net Profit]]/Final_Table[[#This Row],[Gross Revenue]]</f>
        <v>-0.10104705882352939</v>
      </c>
    </row>
    <row r="932" spans="1:22">
      <c r="A932" s="18" t="s">
        <v>74</v>
      </c>
      <c r="B932">
        <v>2014</v>
      </c>
      <c r="C932" t="s">
        <v>125</v>
      </c>
      <c r="D932">
        <v>1</v>
      </c>
      <c r="E932" s="18" t="s">
        <v>22</v>
      </c>
      <c r="F932" s="18" t="s">
        <v>108</v>
      </c>
      <c r="G932" s="18" t="s">
        <v>36</v>
      </c>
      <c r="H932" s="18" t="str">
        <f>Assumptions!$B$2</f>
        <v>Worst</v>
      </c>
      <c r="I932" s="18">
        <f>_xlfn.XLOOKUP(Assumptions!$B$2,Assumptions!$F$4:$H$4,Assumptions!$F$5:$H$5)</f>
        <v>1200</v>
      </c>
      <c r="J932" s="18">
        <f>_xlfn.XLOOKUP(Assumptions!$B$2,Assumptions!$F$4:$H$4,Assumptions!$F$6:$H$6)</f>
        <v>17</v>
      </c>
      <c r="K932" s="12">
        <f>_xlfn.XLOOKUP(Assumptions!$B$2,Assumptions!$F$4:$H$4,Assumptions!$F$8:$H$8)</f>
        <v>0.1</v>
      </c>
      <c r="L932" s="12">
        <f>_xlfn.XLOOKUP(Assumptions!$B$2,Assumptions!$F$4:$H$4,Assumptions!$F$9:$H$9)</f>
        <v>0.18</v>
      </c>
      <c r="M932" s="18">
        <f>_xlfn.XLOOKUP(Assumptions!$B$2,Assumptions!$F$4:$H$4,Assumptions!$F$10:$H$10)</f>
        <v>18000</v>
      </c>
      <c r="N932" s="12">
        <f>_xlfn.XLOOKUP(Assumptions!$B$2,Assumptions!$F$4:$H$4,Assumptions!$F$11:$H$11)</f>
        <v>0.3</v>
      </c>
      <c r="O932" s="14">
        <f>Final_Table[[#This Row],[Units Sold]]*Final_Table[[#This Row],[Sale Price]]</f>
        <v>20400</v>
      </c>
      <c r="P932" s="14">
        <f>Final_Table[[#This Row],[Gross Revenue]]*(1-Final_Table[[#This Row],[Discount %]])</f>
        <v>18360</v>
      </c>
      <c r="Q932">
        <f>Final_Table[[#This Row],[Net Revenue]]*Final_Table[[#This Row],[Variable Cost %]]</f>
        <v>3304.7999999999997</v>
      </c>
      <c r="R932">
        <f>Final_Table[[#This Row],[Variable Cost]]+Final_Table[[#This Row],[Fixed Monthly Cost]]</f>
        <v>21304.799999999999</v>
      </c>
      <c r="S932" s="5">
        <f>Final_Table[[#This Row],[Net Revenue]]-Final_Table[[#This Row],[Total Cost (COGS)]]</f>
        <v>-2944.7999999999993</v>
      </c>
      <c r="T932">
        <f>Final_Table[[#This Row],[Gross Profit]]*Final_Table[[#This Row],[Tax Rate]]</f>
        <v>-883.43999999999971</v>
      </c>
      <c r="U932" s="5">
        <f>Final_Table[[#This Row],[Gross Profit]]-Final_Table[[#This Row],[Tax]]</f>
        <v>-2061.3599999999997</v>
      </c>
      <c r="V932" s="12">
        <f>Final_Table[[#This Row],[Net Profit]]/Final_Table[[#This Row],[Gross Revenue]]</f>
        <v>-0.10104705882352939</v>
      </c>
    </row>
    <row r="933" spans="1:22">
      <c r="A933" s="18" t="s">
        <v>74</v>
      </c>
      <c r="B933">
        <v>2014</v>
      </c>
      <c r="C933" t="s">
        <v>125</v>
      </c>
      <c r="D933">
        <v>1</v>
      </c>
      <c r="E933" s="18" t="s">
        <v>22</v>
      </c>
      <c r="F933" s="18" t="s">
        <v>108</v>
      </c>
      <c r="G933" s="18" t="s">
        <v>23</v>
      </c>
      <c r="H933" s="18" t="str">
        <f>Assumptions!$B$2</f>
        <v>Worst</v>
      </c>
      <c r="I933" s="18">
        <f>_xlfn.XLOOKUP(Assumptions!$B$2,Assumptions!$F$4:$H$4,Assumptions!$F$5:$H$5)</f>
        <v>1200</v>
      </c>
      <c r="J933" s="18">
        <f>_xlfn.XLOOKUP(Assumptions!$B$2,Assumptions!$F$4:$H$4,Assumptions!$F$6:$H$6)</f>
        <v>17</v>
      </c>
      <c r="K933" s="12">
        <f>_xlfn.XLOOKUP(Assumptions!$B$2,Assumptions!$F$4:$H$4,Assumptions!$F$8:$H$8)</f>
        <v>0.1</v>
      </c>
      <c r="L933" s="12">
        <f>_xlfn.XLOOKUP(Assumptions!$B$2,Assumptions!$F$4:$H$4,Assumptions!$F$9:$H$9)</f>
        <v>0.18</v>
      </c>
      <c r="M933" s="18">
        <f>_xlfn.XLOOKUP(Assumptions!$B$2,Assumptions!$F$4:$H$4,Assumptions!$F$10:$H$10)</f>
        <v>18000</v>
      </c>
      <c r="N933" s="12">
        <f>_xlfn.XLOOKUP(Assumptions!$B$2,Assumptions!$F$4:$H$4,Assumptions!$F$11:$H$11)</f>
        <v>0.3</v>
      </c>
      <c r="O933" s="14">
        <f>Final_Table[[#This Row],[Units Sold]]*Final_Table[[#This Row],[Sale Price]]</f>
        <v>20400</v>
      </c>
      <c r="P933" s="14">
        <f>Final_Table[[#This Row],[Gross Revenue]]*(1-Final_Table[[#This Row],[Discount %]])</f>
        <v>18360</v>
      </c>
      <c r="Q933">
        <f>Final_Table[[#This Row],[Net Revenue]]*Final_Table[[#This Row],[Variable Cost %]]</f>
        <v>3304.7999999999997</v>
      </c>
      <c r="R933">
        <f>Final_Table[[#This Row],[Variable Cost]]+Final_Table[[#This Row],[Fixed Monthly Cost]]</f>
        <v>21304.799999999999</v>
      </c>
      <c r="S933" s="5">
        <f>Final_Table[[#This Row],[Net Revenue]]-Final_Table[[#This Row],[Total Cost (COGS)]]</f>
        <v>-2944.7999999999993</v>
      </c>
      <c r="T933">
        <f>Final_Table[[#This Row],[Gross Profit]]*Final_Table[[#This Row],[Tax Rate]]</f>
        <v>-883.43999999999971</v>
      </c>
      <c r="U933" s="5">
        <f>Final_Table[[#This Row],[Gross Profit]]-Final_Table[[#This Row],[Tax]]</f>
        <v>-2061.3599999999997</v>
      </c>
      <c r="V933" s="12">
        <f>Final_Table[[#This Row],[Net Profit]]/Final_Table[[#This Row],[Gross Revenue]]</f>
        <v>-0.10104705882352939</v>
      </c>
    </row>
    <row r="934" spans="1:22">
      <c r="A934" s="18" t="s">
        <v>74</v>
      </c>
      <c r="B934">
        <v>2014</v>
      </c>
      <c r="C934" t="s">
        <v>125</v>
      </c>
      <c r="D934">
        <v>1</v>
      </c>
      <c r="E934" s="18" t="s">
        <v>22</v>
      </c>
      <c r="F934" s="18" t="s">
        <v>108</v>
      </c>
      <c r="G934" s="18" t="s">
        <v>21</v>
      </c>
      <c r="H934" s="18" t="str">
        <f>Assumptions!$B$2</f>
        <v>Worst</v>
      </c>
      <c r="I934" s="18">
        <f>_xlfn.XLOOKUP(Assumptions!$B$2,Assumptions!$F$4:$H$4,Assumptions!$F$5:$H$5)</f>
        <v>1200</v>
      </c>
      <c r="J934" s="18">
        <f>_xlfn.XLOOKUP(Assumptions!$B$2,Assumptions!$F$4:$H$4,Assumptions!$F$6:$H$6)</f>
        <v>17</v>
      </c>
      <c r="K934" s="12">
        <f>_xlfn.XLOOKUP(Assumptions!$B$2,Assumptions!$F$4:$H$4,Assumptions!$F$8:$H$8)</f>
        <v>0.1</v>
      </c>
      <c r="L934" s="12">
        <f>_xlfn.XLOOKUP(Assumptions!$B$2,Assumptions!$F$4:$H$4,Assumptions!$F$9:$H$9)</f>
        <v>0.18</v>
      </c>
      <c r="M934" s="18">
        <f>_xlfn.XLOOKUP(Assumptions!$B$2,Assumptions!$F$4:$H$4,Assumptions!$F$10:$H$10)</f>
        <v>18000</v>
      </c>
      <c r="N934" s="12">
        <f>_xlfn.XLOOKUP(Assumptions!$B$2,Assumptions!$F$4:$H$4,Assumptions!$F$11:$H$11)</f>
        <v>0.3</v>
      </c>
      <c r="O934" s="14">
        <f>Final_Table[[#This Row],[Units Sold]]*Final_Table[[#This Row],[Sale Price]]</f>
        <v>20400</v>
      </c>
      <c r="P934" s="14">
        <f>Final_Table[[#This Row],[Gross Revenue]]*(1-Final_Table[[#This Row],[Discount %]])</f>
        <v>18360</v>
      </c>
      <c r="Q934">
        <f>Final_Table[[#This Row],[Net Revenue]]*Final_Table[[#This Row],[Variable Cost %]]</f>
        <v>3304.7999999999997</v>
      </c>
      <c r="R934">
        <f>Final_Table[[#This Row],[Variable Cost]]+Final_Table[[#This Row],[Fixed Monthly Cost]]</f>
        <v>21304.799999999999</v>
      </c>
      <c r="S934" s="5">
        <f>Final_Table[[#This Row],[Net Revenue]]-Final_Table[[#This Row],[Total Cost (COGS)]]</f>
        <v>-2944.7999999999993</v>
      </c>
      <c r="T934">
        <f>Final_Table[[#This Row],[Gross Profit]]*Final_Table[[#This Row],[Tax Rate]]</f>
        <v>-883.43999999999971</v>
      </c>
      <c r="U934" s="5">
        <f>Final_Table[[#This Row],[Gross Profit]]-Final_Table[[#This Row],[Tax]]</f>
        <v>-2061.3599999999997</v>
      </c>
      <c r="V934" s="12">
        <f>Final_Table[[#This Row],[Net Profit]]/Final_Table[[#This Row],[Gross Revenue]]</f>
        <v>-0.10104705882352939</v>
      </c>
    </row>
    <row r="935" spans="1:22">
      <c r="A935" s="18" t="s">
        <v>74</v>
      </c>
      <c r="B935">
        <v>2014</v>
      </c>
      <c r="C935" t="s">
        <v>125</v>
      </c>
      <c r="D935">
        <v>1</v>
      </c>
      <c r="E935" s="18" t="s">
        <v>22</v>
      </c>
      <c r="F935" s="18" t="s">
        <v>108</v>
      </c>
      <c r="G935" s="18" t="s">
        <v>25</v>
      </c>
      <c r="H935" s="18" t="str">
        <f>Assumptions!$B$2</f>
        <v>Worst</v>
      </c>
      <c r="I935" s="18">
        <f>_xlfn.XLOOKUP(Assumptions!$B$2,Assumptions!$F$4:$H$4,Assumptions!$F$5:$H$5)</f>
        <v>1200</v>
      </c>
      <c r="J935" s="18">
        <f>_xlfn.XLOOKUP(Assumptions!$B$2,Assumptions!$F$4:$H$4,Assumptions!$F$6:$H$6)</f>
        <v>17</v>
      </c>
      <c r="K935" s="12">
        <f>_xlfn.XLOOKUP(Assumptions!$B$2,Assumptions!$F$4:$H$4,Assumptions!$F$8:$H$8)</f>
        <v>0.1</v>
      </c>
      <c r="L935" s="12">
        <f>_xlfn.XLOOKUP(Assumptions!$B$2,Assumptions!$F$4:$H$4,Assumptions!$F$9:$H$9)</f>
        <v>0.18</v>
      </c>
      <c r="M935" s="18">
        <f>_xlfn.XLOOKUP(Assumptions!$B$2,Assumptions!$F$4:$H$4,Assumptions!$F$10:$H$10)</f>
        <v>18000</v>
      </c>
      <c r="N935" s="12">
        <f>_xlfn.XLOOKUP(Assumptions!$B$2,Assumptions!$F$4:$H$4,Assumptions!$F$11:$H$11)</f>
        <v>0.3</v>
      </c>
      <c r="O935" s="14">
        <f>Final_Table[[#This Row],[Units Sold]]*Final_Table[[#This Row],[Sale Price]]</f>
        <v>20400</v>
      </c>
      <c r="P935" s="14">
        <f>Final_Table[[#This Row],[Gross Revenue]]*(1-Final_Table[[#This Row],[Discount %]])</f>
        <v>18360</v>
      </c>
      <c r="Q935">
        <f>Final_Table[[#This Row],[Net Revenue]]*Final_Table[[#This Row],[Variable Cost %]]</f>
        <v>3304.7999999999997</v>
      </c>
      <c r="R935">
        <f>Final_Table[[#This Row],[Variable Cost]]+Final_Table[[#This Row],[Fixed Monthly Cost]]</f>
        <v>21304.799999999999</v>
      </c>
      <c r="S935" s="5">
        <f>Final_Table[[#This Row],[Net Revenue]]-Final_Table[[#This Row],[Total Cost (COGS)]]</f>
        <v>-2944.7999999999993</v>
      </c>
      <c r="T935">
        <f>Final_Table[[#This Row],[Gross Profit]]*Final_Table[[#This Row],[Tax Rate]]</f>
        <v>-883.43999999999971</v>
      </c>
      <c r="U935" s="5">
        <f>Final_Table[[#This Row],[Gross Profit]]-Final_Table[[#This Row],[Tax]]</f>
        <v>-2061.3599999999997</v>
      </c>
      <c r="V935" s="12">
        <f>Final_Table[[#This Row],[Net Profit]]/Final_Table[[#This Row],[Gross Revenue]]</f>
        <v>-0.10104705882352939</v>
      </c>
    </row>
    <row r="936" spans="1:22">
      <c r="A936" s="18" t="s">
        <v>74</v>
      </c>
      <c r="B936">
        <v>2014</v>
      </c>
      <c r="C936" t="s">
        <v>125</v>
      </c>
      <c r="D936">
        <v>1</v>
      </c>
      <c r="E936" s="18" t="s">
        <v>22</v>
      </c>
      <c r="F936" s="18" t="s">
        <v>108</v>
      </c>
      <c r="G936" s="18" t="s">
        <v>17</v>
      </c>
      <c r="H936" s="18" t="str">
        <f>Assumptions!$B$2</f>
        <v>Worst</v>
      </c>
      <c r="I936" s="18">
        <f>_xlfn.XLOOKUP(Assumptions!$B$2,Assumptions!$F$4:$H$4,Assumptions!$F$5:$H$5)</f>
        <v>1200</v>
      </c>
      <c r="J936" s="18">
        <f>_xlfn.XLOOKUP(Assumptions!$B$2,Assumptions!$F$4:$H$4,Assumptions!$F$6:$H$6)</f>
        <v>17</v>
      </c>
      <c r="K936" s="12">
        <f>_xlfn.XLOOKUP(Assumptions!$B$2,Assumptions!$F$4:$H$4,Assumptions!$F$8:$H$8)</f>
        <v>0.1</v>
      </c>
      <c r="L936" s="12">
        <f>_xlfn.XLOOKUP(Assumptions!$B$2,Assumptions!$F$4:$H$4,Assumptions!$F$9:$H$9)</f>
        <v>0.18</v>
      </c>
      <c r="M936" s="18">
        <f>_xlfn.XLOOKUP(Assumptions!$B$2,Assumptions!$F$4:$H$4,Assumptions!$F$10:$H$10)</f>
        <v>18000</v>
      </c>
      <c r="N936" s="12">
        <f>_xlfn.XLOOKUP(Assumptions!$B$2,Assumptions!$F$4:$H$4,Assumptions!$F$11:$H$11)</f>
        <v>0.3</v>
      </c>
      <c r="O936" s="14">
        <f>Final_Table[[#This Row],[Units Sold]]*Final_Table[[#This Row],[Sale Price]]</f>
        <v>20400</v>
      </c>
      <c r="P936" s="14">
        <f>Final_Table[[#This Row],[Gross Revenue]]*(1-Final_Table[[#This Row],[Discount %]])</f>
        <v>18360</v>
      </c>
      <c r="Q936">
        <f>Final_Table[[#This Row],[Net Revenue]]*Final_Table[[#This Row],[Variable Cost %]]</f>
        <v>3304.7999999999997</v>
      </c>
      <c r="R936">
        <f>Final_Table[[#This Row],[Variable Cost]]+Final_Table[[#This Row],[Fixed Monthly Cost]]</f>
        <v>21304.799999999999</v>
      </c>
      <c r="S936" s="5">
        <f>Final_Table[[#This Row],[Net Revenue]]-Final_Table[[#This Row],[Total Cost (COGS)]]</f>
        <v>-2944.7999999999993</v>
      </c>
      <c r="T936">
        <f>Final_Table[[#This Row],[Gross Profit]]*Final_Table[[#This Row],[Tax Rate]]</f>
        <v>-883.43999999999971</v>
      </c>
      <c r="U936" s="5">
        <f>Final_Table[[#This Row],[Gross Profit]]-Final_Table[[#This Row],[Tax]]</f>
        <v>-2061.3599999999997</v>
      </c>
      <c r="V936" s="12">
        <f>Final_Table[[#This Row],[Net Profit]]/Final_Table[[#This Row],[Gross Revenue]]</f>
        <v>-0.10104705882352939</v>
      </c>
    </row>
    <row r="937" spans="1:22">
      <c r="A937" s="18" t="s">
        <v>74</v>
      </c>
      <c r="B937">
        <v>2014</v>
      </c>
      <c r="C937" t="s">
        <v>125</v>
      </c>
      <c r="D937">
        <v>1</v>
      </c>
      <c r="E937" s="18" t="s">
        <v>22</v>
      </c>
      <c r="F937" s="18" t="s">
        <v>112</v>
      </c>
      <c r="G937" s="18" t="s">
        <v>36</v>
      </c>
      <c r="H937" s="18" t="str">
        <f>Assumptions!$B$2</f>
        <v>Worst</v>
      </c>
      <c r="I937" s="18">
        <f>_xlfn.XLOOKUP(Assumptions!$B$2,Assumptions!$F$4:$H$4,Assumptions!$F$5:$H$5)</f>
        <v>1200</v>
      </c>
      <c r="J937" s="18">
        <f>_xlfn.XLOOKUP(Assumptions!$B$2,Assumptions!$F$4:$H$4,Assumptions!$F$6:$H$6)</f>
        <v>17</v>
      </c>
      <c r="K937" s="12">
        <f>_xlfn.XLOOKUP(Assumptions!$B$2,Assumptions!$F$4:$H$4,Assumptions!$F$8:$H$8)</f>
        <v>0.1</v>
      </c>
      <c r="L937" s="12">
        <f>_xlfn.XLOOKUP(Assumptions!$B$2,Assumptions!$F$4:$H$4,Assumptions!$F$9:$H$9)</f>
        <v>0.18</v>
      </c>
      <c r="M937" s="18">
        <f>_xlfn.XLOOKUP(Assumptions!$B$2,Assumptions!$F$4:$H$4,Assumptions!$F$10:$H$10)</f>
        <v>18000</v>
      </c>
      <c r="N937" s="12">
        <f>_xlfn.XLOOKUP(Assumptions!$B$2,Assumptions!$F$4:$H$4,Assumptions!$F$11:$H$11)</f>
        <v>0.3</v>
      </c>
      <c r="O937" s="14">
        <f>Final_Table[[#This Row],[Units Sold]]*Final_Table[[#This Row],[Sale Price]]</f>
        <v>20400</v>
      </c>
      <c r="P937" s="14">
        <f>Final_Table[[#This Row],[Gross Revenue]]*(1-Final_Table[[#This Row],[Discount %]])</f>
        <v>18360</v>
      </c>
      <c r="Q937">
        <f>Final_Table[[#This Row],[Net Revenue]]*Final_Table[[#This Row],[Variable Cost %]]</f>
        <v>3304.7999999999997</v>
      </c>
      <c r="R937">
        <f>Final_Table[[#This Row],[Variable Cost]]+Final_Table[[#This Row],[Fixed Monthly Cost]]</f>
        <v>21304.799999999999</v>
      </c>
      <c r="S937" s="5">
        <f>Final_Table[[#This Row],[Net Revenue]]-Final_Table[[#This Row],[Total Cost (COGS)]]</f>
        <v>-2944.7999999999993</v>
      </c>
      <c r="T937">
        <f>Final_Table[[#This Row],[Gross Profit]]*Final_Table[[#This Row],[Tax Rate]]</f>
        <v>-883.43999999999971</v>
      </c>
      <c r="U937" s="5">
        <f>Final_Table[[#This Row],[Gross Profit]]-Final_Table[[#This Row],[Tax]]</f>
        <v>-2061.3599999999997</v>
      </c>
      <c r="V937" s="12">
        <f>Final_Table[[#This Row],[Net Profit]]/Final_Table[[#This Row],[Gross Revenue]]</f>
        <v>-0.10104705882352939</v>
      </c>
    </row>
    <row r="938" spans="1:22">
      <c r="A938" s="18" t="s">
        <v>74</v>
      </c>
      <c r="B938">
        <v>2014</v>
      </c>
      <c r="C938" t="s">
        <v>125</v>
      </c>
      <c r="D938">
        <v>1</v>
      </c>
      <c r="E938" s="18" t="s">
        <v>22</v>
      </c>
      <c r="F938" s="18" t="s">
        <v>112</v>
      </c>
      <c r="G938" s="18" t="s">
        <v>23</v>
      </c>
      <c r="H938" s="18" t="str">
        <f>Assumptions!$B$2</f>
        <v>Worst</v>
      </c>
      <c r="I938" s="18">
        <f>_xlfn.XLOOKUP(Assumptions!$B$2,Assumptions!$F$4:$H$4,Assumptions!$F$5:$H$5)</f>
        <v>1200</v>
      </c>
      <c r="J938" s="18">
        <f>_xlfn.XLOOKUP(Assumptions!$B$2,Assumptions!$F$4:$H$4,Assumptions!$F$6:$H$6)</f>
        <v>17</v>
      </c>
      <c r="K938" s="12">
        <f>_xlfn.XLOOKUP(Assumptions!$B$2,Assumptions!$F$4:$H$4,Assumptions!$F$8:$H$8)</f>
        <v>0.1</v>
      </c>
      <c r="L938" s="12">
        <f>_xlfn.XLOOKUP(Assumptions!$B$2,Assumptions!$F$4:$H$4,Assumptions!$F$9:$H$9)</f>
        <v>0.18</v>
      </c>
      <c r="M938" s="18">
        <f>_xlfn.XLOOKUP(Assumptions!$B$2,Assumptions!$F$4:$H$4,Assumptions!$F$10:$H$10)</f>
        <v>18000</v>
      </c>
      <c r="N938" s="12">
        <f>_xlfn.XLOOKUP(Assumptions!$B$2,Assumptions!$F$4:$H$4,Assumptions!$F$11:$H$11)</f>
        <v>0.3</v>
      </c>
      <c r="O938" s="14">
        <f>Final_Table[[#This Row],[Units Sold]]*Final_Table[[#This Row],[Sale Price]]</f>
        <v>20400</v>
      </c>
      <c r="P938" s="14">
        <f>Final_Table[[#This Row],[Gross Revenue]]*(1-Final_Table[[#This Row],[Discount %]])</f>
        <v>18360</v>
      </c>
      <c r="Q938">
        <f>Final_Table[[#This Row],[Net Revenue]]*Final_Table[[#This Row],[Variable Cost %]]</f>
        <v>3304.7999999999997</v>
      </c>
      <c r="R938">
        <f>Final_Table[[#This Row],[Variable Cost]]+Final_Table[[#This Row],[Fixed Monthly Cost]]</f>
        <v>21304.799999999999</v>
      </c>
      <c r="S938" s="5">
        <f>Final_Table[[#This Row],[Net Revenue]]-Final_Table[[#This Row],[Total Cost (COGS)]]</f>
        <v>-2944.7999999999993</v>
      </c>
      <c r="T938">
        <f>Final_Table[[#This Row],[Gross Profit]]*Final_Table[[#This Row],[Tax Rate]]</f>
        <v>-883.43999999999971</v>
      </c>
      <c r="U938" s="5">
        <f>Final_Table[[#This Row],[Gross Profit]]-Final_Table[[#This Row],[Tax]]</f>
        <v>-2061.3599999999997</v>
      </c>
      <c r="V938" s="12">
        <f>Final_Table[[#This Row],[Net Profit]]/Final_Table[[#This Row],[Gross Revenue]]</f>
        <v>-0.10104705882352939</v>
      </c>
    </row>
    <row r="939" spans="1:22">
      <c r="A939" s="18" t="s">
        <v>74</v>
      </c>
      <c r="B939">
        <v>2014</v>
      </c>
      <c r="C939" t="s">
        <v>125</v>
      </c>
      <c r="D939">
        <v>1</v>
      </c>
      <c r="E939" s="18" t="s">
        <v>22</v>
      </c>
      <c r="F939" s="18" t="s">
        <v>112</v>
      </c>
      <c r="G939" s="18" t="s">
        <v>21</v>
      </c>
      <c r="H939" s="18" t="str">
        <f>Assumptions!$B$2</f>
        <v>Worst</v>
      </c>
      <c r="I939" s="18">
        <f>_xlfn.XLOOKUP(Assumptions!$B$2,Assumptions!$F$4:$H$4,Assumptions!$F$5:$H$5)</f>
        <v>1200</v>
      </c>
      <c r="J939" s="18">
        <f>_xlfn.XLOOKUP(Assumptions!$B$2,Assumptions!$F$4:$H$4,Assumptions!$F$6:$H$6)</f>
        <v>17</v>
      </c>
      <c r="K939" s="12">
        <f>_xlfn.XLOOKUP(Assumptions!$B$2,Assumptions!$F$4:$H$4,Assumptions!$F$8:$H$8)</f>
        <v>0.1</v>
      </c>
      <c r="L939" s="12">
        <f>_xlfn.XLOOKUP(Assumptions!$B$2,Assumptions!$F$4:$H$4,Assumptions!$F$9:$H$9)</f>
        <v>0.18</v>
      </c>
      <c r="M939" s="18">
        <f>_xlfn.XLOOKUP(Assumptions!$B$2,Assumptions!$F$4:$H$4,Assumptions!$F$10:$H$10)</f>
        <v>18000</v>
      </c>
      <c r="N939" s="12">
        <f>_xlfn.XLOOKUP(Assumptions!$B$2,Assumptions!$F$4:$H$4,Assumptions!$F$11:$H$11)</f>
        <v>0.3</v>
      </c>
      <c r="O939" s="14">
        <f>Final_Table[[#This Row],[Units Sold]]*Final_Table[[#This Row],[Sale Price]]</f>
        <v>20400</v>
      </c>
      <c r="P939" s="14">
        <f>Final_Table[[#This Row],[Gross Revenue]]*(1-Final_Table[[#This Row],[Discount %]])</f>
        <v>18360</v>
      </c>
      <c r="Q939">
        <f>Final_Table[[#This Row],[Net Revenue]]*Final_Table[[#This Row],[Variable Cost %]]</f>
        <v>3304.7999999999997</v>
      </c>
      <c r="R939">
        <f>Final_Table[[#This Row],[Variable Cost]]+Final_Table[[#This Row],[Fixed Monthly Cost]]</f>
        <v>21304.799999999999</v>
      </c>
      <c r="S939" s="5">
        <f>Final_Table[[#This Row],[Net Revenue]]-Final_Table[[#This Row],[Total Cost (COGS)]]</f>
        <v>-2944.7999999999993</v>
      </c>
      <c r="T939">
        <f>Final_Table[[#This Row],[Gross Profit]]*Final_Table[[#This Row],[Tax Rate]]</f>
        <v>-883.43999999999971</v>
      </c>
      <c r="U939" s="5">
        <f>Final_Table[[#This Row],[Gross Profit]]-Final_Table[[#This Row],[Tax]]</f>
        <v>-2061.3599999999997</v>
      </c>
      <c r="V939" s="12">
        <f>Final_Table[[#This Row],[Net Profit]]/Final_Table[[#This Row],[Gross Revenue]]</f>
        <v>-0.10104705882352939</v>
      </c>
    </row>
    <row r="940" spans="1:22">
      <c r="A940" s="18" t="s">
        <v>74</v>
      </c>
      <c r="B940">
        <v>2014</v>
      </c>
      <c r="C940" t="s">
        <v>125</v>
      </c>
      <c r="D940">
        <v>1</v>
      </c>
      <c r="E940" s="18" t="s">
        <v>22</v>
      </c>
      <c r="F940" s="18" t="s">
        <v>112</v>
      </c>
      <c r="G940" s="18" t="s">
        <v>25</v>
      </c>
      <c r="H940" s="18" t="str">
        <f>Assumptions!$B$2</f>
        <v>Worst</v>
      </c>
      <c r="I940" s="18">
        <f>_xlfn.XLOOKUP(Assumptions!$B$2,Assumptions!$F$4:$H$4,Assumptions!$F$5:$H$5)</f>
        <v>1200</v>
      </c>
      <c r="J940" s="18">
        <f>_xlfn.XLOOKUP(Assumptions!$B$2,Assumptions!$F$4:$H$4,Assumptions!$F$6:$H$6)</f>
        <v>17</v>
      </c>
      <c r="K940" s="12">
        <f>_xlfn.XLOOKUP(Assumptions!$B$2,Assumptions!$F$4:$H$4,Assumptions!$F$8:$H$8)</f>
        <v>0.1</v>
      </c>
      <c r="L940" s="12">
        <f>_xlfn.XLOOKUP(Assumptions!$B$2,Assumptions!$F$4:$H$4,Assumptions!$F$9:$H$9)</f>
        <v>0.18</v>
      </c>
      <c r="M940" s="18">
        <f>_xlfn.XLOOKUP(Assumptions!$B$2,Assumptions!$F$4:$H$4,Assumptions!$F$10:$H$10)</f>
        <v>18000</v>
      </c>
      <c r="N940" s="12">
        <f>_xlfn.XLOOKUP(Assumptions!$B$2,Assumptions!$F$4:$H$4,Assumptions!$F$11:$H$11)</f>
        <v>0.3</v>
      </c>
      <c r="O940" s="14">
        <f>Final_Table[[#This Row],[Units Sold]]*Final_Table[[#This Row],[Sale Price]]</f>
        <v>20400</v>
      </c>
      <c r="P940" s="14">
        <f>Final_Table[[#This Row],[Gross Revenue]]*(1-Final_Table[[#This Row],[Discount %]])</f>
        <v>18360</v>
      </c>
      <c r="Q940">
        <f>Final_Table[[#This Row],[Net Revenue]]*Final_Table[[#This Row],[Variable Cost %]]</f>
        <v>3304.7999999999997</v>
      </c>
      <c r="R940">
        <f>Final_Table[[#This Row],[Variable Cost]]+Final_Table[[#This Row],[Fixed Monthly Cost]]</f>
        <v>21304.799999999999</v>
      </c>
      <c r="S940" s="5">
        <f>Final_Table[[#This Row],[Net Revenue]]-Final_Table[[#This Row],[Total Cost (COGS)]]</f>
        <v>-2944.7999999999993</v>
      </c>
      <c r="T940">
        <f>Final_Table[[#This Row],[Gross Profit]]*Final_Table[[#This Row],[Tax Rate]]</f>
        <v>-883.43999999999971</v>
      </c>
      <c r="U940" s="5">
        <f>Final_Table[[#This Row],[Gross Profit]]-Final_Table[[#This Row],[Tax]]</f>
        <v>-2061.3599999999997</v>
      </c>
      <c r="V940" s="12">
        <f>Final_Table[[#This Row],[Net Profit]]/Final_Table[[#This Row],[Gross Revenue]]</f>
        <v>-0.10104705882352939</v>
      </c>
    </row>
    <row r="941" spans="1:22">
      <c r="A941" s="18" t="s">
        <v>74</v>
      </c>
      <c r="B941">
        <v>2014</v>
      </c>
      <c r="C941" t="s">
        <v>125</v>
      </c>
      <c r="D941">
        <v>1</v>
      </c>
      <c r="E941" s="18" t="s">
        <v>22</v>
      </c>
      <c r="F941" s="18" t="s">
        <v>112</v>
      </c>
      <c r="G941" s="18" t="s">
        <v>17</v>
      </c>
      <c r="H941" s="18" t="str">
        <f>Assumptions!$B$2</f>
        <v>Worst</v>
      </c>
      <c r="I941" s="18">
        <f>_xlfn.XLOOKUP(Assumptions!$B$2,Assumptions!$F$4:$H$4,Assumptions!$F$5:$H$5)</f>
        <v>1200</v>
      </c>
      <c r="J941" s="18">
        <f>_xlfn.XLOOKUP(Assumptions!$B$2,Assumptions!$F$4:$H$4,Assumptions!$F$6:$H$6)</f>
        <v>17</v>
      </c>
      <c r="K941" s="12">
        <f>_xlfn.XLOOKUP(Assumptions!$B$2,Assumptions!$F$4:$H$4,Assumptions!$F$8:$H$8)</f>
        <v>0.1</v>
      </c>
      <c r="L941" s="12">
        <f>_xlfn.XLOOKUP(Assumptions!$B$2,Assumptions!$F$4:$H$4,Assumptions!$F$9:$H$9)</f>
        <v>0.18</v>
      </c>
      <c r="M941" s="18">
        <f>_xlfn.XLOOKUP(Assumptions!$B$2,Assumptions!$F$4:$H$4,Assumptions!$F$10:$H$10)</f>
        <v>18000</v>
      </c>
      <c r="N941" s="12">
        <f>_xlfn.XLOOKUP(Assumptions!$B$2,Assumptions!$F$4:$H$4,Assumptions!$F$11:$H$11)</f>
        <v>0.3</v>
      </c>
      <c r="O941" s="14">
        <f>Final_Table[[#This Row],[Units Sold]]*Final_Table[[#This Row],[Sale Price]]</f>
        <v>20400</v>
      </c>
      <c r="P941" s="14">
        <f>Final_Table[[#This Row],[Gross Revenue]]*(1-Final_Table[[#This Row],[Discount %]])</f>
        <v>18360</v>
      </c>
      <c r="Q941">
        <f>Final_Table[[#This Row],[Net Revenue]]*Final_Table[[#This Row],[Variable Cost %]]</f>
        <v>3304.7999999999997</v>
      </c>
      <c r="R941">
        <f>Final_Table[[#This Row],[Variable Cost]]+Final_Table[[#This Row],[Fixed Monthly Cost]]</f>
        <v>21304.799999999999</v>
      </c>
      <c r="S941" s="5">
        <f>Final_Table[[#This Row],[Net Revenue]]-Final_Table[[#This Row],[Total Cost (COGS)]]</f>
        <v>-2944.7999999999993</v>
      </c>
      <c r="T941">
        <f>Final_Table[[#This Row],[Gross Profit]]*Final_Table[[#This Row],[Tax Rate]]</f>
        <v>-883.43999999999971</v>
      </c>
      <c r="U941" s="5">
        <f>Final_Table[[#This Row],[Gross Profit]]-Final_Table[[#This Row],[Tax]]</f>
        <v>-2061.3599999999997</v>
      </c>
      <c r="V941" s="12">
        <f>Final_Table[[#This Row],[Net Profit]]/Final_Table[[#This Row],[Gross Revenue]]</f>
        <v>-0.10104705882352939</v>
      </c>
    </row>
    <row r="942" spans="1:22">
      <c r="A942" s="18" t="s">
        <v>74</v>
      </c>
      <c r="B942">
        <v>2014</v>
      </c>
      <c r="C942" t="s">
        <v>125</v>
      </c>
      <c r="D942">
        <v>1</v>
      </c>
      <c r="E942" s="18" t="s">
        <v>22</v>
      </c>
      <c r="F942" s="18" t="s">
        <v>113</v>
      </c>
      <c r="G942" s="18" t="s">
        <v>36</v>
      </c>
      <c r="H942" s="18" t="str">
        <f>Assumptions!$B$2</f>
        <v>Worst</v>
      </c>
      <c r="I942" s="18">
        <f>_xlfn.XLOOKUP(Assumptions!$B$2,Assumptions!$F$4:$H$4,Assumptions!$F$5:$H$5)</f>
        <v>1200</v>
      </c>
      <c r="J942" s="18">
        <f>_xlfn.XLOOKUP(Assumptions!$B$2,Assumptions!$F$4:$H$4,Assumptions!$F$6:$H$6)</f>
        <v>17</v>
      </c>
      <c r="K942" s="12">
        <f>_xlfn.XLOOKUP(Assumptions!$B$2,Assumptions!$F$4:$H$4,Assumptions!$F$8:$H$8)</f>
        <v>0.1</v>
      </c>
      <c r="L942" s="12">
        <f>_xlfn.XLOOKUP(Assumptions!$B$2,Assumptions!$F$4:$H$4,Assumptions!$F$9:$H$9)</f>
        <v>0.18</v>
      </c>
      <c r="M942" s="18">
        <f>_xlfn.XLOOKUP(Assumptions!$B$2,Assumptions!$F$4:$H$4,Assumptions!$F$10:$H$10)</f>
        <v>18000</v>
      </c>
      <c r="N942" s="12">
        <f>_xlfn.XLOOKUP(Assumptions!$B$2,Assumptions!$F$4:$H$4,Assumptions!$F$11:$H$11)</f>
        <v>0.3</v>
      </c>
      <c r="O942" s="14">
        <f>Final_Table[[#This Row],[Units Sold]]*Final_Table[[#This Row],[Sale Price]]</f>
        <v>20400</v>
      </c>
      <c r="P942" s="14">
        <f>Final_Table[[#This Row],[Gross Revenue]]*(1-Final_Table[[#This Row],[Discount %]])</f>
        <v>18360</v>
      </c>
      <c r="Q942">
        <f>Final_Table[[#This Row],[Net Revenue]]*Final_Table[[#This Row],[Variable Cost %]]</f>
        <v>3304.7999999999997</v>
      </c>
      <c r="R942">
        <f>Final_Table[[#This Row],[Variable Cost]]+Final_Table[[#This Row],[Fixed Monthly Cost]]</f>
        <v>21304.799999999999</v>
      </c>
      <c r="S942" s="5">
        <f>Final_Table[[#This Row],[Net Revenue]]-Final_Table[[#This Row],[Total Cost (COGS)]]</f>
        <v>-2944.7999999999993</v>
      </c>
      <c r="T942">
        <f>Final_Table[[#This Row],[Gross Profit]]*Final_Table[[#This Row],[Tax Rate]]</f>
        <v>-883.43999999999971</v>
      </c>
      <c r="U942" s="5">
        <f>Final_Table[[#This Row],[Gross Profit]]-Final_Table[[#This Row],[Tax]]</f>
        <v>-2061.3599999999997</v>
      </c>
      <c r="V942" s="12">
        <f>Final_Table[[#This Row],[Net Profit]]/Final_Table[[#This Row],[Gross Revenue]]</f>
        <v>-0.10104705882352939</v>
      </c>
    </row>
    <row r="943" spans="1:22">
      <c r="A943" s="18" t="s">
        <v>74</v>
      </c>
      <c r="B943">
        <v>2014</v>
      </c>
      <c r="C943" t="s">
        <v>125</v>
      </c>
      <c r="D943">
        <v>1</v>
      </c>
      <c r="E943" s="18" t="s">
        <v>22</v>
      </c>
      <c r="F943" s="18" t="s">
        <v>113</v>
      </c>
      <c r="G943" s="18" t="s">
        <v>23</v>
      </c>
      <c r="H943" s="18" t="str">
        <f>Assumptions!$B$2</f>
        <v>Worst</v>
      </c>
      <c r="I943" s="18">
        <f>_xlfn.XLOOKUP(Assumptions!$B$2,Assumptions!$F$4:$H$4,Assumptions!$F$5:$H$5)</f>
        <v>1200</v>
      </c>
      <c r="J943" s="18">
        <f>_xlfn.XLOOKUP(Assumptions!$B$2,Assumptions!$F$4:$H$4,Assumptions!$F$6:$H$6)</f>
        <v>17</v>
      </c>
      <c r="K943" s="12">
        <f>_xlfn.XLOOKUP(Assumptions!$B$2,Assumptions!$F$4:$H$4,Assumptions!$F$8:$H$8)</f>
        <v>0.1</v>
      </c>
      <c r="L943" s="12">
        <f>_xlfn.XLOOKUP(Assumptions!$B$2,Assumptions!$F$4:$H$4,Assumptions!$F$9:$H$9)</f>
        <v>0.18</v>
      </c>
      <c r="M943" s="18">
        <f>_xlfn.XLOOKUP(Assumptions!$B$2,Assumptions!$F$4:$H$4,Assumptions!$F$10:$H$10)</f>
        <v>18000</v>
      </c>
      <c r="N943" s="12">
        <f>_xlfn.XLOOKUP(Assumptions!$B$2,Assumptions!$F$4:$H$4,Assumptions!$F$11:$H$11)</f>
        <v>0.3</v>
      </c>
      <c r="O943" s="14">
        <f>Final_Table[[#This Row],[Units Sold]]*Final_Table[[#This Row],[Sale Price]]</f>
        <v>20400</v>
      </c>
      <c r="P943" s="14">
        <f>Final_Table[[#This Row],[Gross Revenue]]*(1-Final_Table[[#This Row],[Discount %]])</f>
        <v>18360</v>
      </c>
      <c r="Q943">
        <f>Final_Table[[#This Row],[Net Revenue]]*Final_Table[[#This Row],[Variable Cost %]]</f>
        <v>3304.7999999999997</v>
      </c>
      <c r="R943">
        <f>Final_Table[[#This Row],[Variable Cost]]+Final_Table[[#This Row],[Fixed Monthly Cost]]</f>
        <v>21304.799999999999</v>
      </c>
      <c r="S943" s="5">
        <f>Final_Table[[#This Row],[Net Revenue]]-Final_Table[[#This Row],[Total Cost (COGS)]]</f>
        <v>-2944.7999999999993</v>
      </c>
      <c r="T943">
        <f>Final_Table[[#This Row],[Gross Profit]]*Final_Table[[#This Row],[Tax Rate]]</f>
        <v>-883.43999999999971</v>
      </c>
      <c r="U943" s="5">
        <f>Final_Table[[#This Row],[Gross Profit]]-Final_Table[[#This Row],[Tax]]</f>
        <v>-2061.3599999999997</v>
      </c>
      <c r="V943" s="12">
        <f>Final_Table[[#This Row],[Net Profit]]/Final_Table[[#This Row],[Gross Revenue]]</f>
        <v>-0.10104705882352939</v>
      </c>
    </row>
    <row r="944" spans="1:22">
      <c r="A944" s="18" t="s">
        <v>74</v>
      </c>
      <c r="B944">
        <v>2014</v>
      </c>
      <c r="C944" t="s">
        <v>125</v>
      </c>
      <c r="D944">
        <v>1</v>
      </c>
      <c r="E944" s="18" t="s">
        <v>22</v>
      </c>
      <c r="F944" s="18" t="s">
        <v>113</v>
      </c>
      <c r="G944" s="18" t="s">
        <v>21</v>
      </c>
      <c r="H944" s="18" t="str">
        <f>Assumptions!$B$2</f>
        <v>Worst</v>
      </c>
      <c r="I944" s="18">
        <f>_xlfn.XLOOKUP(Assumptions!$B$2,Assumptions!$F$4:$H$4,Assumptions!$F$5:$H$5)</f>
        <v>1200</v>
      </c>
      <c r="J944" s="18">
        <f>_xlfn.XLOOKUP(Assumptions!$B$2,Assumptions!$F$4:$H$4,Assumptions!$F$6:$H$6)</f>
        <v>17</v>
      </c>
      <c r="K944" s="12">
        <f>_xlfn.XLOOKUP(Assumptions!$B$2,Assumptions!$F$4:$H$4,Assumptions!$F$8:$H$8)</f>
        <v>0.1</v>
      </c>
      <c r="L944" s="12">
        <f>_xlfn.XLOOKUP(Assumptions!$B$2,Assumptions!$F$4:$H$4,Assumptions!$F$9:$H$9)</f>
        <v>0.18</v>
      </c>
      <c r="M944" s="18">
        <f>_xlfn.XLOOKUP(Assumptions!$B$2,Assumptions!$F$4:$H$4,Assumptions!$F$10:$H$10)</f>
        <v>18000</v>
      </c>
      <c r="N944" s="12">
        <f>_xlfn.XLOOKUP(Assumptions!$B$2,Assumptions!$F$4:$H$4,Assumptions!$F$11:$H$11)</f>
        <v>0.3</v>
      </c>
      <c r="O944" s="14">
        <f>Final_Table[[#This Row],[Units Sold]]*Final_Table[[#This Row],[Sale Price]]</f>
        <v>20400</v>
      </c>
      <c r="P944" s="14">
        <f>Final_Table[[#This Row],[Gross Revenue]]*(1-Final_Table[[#This Row],[Discount %]])</f>
        <v>18360</v>
      </c>
      <c r="Q944">
        <f>Final_Table[[#This Row],[Net Revenue]]*Final_Table[[#This Row],[Variable Cost %]]</f>
        <v>3304.7999999999997</v>
      </c>
      <c r="R944">
        <f>Final_Table[[#This Row],[Variable Cost]]+Final_Table[[#This Row],[Fixed Monthly Cost]]</f>
        <v>21304.799999999999</v>
      </c>
      <c r="S944" s="5">
        <f>Final_Table[[#This Row],[Net Revenue]]-Final_Table[[#This Row],[Total Cost (COGS)]]</f>
        <v>-2944.7999999999993</v>
      </c>
      <c r="T944">
        <f>Final_Table[[#This Row],[Gross Profit]]*Final_Table[[#This Row],[Tax Rate]]</f>
        <v>-883.43999999999971</v>
      </c>
      <c r="U944" s="5">
        <f>Final_Table[[#This Row],[Gross Profit]]-Final_Table[[#This Row],[Tax]]</f>
        <v>-2061.3599999999997</v>
      </c>
      <c r="V944" s="12">
        <f>Final_Table[[#This Row],[Net Profit]]/Final_Table[[#This Row],[Gross Revenue]]</f>
        <v>-0.10104705882352939</v>
      </c>
    </row>
    <row r="945" spans="1:22">
      <c r="A945" s="18" t="s">
        <v>74</v>
      </c>
      <c r="B945">
        <v>2014</v>
      </c>
      <c r="C945" t="s">
        <v>125</v>
      </c>
      <c r="D945">
        <v>1</v>
      </c>
      <c r="E945" s="18" t="s">
        <v>22</v>
      </c>
      <c r="F945" s="18" t="s">
        <v>113</v>
      </c>
      <c r="G945" s="18" t="s">
        <v>25</v>
      </c>
      <c r="H945" s="18" t="str">
        <f>Assumptions!$B$2</f>
        <v>Worst</v>
      </c>
      <c r="I945" s="18">
        <f>_xlfn.XLOOKUP(Assumptions!$B$2,Assumptions!$F$4:$H$4,Assumptions!$F$5:$H$5)</f>
        <v>1200</v>
      </c>
      <c r="J945" s="18">
        <f>_xlfn.XLOOKUP(Assumptions!$B$2,Assumptions!$F$4:$H$4,Assumptions!$F$6:$H$6)</f>
        <v>17</v>
      </c>
      <c r="K945" s="12">
        <f>_xlfn.XLOOKUP(Assumptions!$B$2,Assumptions!$F$4:$H$4,Assumptions!$F$8:$H$8)</f>
        <v>0.1</v>
      </c>
      <c r="L945" s="12">
        <f>_xlfn.XLOOKUP(Assumptions!$B$2,Assumptions!$F$4:$H$4,Assumptions!$F$9:$H$9)</f>
        <v>0.18</v>
      </c>
      <c r="M945" s="18">
        <f>_xlfn.XLOOKUP(Assumptions!$B$2,Assumptions!$F$4:$H$4,Assumptions!$F$10:$H$10)</f>
        <v>18000</v>
      </c>
      <c r="N945" s="12">
        <f>_xlfn.XLOOKUP(Assumptions!$B$2,Assumptions!$F$4:$H$4,Assumptions!$F$11:$H$11)</f>
        <v>0.3</v>
      </c>
      <c r="O945" s="14">
        <f>Final_Table[[#This Row],[Units Sold]]*Final_Table[[#This Row],[Sale Price]]</f>
        <v>20400</v>
      </c>
      <c r="P945" s="14">
        <f>Final_Table[[#This Row],[Gross Revenue]]*(1-Final_Table[[#This Row],[Discount %]])</f>
        <v>18360</v>
      </c>
      <c r="Q945">
        <f>Final_Table[[#This Row],[Net Revenue]]*Final_Table[[#This Row],[Variable Cost %]]</f>
        <v>3304.7999999999997</v>
      </c>
      <c r="R945">
        <f>Final_Table[[#This Row],[Variable Cost]]+Final_Table[[#This Row],[Fixed Monthly Cost]]</f>
        <v>21304.799999999999</v>
      </c>
      <c r="S945" s="5">
        <f>Final_Table[[#This Row],[Net Revenue]]-Final_Table[[#This Row],[Total Cost (COGS)]]</f>
        <v>-2944.7999999999993</v>
      </c>
      <c r="T945">
        <f>Final_Table[[#This Row],[Gross Profit]]*Final_Table[[#This Row],[Tax Rate]]</f>
        <v>-883.43999999999971</v>
      </c>
      <c r="U945" s="5">
        <f>Final_Table[[#This Row],[Gross Profit]]-Final_Table[[#This Row],[Tax]]</f>
        <v>-2061.3599999999997</v>
      </c>
      <c r="V945" s="12">
        <f>Final_Table[[#This Row],[Net Profit]]/Final_Table[[#This Row],[Gross Revenue]]</f>
        <v>-0.10104705882352939</v>
      </c>
    </row>
    <row r="946" spans="1:22">
      <c r="A946" s="18" t="s">
        <v>74</v>
      </c>
      <c r="B946">
        <v>2014</v>
      </c>
      <c r="C946" t="s">
        <v>125</v>
      </c>
      <c r="D946">
        <v>1</v>
      </c>
      <c r="E946" s="18" t="s">
        <v>22</v>
      </c>
      <c r="F946" s="18" t="s">
        <v>113</v>
      </c>
      <c r="G946" s="18" t="s">
        <v>17</v>
      </c>
      <c r="H946" s="18" t="str">
        <f>Assumptions!$B$2</f>
        <v>Worst</v>
      </c>
      <c r="I946" s="18">
        <f>_xlfn.XLOOKUP(Assumptions!$B$2,Assumptions!$F$4:$H$4,Assumptions!$F$5:$H$5)</f>
        <v>1200</v>
      </c>
      <c r="J946" s="18">
        <f>_xlfn.XLOOKUP(Assumptions!$B$2,Assumptions!$F$4:$H$4,Assumptions!$F$6:$H$6)</f>
        <v>17</v>
      </c>
      <c r="K946" s="12">
        <f>_xlfn.XLOOKUP(Assumptions!$B$2,Assumptions!$F$4:$H$4,Assumptions!$F$8:$H$8)</f>
        <v>0.1</v>
      </c>
      <c r="L946" s="12">
        <f>_xlfn.XLOOKUP(Assumptions!$B$2,Assumptions!$F$4:$H$4,Assumptions!$F$9:$H$9)</f>
        <v>0.18</v>
      </c>
      <c r="M946" s="18">
        <f>_xlfn.XLOOKUP(Assumptions!$B$2,Assumptions!$F$4:$H$4,Assumptions!$F$10:$H$10)</f>
        <v>18000</v>
      </c>
      <c r="N946" s="12">
        <f>_xlfn.XLOOKUP(Assumptions!$B$2,Assumptions!$F$4:$H$4,Assumptions!$F$11:$H$11)</f>
        <v>0.3</v>
      </c>
      <c r="O946" s="14">
        <f>Final_Table[[#This Row],[Units Sold]]*Final_Table[[#This Row],[Sale Price]]</f>
        <v>20400</v>
      </c>
      <c r="P946" s="14">
        <f>Final_Table[[#This Row],[Gross Revenue]]*(1-Final_Table[[#This Row],[Discount %]])</f>
        <v>18360</v>
      </c>
      <c r="Q946">
        <f>Final_Table[[#This Row],[Net Revenue]]*Final_Table[[#This Row],[Variable Cost %]]</f>
        <v>3304.7999999999997</v>
      </c>
      <c r="R946">
        <f>Final_Table[[#This Row],[Variable Cost]]+Final_Table[[#This Row],[Fixed Monthly Cost]]</f>
        <v>21304.799999999999</v>
      </c>
      <c r="S946" s="5">
        <f>Final_Table[[#This Row],[Net Revenue]]-Final_Table[[#This Row],[Total Cost (COGS)]]</f>
        <v>-2944.7999999999993</v>
      </c>
      <c r="T946">
        <f>Final_Table[[#This Row],[Gross Profit]]*Final_Table[[#This Row],[Tax Rate]]</f>
        <v>-883.43999999999971</v>
      </c>
      <c r="U946" s="5">
        <f>Final_Table[[#This Row],[Gross Profit]]-Final_Table[[#This Row],[Tax]]</f>
        <v>-2061.3599999999997</v>
      </c>
      <c r="V946" s="12">
        <f>Final_Table[[#This Row],[Net Profit]]/Final_Table[[#This Row],[Gross Revenue]]</f>
        <v>-0.10104705882352939</v>
      </c>
    </row>
    <row r="947" spans="1:22">
      <c r="A947" s="18" t="s">
        <v>74</v>
      </c>
      <c r="B947">
        <v>2014</v>
      </c>
      <c r="C947" t="s">
        <v>125</v>
      </c>
      <c r="D947">
        <v>1</v>
      </c>
      <c r="E947" s="18" t="s">
        <v>22</v>
      </c>
      <c r="F947" s="18" t="s">
        <v>114</v>
      </c>
      <c r="G947" s="18" t="s">
        <v>36</v>
      </c>
      <c r="H947" s="18" t="str">
        <f>Assumptions!$B$2</f>
        <v>Worst</v>
      </c>
      <c r="I947" s="18">
        <f>_xlfn.XLOOKUP(Assumptions!$B$2,Assumptions!$F$4:$H$4,Assumptions!$F$5:$H$5)</f>
        <v>1200</v>
      </c>
      <c r="J947" s="18">
        <f>_xlfn.XLOOKUP(Assumptions!$B$2,Assumptions!$F$4:$H$4,Assumptions!$F$6:$H$6)</f>
        <v>17</v>
      </c>
      <c r="K947" s="12">
        <f>_xlfn.XLOOKUP(Assumptions!$B$2,Assumptions!$F$4:$H$4,Assumptions!$F$8:$H$8)</f>
        <v>0.1</v>
      </c>
      <c r="L947" s="12">
        <f>_xlfn.XLOOKUP(Assumptions!$B$2,Assumptions!$F$4:$H$4,Assumptions!$F$9:$H$9)</f>
        <v>0.18</v>
      </c>
      <c r="M947" s="18">
        <f>_xlfn.XLOOKUP(Assumptions!$B$2,Assumptions!$F$4:$H$4,Assumptions!$F$10:$H$10)</f>
        <v>18000</v>
      </c>
      <c r="N947" s="12">
        <f>_xlfn.XLOOKUP(Assumptions!$B$2,Assumptions!$F$4:$H$4,Assumptions!$F$11:$H$11)</f>
        <v>0.3</v>
      </c>
      <c r="O947" s="14">
        <f>Final_Table[[#This Row],[Units Sold]]*Final_Table[[#This Row],[Sale Price]]</f>
        <v>20400</v>
      </c>
      <c r="P947" s="14">
        <f>Final_Table[[#This Row],[Gross Revenue]]*(1-Final_Table[[#This Row],[Discount %]])</f>
        <v>18360</v>
      </c>
      <c r="Q947">
        <f>Final_Table[[#This Row],[Net Revenue]]*Final_Table[[#This Row],[Variable Cost %]]</f>
        <v>3304.7999999999997</v>
      </c>
      <c r="R947">
        <f>Final_Table[[#This Row],[Variable Cost]]+Final_Table[[#This Row],[Fixed Monthly Cost]]</f>
        <v>21304.799999999999</v>
      </c>
      <c r="S947" s="5">
        <f>Final_Table[[#This Row],[Net Revenue]]-Final_Table[[#This Row],[Total Cost (COGS)]]</f>
        <v>-2944.7999999999993</v>
      </c>
      <c r="T947">
        <f>Final_Table[[#This Row],[Gross Profit]]*Final_Table[[#This Row],[Tax Rate]]</f>
        <v>-883.43999999999971</v>
      </c>
      <c r="U947" s="5">
        <f>Final_Table[[#This Row],[Gross Profit]]-Final_Table[[#This Row],[Tax]]</f>
        <v>-2061.3599999999997</v>
      </c>
      <c r="V947" s="12">
        <f>Final_Table[[#This Row],[Net Profit]]/Final_Table[[#This Row],[Gross Revenue]]</f>
        <v>-0.10104705882352939</v>
      </c>
    </row>
    <row r="948" spans="1:22">
      <c r="A948" s="18" t="s">
        <v>74</v>
      </c>
      <c r="B948">
        <v>2014</v>
      </c>
      <c r="C948" t="s">
        <v>125</v>
      </c>
      <c r="D948">
        <v>1</v>
      </c>
      <c r="E948" s="18" t="s">
        <v>22</v>
      </c>
      <c r="F948" s="18" t="s">
        <v>114</v>
      </c>
      <c r="G948" s="18" t="s">
        <v>23</v>
      </c>
      <c r="H948" s="18" t="str">
        <f>Assumptions!$B$2</f>
        <v>Worst</v>
      </c>
      <c r="I948" s="18">
        <f>_xlfn.XLOOKUP(Assumptions!$B$2,Assumptions!$F$4:$H$4,Assumptions!$F$5:$H$5)</f>
        <v>1200</v>
      </c>
      <c r="J948" s="18">
        <f>_xlfn.XLOOKUP(Assumptions!$B$2,Assumptions!$F$4:$H$4,Assumptions!$F$6:$H$6)</f>
        <v>17</v>
      </c>
      <c r="K948" s="12">
        <f>_xlfn.XLOOKUP(Assumptions!$B$2,Assumptions!$F$4:$H$4,Assumptions!$F$8:$H$8)</f>
        <v>0.1</v>
      </c>
      <c r="L948" s="12">
        <f>_xlfn.XLOOKUP(Assumptions!$B$2,Assumptions!$F$4:$H$4,Assumptions!$F$9:$H$9)</f>
        <v>0.18</v>
      </c>
      <c r="M948" s="18">
        <f>_xlfn.XLOOKUP(Assumptions!$B$2,Assumptions!$F$4:$H$4,Assumptions!$F$10:$H$10)</f>
        <v>18000</v>
      </c>
      <c r="N948" s="12">
        <f>_xlfn.XLOOKUP(Assumptions!$B$2,Assumptions!$F$4:$H$4,Assumptions!$F$11:$H$11)</f>
        <v>0.3</v>
      </c>
      <c r="O948" s="14">
        <f>Final_Table[[#This Row],[Units Sold]]*Final_Table[[#This Row],[Sale Price]]</f>
        <v>20400</v>
      </c>
      <c r="P948" s="14">
        <f>Final_Table[[#This Row],[Gross Revenue]]*(1-Final_Table[[#This Row],[Discount %]])</f>
        <v>18360</v>
      </c>
      <c r="Q948">
        <f>Final_Table[[#This Row],[Net Revenue]]*Final_Table[[#This Row],[Variable Cost %]]</f>
        <v>3304.7999999999997</v>
      </c>
      <c r="R948">
        <f>Final_Table[[#This Row],[Variable Cost]]+Final_Table[[#This Row],[Fixed Monthly Cost]]</f>
        <v>21304.799999999999</v>
      </c>
      <c r="S948" s="5">
        <f>Final_Table[[#This Row],[Net Revenue]]-Final_Table[[#This Row],[Total Cost (COGS)]]</f>
        <v>-2944.7999999999993</v>
      </c>
      <c r="T948">
        <f>Final_Table[[#This Row],[Gross Profit]]*Final_Table[[#This Row],[Tax Rate]]</f>
        <v>-883.43999999999971</v>
      </c>
      <c r="U948" s="5">
        <f>Final_Table[[#This Row],[Gross Profit]]-Final_Table[[#This Row],[Tax]]</f>
        <v>-2061.3599999999997</v>
      </c>
      <c r="V948" s="12">
        <f>Final_Table[[#This Row],[Net Profit]]/Final_Table[[#This Row],[Gross Revenue]]</f>
        <v>-0.10104705882352939</v>
      </c>
    </row>
    <row r="949" spans="1:22">
      <c r="A949" s="18" t="s">
        <v>74</v>
      </c>
      <c r="B949">
        <v>2014</v>
      </c>
      <c r="C949" t="s">
        <v>125</v>
      </c>
      <c r="D949">
        <v>1</v>
      </c>
      <c r="E949" s="18" t="s">
        <v>22</v>
      </c>
      <c r="F949" s="18" t="s">
        <v>114</v>
      </c>
      <c r="G949" s="18" t="s">
        <v>21</v>
      </c>
      <c r="H949" s="18" t="str">
        <f>Assumptions!$B$2</f>
        <v>Worst</v>
      </c>
      <c r="I949" s="18">
        <f>_xlfn.XLOOKUP(Assumptions!$B$2,Assumptions!$F$4:$H$4,Assumptions!$F$5:$H$5)</f>
        <v>1200</v>
      </c>
      <c r="J949" s="18">
        <f>_xlfn.XLOOKUP(Assumptions!$B$2,Assumptions!$F$4:$H$4,Assumptions!$F$6:$H$6)</f>
        <v>17</v>
      </c>
      <c r="K949" s="12">
        <f>_xlfn.XLOOKUP(Assumptions!$B$2,Assumptions!$F$4:$H$4,Assumptions!$F$8:$H$8)</f>
        <v>0.1</v>
      </c>
      <c r="L949" s="12">
        <f>_xlfn.XLOOKUP(Assumptions!$B$2,Assumptions!$F$4:$H$4,Assumptions!$F$9:$H$9)</f>
        <v>0.18</v>
      </c>
      <c r="M949" s="18">
        <f>_xlfn.XLOOKUP(Assumptions!$B$2,Assumptions!$F$4:$H$4,Assumptions!$F$10:$H$10)</f>
        <v>18000</v>
      </c>
      <c r="N949" s="12">
        <f>_xlfn.XLOOKUP(Assumptions!$B$2,Assumptions!$F$4:$H$4,Assumptions!$F$11:$H$11)</f>
        <v>0.3</v>
      </c>
      <c r="O949" s="14">
        <f>Final_Table[[#This Row],[Units Sold]]*Final_Table[[#This Row],[Sale Price]]</f>
        <v>20400</v>
      </c>
      <c r="P949" s="14">
        <f>Final_Table[[#This Row],[Gross Revenue]]*(1-Final_Table[[#This Row],[Discount %]])</f>
        <v>18360</v>
      </c>
      <c r="Q949">
        <f>Final_Table[[#This Row],[Net Revenue]]*Final_Table[[#This Row],[Variable Cost %]]</f>
        <v>3304.7999999999997</v>
      </c>
      <c r="R949">
        <f>Final_Table[[#This Row],[Variable Cost]]+Final_Table[[#This Row],[Fixed Monthly Cost]]</f>
        <v>21304.799999999999</v>
      </c>
      <c r="S949" s="5">
        <f>Final_Table[[#This Row],[Net Revenue]]-Final_Table[[#This Row],[Total Cost (COGS)]]</f>
        <v>-2944.7999999999993</v>
      </c>
      <c r="T949">
        <f>Final_Table[[#This Row],[Gross Profit]]*Final_Table[[#This Row],[Tax Rate]]</f>
        <v>-883.43999999999971</v>
      </c>
      <c r="U949" s="5">
        <f>Final_Table[[#This Row],[Gross Profit]]-Final_Table[[#This Row],[Tax]]</f>
        <v>-2061.3599999999997</v>
      </c>
      <c r="V949" s="12">
        <f>Final_Table[[#This Row],[Net Profit]]/Final_Table[[#This Row],[Gross Revenue]]</f>
        <v>-0.10104705882352939</v>
      </c>
    </row>
    <row r="950" spans="1:22">
      <c r="A950" s="18" t="s">
        <v>74</v>
      </c>
      <c r="B950">
        <v>2014</v>
      </c>
      <c r="C950" t="s">
        <v>125</v>
      </c>
      <c r="D950">
        <v>1</v>
      </c>
      <c r="E950" s="18" t="s">
        <v>22</v>
      </c>
      <c r="F950" s="18" t="s">
        <v>114</v>
      </c>
      <c r="G950" s="18" t="s">
        <v>25</v>
      </c>
      <c r="H950" s="18" t="str">
        <f>Assumptions!$B$2</f>
        <v>Worst</v>
      </c>
      <c r="I950" s="18">
        <f>_xlfn.XLOOKUP(Assumptions!$B$2,Assumptions!$F$4:$H$4,Assumptions!$F$5:$H$5)</f>
        <v>1200</v>
      </c>
      <c r="J950" s="18">
        <f>_xlfn.XLOOKUP(Assumptions!$B$2,Assumptions!$F$4:$H$4,Assumptions!$F$6:$H$6)</f>
        <v>17</v>
      </c>
      <c r="K950" s="12">
        <f>_xlfn.XLOOKUP(Assumptions!$B$2,Assumptions!$F$4:$H$4,Assumptions!$F$8:$H$8)</f>
        <v>0.1</v>
      </c>
      <c r="L950" s="12">
        <f>_xlfn.XLOOKUP(Assumptions!$B$2,Assumptions!$F$4:$H$4,Assumptions!$F$9:$H$9)</f>
        <v>0.18</v>
      </c>
      <c r="M950" s="18">
        <f>_xlfn.XLOOKUP(Assumptions!$B$2,Assumptions!$F$4:$H$4,Assumptions!$F$10:$H$10)</f>
        <v>18000</v>
      </c>
      <c r="N950" s="12">
        <f>_xlfn.XLOOKUP(Assumptions!$B$2,Assumptions!$F$4:$H$4,Assumptions!$F$11:$H$11)</f>
        <v>0.3</v>
      </c>
      <c r="O950" s="14">
        <f>Final_Table[[#This Row],[Units Sold]]*Final_Table[[#This Row],[Sale Price]]</f>
        <v>20400</v>
      </c>
      <c r="P950" s="14">
        <f>Final_Table[[#This Row],[Gross Revenue]]*(1-Final_Table[[#This Row],[Discount %]])</f>
        <v>18360</v>
      </c>
      <c r="Q950">
        <f>Final_Table[[#This Row],[Net Revenue]]*Final_Table[[#This Row],[Variable Cost %]]</f>
        <v>3304.7999999999997</v>
      </c>
      <c r="R950">
        <f>Final_Table[[#This Row],[Variable Cost]]+Final_Table[[#This Row],[Fixed Monthly Cost]]</f>
        <v>21304.799999999999</v>
      </c>
      <c r="S950" s="5">
        <f>Final_Table[[#This Row],[Net Revenue]]-Final_Table[[#This Row],[Total Cost (COGS)]]</f>
        <v>-2944.7999999999993</v>
      </c>
      <c r="T950">
        <f>Final_Table[[#This Row],[Gross Profit]]*Final_Table[[#This Row],[Tax Rate]]</f>
        <v>-883.43999999999971</v>
      </c>
      <c r="U950" s="5">
        <f>Final_Table[[#This Row],[Gross Profit]]-Final_Table[[#This Row],[Tax]]</f>
        <v>-2061.3599999999997</v>
      </c>
      <c r="V950" s="12">
        <f>Final_Table[[#This Row],[Net Profit]]/Final_Table[[#This Row],[Gross Revenue]]</f>
        <v>-0.10104705882352939</v>
      </c>
    </row>
    <row r="951" spans="1:22">
      <c r="A951" s="18" t="s">
        <v>74</v>
      </c>
      <c r="B951">
        <v>2014</v>
      </c>
      <c r="C951" t="s">
        <v>125</v>
      </c>
      <c r="D951">
        <v>1</v>
      </c>
      <c r="E951" s="18" t="s">
        <v>22</v>
      </c>
      <c r="F951" s="18" t="s">
        <v>114</v>
      </c>
      <c r="G951" s="18" t="s">
        <v>17</v>
      </c>
      <c r="H951" s="18" t="str">
        <f>Assumptions!$B$2</f>
        <v>Worst</v>
      </c>
      <c r="I951" s="18">
        <f>_xlfn.XLOOKUP(Assumptions!$B$2,Assumptions!$F$4:$H$4,Assumptions!$F$5:$H$5)</f>
        <v>1200</v>
      </c>
      <c r="J951" s="18">
        <f>_xlfn.XLOOKUP(Assumptions!$B$2,Assumptions!$F$4:$H$4,Assumptions!$F$6:$H$6)</f>
        <v>17</v>
      </c>
      <c r="K951" s="12">
        <f>_xlfn.XLOOKUP(Assumptions!$B$2,Assumptions!$F$4:$H$4,Assumptions!$F$8:$H$8)</f>
        <v>0.1</v>
      </c>
      <c r="L951" s="12">
        <f>_xlfn.XLOOKUP(Assumptions!$B$2,Assumptions!$F$4:$H$4,Assumptions!$F$9:$H$9)</f>
        <v>0.18</v>
      </c>
      <c r="M951" s="18">
        <f>_xlfn.XLOOKUP(Assumptions!$B$2,Assumptions!$F$4:$H$4,Assumptions!$F$10:$H$10)</f>
        <v>18000</v>
      </c>
      <c r="N951" s="12">
        <f>_xlfn.XLOOKUP(Assumptions!$B$2,Assumptions!$F$4:$H$4,Assumptions!$F$11:$H$11)</f>
        <v>0.3</v>
      </c>
      <c r="O951" s="14">
        <f>Final_Table[[#This Row],[Units Sold]]*Final_Table[[#This Row],[Sale Price]]</f>
        <v>20400</v>
      </c>
      <c r="P951" s="14">
        <f>Final_Table[[#This Row],[Gross Revenue]]*(1-Final_Table[[#This Row],[Discount %]])</f>
        <v>18360</v>
      </c>
      <c r="Q951">
        <f>Final_Table[[#This Row],[Net Revenue]]*Final_Table[[#This Row],[Variable Cost %]]</f>
        <v>3304.7999999999997</v>
      </c>
      <c r="R951">
        <f>Final_Table[[#This Row],[Variable Cost]]+Final_Table[[#This Row],[Fixed Monthly Cost]]</f>
        <v>21304.799999999999</v>
      </c>
      <c r="S951" s="5">
        <f>Final_Table[[#This Row],[Net Revenue]]-Final_Table[[#This Row],[Total Cost (COGS)]]</f>
        <v>-2944.7999999999993</v>
      </c>
      <c r="T951">
        <f>Final_Table[[#This Row],[Gross Profit]]*Final_Table[[#This Row],[Tax Rate]]</f>
        <v>-883.43999999999971</v>
      </c>
      <c r="U951" s="5">
        <f>Final_Table[[#This Row],[Gross Profit]]-Final_Table[[#This Row],[Tax]]</f>
        <v>-2061.3599999999997</v>
      </c>
      <c r="V951" s="12">
        <f>Final_Table[[#This Row],[Net Profit]]/Final_Table[[#This Row],[Gross Revenue]]</f>
        <v>-0.10104705882352939</v>
      </c>
    </row>
    <row r="952" spans="1:22">
      <c r="A952" s="18" t="s">
        <v>74</v>
      </c>
      <c r="B952">
        <v>2014</v>
      </c>
      <c r="C952" t="s">
        <v>125</v>
      </c>
      <c r="D952">
        <v>1</v>
      </c>
      <c r="E952" s="18" t="s">
        <v>16</v>
      </c>
      <c r="F952" s="18" t="s">
        <v>80</v>
      </c>
      <c r="G952" s="18" t="s">
        <v>36</v>
      </c>
      <c r="H952" s="18" t="str">
        <f>Assumptions!$B$2</f>
        <v>Worst</v>
      </c>
      <c r="I952" s="18">
        <f>_xlfn.XLOOKUP(Assumptions!$B$2,Assumptions!$F$4:$H$4,Assumptions!$F$5:$H$5)</f>
        <v>1200</v>
      </c>
      <c r="J952" s="18">
        <f>_xlfn.XLOOKUP(Assumptions!$B$2,Assumptions!$F$4:$H$4,Assumptions!$F$6:$H$6)</f>
        <v>17</v>
      </c>
      <c r="K952" s="12">
        <f>_xlfn.XLOOKUP(Assumptions!$B$2,Assumptions!$F$4:$H$4,Assumptions!$F$8:$H$8)</f>
        <v>0.1</v>
      </c>
      <c r="L952" s="12">
        <f>_xlfn.XLOOKUP(Assumptions!$B$2,Assumptions!$F$4:$H$4,Assumptions!$F$9:$H$9)</f>
        <v>0.18</v>
      </c>
      <c r="M952" s="18">
        <f>_xlfn.XLOOKUP(Assumptions!$B$2,Assumptions!$F$4:$H$4,Assumptions!$F$10:$H$10)</f>
        <v>18000</v>
      </c>
      <c r="N952" s="12">
        <f>_xlfn.XLOOKUP(Assumptions!$B$2,Assumptions!$F$4:$H$4,Assumptions!$F$11:$H$11)</f>
        <v>0.3</v>
      </c>
      <c r="O952" s="14">
        <f>Final_Table[[#This Row],[Units Sold]]*Final_Table[[#This Row],[Sale Price]]</f>
        <v>20400</v>
      </c>
      <c r="P952" s="14">
        <f>Final_Table[[#This Row],[Gross Revenue]]*(1-Final_Table[[#This Row],[Discount %]])</f>
        <v>18360</v>
      </c>
      <c r="Q952">
        <f>Final_Table[[#This Row],[Net Revenue]]*Final_Table[[#This Row],[Variable Cost %]]</f>
        <v>3304.7999999999997</v>
      </c>
      <c r="R952">
        <f>Final_Table[[#This Row],[Variable Cost]]+Final_Table[[#This Row],[Fixed Monthly Cost]]</f>
        <v>21304.799999999999</v>
      </c>
      <c r="S952" s="5">
        <f>Final_Table[[#This Row],[Net Revenue]]-Final_Table[[#This Row],[Total Cost (COGS)]]</f>
        <v>-2944.7999999999993</v>
      </c>
      <c r="T952">
        <f>Final_Table[[#This Row],[Gross Profit]]*Final_Table[[#This Row],[Tax Rate]]</f>
        <v>-883.43999999999971</v>
      </c>
      <c r="U952" s="5">
        <f>Final_Table[[#This Row],[Gross Profit]]-Final_Table[[#This Row],[Tax]]</f>
        <v>-2061.3599999999997</v>
      </c>
      <c r="V952" s="12">
        <f>Final_Table[[#This Row],[Net Profit]]/Final_Table[[#This Row],[Gross Revenue]]</f>
        <v>-0.10104705882352939</v>
      </c>
    </row>
    <row r="953" spans="1:22">
      <c r="A953" s="18" t="s">
        <v>74</v>
      </c>
      <c r="B953">
        <v>2014</v>
      </c>
      <c r="C953" t="s">
        <v>125</v>
      </c>
      <c r="D953">
        <v>1</v>
      </c>
      <c r="E953" s="18" t="s">
        <v>16</v>
      </c>
      <c r="F953" s="18" t="s">
        <v>80</v>
      </c>
      <c r="G953" s="18" t="s">
        <v>23</v>
      </c>
      <c r="H953" s="18" t="str">
        <f>Assumptions!$B$2</f>
        <v>Worst</v>
      </c>
      <c r="I953" s="18">
        <f>_xlfn.XLOOKUP(Assumptions!$B$2,Assumptions!$F$4:$H$4,Assumptions!$F$5:$H$5)</f>
        <v>1200</v>
      </c>
      <c r="J953" s="18">
        <f>_xlfn.XLOOKUP(Assumptions!$B$2,Assumptions!$F$4:$H$4,Assumptions!$F$6:$H$6)</f>
        <v>17</v>
      </c>
      <c r="K953" s="12">
        <f>_xlfn.XLOOKUP(Assumptions!$B$2,Assumptions!$F$4:$H$4,Assumptions!$F$8:$H$8)</f>
        <v>0.1</v>
      </c>
      <c r="L953" s="12">
        <f>_xlfn.XLOOKUP(Assumptions!$B$2,Assumptions!$F$4:$H$4,Assumptions!$F$9:$H$9)</f>
        <v>0.18</v>
      </c>
      <c r="M953" s="18">
        <f>_xlfn.XLOOKUP(Assumptions!$B$2,Assumptions!$F$4:$H$4,Assumptions!$F$10:$H$10)</f>
        <v>18000</v>
      </c>
      <c r="N953" s="12">
        <f>_xlfn.XLOOKUP(Assumptions!$B$2,Assumptions!$F$4:$H$4,Assumptions!$F$11:$H$11)</f>
        <v>0.3</v>
      </c>
      <c r="O953" s="14">
        <f>Final_Table[[#This Row],[Units Sold]]*Final_Table[[#This Row],[Sale Price]]</f>
        <v>20400</v>
      </c>
      <c r="P953" s="14">
        <f>Final_Table[[#This Row],[Gross Revenue]]*(1-Final_Table[[#This Row],[Discount %]])</f>
        <v>18360</v>
      </c>
      <c r="Q953">
        <f>Final_Table[[#This Row],[Net Revenue]]*Final_Table[[#This Row],[Variable Cost %]]</f>
        <v>3304.7999999999997</v>
      </c>
      <c r="R953">
        <f>Final_Table[[#This Row],[Variable Cost]]+Final_Table[[#This Row],[Fixed Monthly Cost]]</f>
        <v>21304.799999999999</v>
      </c>
      <c r="S953" s="5">
        <f>Final_Table[[#This Row],[Net Revenue]]-Final_Table[[#This Row],[Total Cost (COGS)]]</f>
        <v>-2944.7999999999993</v>
      </c>
      <c r="T953">
        <f>Final_Table[[#This Row],[Gross Profit]]*Final_Table[[#This Row],[Tax Rate]]</f>
        <v>-883.43999999999971</v>
      </c>
      <c r="U953" s="5">
        <f>Final_Table[[#This Row],[Gross Profit]]-Final_Table[[#This Row],[Tax]]</f>
        <v>-2061.3599999999997</v>
      </c>
      <c r="V953" s="12">
        <f>Final_Table[[#This Row],[Net Profit]]/Final_Table[[#This Row],[Gross Revenue]]</f>
        <v>-0.10104705882352939</v>
      </c>
    </row>
    <row r="954" spans="1:22">
      <c r="A954" s="18" t="s">
        <v>74</v>
      </c>
      <c r="B954">
        <v>2014</v>
      </c>
      <c r="C954" t="s">
        <v>125</v>
      </c>
      <c r="D954">
        <v>1</v>
      </c>
      <c r="E954" s="18" t="s">
        <v>16</v>
      </c>
      <c r="F954" s="18" t="s">
        <v>80</v>
      </c>
      <c r="G954" s="18" t="s">
        <v>21</v>
      </c>
      <c r="H954" s="18" t="str">
        <f>Assumptions!$B$2</f>
        <v>Worst</v>
      </c>
      <c r="I954" s="18">
        <f>_xlfn.XLOOKUP(Assumptions!$B$2,Assumptions!$F$4:$H$4,Assumptions!$F$5:$H$5)</f>
        <v>1200</v>
      </c>
      <c r="J954" s="18">
        <f>_xlfn.XLOOKUP(Assumptions!$B$2,Assumptions!$F$4:$H$4,Assumptions!$F$6:$H$6)</f>
        <v>17</v>
      </c>
      <c r="K954" s="12">
        <f>_xlfn.XLOOKUP(Assumptions!$B$2,Assumptions!$F$4:$H$4,Assumptions!$F$8:$H$8)</f>
        <v>0.1</v>
      </c>
      <c r="L954" s="12">
        <f>_xlfn.XLOOKUP(Assumptions!$B$2,Assumptions!$F$4:$H$4,Assumptions!$F$9:$H$9)</f>
        <v>0.18</v>
      </c>
      <c r="M954" s="18">
        <f>_xlfn.XLOOKUP(Assumptions!$B$2,Assumptions!$F$4:$H$4,Assumptions!$F$10:$H$10)</f>
        <v>18000</v>
      </c>
      <c r="N954" s="12">
        <f>_xlfn.XLOOKUP(Assumptions!$B$2,Assumptions!$F$4:$H$4,Assumptions!$F$11:$H$11)</f>
        <v>0.3</v>
      </c>
      <c r="O954" s="14">
        <f>Final_Table[[#This Row],[Units Sold]]*Final_Table[[#This Row],[Sale Price]]</f>
        <v>20400</v>
      </c>
      <c r="P954" s="14">
        <f>Final_Table[[#This Row],[Gross Revenue]]*(1-Final_Table[[#This Row],[Discount %]])</f>
        <v>18360</v>
      </c>
      <c r="Q954">
        <f>Final_Table[[#This Row],[Net Revenue]]*Final_Table[[#This Row],[Variable Cost %]]</f>
        <v>3304.7999999999997</v>
      </c>
      <c r="R954">
        <f>Final_Table[[#This Row],[Variable Cost]]+Final_Table[[#This Row],[Fixed Monthly Cost]]</f>
        <v>21304.799999999999</v>
      </c>
      <c r="S954" s="5">
        <f>Final_Table[[#This Row],[Net Revenue]]-Final_Table[[#This Row],[Total Cost (COGS)]]</f>
        <v>-2944.7999999999993</v>
      </c>
      <c r="T954">
        <f>Final_Table[[#This Row],[Gross Profit]]*Final_Table[[#This Row],[Tax Rate]]</f>
        <v>-883.43999999999971</v>
      </c>
      <c r="U954" s="5">
        <f>Final_Table[[#This Row],[Gross Profit]]-Final_Table[[#This Row],[Tax]]</f>
        <v>-2061.3599999999997</v>
      </c>
      <c r="V954" s="12">
        <f>Final_Table[[#This Row],[Net Profit]]/Final_Table[[#This Row],[Gross Revenue]]</f>
        <v>-0.10104705882352939</v>
      </c>
    </row>
    <row r="955" spans="1:22">
      <c r="A955" s="18" t="s">
        <v>74</v>
      </c>
      <c r="B955">
        <v>2014</v>
      </c>
      <c r="C955" t="s">
        <v>125</v>
      </c>
      <c r="D955">
        <v>1</v>
      </c>
      <c r="E955" s="18" t="s">
        <v>16</v>
      </c>
      <c r="F955" s="18" t="s">
        <v>80</v>
      </c>
      <c r="G955" s="18" t="s">
        <v>25</v>
      </c>
      <c r="H955" s="18" t="str">
        <f>Assumptions!$B$2</f>
        <v>Worst</v>
      </c>
      <c r="I955" s="18">
        <f>_xlfn.XLOOKUP(Assumptions!$B$2,Assumptions!$F$4:$H$4,Assumptions!$F$5:$H$5)</f>
        <v>1200</v>
      </c>
      <c r="J955" s="18">
        <f>_xlfn.XLOOKUP(Assumptions!$B$2,Assumptions!$F$4:$H$4,Assumptions!$F$6:$H$6)</f>
        <v>17</v>
      </c>
      <c r="K955" s="12">
        <f>_xlfn.XLOOKUP(Assumptions!$B$2,Assumptions!$F$4:$H$4,Assumptions!$F$8:$H$8)</f>
        <v>0.1</v>
      </c>
      <c r="L955" s="12">
        <f>_xlfn.XLOOKUP(Assumptions!$B$2,Assumptions!$F$4:$H$4,Assumptions!$F$9:$H$9)</f>
        <v>0.18</v>
      </c>
      <c r="M955" s="18">
        <f>_xlfn.XLOOKUP(Assumptions!$B$2,Assumptions!$F$4:$H$4,Assumptions!$F$10:$H$10)</f>
        <v>18000</v>
      </c>
      <c r="N955" s="12">
        <f>_xlfn.XLOOKUP(Assumptions!$B$2,Assumptions!$F$4:$H$4,Assumptions!$F$11:$H$11)</f>
        <v>0.3</v>
      </c>
      <c r="O955" s="14">
        <f>Final_Table[[#This Row],[Units Sold]]*Final_Table[[#This Row],[Sale Price]]</f>
        <v>20400</v>
      </c>
      <c r="P955" s="14">
        <f>Final_Table[[#This Row],[Gross Revenue]]*(1-Final_Table[[#This Row],[Discount %]])</f>
        <v>18360</v>
      </c>
      <c r="Q955">
        <f>Final_Table[[#This Row],[Net Revenue]]*Final_Table[[#This Row],[Variable Cost %]]</f>
        <v>3304.7999999999997</v>
      </c>
      <c r="R955">
        <f>Final_Table[[#This Row],[Variable Cost]]+Final_Table[[#This Row],[Fixed Monthly Cost]]</f>
        <v>21304.799999999999</v>
      </c>
      <c r="S955" s="5">
        <f>Final_Table[[#This Row],[Net Revenue]]-Final_Table[[#This Row],[Total Cost (COGS)]]</f>
        <v>-2944.7999999999993</v>
      </c>
      <c r="T955">
        <f>Final_Table[[#This Row],[Gross Profit]]*Final_Table[[#This Row],[Tax Rate]]</f>
        <v>-883.43999999999971</v>
      </c>
      <c r="U955" s="5">
        <f>Final_Table[[#This Row],[Gross Profit]]-Final_Table[[#This Row],[Tax]]</f>
        <v>-2061.3599999999997</v>
      </c>
      <c r="V955" s="12">
        <f>Final_Table[[#This Row],[Net Profit]]/Final_Table[[#This Row],[Gross Revenue]]</f>
        <v>-0.10104705882352939</v>
      </c>
    </row>
    <row r="956" spans="1:22">
      <c r="A956" s="18" t="s">
        <v>74</v>
      </c>
      <c r="B956">
        <v>2014</v>
      </c>
      <c r="C956" t="s">
        <v>125</v>
      </c>
      <c r="D956">
        <v>1</v>
      </c>
      <c r="E956" s="18" t="s">
        <v>16</v>
      </c>
      <c r="F956" s="18" t="s">
        <v>80</v>
      </c>
      <c r="G956" s="18" t="s">
        <v>17</v>
      </c>
      <c r="H956" s="18" t="str">
        <f>Assumptions!$B$2</f>
        <v>Worst</v>
      </c>
      <c r="I956" s="18">
        <f>_xlfn.XLOOKUP(Assumptions!$B$2,Assumptions!$F$4:$H$4,Assumptions!$F$5:$H$5)</f>
        <v>1200</v>
      </c>
      <c r="J956" s="18">
        <f>_xlfn.XLOOKUP(Assumptions!$B$2,Assumptions!$F$4:$H$4,Assumptions!$F$6:$H$6)</f>
        <v>17</v>
      </c>
      <c r="K956" s="12">
        <f>_xlfn.XLOOKUP(Assumptions!$B$2,Assumptions!$F$4:$H$4,Assumptions!$F$8:$H$8)</f>
        <v>0.1</v>
      </c>
      <c r="L956" s="12">
        <f>_xlfn.XLOOKUP(Assumptions!$B$2,Assumptions!$F$4:$H$4,Assumptions!$F$9:$H$9)</f>
        <v>0.18</v>
      </c>
      <c r="M956" s="18">
        <f>_xlfn.XLOOKUP(Assumptions!$B$2,Assumptions!$F$4:$H$4,Assumptions!$F$10:$H$10)</f>
        <v>18000</v>
      </c>
      <c r="N956" s="12">
        <f>_xlfn.XLOOKUP(Assumptions!$B$2,Assumptions!$F$4:$H$4,Assumptions!$F$11:$H$11)</f>
        <v>0.3</v>
      </c>
      <c r="O956" s="14">
        <f>Final_Table[[#This Row],[Units Sold]]*Final_Table[[#This Row],[Sale Price]]</f>
        <v>20400</v>
      </c>
      <c r="P956" s="14">
        <f>Final_Table[[#This Row],[Gross Revenue]]*(1-Final_Table[[#This Row],[Discount %]])</f>
        <v>18360</v>
      </c>
      <c r="Q956">
        <f>Final_Table[[#This Row],[Net Revenue]]*Final_Table[[#This Row],[Variable Cost %]]</f>
        <v>3304.7999999999997</v>
      </c>
      <c r="R956">
        <f>Final_Table[[#This Row],[Variable Cost]]+Final_Table[[#This Row],[Fixed Monthly Cost]]</f>
        <v>21304.799999999999</v>
      </c>
      <c r="S956" s="5">
        <f>Final_Table[[#This Row],[Net Revenue]]-Final_Table[[#This Row],[Total Cost (COGS)]]</f>
        <v>-2944.7999999999993</v>
      </c>
      <c r="T956">
        <f>Final_Table[[#This Row],[Gross Profit]]*Final_Table[[#This Row],[Tax Rate]]</f>
        <v>-883.43999999999971</v>
      </c>
      <c r="U956" s="5">
        <f>Final_Table[[#This Row],[Gross Profit]]-Final_Table[[#This Row],[Tax]]</f>
        <v>-2061.3599999999997</v>
      </c>
      <c r="V956" s="12">
        <f>Final_Table[[#This Row],[Net Profit]]/Final_Table[[#This Row],[Gross Revenue]]</f>
        <v>-0.10104705882352939</v>
      </c>
    </row>
    <row r="957" spans="1:22">
      <c r="A957" s="18" t="s">
        <v>74</v>
      </c>
      <c r="B957">
        <v>2014</v>
      </c>
      <c r="C957" t="s">
        <v>125</v>
      </c>
      <c r="D957">
        <v>1</v>
      </c>
      <c r="E957" s="18" t="s">
        <v>16</v>
      </c>
      <c r="F957" s="18" t="s">
        <v>108</v>
      </c>
      <c r="G957" s="18" t="s">
        <v>36</v>
      </c>
      <c r="H957" s="18" t="str">
        <f>Assumptions!$B$2</f>
        <v>Worst</v>
      </c>
      <c r="I957" s="18">
        <f>_xlfn.XLOOKUP(Assumptions!$B$2,Assumptions!$F$4:$H$4,Assumptions!$F$5:$H$5)</f>
        <v>1200</v>
      </c>
      <c r="J957" s="18">
        <f>_xlfn.XLOOKUP(Assumptions!$B$2,Assumptions!$F$4:$H$4,Assumptions!$F$6:$H$6)</f>
        <v>17</v>
      </c>
      <c r="K957" s="12">
        <f>_xlfn.XLOOKUP(Assumptions!$B$2,Assumptions!$F$4:$H$4,Assumptions!$F$8:$H$8)</f>
        <v>0.1</v>
      </c>
      <c r="L957" s="12">
        <f>_xlfn.XLOOKUP(Assumptions!$B$2,Assumptions!$F$4:$H$4,Assumptions!$F$9:$H$9)</f>
        <v>0.18</v>
      </c>
      <c r="M957" s="18">
        <f>_xlfn.XLOOKUP(Assumptions!$B$2,Assumptions!$F$4:$H$4,Assumptions!$F$10:$H$10)</f>
        <v>18000</v>
      </c>
      <c r="N957" s="12">
        <f>_xlfn.XLOOKUP(Assumptions!$B$2,Assumptions!$F$4:$H$4,Assumptions!$F$11:$H$11)</f>
        <v>0.3</v>
      </c>
      <c r="O957" s="14">
        <f>Final_Table[[#This Row],[Units Sold]]*Final_Table[[#This Row],[Sale Price]]</f>
        <v>20400</v>
      </c>
      <c r="P957" s="14">
        <f>Final_Table[[#This Row],[Gross Revenue]]*(1-Final_Table[[#This Row],[Discount %]])</f>
        <v>18360</v>
      </c>
      <c r="Q957">
        <f>Final_Table[[#This Row],[Net Revenue]]*Final_Table[[#This Row],[Variable Cost %]]</f>
        <v>3304.7999999999997</v>
      </c>
      <c r="R957">
        <f>Final_Table[[#This Row],[Variable Cost]]+Final_Table[[#This Row],[Fixed Monthly Cost]]</f>
        <v>21304.799999999999</v>
      </c>
      <c r="S957" s="5">
        <f>Final_Table[[#This Row],[Net Revenue]]-Final_Table[[#This Row],[Total Cost (COGS)]]</f>
        <v>-2944.7999999999993</v>
      </c>
      <c r="T957">
        <f>Final_Table[[#This Row],[Gross Profit]]*Final_Table[[#This Row],[Tax Rate]]</f>
        <v>-883.43999999999971</v>
      </c>
      <c r="U957" s="5">
        <f>Final_Table[[#This Row],[Gross Profit]]-Final_Table[[#This Row],[Tax]]</f>
        <v>-2061.3599999999997</v>
      </c>
      <c r="V957" s="12">
        <f>Final_Table[[#This Row],[Net Profit]]/Final_Table[[#This Row],[Gross Revenue]]</f>
        <v>-0.10104705882352939</v>
      </c>
    </row>
    <row r="958" spans="1:22">
      <c r="A958" s="18" t="s">
        <v>74</v>
      </c>
      <c r="B958">
        <v>2014</v>
      </c>
      <c r="C958" t="s">
        <v>125</v>
      </c>
      <c r="D958">
        <v>1</v>
      </c>
      <c r="E958" s="18" t="s">
        <v>16</v>
      </c>
      <c r="F958" s="18" t="s">
        <v>108</v>
      </c>
      <c r="G958" s="18" t="s">
        <v>23</v>
      </c>
      <c r="H958" s="18" t="str">
        <f>Assumptions!$B$2</f>
        <v>Worst</v>
      </c>
      <c r="I958" s="18">
        <f>_xlfn.XLOOKUP(Assumptions!$B$2,Assumptions!$F$4:$H$4,Assumptions!$F$5:$H$5)</f>
        <v>1200</v>
      </c>
      <c r="J958" s="18">
        <f>_xlfn.XLOOKUP(Assumptions!$B$2,Assumptions!$F$4:$H$4,Assumptions!$F$6:$H$6)</f>
        <v>17</v>
      </c>
      <c r="K958" s="12">
        <f>_xlfn.XLOOKUP(Assumptions!$B$2,Assumptions!$F$4:$H$4,Assumptions!$F$8:$H$8)</f>
        <v>0.1</v>
      </c>
      <c r="L958" s="12">
        <f>_xlfn.XLOOKUP(Assumptions!$B$2,Assumptions!$F$4:$H$4,Assumptions!$F$9:$H$9)</f>
        <v>0.18</v>
      </c>
      <c r="M958" s="18">
        <f>_xlfn.XLOOKUP(Assumptions!$B$2,Assumptions!$F$4:$H$4,Assumptions!$F$10:$H$10)</f>
        <v>18000</v>
      </c>
      <c r="N958" s="12">
        <f>_xlfn.XLOOKUP(Assumptions!$B$2,Assumptions!$F$4:$H$4,Assumptions!$F$11:$H$11)</f>
        <v>0.3</v>
      </c>
      <c r="O958" s="14">
        <f>Final_Table[[#This Row],[Units Sold]]*Final_Table[[#This Row],[Sale Price]]</f>
        <v>20400</v>
      </c>
      <c r="P958" s="14">
        <f>Final_Table[[#This Row],[Gross Revenue]]*(1-Final_Table[[#This Row],[Discount %]])</f>
        <v>18360</v>
      </c>
      <c r="Q958">
        <f>Final_Table[[#This Row],[Net Revenue]]*Final_Table[[#This Row],[Variable Cost %]]</f>
        <v>3304.7999999999997</v>
      </c>
      <c r="R958">
        <f>Final_Table[[#This Row],[Variable Cost]]+Final_Table[[#This Row],[Fixed Monthly Cost]]</f>
        <v>21304.799999999999</v>
      </c>
      <c r="S958" s="5">
        <f>Final_Table[[#This Row],[Net Revenue]]-Final_Table[[#This Row],[Total Cost (COGS)]]</f>
        <v>-2944.7999999999993</v>
      </c>
      <c r="T958">
        <f>Final_Table[[#This Row],[Gross Profit]]*Final_Table[[#This Row],[Tax Rate]]</f>
        <v>-883.43999999999971</v>
      </c>
      <c r="U958" s="5">
        <f>Final_Table[[#This Row],[Gross Profit]]-Final_Table[[#This Row],[Tax]]</f>
        <v>-2061.3599999999997</v>
      </c>
      <c r="V958" s="12">
        <f>Final_Table[[#This Row],[Net Profit]]/Final_Table[[#This Row],[Gross Revenue]]</f>
        <v>-0.10104705882352939</v>
      </c>
    </row>
    <row r="959" spans="1:22">
      <c r="A959" s="18" t="s">
        <v>74</v>
      </c>
      <c r="B959">
        <v>2014</v>
      </c>
      <c r="C959" t="s">
        <v>125</v>
      </c>
      <c r="D959">
        <v>1</v>
      </c>
      <c r="E959" s="18" t="s">
        <v>16</v>
      </c>
      <c r="F959" s="18" t="s">
        <v>108</v>
      </c>
      <c r="G959" s="18" t="s">
        <v>21</v>
      </c>
      <c r="H959" s="18" t="str">
        <f>Assumptions!$B$2</f>
        <v>Worst</v>
      </c>
      <c r="I959" s="18">
        <f>_xlfn.XLOOKUP(Assumptions!$B$2,Assumptions!$F$4:$H$4,Assumptions!$F$5:$H$5)</f>
        <v>1200</v>
      </c>
      <c r="J959" s="18">
        <f>_xlfn.XLOOKUP(Assumptions!$B$2,Assumptions!$F$4:$H$4,Assumptions!$F$6:$H$6)</f>
        <v>17</v>
      </c>
      <c r="K959" s="12">
        <f>_xlfn.XLOOKUP(Assumptions!$B$2,Assumptions!$F$4:$H$4,Assumptions!$F$8:$H$8)</f>
        <v>0.1</v>
      </c>
      <c r="L959" s="12">
        <f>_xlfn.XLOOKUP(Assumptions!$B$2,Assumptions!$F$4:$H$4,Assumptions!$F$9:$H$9)</f>
        <v>0.18</v>
      </c>
      <c r="M959" s="18">
        <f>_xlfn.XLOOKUP(Assumptions!$B$2,Assumptions!$F$4:$H$4,Assumptions!$F$10:$H$10)</f>
        <v>18000</v>
      </c>
      <c r="N959" s="12">
        <f>_xlfn.XLOOKUP(Assumptions!$B$2,Assumptions!$F$4:$H$4,Assumptions!$F$11:$H$11)</f>
        <v>0.3</v>
      </c>
      <c r="O959" s="14">
        <f>Final_Table[[#This Row],[Units Sold]]*Final_Table[[#This Row],[Sale Price]]</f>
        <v>20400</v>
      </c>
      <c r="P959" s="14">
        <f>Final_Table[[#This Row],[Gross Revenue]]*(1-Final_Table[[#This Row],[Discount %]])</f>
        <v>18360</v>
      </c>
      <c r="Q959">
        <f>Final_Table[[#This Row],[Net Revenue]]*Final_Table[[#This Row],[Variable Cost %]]</f>
        <v>3304.7999999999997</v>
      </c>
      <c r="R959">
        <f>Final_Table[[#This Row],[Variable Cost]]+Final_Table[[#This Row],[Fixed Monthly Cost]]</f>
        <v>21304.799999999999</v>
      </c>
      <c r="S959" s="5">
        <f>Final_Table[[#This Row],[Net Revenue]]-Final_Table[[#This Row],[Total Cost (COGS)]]</f>
        <v>-2944.7999999999993</v>
      </c>
      <c r="T959">
        <f>Final_Table[[#This Row],[Gross Profit]]*Final_Table[[#This Row],[Tax Rate]]</f>
        <v>-883.43999999999971</v>
      </c>
      <c r="U959" s="5">
        <f>Final_Table[[#This Row],[Gross Profit]]-Final_Table[[#This Row],[Tax]]</f>
        <v>-2061.3599999999997</v>
      </c>
      <c r="V959" s="12">
        <f>Final_Table[[#This Row],[Net Profit]]/Final_Table[[#This Row],[Gross Revenue]]</f>
        <v>-0.10104705882352939</v>
      </c>
    </row>
    <row r="960" spans="1:22">
      <c r="A960" s="18" t="s">
        <v>74</v>
      </c>
      <c r="B960">
        <v>2014</v>
      </c>
      <c r="C960" t="s">
        <v>125</v>
      </c>
      <c r="D960">
        <v>1</v>
      </c>
      <c r="E960" s="18" t="s">
        <v>16</v>
      </c>
      <c r="F960" s="18" t="s">
        <v>108</v>
      </c>
      <c r="G960" s="18" t="s">
        <v>25</v>
      </c>
      <c r="H960" s="18" t="str">
        <f>Assumptions!$B$2</f>
        <v>Worst</v>
      </c>
      <c r="I960" s="18">
        <f>_xlfn.XLOOKUP(Assumptions!$B$2,Assumptions!$F$4:$H$4,Assumptions!$F$5:$H$5)</f>
        <v>1200</v>
      </c>
      <c r="J960" s="18">
        <f>_xlfn.XLOOKUP(Assumptions!$B$2,Assumptions!$F$4:$H$4,Assumptions!$F$6:$H$6)</f>
        <v>17</v>
      </c>
      <c r="K960" s="12">
        <f>_xlfn.XLOOKUP(Assumptions!$B$2,Assumptions!$F$4:$H$4,Assumptions!$F$8:$H$8)</f>
        <v>0.1</v>
      </c>
      <c r="L960" s="12">
        <f>_xlfn.XLOOKUP(Assumptions!$B$2,Assumptions!$F$4:$H$4,Assumptions!$F$9:$H$9)</f>
        <v>0.18</v>
      </c>
      <c r="M960" s="18">
        <f>_xlfn.XLOOKUP(Assumptions!$B$2,Assumptions!$F$4:$H$4,Assumptions!$F$10:$H$10)</f>
        <v>18000</v>
      </c>
      <c r="N960" s="12">
        <f>_xlfn.XLOOKUP(Assumptions!$B$2,Assumptions!$F$4:$H$4,Assumptions!$F$11:$H$11)</f>
        <v>0.3</v>
      </c>
      <c r="O960" s="14">
        <f>Final_Table[[#This Row],[Units Sold]]*Final_Table[[#This Row],[Sale Price]]</f>
        <v>20400</v>
      </c>
      <c r="P960" s="14">
        <f>Final_Table[[#This Row],[Gross Revenue]]*(1-Final_Table[[#This Row],[Discount %]])</f>
        <v>18360</v>
      </c>
      <c r="Q960">
        <f>Final_Table[[#This Row],[Net Revenue]]*Final_Table[[#This Row],[Variable Cost %]]</f>
        <v>3304.7999999999997</v>
      </c>
      <c r="R960">
        <f>Final_Table[[#This Row],[Variable Cost]]+Final_Table[[#This Row],[Fixed Monthly Cost]]</f>
        <v>21304.799999999999</v>
      </c>
      <c r="S960" s="5">
        <f>Final_Table[[#This Row],[Net Revenue]]-Final_Table[[#This Row],[Total Cost (COGS)]]</f>
        <v>-2944.7999999999993</v>
      </c>
      <c r="T960">
        <f>Final_Table[[#This Row],[Gross Profit]]*Final_Table[[#This Row],[Tax Rate]]</f>
        <v>-883.43999999999971</v>
      </c>
      <c r="U960" s="5">
        <f>Final_Table[[#This Row],[Gross Profit]]-Final_Table[[#This Row],[Tax]]</f>
        <v>-2061.3599999999997</v>
      </c>
      <c r="V960" s="12">
        <f>Final_Table[[#This Row],[Net Profit]]/Final_Table[[#This Row],[Gross Revenue]]</f>
        <v>-0.10104705882352939</v>
      </c>
    </row>
    <row r="961" spans="1:22">
      <c r="A961" s="18" t="s">
        <v>74</v>
      </c>
      <c r="B961">
        <v>2014</v>
      </c>
      <c r="C961" t="s">
        <v>125</v>
      </c>
      <c r="D961">
        <v>1</v>
      </c>
      <c r="E961" s="18" t="s">
        <v>16</v>
      </c>
      <c r="F961" s="18" t="s">
        <v>108</v>
      </c>
      <c r="G961" s="18" t="s">
        <v>17</v>
      </c>
      <c r="H961" s="18" t="str">
        <f>Assumptions!$B$2</f>
        <v>Worst</v>
      </c>
      <c r="I961" s="18">
        <f>_xlfn.XLOOKUP(Assumptions!$B$2,Assumptions!$F$4:$H$4,Assumptions!$F$5:$H$5)</f>
        <v>1200</v>
      </c>
      <c r="J961" s="18">
        <f>_xlfn.XLOOKUP(Assumptions!$B$2,Assumptions!$F$4:$H$4,Assumptions!$F$6:$H$6)</f>
        <v>17</v>
      </c>
      <c r="K961" s="12">
        <f>_xlfn.XLOOKUP(Assumptions!$B$2,Assumptions!$F$4:$H$4,Assumptions!$F$8:$H$8)</f>
        <v>0.1</v>
      </c>
      <c r="L961" s="12">
        <f>_xlfn.XLOOKUP(Assumptions!$B$2,Assumptions!$F$4:$H$4,Assumptions!$F$9:$H$9)</f>
        <v>0.18</v>
      </c>
      <c r="M961" s="18">
        <f>_xlfn.XLOOKUP(Assumptions!$B$2,Assumptions!$F$4:$H$4,Assumptions!$F$10:$H$10)</f>
        <v>18000</v>
      </c>
      <c r="N961" s="12">
        <f>_xlfn.XLOOKUP(Assumptions!$B$2,Assumptions!$F$4:$H$4,Assumptions!$F$11:$H$11)</f>
        <v>0.3</v>
      </c>
      <c r="O961" s="14">
        <f>Final_Table[[#This Row],[Units Sold]]*Final_Table[[#This Row],[Sale Price]]</f>
        <v>20400</v>
      </c>
      <c r="P961" s="14">
        <f>Final_Table[[#This Row],[Gross Revenue]]*(1-Final_Table[[#This Row],[Discount %]])</f>
        <v>18360</v>
      </c>
      <c r="Q961">
        <f>Final_Table[[#This Row],[Net Revenue]]*Final_Table[[#This Row],[Variable Cost %]]</f>
        <v>3304.7999999999997</v>
      </c>
      <c r="R961">
        <f>Final_Table[[#This Row],[Variable Cost]]+Final_Table[[#This Row],[Fixed Monthly Cost]]</f>
        <v>21304.799999999999</v>
      </c>
      <c r="S961" s="5">
        <f>Final_Table[[#This Row],[Net Revenue]]-Final_Table[[#This Row],[Total Cost (COGS)]]</f>
        <v>-2944.7999999999993</v>
      </c>
      <c r="T961">
        <f>Final_Table[[#This Row],[Gross Profit]]*Final_Table[[#This Row],[Tax Rate]]</f>
        <v>-883.43999999999971</v>
      </c>
      <c r="U961" s="5">
        <f>Final_Table[[#This Row],[Gross Profit]]-Final_Table[[#This Row],[Tax]]</f>
        <v>-2061.3599999999997</v>
      </c>
      <c r="V961" s="12">
        <f>Final_Table[[#This Row],[Net Profit]]/Final_Table[[#This Row],[Gross Revenue]]</f>
        <v>-0.10104705882352939</v>
      </c>
    </row>
    <row r="962" spans="1:22">
      <c r="A962" s="18" t="s">
        <v>74</v>
      </c>
      <c r="B962">
        <v>2014</v>
      </c>
      <c r="C962" t="s">
        <v>125</v>
      </c>
      <c r="D962">
        <v>1</v>
      </c>
      <c r="E962" s="18" t="s">
        <v>16</v>
      </c>
      <c r="F962" s="18" t="s">
        <v>112</v>
      </c>
      <c r="G962" s="18" t="s">
        <v>36</v>
      </c>
      <c r="H962" s="18" t="str">
        <f>Assumptions!$B$2</f>
        <v>Worst</v>
      </c>
      <c r="I962" s="18">
        <f>_xlfn.XLOOKUP(Assumptions!$B$2,Assumptions!$F$4:$H$4,Assumptions!$F$5:$H$5)</f>
        <v>1200</v>
      </c>
      <c r="J962" s="18">
        <f>_xlfn.XLOOKUP(Assumptions!$B$2,Assumptions!$F$4:$H$4,Assumptions!$F$6:$H$6)</f>
        <v>17</v>
      </c>
      <c r="K962" s="12">
        <f>_xlfn.XLOOKUP(Assumptions!$B$2,Assumptions!$F$4:$H$4,Assumptions!$F$8:$H$8)</f>
        <v>0.1</v>
      </c>
      <c r="L962" s="12">
        <f>_xlfn.XLOOKUP(Assumptions!$B$2,Assumptions!$F$4:$H$4,Assumptions!$F$9:$H$9)</f>
        <v>0.18</v>
      </c>
      <c r="M962" s="18">
        <f>_xlfn.XLOOKUP(Assumptions!$B$2,Assumptions!$F$4:$H$4,Assumptions!$F$10:$H$10)</f>
        <v>18000</v>
      </c>
      <c r="N962" s="12">
        <f>_xlfn.XLOOKUP(Assumptions!$B$2,Assumptions!$F$4:$H$4,Assumptions!$F$11:$H$11)</f>
        <v>0.3</v>
      </c>
      <c r="O962" s="14">
        <f>Final_Table[[#This Row],[Units Sold]]*Final_Table[[#This Row],[Sale Price]]</f>
        <v>20400</v>
      </c>
      <c r="P962" s="14">
        <f>Final_Table[[#This Row],[Gross Revenue]]*(1-Final_Table[[#This Row],[Discount %]])</f>
        <v>18360</v>
      </c>
      <c r="Q962">
        <f>Final_Table[[#This Row],[Net Revenue]]*Final_Table[[#This Row],[Variable Cost %]]</f>
        <v>3304.7999999999997</v>
      </c>
      <c r="R962">
        <f>Final_Table[[#This Row],[Variable Cost]]+Final_Table[[#This Row],[Fixed Monthly Cost]]</f>
        <v>21304.799999999999</v>
      </c>
      <c r="S962" s="5">
        <f>Final_Table[[#This Row],[Net Revenue]]-Final_Table[[#This Row],[Total Cost (COGS)]]</f>
        <v>-2944.7999999999993</v>
      </c>
      <c r="T962">
        <f>Final_Table[[#This Row],[Gross Profit]]*Final_Table[[#This Row],[Tax Rate]]</f>
        <v>-883.43999999999971</v>
      </c>
      <c r="U962" s="5">
        <f>Final_Table[[#This Row],[Gross Profit]]-Final_Table[[#This Row],[Tax]]</f>
        <v>-2061.3599999999997</v>
      </c>
      <c r="V962" s="12">
        <f>Final_Table[[#This Row],[Net Profit]]/Final_Table[[#This Row],[Gross Revenue]]</f>
        <v>-0.10104705882352939</v>
      </c>
    </row>
    <row r="963" spans="1:22">
      <c r="A963" s="18" t="s">
        <v>74</v>
      </c>
      <c r="B963">
        <v>2014</v>
      </c>
      <c r="C963" t="s">
        <v>125</v>
      </c>
      <c r="D963">
        <v>1</v>
      </c>
      <c r="E963" s="18" t="s">
        <v>16</v>
      </c>
      <c r="F963" s="18" t="s">
        <v>112</v>
      </c>
      <c r="G963" s="18" t="s">
        <v>23</v>
      </c>
      <c r="H963" s="18" t="str">
        <f>Assumptions!$B$2</f>
        <v>Worst</v>
      </c>
      <c r="I963" s="18">
        <f>_xlfn.XLOOKUP(Assumptions!$B$2,Assumptions!$F$4:$H$4,Assumptions!$F$5:$H$5)</f>
        <v>1200</v>
      </c>
      <c r="J963" s="18">
        <f>_xlfn.XLOOKUP(Assumptions!$B$2,Assumptions!$F$4:$H$4,Assumptions!$F$6:$H$6)</f>
        <v>17</v>
      </c>
      <c r="K963" s="12">
        <f>_xlfn.XLOOKUP(Assumptions!$B$2,Assumptions!$F$4:$H$4,Assumptions!$F$8:$H$8)</f>
        <v>0.1</v>
      </c>
      <c r="L963" s="12">
        <f>_xlfn.XLOOKUP(Assumptions!$B$2,Assumptions!$F$4:$H$4,Assumptions!$F$9:$H$9)</f>
        <v>0.18</v>
      </c>
      <c r="M963" s="18">
        <f>_xlfn.XLOOKUP(Assumptions!$B$2,Assumptions!$F$4:$H$4,Assumptions!$F$10:$H$10)</f>
        <v>18000</v>
      </c>
      <c r="N963" s="12">
        <f>_xlfn.XLOOKUP(Assumptions!$B$2,Assumptions!$F$4:$H$4,Assumptions!$F$11:$H$11)</f>
        <v>0.3</v>
      </c>
      <c r="O963" s="14">
        <f>Final_Table[[#This Row],[Units Sold]]*Final_Table[[#This Row],[Sale Price]]</f>
        <v>20400</v>
      </c>
      <c r="P963" s="14">
        <f>Final_Table[[#This Row],[Gross Revenue]]*(1-Final_Table[[#This Row],[Discount %]])</f>
        <v>18360</v>
      </c>
      <c r="Q963">
        <f>Final_Table[[#This Row],[Net Revenue]]*Final_Table[[#This Row],[Variable Cost %]]</f>
        <v>3304.7999999999997</v>
      </c>
      <c r="R963">
        <f>Final_Table[[#This Row],[Variable Cost]]+Final_Table[[#This Row],[Fixed Monthly Cost]]</f>
        <v>21304.799999999999</v>
      </c>
      <c r="S963" s="5">
        <f>Final_Table[[#This Row],[Net Revenue]]-Final_Table[[#This Row],[Total Cost (COGS)]]</f>
        <v>-2944.7999999999993</v>
      </c>
      <c r="T963">
        <f>Final_Table[[#This Row],[Gross Profit]]*Final_Table[[#This Row],[Tax Rate]]</f>
        <v>-883.43999999999971</v>
      </c>
      <c r="U963" s="5">
        <f>Final_Table[[#This Row],[Gross Profit]]-Final_Table[[#This Row],[Tax]]</f>
        <v>-2061.3599999999997</v>
      </c>
      <c r="V963" s="12">
        <f>Final_Table[[#This Row],[Net Profit]]/Final_Table[[#This Row],[Gross Revenue]]</f>
        <v>-0.10104705882352939</v>
      </c>
    </row>
    <row r="964" spans="1:22">
      <c r="A964" s="18" t="s">
        <v>74</v>
      </c>
      <c r="B964">
        <v>2014</v>
      </c>
      <c r="C964" t="s">
        <v>125</v>
      </c>
      <c r="D964">
        <v>1</v>
      </c>
      <c r="E964" s="18" t="s">
        <v>16</v>
      </c>
      <c r="F964" s="18" t="s">
        <v>112</v>
      </c>
      <c r="G964" s="18" t="s">
        <v>21</v>
      </c>
      <c r="H964" s="18" t="str">
        <f>Assumptions!$B$2</f>
        <v>Worst</v>
      </c>
      <c r="I964" s="18">
        <f>_xlfn.XLOOKUP(Assumptions!$B$2,Assumptions!$F$4:$H$4,Assumptions!$F$5:$H$5)</f>
        <v>1200</v>
      </c>
      <c r="J964" s="18">
        <f>_xlfn.XLOOKUP(Assumptions!$B$2,Assumptions!$F$4:$H$4,Assumptions!$F$6:$H$6)</f>
        <v>17</v>
      </c>
      <c r="K964" s="12">
        <f>_xlfn.XLOOKUP(Assumptions!$B$2,Assumptions!$F$4:$H$4,Assumptions!$F$8:$H$8)</f>
        <v>0.1</v>
      </c>
      <c r="L964" s="12">
        <f>_xlfn.XLOOKUP(Assumptions!$B$2,Assumptions!$F$4:$H$4,Assumptions!$F$9:$H$9)</f>
        <v>0.18</v>
      </c>
      <c r="M964" s="18">
        <f>_xlfn.XLOOKUP(Assumptions!$B$2,Assumptions!$F$4:$H$4,Assumptions!$F$10:$H$10)</f>
        <v>18000</v>
      </c>
      <c r="N964" s="12">
        <f>_xlfn.XLOOKUP(Assumptions!$B$2,Assumptions!$F$4:$H$4,Assumptions!$F$11:$H$11)</f>
        <v>0.3</v>
      </c>
      <c r="O964" s="14">
        <f>Final_Table[[#This Row],[Units Sold]]*Final_Table[[#This Row],[Sale Price]]</f>
        <v>20400</v>
      </c>
      <c r="P964" s="14">
        <f>Final_Table[[#This Row],[Gross Revenue]]*(1-Final_Table[[#This Row],[Discount %]])</f>
        <v>18360</v>
      </c>
      <c r="Q964">
        <f>Final_Table[[#This Row],[Net Revenue]]*Final_Table[[#This Row],[Variable Cost %]]</f>
        <v>3304.7999999999997</v>
      </c>
      <c r="R964">
        <f>Final_Table[[#This Row],[Variable Cost]]+Final_Table[[#This Row],[Fixed Monthly Cost]]</f>
        <v>21304.799999999999</v>
      </c>
      <c r="S964" s="5">
        <f>Final_Table[[#This Row],[Net Revenue]]-Final_Table[[#This Row],[Total Cost (COGS)]]</f>
        <v>-2944.7999999999993</v>
      </c>
      <c r="T964">
        <f>Final_Table[[#This Row],[Gross Profit]]*Final_Table[[#This Row],[Tax Rate]]</f>
        <v>-883.43999999999971</v>
      </c>
      <c r="U964" s="5">
        <f>Final_Table[[#This Row],[Gross Profit]]-Final_Table[[#This Row],[Tax]]</f>
        <v>-2061.3599999999997</v>
      </c>
      <c r="V964" s="12">
        <f>Final_Table[[#This Row],[Net Profit]]/Final_Table[[#This Row],[Gross Revenue]]</f>
        <v>-0.10104705882352939</v>
      </c>
    </row>
    <row r="965" spans="1:22">
      <c r="A965" s="18" t="s">
        <v>74</v>
      </c>
      <c r="B965">
        <v>2014</v>
      </c>
      <c r="C965" t="s">
        <v>125</v>
      </c>
      <c r="D965">
        <v>1</v>
      </c>
      <c r="E965" s="18" t="s">
        <v>16</v>
      </c>
      <c r="F965" s="18" t="s">
        <v>112</v>
      </c>
      <c r="G965" s="18" t="s">
        <v>25</v>
      </c>
      <c r="H965" s="18" t="str">
        <f>Assumptions!$B$2</f>
        <v>Worst</v>
      </c>
      <c r="I965" s="18">
        <f>_xlfn.XLOOKUP(Assumptions!$B$2,Assumptions!$F$4:$H$4,Assumptions!$F$5:$H$5)</f>
        <v>1200</v>
      </c>
      <c r="J965" s="18">
        <f>_xlfn.XLOOKUP(Assumptions!$B$2,Assumptions!$F$4:$H$4,Assumptions!$F$6:$H$6)</f>
        <v>17</v>
      </c>
      <c r="K965" s="12">
        <f>_xlfn.XLOOKUP(Assumptions!$B$2,Assumptions!$F$4:$H$4,Assumptions!$F$8:$H$8)</f>
        <v>0.1</v>
      </c>
      <c r="L965" s="12">
        <f>_xlfn.XLOOKUP(Assumptions!$B$2,Assumptions!$F$4:$H$4,Assumptions!$F$9:$H$9)</f>
        <v>0.18</v>
      </c>
      <c r="M965" s="18">
        <f>_xlfn.XLOOKUP(Assumptions!$B$2,Assumptions!$F$4:$H$4,Assumptions!$F$10:$H$10)</f>
        <v>18000</v>
      </c>
      <c r="N965" s="12">
        <f>_xlfn.XLOOKUP(Assumptions!$B$2,Assumptions!$F$4:$H$4,Assumptions!$F$11:$H$11)</f>
        <v>0.3</v>
      </c>
      <c r="O965" s="14">
        <f>Final_Table[[#This Row],[Units Sold]]*Final_Table[[#This Row],[Sale Price]]</f>
        <v>20400</v>
      </c>
      <c r="P965" s="14">
        <f>Final_Table[[#This Row],[Gross Revenue]]*(1-Final_Table[[#This Row],[Discount %]])</f>
        <v>18360</v>
      </c>
      <c r="Q965">
        <f>Final_Table[[#This Row],[Net Revenue]]*Final_Table[[#This Row],[Variable Cost %]]</f>
        <v>3304.7999999999997</v>
      </c>
      <c r="R965">
        <f>Final_Table[[#This Row],[Variable Cost]]+Final_Table[[#This Row],[Fixed Monthly Cost]]</f>
        <v>21304.799999999999</v>
      </c>
      <c r="S965" s="5">
        <f>Final_Table[[#This Row],[Net Revenue]]-Final_Table[[#This Row],[Total Cost (COGS)]]</f>
        <v>-2944.7999999999993</v>
      </c>
      <c r="T965">
        <f>Final_Table[[#This Row],[Gross Profit]]*Final_Table[[#This Row],[Tax Rate]]</f>
        <v>-883.43999999999971</v>
      </c>
      <c r="U965" s="5">
        <f>Final_Table[[#This Row],[Gross Profit]]-Final_Table[[#This Row],[Tax]]</f>
        <v>-2061.3599999999997</v>
      </c>
      <c r="V965" s="12">
        <f>Final_Table[[#This Row],[Net Profit]]/Final_Table[[#This Row],[Gross Revenue]]</f>
        <v>-0.10104705882352939</v>
      </c>
    </row>
    <row r="966" spans="1:22">
      <c r="A966" s="18" t="s">
        <v>74</v>
      </c>
      <c r="B966">
        <v>2014</v>
      </c>
      <c r="C966" t="s">
        <v>125</v>
      </c>
      <c r="D966">
        <v>1</v>
      </c>
      <c r="E966" s="18" t="s">
        <v>16</v>
      </c>
      <c r="F966" s="18" t="s">
        <v>112</v>
      </c>
      <c r="G966" s="18" t="s">
        <v>17</v>
      </c>
      <c r="H966" s="18" t="str">
        <f>Assumptions!$B$2</f>
        <v>Worst</v>
      </c>
      <c r="I966" s="18">
        <f>_xlfn.XLOOKUP(Assumptions!$B$2,Assumptions!$F$4:$H$4,Assumptions!$F$5:$H$5)</f>
        <v>1200</v>
      </c>
      <c r="J966" s="18">
        <f>_xlfn.XLOOKUP(Assumptions!$B$2,Assumptions!$F$4:$H$4,Assumptions!$F$6:$H$6)</f>
        <v>17</v>
      </c>
      <c r="K966" s="12">
        <f>_xlfn.XLOOKUP(Assumptions!$B$2,Assumptions!$F$4:$H$4,Assumptions!$F$8:$H$8)</f>
        <v>0.1</v>
      </c>
      <c r="L966" s="12">
        <f>_xlfn.XLOOKUP(Assumptions!$B$2,Assumptions!$F$4:$H$4,Assumptions!$F$9:$H$9)</f>
        <v>0.18</v>
      </c>
      <c r="M966" s="18">
        <f>_xlfn.XLOOKUP(Assumptions!$B$2,Assumptions!$F$4:$H$4,Assumptions!$F$10:$H$10)</f>
        <v>18000</v>
      </c>
      <c r="N966" s="12">
        <f>_xlfn.XLOOKUP(Assumptions!$B$2,Assumptions!$F$4:$H$4,Assumptions!$F$11:$H$11)</f>
        <v>0.3</v>
      </c>
      <c r="O966" s="14">
        <f>Final_Table[[#This Row],[Units Sold]]*Final_Table[[#This Row],[Sale Price]]</f>
        <v>20400</v>
      </c>
      <c r="P966" s="14">
        <f>Final_Table[[#This Row],[Gross Revenue]]*(1-Final_Table[[#This Row],[Discount %]])</f>
        <v>18360</v>
      </c>
      <c r="Q966">
        <f>Final_Table[[#This Row],[Net Revenue]]*Final_Table[[#This Row],[Variable Cost %]]</f>
        <v>3304.7999999999997</v>
      </c>
      <c r="R966">
        <f>Final_Table[[#This Row],[Variable Cost]]+Final_Table[[#This Row],[Fixed Monthly Cost]]</f>
        <v>21304.799999999999</v>
      </c>
      <c r="S966" s="5">
        <f>Final_Table[[#This Row],[Net Revenue]]-Final_Table[[#This Row],[Total Cost (COGS)]]</f>
        <v>-2944.7999999999993</v>
      </c>
      <c r="T966">
        <f>Final_Table[[#This Row],[Gross Profit]]*Final_Table[[#This Row],[Tax Rate]]</f>
        <v>-883.43999999999971</v>
      </c>
      <c r="U966" s="5">
        <f>Final_Table[[#This Row],[Gross Profit]]-Final_Table[[#This Row],[Tax]]</f>
        <v>-2061.3599999999997</v>
      </c>
      <c r="V966" s="12">
        <f>Final_Table[[#This Row],[Net Profit]]/Final_Table[[#This Row],[Gross Revenue]]</f>
        <v>-0.10104705882352939</v>
      </c>
    </row>
    <row r="967" spans="1:22">
      <c r="A967" s="18" t="s">
        <v>74</v>
      </c>
      <c r="B967">
        <v>2014</v>
      </c>
      <c r="C967" t="s">
        <v>125</v>
      </c>
      <c r="D967">
        <v>1</v>
      </c>
      <c r="E967" s="18" t="s">
        <v>16</v>
      </c>
      <c r="F967" s="18" t="s">
        <v>113</v>
      </c>
      <c r="G967" s="18" t="s">
        <v>36</v>
      </c>
      <c r="H967" s="18" t="str">
        <f>Assumptions!$B$2</f>
        <v>Worst</v>
      </c>
      <c r="I967" s="18">
        <f>_xlfn.XLOOKUP(Assumptions!$B$2,Assumptions!$F$4:$H$4,Assumptions!$F$5:$H$5)</f>
        <v>1200</v>
      </c>
      <c r="J967" s="18">
        <f>_xlfn.XLOOKUP(Assumptions!$B$2,Assumptions!$F$4:$H$4,Assumptions!$F$6:$H$6)</f>
        <v>17</v>
      </c>
      <c r="K967" s="12">
        <f>_xlfn.XLOOKUP(Assumptions!$B$2,Assumptions!$F$4:$H$4,Assumptions!$F$8:$H$8)</f>
        <v>0.1</v>
      </c>
      <c r="L967" s="12">
        <f>_xlfn.XLOOKUP(Assumptions!$B$2,Assumptions!$F$4:$H$4,Assumptions!$F$9:$H$9)</f>
        <v>0.18</v>
      </c>
      <c r="M967" s="18">
        <f>_xlfn.XLOOKUP(Assumptions!$B$2,Assumptions!$F$4:$H$4,Assumptions!$F$10:$H$10)</f>
        <v>18000</v>
      </c>
      <c r="N967" s="12">
        <f>_xlfn.XLOOKUP(Assumptions!$B$2,Assumptions!$F$4:$H$4,Assumptions!$F$11:$H$11)</f>
        <v>0.3</v>
      </c>
      <c r="O967" s="14">
        <f>Final_Table[[#This Row],[Units Sold]]*Final_Table[[#This Row],[Sale Price]]</f>
        <v>20400</v>
      </c>
      <c r="P967" s="14">
        <f>Final_Table[[#This Row],[Gross Revenue]]*(1-Final_Table[[#This Row],[Discount %]])</f>
        <v>18360</v>
      </c>
      <c r="Q967">
        <f>Final_Table[[#This Row],[Net Revenue]]*Final_Table[[#This Row],[Variable Cost %]]</f>
        <v>3304.7999999999997</v>
      </c>
      <c r="R967">
        <f>Final_Table[[#This Row],[Variable Cost]]+Final_Table[[#This Row],[Fixed Monthly Cost]]</f>
        <v>21304.799999999999</v>
      </c>
      <c r="S967" s="5">
        <f>Final_Table[[#This Row],[Net Revenue]]-Final_Table[[#This Row],[Total Cost (COGS)]]</f>
        <v>-2944.7999999999993</v>
      </c>
      <c r="T967">
        <f>Final_Table[[#This Row],[Gross Profit]]*Final_Table[[#This Row],[Tax Rate]]</f>
        <v>-883.43999999999971</v>
      </c>
      <c r="U967" s="5">
        <f>Final_Table[[#This Row],[Gross Profit]]-Final_Table[[#This Row],[Tax]]</f>
        <v>-2061.3599999999997</v>
      </c>
      <c r="V967" s="12">
        <f>Final_Table[[#This Row],[Net Profit]]/Final_Table[[#This Row],[Gross Revenue]]</f>
        <v>-0.10104705882352939</v>
      </c>
    </row>
    <row r="968" spans="1:22">
      <c r="A968" s="18" t="s">
        <v>74</v>
      </c>
      <c r="B968">
        <v>2014</v>
      </c>
      <c r="C968" t="s">
        <v>125</v>
      </c>
      <c r="D968">
        <v>1</v>
      </c>
      <c r="E968" s="18" t="s">
        <v>16</v>
      </c>
      <c r="F968" s="18" t="s">
        <v>113</v>
      </c>
      <c r="G968" s="18" t="s">
        <v>23</v>
      </c>
      <c r="H968" s="18" t="str">
        <f>Assumptions!$B$2</f>
        <v>Worst</v>
      </c>
      <c r="I968" s="18">
        <f>_xlfn.XLOOKUP(Assumptions!$B$2,Assumptions!$F$4:$H$4,Assumptions!$F$5:$H$5)</f>
        <v>1200</v>
      </c>
      <c r="J968" s="18">
        <f>_xlfn.XLOOKUP(Assumptions!$B$2,Assumptions!$F$4:$H$4,Assumptions!$F$6:$H$6)</f>
        <v>17</v>
      </c>
      <c r="K968" s="12">
        <f>_xlfn.XLOOKUP(Assumptions!$B$2,Assumptions!$F$4:$H$4,Assumptions!$F$8:$H$8)</f>
        <v>0.1</v>
      </c>
      <c r="L968" s="12">
        <f>_xlfn.XLOOKUP(Assumptions!$B$2,Assumptions!$F$4:$H$4,Assumptions!$F$9:$H$9)</f>
        <v>0.18</v>
      </c>
      <c r="M968" s="18">
        <f>_xlfn.XLOOKUP(Assumptions!$B$2,Assumptions!$F$4:$H$4,Assumptions!$F$10:$H$10)</f>
        <v>18000</v>
      </c>
      <c r="N968" s="12">
        <f>_xlfn.XLOOKUP(Assumptions!$B$2,Assumptions!$F$4:$H$4,Assumptions!$F$11:$H$11)</f>
        <v>0.3</v>
      </c>
      <c r="O968" s="14">
        <f>Final_Table[[#This Row],[Units Sold]]*Final_Table[[#This Row],[Sale Price]]</f>
        <v>20400</v>
      </c>
      <c r="P968" s="14">
        <f>Final_Table[[#This Row],[Gross Revenue]]*(1-Final_Table[[#This Row],[Discount %]])</f>
        <v>18360</v>
      </c>
      <c r="Q968">
        <f>Final_Table[[#This Row],[Net Revenue]]*Final_Table[[#This Row],[Variable Cost %]]</f>
        <v>3304.7999999999997</v>
      </c>
      <c r="R968">
        <f>Final_Table[[#This Row],[Variable Cost]]+Final_Table[[#This Row],[Fixed Monthly Cost]]</f>
        <v>21304.799999999999</v>
      </c>
      <c r="S968" s="5">
        <f>Final_Table[[#This Row],[Net Revenue]]-Final_Table[[#This Row],[Total Cost (COGS)]]</f>
        <v>-2944.7999999999993</v>
      </c>
      <c r="T968">
        <f>Final_Table[[#This Row],[Gross Profit]]*Final_Table[[#This Row],[Tax Rate]]</f>
        <v>-883.43999999999971</v>
      </c>
      <c r="U968" s="5">
        <f>Final_Table[[#This Row],[Gross Profit]]-Final_Table[[#This Row],[Tax]]</f>
        <v>-2061.3599999999997</v>
      </c>
      <c r="V968" s="12">
        <f>Final_Table[[#This Row],[Net Profit]]/Final_Table[[#This Row],[Gross Revenue]]</f>
        <v>-0.10104705882352939</v>
      </c>
    </row>
    <row r="969" spans="1:22">
      <c r="A969" s="18" t="s">
        <v>74</v>
      </c>
      <c r="B969">
        <v>2014</v>
      </c>
      <c r="C969" t="s">
        <v>125</v>
      </c>
      <c r="D969">
        <v>1</v>
      </c>
      <c r="E969" s="18" t="s">
        <v>16</v>
      </c>
      <c r="F969" s="18" t="s">
        <v>113</v>
      </c>
      <c r="G969" s="18" t="s">
        <v>21</v>
      </c>
      <c r="H969" s="18" t="str">
        <f>Assumptions!$B$2</f>
        <v>Worst</v>
      </c>
      <c r="I969" s="18">
        <f>_xlfn.XLOOKUP(Assumptions!$B$2,Assumptions!$F$4:$H$4,Assumptions!$F$5:$H$5)</f>
        <v>1200</v>
      </c>
      <c r="J969" s="18">
        <f>_xlfn.XLOOKUP(Assumptions!$B$2,Assumptions!$F$4:$H$4,Assumptions!$F$6:$H$6)</f>
        <v>17</v>
      </c>
      <c r="K969" s="12">
        <f>_xlfn.XLOOKUP(Assumptions!$B$2,Assumptions!$F$4:$H$4,Assumptions!$F$8:$H$8)</f>
        <v>0.1</v>
      </c>
      <c r="L969" s="12">
        <f>_xlfn.XLOOKUP(Assumptions!$B$2,Assumptions!$F$4:$H$4,Assumptions!$F$9:$H$9)</f>
        <v>0.18</v>
      </c>
      <c r="M969" s="18">
        <f>_xlfn.XLOOKUP(Assumptions!$B$2,Assumptions!$F$4:$H$4,Assumptions!$F$10:$H$10)</f>
        <v>18000</v>
      </c>
      <c r="N969" s="12">
        <f>_xlfn.XLOOKUP(Assumptions!$B$2,Assumptions!$F$4:$H$4,Assumptions!$F$11:$H$11)</f>
        <v>0.3</v>
      </c>
      <c r="O969" s="14">
        <f>Final_Table[[#This Row],[Units Sold]]*Final_Table[[#This Row],[Sale Price]]</f>
        <v>20400</v>
      </c>
      <c r="P969" s="14">
        <f>Final_Table[[#This Row],[Gross Revenue]]*(1-Final_Table[[#This Row],[Discount %]])</f>
        <v>18360</v>
      </c>
      <c r="Q969">
        <f>Final_Table[[#This Row],[Net Revenue]]*Final_Table[[#This Row],[Variable Cost %]]</f>
        <v>3304.7999999999997</v>
      </c>
      <c r="R969">
        <f>Final_Table[[#This Row],[Variable Cost]]+Final_Table[[#This Row],[Fixed Monthly Cost]]</f>
        <v>21304.799999999999</v>
      </c>
      <c r="S969" s="5">
        <f>Final_Table[[#This Row],[Net Revenue]]-Final_Table[[#This Row],[Total Cost (COGS)]]</f>
        <v>-2944.7999999999993</v>
      </c>
      <c r="T969">
        <f>Final_Table[[#This Row],[Gross Profit]]*Final_Table[[#This Row],[Tax Rate]]</f>
        <v>-883.43999999999971</v>
      </c>
      <c r="U969" s="5">
        <f>Final_Table[[#This Row],[Gross Profit]]-Final_Table[[#This Row],[Tax]]</f>
        <v>-2061.3599999999997</v>
      </c>
      <c r="V969" s="12">
        <f>Final_Table[[#This Row],[Net Profit]]/Final_Table[[#This Row],[Gross Revenue]]</f>
        <v>-0.10104705882352939</v>
      </c>
    </row>
    <row r="970" spans="1:22">
      <c r="A970" s="18" t="s">
        <v>74</v>
      </c>
      <c r="B970">
        <v>2014</v>
      </c>
      <c r="C970" t="s">
        <v>125</v>
      </c>
      <c r="D970">
        <v>1</v>
      </c>
      <c r="E970" s="18" t="s">
        <v>16</v>
      </c>
      <c r="F970" s="18" t="s">
        <v>113</v>
      </c>
      <c r="G970" s="18" t="s">
        <v>25</v>
      </c>
      <c r="H970" s="18" t="str">
        <f>Assumptions!$B$2</f>
        <v>Worst</v>
      </c>
      <c r="I970" s="18">
        <f>_xlfn.XLOOKUP(Assumptions!$B$2,Assumptions!$F$4:$H$4,Assumptions!$F$5:$H$5)</f>
        <v>1200</v>
      </c>
      <c r="J970" s="18">
        <f>_xlfn.XLOOKUP(Assumptions!$B$2,Assumptions!$F$4:$H$4,Assumptions!$F$6:$H$6)</f>
        <v>17</v>
      </c>
      <c r="K970" s="12">
        <f>_xlfn.XLOOKUP(Assumptions!$B$2,Assumptions!$F$4:$H$4,Assumptions!$F$8:$H$8)</f>
        <v>0.1</v>
      </c>
      <c r="L970" s="12">
        <f>_xlfn.XLOOKUP(Assumptions!$B$2,Assumptions!$F$4:$H$4,Assumptions!$F$9:$H$9)</f>
        <v>0.18</v>
      </c>
      <c r="M970" s="18">
        <f>_xlfn.XLOOKUP(Assumptions!$B$2,Assumptions!$F$4:$H$4,Assumptions!$F$10:$H$10)</f>
        <v>18000</v>
      </c>
      <c r="N970" s="12">
        <f>_xlfn.XLOOKUP(Assumptions!$B$2,Assumptions!$F$4:$H$4,Assumptions!$F$11:$H$11)</f>
        <v>0.3</v>
      </c>
      <c r="O970" s="14">
        <f>Final_Table[[#This Row],[Units Sold]]*Final_Table[[#This Row],[Sale Price]]</f>
        <v>20400</v>
      </c>
      <c r="P970" s="14">
        <f>Final_Table[[#This Row],[Gross Revenue]]*(1-Final_Table[[#This Row],[Discount %]])</f>
        <v>18360</v>
      </c>
      <c r="Q970">
        <f>Final_Table[[#This Row],[Net Revenue]]*Final_Table[[#This Row],[Variable Cost %]]</f>
        <v>3304.7999999999997</v>
      </c>
      <c r="R970">
        <f>Final_Table[[#This Row],[Variable Cost]]+Final_Table[[#This Row],[Fixed Monthly Cost]]</f>
        <v>21304.799999999999</v>
      </c>
      <c r="S970" s="5">
        <f>Final_Table[[#This Row],[Net Revenue]]-Final_Table[[#This Row],[Total Cost (COGS)]]</f>
        <v>-2944.7999999999993</v>
      </c>
      <c r="T970">
        <f>Final_Table[[#This Row],[Gross Profit]]*Final_Table[[#This Row],[Tax Rate]]</f>
        <v>-883.43999999999971</v>
      </c>
      <c r="U970" s="5">
        <f>Final_Table[[#This Row],[Gross Profit]]-Final_Table[[#This Row],[Tax]]</f>
        <v>-2061.3599999999997</v>
      </c>
      <c r="V970" s="12">
        <f>Final_Table[[#This Row],[Net Profit]]/Final_Table[[#This Row],[Gross Revenue]]</f>
        <v>-0.10104705882352939</v>
      </c>
    </row>
    <row r="971" spans="1:22">
      <c r="A971" s="18" t="s">
        <v>74</v>
      </c>
      <c r="B971">
        <v>2014</v>
      </c>
      <c r="C971" t="s">
        <v>125</v>
      </c>
      <c r="D971">
        <v>1</v>
      </c>
      <c r="E971" s="18" t="s">
        <v>16</v>
      </c>
      <c r="F971" s="18" t="s">
        <v>113</v>
      </c>
      <c r="G971" s="18" t="s">
        <v>17</v>
      </c>
      <c r="H971" s="18" t="str">
        <f>Assumptions!$B$2</f>
        <v>Worst</v>
      </c>
      <c r="I971" s="18">
        <f>_xlfn.XLOOKUP(Assumptions!$B$2,Assumptions!$F$4:$H$4,Assumptions!$F$5:$H$5)</f>
        <v>1200</v>
      </c>
      <c r="J971" s="18">
        <f>_xlfn.XLOOKUP(Assumptions!$B$2,Assumptions!$F$4:$H$4,Assumptions!$F$6:$H$6)</f>
        <v>17</v>
      </c>
      <c r="K971" s="12">
        <f>_xlfn.XLOOKUP(Assumptions!$B$2,Assumptions!$F$4:$H$4,Assumptions!$F$8:$H$8)</f>
        <v>0.1</v>
      </c>
      <c r="L971" s="12">
        <f>_xlfn.XLOOKUP(Assumptions!$B$2,Assumptions!$F$4:$H$4,Assumptions!$F$9:$H$9)</f>
        <v>0.18</v>
      </c>
      <c r="M971" s="18">
        <f>_xlfn.XLOOKUP(Assumptions!$B$2,Assumptions!$F$4:$H$4,Assumptions!$F$10:$H$10)</f>
        <v>18000</v>
      </c>
      <c r="N971" s="12">
        <f>_xlfn.XLOOKUP(Assumptions!$B$2,Assumptions!$F$4:$H$4,Assumptions!$F$11:$H$11)</f>
        <v>0.3</v>
      </c>
      <c r="O971" s="14">
        <f>Final_Table[[#This Row],[Units Sold]]*Final_Table[[#This Row],[Sale Price]]</f>
        <v>20400</v>
      </c>
      <c r="P971" s="14">
        <f>Final_Table[[#This Row],[Gross Revenue]]*(1-Final_Table[[#This Row],[Discount %]])</f>
        <v>18360</v>
      </c>
      <c r="Q971">
        <f>Final_Table[[#This Row],[Net Revenue]]*Final_Table[[#This Row],[Variable Cost %]]</f>
        <v>3304.7999999999997</v>
      </c>
      <c r="R971">
        <f>Final_Table[[#This Row],[Variable Cost]]+Final_Table[[#This Row],[Fixed Monthly Cost]]</f>
        <v>21304.799999999999</v>
      </c>
      <c r="S971" s="5">
        <f>Final_Table[[#This Row],[Net Revenue]]-Final_Table[[#This Row],[Total Cost (COGS)]]</f>
        <v>-2944.7999999999993</v>
      </c>
      <c r="T971">
        <f>Final_Table[[#This Row],[Gross Profit]]*Final_Table[[#This Row],[Tax Rate]]</f>
        <v>-883.43999999999971</v>
      </c>
      <c r="U971" s="5">
        <f>Final_Table[[#This Row],[Gross Profit]]-Final_Table[[#This Row],[Tax]]</f>
        <v>-2061.3599999999997</v>
      </c>
      <c r="V971" s="12">
        <f>Final_Table[[#This Row],[Net Profit]]/Final_Table[[#This Row],[Gross Revenue]]</f>
        <v>-0.10104705882352939</v>
      </c>
    </row>
    <row r="972" spans="1:22">
      <c r="A972" s="18" t="s">
        <v>74</v>
      </c>
      <c r="B972">
        <v>2014</v>
      </c>
      <c r="C972" t="s">
        <v>125</v>
      </c>
      <c r="D972">
        <v>1</v>
      </c>
      <c r="E972" s="18" t="s">
        <v>16</v>
      </c>
      <c r="F972" s="18" t="s">
        <v>114</v>
      </c>
      <c r="G972" s="18" t="s">
        <v>36</v>
      </c>
      <c r="H972" s="18" t="str">
        <f>Assumptions!$B$2</f>
        <v>Worst</v>
      </c>
      <c r="I972" s="18">
        <f>_xlfn.XLOOKUP(Assumptions!$B$2,Assumptions!$F$4:$H$4,Assumptions!$F$5:$H$5)</f>
        <v>1200</v>
      </c>
      <c r="J972" s="18">
        <f>_xlfn.XLOOKUP(Assumptions!$B$2,Assumptions!$F$4:$H$4,Assumptions!$F$6:$H$6)</f>
        <v>17</v>
      </c>
      <c r="K972" s="12">
        <f>_xlfn.XLOOKUP(Assumptions!$B$2,Assumptions!$F$4:$H$4,Assumptions!$F$8:$H$8)</f>
        <v>0.1</v>
      </c>
      <c r="L972" s="12">
        <f>_xlfn.XLOOKUP(Assumptions!$B$2,Assumptions!$F$4:$H$4,Assumptions!$F$9:$H$9)</f>
        <v>0.18</v>
      </c>
      <c r="M972" s="18">
        <f>_xlfn.XLOOKUP(Assumptions!$B$2,Assumptions!$F$4:$H$4,Assumptions!$F$10:$H$10)</f>
        <v>18000</v>
      </c>
      <c r="N972" s="12">
        <f>_xlfn.XLOOKUP(Assumptions!$B$2,Assumptions!$F$4:$H$4,Assumptions!$F$11:$H$11)</f>
        <v>0.3</v>
      </c>
      <c r="O972" s="14">
        <f>Final_Table[[#This Row],[Units Sold]]*Final_Table[[#This Row],[Sale Price]]</f>
        <v>20400</v>
      </c>
      <c r="P972" s="14">
        <f>Final_Table[[#This Row],[Gross Revenue]]*(1-Final_Table[[#This Row],[Discount %]])</f>
        <v>18360</v>
      </c>
      <c r="Q972">
        <f>Final_Table[[#This Row],[Net Revenue]]*Final_Table[[#This Row],[Variable Cost %]]</f>
        <v>3304.7999999999997</v>
      </c>
      <c r="R972">
        <f>Final_Table[[#This Row],[Variable Cost]]+Final_Table[[#This Row],[Fixed Monthly Cost]]</f>
        <v>21304.799999999999</v>
      </c>
      <c r="S972" s="5">
        <f>Final_Table[[#This Row],[Net Revenue]]-Final_Table[[#This Row],[Total Cost (COGS)]]</f>
        <v>-2944.7999999999993</v>
      </c>
      <c r="T972">
        <f>Final_Table[[#This Row],[Gross Profit]]*Final_Table[[#This Row],[Tax Rate]]</f>
        <v>-883.43999999999971</v>
      </c>
      <c r="U972" s="5">
        <f>Final_Table[[#This Row],[Gross Profit]]-Final_Table[[#This Row],[Tax]]</f>
        <v>-2061.3599999999997</v>
      </c>
      <c r="V972" s="12">
        <f>Final_Table[[#This Row],[Net Profit]]/Final_Table[[#This Row],[Gross Revenue]]</f>
        <v>-0.10104705882352939</v>
      </c>
    </row>
    <row r="973" spans="1:22">
      <c r="A973" s="18" t="s">
        <v>74</v>
      </c>
      <c r="B973">
        <v>2014</v>
      </c>
      <c r="C973" t="s">
        <v>125</v>
      </c>
      <c r="D973">
        <v>1</v>
      </c>
      <c r="E973" s="18" t="s">
        <v>16</v>
      </c>
      <c r="F973" s="18" t="s">
        <v>114</v>
      </c>
      <c r="G973" s="18" t="s">
        <v>23</v>
      </c>
      <c r="H973" s="18" t="str">
        <f>Assumptions!$B$2</f>
        <v>Worst</v>
      </c>
      <c r="I973" s="18">
        <f>_xlfn.XLOOKUP(Assumptions!$B$2,Assumptions!$F$4:$H$4,Assumptions!$F$5:$H$5)</f>
        <v>1200</v>
      </c>
      <c r="J973" s="18">
        <f>_xlfn.XLOOKUP(Assumptions!$B$2,Assumptions!$F$4:$H$4,Assumptions!$F$6:$H$6)</f>
        <v>17</v>
      </c>
      <c r="K973" s="12">
        <f>_xlfn.XLOOKUP(Assumptions!$B$2,Assumptions!$F$4:$H$4,Assumptions!$F$8:$H$8)</f>
        <v>0.1</v>
      </c>
      <c r="L973" s="12">
        <f>_xlfn.XLOOKUP(Assumptions!$B$2,Assumptions!$F$4:$H$4,Assumptions!$F$9:$H$9)</f>
        <v>0.18</v>
      </c>
      <c r="M973" s="18">
        <f>_xlfn.XLOOKUP(Assumptions!$B$2,Assumptions!$F$4:$H$4,Assumptions!$F$10:$H$10)</f>
        <v>18000</v>
      </c>
      <c r="N973" s="12">
        <f>_xlfn.XLOOKUP(Assumptions!$B$2,Assumptions!$F$4:$H$4,Assumptions!$F$11:$H$11)</f>
        <v>0.3</v>
      </c>
      <c r="O973" s="14">
        <f>Final_Table[[#This Row],[Units Sold]]*Final_Table[[#This Row],[Sale Price]]</f>
        <v>20400</v>
      </c>
      <c r="P973" s="14">
        <f>Final_Table[[#This Row],[Gross Revenue]]*(1-Final_Table[[#This Row],[Discount %]])</f>
        <v>18360</v>
      </c>
      <c r="Q973">
        <f>Final_Table[[#This Row],[Net Revenue]]*Final_Table[[#This Row],[Variable Cost %]]</f>
        <v>3304.7999999999997</v>
      </c>
      <c r="R973">
        <f>Final_Table[[#This Row],[Variable Cost]]+Final_Table[[#This Row],[Fixed Monthly Cost]]</f>
        <v>21304.799999999999</v>
      </c>
      <c r="S973" s="5">
        <f>Final_Table[[#This Row],[Net Revenue]]-Final_Table[[#This Row],[Total Cost (COGS)]]</f>
        <v>-2944.7999999999993</v>
      </c>
      <c r="T973">
        <f>Final_Table[[#This Row],[Gross Profit]]*Final_Table[[#This Row],[Tax Rate]]</f>
        <v>-883.43999999999971</v>
      </c>
      <c r="U973" s="5">
        <f>Final_Table[[#This Row],[Gross Profit]]-Final_Table[[#This Row],[Tax]]</f>
        <v>-2061.3599999999997</v>
      </c>
      <c r="V973" s="12">
        <f>Final_Table[[#This Row],[Net Profit]]/Final_Table[[#This Row],[Gross Revenue]]</f>
        <v>-0.10104705882352939</v>
      </c>
    </row>
    <row r="974" spans="1:22">
      <c r="A974" s="18" t="s">
        <v>74</v>
      </c>
      <c r="B974">
        <v>2014</v>
      </c>
      <c r="C974" t="s">
        <v>125</v>
      </c>
      <c r="D974">
        <v>1</v>
      </c>
      <c r="E974" s="18" t="s">
        <v>16</v>
      </c>
      <c r="F974" s="18" t="s">
        <v>114</v>
      </c>
      <c r="G974" s="18" t="s">
        <v>21</v>
      </c>
      <c r="H974" s="18" t="str">
        <f>Assumptions!$B$2</f>
        <v>Worst</v>
      </c>
      <c r="I974" s="18">
        <f>_xlfn.XLOOKUP(Assumptions!$B$2,Assumptions!$F$4:$H$4,Assumptions!$F$5:$H$5)</f>
        <v>1200</v>
      </c>
      <c r="J974" s="18">
        <f>_xlfn.XLOOKUP(Assumptions!$B$2,Assumptions!$F$4:$H$4,Assumptions!$F$6:$H$6)</f>
        <v>17</v>
      </c>
      <c r="K974" s="12">
        <f>_xlfn.XLOOKUP(Assumptions!$B$2,Assumptions!$F$4:$H$4,Assumptions!$F$8:$H$8)</f>
        <v>0.1</v>
      </c>
      <c r="L974" s="12">
        <f>_xlfn.XLOOKUP(Assumptions!$B$2,Assumptions!$F$4:$H$4,Assumptions!$F$9:$H$9)</f>
        <v>0.18</v>
      </c>
      <c r="M974" s="18">
        <f>_xlfn.XLOOKUP(Assumptions!$B$2,Assumptions!$F$4:$H$4,Assumptions!$F$10:$H$10)</f>
        <v>18000</v>
      </c>
      <c r="N974" s="12">
        <f>_xlfn.XLOOKUP(Assumptions!$B$2,Assumptions!$F$4:$H$4,Assumptions!$F$11:$H$11)</f>
        <v>0.3</v>
      </c>
      <c r="O974" s="14">
        <f>Final_Table[[#This Row],[Units Sold]]*Final_Table[[#This Row],[Sale Price]]</f>
        <v>20400</v>
      </c>
      <c r="P974" s="14">
        <f>Final_Table[[#This Row],[Gross Revenue]]*(1-Final_Table[[#This Row],[Discount %]])</f>
        <v>18360</v>
      </c>
      <c r="Q974">
        <f>Final_Table[[#This Row],[Net Revenue]]*Final_Table[[#This Row],[Variable Cost %]]</f>
        <v>3304.7999999999997</v>
      </c>
      <c r="R974">
        <f>Final_Table[[#This Row],[Variable Cost]]+Final_Table[[#This Row],[Fixed Monthly Cost]]</f>
        <v>21304.799999999999</v>
      </c>
      <c r="S974" s="5">
        <f>Final_Table[[#This Row],[Net Revenue]]-Final_Table[[#This Row],[Total Cost (COGS)]]</f>
        <v>-2944.7999999999993</v>
      </c>
      <c r="T974">
        <f>Final_Table[[#This Row],[Gross Profit]]*Final_Table[[#This Row],[Tax Rate]]</f>
        <v>-883.43999999999971</v>
      </c>
      <c r="U974" s="5">
        <f>Final_Table[[#This Row],[Gross Profit]]-Final_Table[[#This Row],[Tax]]</f>
        <v>-2061.3599999999997</v>
      </c>
      <c r="V974" s="12">
        <f>Final_Table[[#This Row],[Net Profit]]/Final_Table[[#This Row],[Gross Revenue]]</f>
        <v>-0.10104705882352939</v>
      </c>
    </row>
    <row r="975" spans="1:22">
      <c r="A975" s="18" t="s">
        <v>74</v>
      </c>
      <c r="B975">
        <v>2014</v>
      </c>
      <c r="C975" t="s">
        <v>125</v>
      </c>
      <c r="D975">
        <v>1</v>
      </c>
      <c r="E975" s="18" t="s">
        <v>16</v>
      </c>
      <c r="F975" s="18" t="s">
        <v>114</v>
      </c>
      <c r="G975" s="18" t="s">
        <v>25</v>
      </c>
      <c r="H975" s="18" t="str">
        <f>Assumptions!$B$2</f>
        <v>Worst</v>
      </c>
      <c r="I975" s="18">
        <f>_xlfn.XLOOKUP(Assumptions!$B$2,Assumptions!$F$4:$H$4,Assumptions!$F$5:$H$5)</f>
        <v>1200</v>
      </c>
      <c r="J975" s="18">
        <f>_xlfn.XLOOKUP(Assumptions!$B$2,Assumptions!$F$4:$H$4,Assumptions!$F$6:$H$6)</f>
        <v>17</v>
      </c>
      <c r="K975" s="12">
        <f>_xlfn.XLOOKUP(Assumptions!$B$2,Assumptions!$F$4:$H$4,Assumptions!$F$8:$H$8)</f>
        <v>0.1</v>
      </c>
      <c r="L975" s="12">
        <f>_xlfn.XLOOKUP(Assumptions!$B$2,Assumptions!$F$4:$H$4,Assumptions!$F$9:$H$9)</f>
        <v>0.18</v>
      </c>
      <c r="M975" s="18">
        <f>_xlfn.XLOOKUP(Assumptions!$B$2,Assumptions!$F$4:$H$4,Assumptions!$F$10:$H$10)</f>
        <v>18000</v>
      </c>
      <c r="N975" s="12">
        <f>_xlfn.XLOOKUP(Assumptions!$B$2,Assumptions!$F$4:$H$4,Assumptions!$F$11:$H$11)</f>
        <v>0.3</v>
      </c>
      <c r="O975" s="14">
        <f>Final_Table[[#This Row],[Units Sold]]*Final_Table[[#This Row],[Sale Price]]</f>
        <v>20400</v>
      </c>
      <c r="P975" s="14">
        <f>Final_Table[[#This Row],[Gross Revenue]]*(1-Final_Table[[#This Row],[Discount %]])</f>
        <v>18360</v>
      </c>
      <c r="Q975">
        <f>Final_Table[[#This Row],[Net Revenue]]*Final_Table[[#This Row],[Variable Cost %]]</f>
        <v>3304.7999999999997</v>
      </c>
      <c r="R975">
        <f>Final_Table[[#This Row],[Variable Cost]]+Final_Table[[#This Row],[Fixed Monthly Cost]]</f>
        <v>21304.799999999999</v>
      </c>
      <c r="S975" s="5">
        <f>Final_Table[[#This Row],[Net Revenue]]-Final_Table[[#This Row],[Total Cost (COGS)]]</f>
        <v>-2944.7999999999993</v>
      </c>
      <c r="T975">
        <f>Final_Table[[#This Row],[Gross Profit]]*Final_Table[[#This Row],[Tax Rate]]</f>
        <v>-883.43999999999971</v>
      </c>
      <c r="U975" s="5">
        <f>Final_Table[[#This Row],[Gross Profit]]-Final_Table[[#This Row],[Tax]]</f>
        <v>-2061.3599999999997</v>
      </c>
      <c r="V975" s="12">
        <f>Final_Table[[#This Row],[Net Profit]]/Final_Table[[#This Row],[Gross Revenue]]</f>
        <v>-0.10104705882352939</v>
      </c>
    </row>
    <row r="976" spans="1:22">
      <c r="A976" s="18" t="s">
        <v>74</v>
      </c>
      <c r="B976">
        <v>2014</v>
      </c>
      <c r="C976" t="s">
        <v>125</v>
      </c>
      <c r="D976">
        <v>1</v>
      </c>
      <c r="E976" s="18" t="s">
        <v>16</v>
      </c>
      <c r="F976" s="18" t="s">
        <v>114</v>
      </c>
      <c r="G976" s="18" t="s">
        <v>17</v>
      </c>
      <c r="H976" s="18" t="str">
        <f>Assumptions!$B$2</f>
        <v>Worst</v>
      </c>
      <c r="I976" s="18">
        <f>_xlfn.XLOOKUP(Assumptions!$B$2,Assumptions!$F$4:$H$4,Assumptions!$F$5:$H$5)</f>
        <v>1200</v>
      </c>
      <c r="J976" s="18">
        <f>_xlfn.XLOOKUP(Assumptions!$B$2,Assumptions!$F$4:$H$4,Assumptions!$F$6:$H$6)</f>
        <v>17</v>
      </c>
      <c r="K976" s="12">
        <f>_xlfn.XLOOKUP(Assumptions!$B$2,Assumptions!$F$4:$H$4,Assumptions!$F$8:$H$8)</f>
        <v>0.1</v>
      </c>
      <c r="L976" s="12">
        <f>_xlfn.XLOOKUP(Assumptions!$B$2,Assumptions!$F$4:$H$4,Assumptions!$F$9:$H$9)</f>
        <v>0.18</v>
      </c>
      <c r="M976" s="18">
        <f>_xlfn.XLOOKUP(Assumptions!$B$2,Assumptions!$F$4:$H$4,Assumptions!$F$10:$H$10)</f>
        <v>18000</v>
      </c>
      <c r="N976" s="12">
        <f>_xlfn.XLOOKUP(Assumptions!$B$2,Assumptions!$F$4:$H$4,Assumptions!$F$11:$H$11)</f>
        <v>0.3</v>
      </c>
      <c r="O976" s="14">
        <f>Final_Table[[#This Row],[Units Sold]]*Final_Table[[#This Row],[Sale Price]]</f>
        <v>20400</v>
      </c>
      <c r="P976" s="14">
        <f>Final_Table[[#This Row],[Gross Revenue]]*(1-Final_Table[[#This Row],[Discount %]])</f>
        <v>18360</v>
      </c>
      <c r="Q976">
        <f>Final_Table[[#This Row],[Net Revenue]]*Final_Table[[#This Row],[Variable Cost %]]</f>
        <v>3304.7999999999997</v>
      </c>
      <c r="R976">
        <f>Final_Table[[#This Row],[Variable Cost]]+Final_Table[[#This Row],[Fixed Monthly Cost]]</f>
        <v>21304.799999999999</v>
      </c>
      <c r="S976" s="5">
        <f>Final_Table[[#This Row],[Net Revenue]]-Final_Table[[#This Row],[Total Cost (COGS)]]</f>
        <v>-2944.7999999999993</v>
      </c>
      <c r="T976">
        <f>Final_Table[[#This Row],[Gross Profit]]*Final_Table[[#This Row],[Tax Rate]]</f>
        <v>-883.43999999999971</v>
      </c>
      <c r="U976" s="5">
        <f>Final_Table[[#This Row],[Gross Profit]]-Final_Table[[#This Row],[Tax]]</f>
        <v>-2061.3599999999997</v>
      </c>
      <c r="V976" s="12">
        <f>Final_Table[[#This Row],[Net Profit]]/Final_Table[[#This Row],[Gross Revenue]]</f>
        <v>-0.10104705882352939</v>
      </c>
    </row>
    <row r="977" spans="1:22">
      <c r="A977" s="18" t="s">
        <v>74</v>
      </c>
      <c r="B977">
        <v>2014</v>
      </c>
      <c r="C977" t="s">
        <v>125</v>
      </c>
      <c r="D977">
        <v>1</v>
      </c>
      <c r="E977" s="18" t="s">
        <v>32</v>
      </c>
      <c r="F977" s="18" t="s">
        <v>80</v>
      </c>
      <c r="G977" s="18" t="s">
        <v>36</v>
      </c>
      <c r="H977" s="18" t="str">
        <f>Assumptions!$B$2</f>
        <v>Worst</v>
      </c>
      <c r="I977" s="18">
        <f>_xlfn.XLOOKUP(Assumptions!$B$2,Assumptions!$F$4:$H$4,Assumptions!$F$5:$H$5)</f>
        <v>1200</v>
      </c>
      <c r="J977" s="18">
        <f>_xlfn.XLOOKUP(Assumptions!$B$2,Assumptions!$F$4:$H$4,Assumptions!$F$6:$H$6)</f>
        <v>17</v>
      </c>
      <c r="K977" s="12">
        <f>_xlfn.XLOOKUP(Assumptions!$B$2,Assumptions!$F$4:$H$4,Assumptions!$F$8:$H$8)</f>
        <v>0.1</v>
      </c>
      <c r="L977" s="12">
        <f>_xlfn.XLOOKUP(Assumptions!$B$2,Assumptions!$F$4:$H$4,Assumptions!$F$9:$H$9)</f>
        <v>0.18</v>
      </c>
      <c r="M977" s="18">
        <f>_xlfn.XLOOKUP(Assumptions!$B$2,Assumptions!$F$4:$H$4,Assumptions!$F$10:$H$10)</f>
        <v>18000</v>
      </c>
      <c r="N977" s="12">
        <f>_xlfn.XLOOKUP(Assumptions!$B$2,Assumptions!$F$4:$H$4,Assumptions!$F$11:$H$11)</f>
        <v>0.3</v>
      </c>
      <c r="O977" s="14">
        <f>Final_Table[[#This Row],[Units Sold]]*Final_Table[[#This Row],[Sale Price]]</f>
        <v>20400</v>
      </c>
      <c r="P977" s="14">
        <f>Final_Table[[#This Row],[Gross Revenue]]*(1-Final_Table[[#This Row],[Discount %]])</f>
        <v>18360</v>
      </c>
      <c r="Q977">
        <f>Final_Table[[#This Row],[Net Revenue]]*Final_Table[[#This Row],[Variable Cost %]]</f>
        <v>3304.7999999999997</v>
      </c>
      <c r="R977">
        <f>Final_Table[[#This Row],[Variable Cost]]+Final_Table[[#This Row],[Fixed Monthly Cost]]</f>
        <v>21304.799999999999</v>
      </c>
      <c r="S977" s="5">
        <f>Final_Table[[#This Row],[Net Revenue]]-Final_Table[[#This Row],[Total Cost (COGS)]]</f>
        <v>-2944.7999999999993</v>
      </c>
      <c r="T977">
        <f>Final_Table[[#This Row],[Gross Profit]]*Final_Table[[#This Row],[Tax Rate]]</f>
        <v>-883.43999999999971</v>
      </c>
      <c r="U977" s="5">
        <f>Final_Table[[#This Row],[Gross Profit]]-Final_Table[[#This Row],[Tax]]</f>
        <v>-2061.3599999999997</v>
      </c>
      <c r="V977" s="12">
        <f>Final_Table[[#This Row],[Net Profit]]/Final_Table[[#This Row],[Gross Revenue]]</f>
        <v>-0.10104705882352939</v>
      </c>
    </row>
    <row r="978" spans="1:22">
      <c r="A978" s="18" t="s">
        <v>74</v>
      </c>
      <c r="B978">
        <v>2014</v>
      </c>
      <c r="C978" t="s">
        <v>125</v>
      </c>
      <c r="D978">
        <v>1</v>
      </c>
      <c r="E978" s="18" t="s">
        <v>32</v>
      </c>
      <c r="F978" s="18" t="s">
        <v>80</v>
      </c>
      <c r="G978" s="18" t="s">
        <v>23</v>
      </c>
      <c r="H978" s="18" t="str">
        <f>Assumptions!$B$2</f>
        <v>Worst</v>
      </c>
      <c r="I978" s="18">
        <f>_xlfn.XLOOKUP(Assumptions!$B$2,Assumptions!$F$4:$H$4,Assumptions!$F$5:$H$5)</f>
        <v>1200</v>
      </c>
      <c r="J978" s="18">
        <f>_xlfn.XLOOKUP(Assumptions!$B$2,Assumptions!$F$4:$H$4,Assumptions!$F$6:$H$6)</f>
        <v>17</v>
      </c>
      <c r="K978" s="12">
        <f>_xlfn.XLOOKUP(Assumptions!$B$2,Assumptions!$F$4:$H$4,Assumptions!$F$8:$H$8)</f>
        <v>0.1</v>
      </c>
      <c r="L978" s="12">
        <f>_xlfn.XLOOKUP(Assumptions!$B$2,Assumptions!$F$4:$H$4,Assumptions!$F$9:$H$9)</f>
        <v>0.18</v>
      </c>
      <c r="M978" s="18">
        <f>_xlfn.XLOOKUP(Assumptions!$B$2,Assumptions!$F$4:$H$4,Assumptions!$F$10:$H$10)</f>
        <v>18000</v>
      </c>
      <c r="N978" s="12">
        <f>_xlfn.XLOOKUP(Assumptions!$B$2,Assumptions!$F$4:$H$4,Assumptions!$F$11:$H$11)</f>
        <v>0.3</v>
      </c>
      <c r="O978" s="14">
        <f>Final_Table[[#This Row],[Units Sold]]*Final_Table[[#This Row],[Sale Price]]</f>
        <v>20400</v>
      </c>
      <c r="P978" s="14">
        <f>Final_Table[[#This Row],[Gross Revenue]]*(1-Final_Table[[#This Row],[Discount %]])</f>
        <v>18360</v>
      </c>
      <c r="Q978">
        <f>Final_Table[[#This Row],[Net Revenue]]*Final_Table[[#This Row],[Variable Cost %]]</f>
        <v>3304.7999999999997</v>
      </c>
      <c r="R978">
        <f>Final_Table[[#This Row],[Variable Cost]]+Final_Table[[#This Row],[Fixed Monthly Cost]]</f>
        <v>21304.799999999999</v>
      </c>
      <c r="S978" s="5">
        <f>Final_Table[[#This Row],[Net Revenue]]-Final_Table[[#This Row],[Total Cost (COGS)]]</f>
        <v>-2944.7999999999993</v>
      </c>
      <c r="T978">
        <f>Final_Table[[#This Row],[Gross Profit]]*Final_Table[[#This Row],[Tax Rate]]</f>
        <v>-883.43999999999971</v>
      </c>
      <c r="U978" s="5">
        <f>Final_Table[[#This Row],[Gross Profit]]-Final_Table[[#This Row],[Tax]]</f>
        <v>-2061.3599999999997</v>
      </c>
      <c r="V978" s="12">
        <f>Final_Table[[#This Row],[Net Profit]]/Final_Table[[#This Row],[Gross Revenue]]</f>
        <v>-0.10104705882352939</v>
      </c>
    </row>
    <row r="979" spans="1:22">
      <c r="A979" s="18" t="s">
        <v>74</v>
      </c>
      <c r="B979">
        <v>2014</v>
      </c>
      <c r="C979" t="s">
        <v>125</v>
      </c>
      <c r="D979">
        <v>1</v>
      </c>
      <c r="E979" s="18" t="s">
        <v>32</v>
      </c>
      <c r="F979" s="18" t="s">
        <v>80</v>
      </c>
      <c r="G979" s="18" t="s">
        <v>21</v>
      </c>
      <c r="H979" s="18" t="str">
        <f>Assumptions!$B$2</f>
        <v>Worst</v>
      </c>
      <c r="I979" s="18">
        <f>_xlfn.XLOOKUP(Assumptions!$B$2,Assumptions!$F$4:$H$4,Assumptions!$F$5:$H$5)</f>
        <v>1200</v>
      </c>
      <c r="J979" s="18">
        <f>_xlfn.XLOOKUP(Assumptions!$B$2,Assumptions!$F$4:$H$4,Assumptions!$F$6:$H$6)</f>
        <v>17</v>
      </c>
      <c r="K979" s="12">
        <f>_xlfn.XLOOKUP(Assumptions!$B$2,Assumptions!$F$4:$H$4,Assumptions!$F$8:$H$8)</f>
        <v>0.1</v>
      </c>
      <c r="L979" s="12">
        <f>_xlfn.XLOOKUP(Assumptions!$B$2,Assumptions!$F$4:$H$4,Assumptions!$F$9:$H$9)</f>
        <v>0.18</v>
      </c>
      <c r="M979" s="18">
        <f>_xlfn.XLOOKUP(Assumptions!$B$2,Assumptions!$F$4:$H$4,Assumptions!$F$10:$H$10)</f>
        <v>18000</v>
      </c>
      <c r="N979" s="12">
        <f>_xlfn.XLOOKUP(Assumptions!$B$2,Assumptions!$F$4:$H$4,Assumptions!$F$11:$H$11)</f>
        <v>0.3</v>
      </c>
      <c r="O979" s="14">
        <f>Final_Table[[#This Row],[Units Sold]]*Final_Table[[#This Row],[Sale Price]]</f>
        <v>20400</v>
      </c>
      <c r="P979" s="14">
        <f>Final_Table[[#This Row],[Gross Revenue]]*(1-Final_Table[[#This Row],[Discount %]])</f>
        <v>18360</v>
      </c>
      <c r="Q979">
        <f>Final_Table[[#This Row],[Net Revenue]]*Final_Table[[#This Row],[Variable Cost %]]</f>
        <v>3304.7999999999997</v>
      </c>
      <c r="R979">
        <f>Final_Table[[#This Row],[Variable Cost]]+Final_Table[[#This Row],[Fixed Monthly Cost]]</f>
        <v>21304.799999999999</v>
      </c>
      <c r="S979" s="5">
        <f>Final_Table[[#This Row],[Net Revenue]]-Final_Table[[#This Row],[Total Cost (COGS)]]</f>
        <v>-2944.7999999999993</v>
      </c>
      <c r="T979">
        <f>Final_Table[[#This Row],[Gross Profit]]*Final_Table[[#This Row],[Tax Rate]]</f>
        <v>-883.43999999999971</v>
      </c>
      <c r="U979" s="5">
        <f>Final_Table[[#This Row],[Gross Profit]]-Final_Table[[#This Row],[Tax]]</f>
        <v>-2061.3599999999997</v>
      </c>
      <c r="V979" s="12">
        <f>Final_Table[[#This Row],[Net Profit]]/Final_Table[[#This Row],[Gross Revenue]]</f>
        <v>-0.10104705882352939</v>
      </c>
    </row>
    <row r="980" spans="1:22">
      <c r="A980" s="18" t="s">
        <v>74</v>
      </c>
      <c r="B980">
        <v>2014</v>
      </c>
      <c r="C980" t="s">
        <v>125</v>
      </c>
      <c r="D980">
        <v>1</v>
      </c>
      <c r="E980" s="18" t="s">
        <v>32</v>
      </c>
      <c r="F980" s="18" t="s">
        <v>80</v>
      </c>
      <c r="G980" s="18" t="s">
        <v>25</v>
      </c>
      <c r="H980" s="18" t="str">
        <f>Assumptions!$B$2</f>
        <v>Worst</v>
      </c>
      <c r="I980" s="18">
        <f>_xlfn.XLOOKUP(Assumptions!$B$2,Assumptions!$F$4:$H$4,Assumptions!$F$5:$H$5)</f>
        <v>1200</v>
      </c>
      <c r="J980" s="18">
        <f>_xlfn.XLOOKUP(Assumptions!$B$2,Assumptions!$F$4:$H$4,Assumptions!$F$6:$H$6)</f>
        <v>17</v>
      </c>
      <c r="K980" s="12">
        <f>_xlfn.XLOOKUP(Assumptions!$B$2,Assumptions!$F$4:$H$4,Assumptions!$F$8:$H$8)</f>
        <v>0.1</v>
      </c>
      <c r="L980" s="12">
        <f>_xlfn.XLOOKUP(Assumptions!$B$2,Assumptions!$F$4:$H$4,Assumptions!$F$9:$H$9)</f>
        <v>0.18</v>
      </c>
      <c r="M980" s="18">
        <f>_xlfn.XLOOKUP(Assumptions!$B$2,Assumptions!$F$4:$H$4,Assumptions!$F$10:$H$10)</f>
        <v>18000</v>
      </c>
      <c r="N980" s="12">
        <f>_xlfn.XLOOKUP(Assumptions!$B$2,Assumptions!$F$4:$H$4,Assumptions!$F$11:$H$11)</f>
        <v>0.3</v>
      </c>
      <c r="O980" s="14">
        <f>Final_Table[[#This Row],[Units Sold]]*Final_Table[[#This Row],[Sale Price]]</f>
        <v>20400</v>
      </c>
      <c r="P980" s="14">
        <f>Final_Table[[#This Row],[Gross Revenue]]*(1-Final_Table[[#This Row],[Discount %]])</f>
        <v>18360</v>
      </c>
      <c r="Q980">
        <f>Final_Table[[#This Row],[Net Revenue]]*Final_Table[[#This Row],[Variable Cost %]]</f>
        <v>3304.7999999999997</v>
      </c>
      <c r="R980">
        <f>Final_Table[[#This Row],[Variable Cost]]+Final_Table[[#This Row],[Fixed Monthly Cost]]</f>
        <v>21304.799999999999</v>
      </c>
      <c r="S980" s="5">
        <f>Final_Table[[#This Row],[Net Revenue]]-Final_Table[[#This Row],[Total Cost (COGS)]]</f>
        <v>-2944.7999999999993</v>
      </c>
      <c r="T980">
        <f>Final_Table[[#This Row],[Gross Profit]]*Final_Table[[#This Row],[Tax Rate]]</f>
        <v>-883.43999999999971</v>
      </c>
      <c r="U980" s="5">
        <f>Final_Table[[#This Row],[Gross Profit]]-Final_Table[[#This Row],[Tax]]</f>
        <v>-2061.3599999999997</v>
      </c>
      <c r="V980" s="12">
        <f>Final_Table[[#This Row],[Net Profit]]/Final_Table[[#This Row],[Gross Revenue]]</f>
        <v>-0.10104705882352939</v>
      </c>
    </row>
    <row r="981" spans="1:22">
      <c r="A981" s="18" t="s">
        <v>74</v>
      </c>
      <c r="B981">
        <v>2014</v>
      </c>
      <c r="C981" t="s">
        <v>125</v>
      </c>
      <c r="D981">
        <v>1</v>
      </c>
      <c r="E981" s="18" t="s">
        <v>32</v>
      </c>
      <c r="F981" s="18" t="s">
        <v>80</v>
      </c>
      <c r="G981" s="18" t="s">
        <v>17</v>
      </c>
      <c r="H981" s="18" t="str">
        <f>Assumptions!$B$2</f>
        <v>Worst</v>
      </c>
      <c r="I981" s="18">
        <f>_xlfn.XLOOKUP(Assumptions!$B$2,Assumptions!$F$4:$H$4,Assumptions!$F$5:$H$5)</f>
        <v>1200</v>
      </c>
      <c r="J981" s="18">
        <f>_xlfn.XLOOKUP(Assumptions!$B$2,Assumptions!$F$4:$H$4,Assumptions!$F$6:$H$6)</f>
        <v>17</v>
      </c>
      <c r="K981" s="12">
        <f>_xlfn.XLOOKUP(Assumptions!$B$2,Assumptions!$F$4:$H$4,Assumptions!$F$8:$H$8)</f>
        <v>0.1</v>
      </c>
      <c r="L981" s="12">
        <f>_xlfn.XLOOKUP(Assumptions!$B$2,Assumptions!$F$4:$H$4,Assumptions!$F$9:$H$9)</f>
        <v>0.18</v>
      </c>
      <c r="M981" s="18">
        <f>_xlfn.XLOOKUP(Assumptions!$B$2,Assumptions!$F$4:$H$4,Assumptions!$F$10:$H$10)</f>
        <v>18000</v>
      </c>
      <c r="N981" s="12">
        <f>_xlfn.XLOOKUP(Assumptions!$B$2,Assumptions!$F$4:$H$4,Assumptions!$F$11:$H$11)</f>
        <v>0.3</v>
      </c>
      <c r="O981" s="14">
        <f>Final_Table[[#This Row],[Units Sold]]*Final_Table[[#This Row],[Sale Price]]</f>
        <v>20400</v>
      </c>
      <c r="P981" s="14">
        <f>Final_Table[[#This Row],[Gross Revenue]]*(1-Final_Table[[#This Row],[Discount %]])</f>
        <v>18360</v>
      </c>
      <c r="Q981">
        <f>Final_Table[[#This Row],[Net Revenue]]*Final_Table[[#This Row],[Variable Cost %]]</f>
        <v>3304.7999999999997</v>
      </c>
      <c r="R981">
        <f>Final_Table[[#This Row],[Variable Cost]]+Final_Table[[#This Row],[Fixed Monthly Cost]]</f>
        <v>21304.799999999999</v>
      </c>
      <c r="S981" s="5">
        <f>Final_Table[[#This Row],[Net Revenue]]-Final_Table[[#This Row],[Total Cost (COGS)]]</f>
        <v>-2944.7999999999993</v>
      </c>
      <c r="T981">
        <f>Final_Table[[#This Row],[Gross Profit]]*Final_Table[[#This Row],[Tax Rate]]</f>
        <v>-883.43999999999971</v>
      </c>
      <c r="U981" s="5">
        <f>Final_Table[[#This Row],[Gross Profit]]-Final_Table[[#This Row],[Tax]]</f>
        <v>-2061.3599999999997</v>
      </c>
      <c r="V981" s="12">
        <f>Final_Table[[#This Row],[Net Profit]]/Final_Table[[#This Row],[Gross Revenue]]</f>
        <v>-0.10104705882352939</v>
      </c>
    </row>
    <row r="982" spans="1:22">
      <c r="A982" s="18" t="s">
        <v>74</v>
      </c>
      <c r="B982">
        <v>2014</v>
      </c>
      <c r="C982" t="s">
        <v>125</v>
      </c>
      <c r="D982">
        <v>1</v>
      </c>
      <c r="E982" s="18" t="s">
        <v>32</v>
      </c>
      <c r="F982" s="18" t="s">
        <v>108</v>
      </c>
      <c r="G982" s="18" t="s">
        <v>36</v>
      </c>
      <c r="H982" s="18" t="str">
        <f>Assumptions!$B$2</f>
        <v>Worst</v>
      </c>
      <c r="I982" s="18">
        <f>_xlfn.XLOOKUP(Assumptions!$B$2,Assumptions!$F$4:$H$4,Assumptions!$F$5:$H$5)</f>
        <v>1200</v>
      </c>
      <c r="J982" s="18">
        <f>_xlfn.XLOOKUP(Assumptions!$B$2,Assumptions!$F$4:$H$4,Assumptions!$F$6:$H$6)</f>
        <v>17</v>
      </c>
      <c r="K982" s="12">
        <f>_xlfn.XLOOKUP(Assumptions!$B$2,Assumptions!$F$4:$H$4,Assumptions!$F$8:$H$8)</f>
        <v>0.1</v>
      </c>
      <c r="L982" s="12">
        <f>_xlfn.XLOOKUP(Assumptions!$B$2,Assumptions!$F$4:$H$4,Assumptions!$F$9:$H$9)</f>
        <v>0.18</v>
      </c>
      <c r="M982" s="18">
        <f>_xlfn.XLOOKUP(Assumptions!$B$2,Assumptions!$F$4:$H$4,Assumptions!$F$10:$H$10)</f>
        <v>18000</v>
      </c>
      <c r="N982" s="12">
        <f>_xlfn.XLOOKUP(Assumptions!$B$2,Assumptions!$F$4:$H$4,Assumptions!$F$11:$H$11)</f>
        <v>0.3</v>
      </c>
      <c r="O982" s="14">
        <f>Final_Table[[#This Row],[Units Sold]]*Final_Table[[#This Row],[Sale Price]]</f>
        <v>20400</v>
      </c>
      <c r="P982" s="14">
        <f>Final_Table[[#This Row],[Gross Revenue]]*(1-Final_Table[[#This Row],[Discount %]])</f>
        <v>18360</v>
      </c>
      <c r="Q982">
        <f>Final_Table[[#This Row],[Net Revenue]]*Final_Table[[#This Row],[Variable Cost %]]</f>
        <v>3304.7999999999997</v>
      </c>
      <c r="R982">
        <f>Final_Table[[#This Row],[Variable Cost]]+Final_Table[[#This Row],[Fixed Monthly Cost]]</f>
        <v>21304.799999999999</v>
      </c>
      <c r="S982" s="5">
        <f>Final_Table[[#This Row],[Net Revenue]]-Final_Table[[#This Row],[Total Cost (COGS)]]</f>
        <v>-2944.7999999999993</v>
      </c>
      <c r="T982">
        <f>Final_Table[[#This Row],[Gross Profit]]*Final_Table[[#This Row],[Tax Rate]]</f>
        <v>-883.43999999999971</v>
      </c>
      <c r="U982" s="5">
        <f>Final_Table[[#This Row],[Gross Profit]]-Final_Table[[#This Row],[Tax]]</f>
        <v>-2061.3599999999997</v>
      </c>
      <c r="V982" s="12">
        <f>Final_Table[[#This Row],[Net Profit]]/Final_Table[[#This Row],[Gross Revenue]]</f>
        <v>-0.10104705882352939</v>
      </c>
    </row>
    <row r="983" spans="1:22">
      <c r="A983" s="18" t="s">
        <v>74</v>
      </c>
      <c r="B983">
        <v>2014</v>
      </c>
      <c r="C983" t="s">
        <v>125</v>
      </c>
      <c r="D983">
        <v>1</v>
      </c>
      <c r="E983" s="18" t="s">
        <v>32</v>
      </c>
      <c r="F983" s="18" t="s">
        <v>108</v>
      </c>
      <c r="G983" s="18" t="s">
        <v>23</v>
      </c>
      <c r="H983" s="18" t="str">
        <f>Assumptions!$B$2</f>
        <v>Worst</v>
      </c>
      <c r="I983" s="18">
        <f>_xlfn.XLOOKUP(Assumptions!$B$2,Assumptions!$F$4:$H$4,Assumptions!$F$5:$H$5)</f>
        <v>1200</v>
      </c>
      <c r="J983" s="18">
        <f>_xlfn.XLOOKUP(Assumptions!$B$2,Assumptions!$F$4:$H$4,Assumptions!$F$6:$H$6)</f>
        <v>17</v>
      </c>
      <c r="K983" s="12">
        <f>_xlfn.XLOOKUP(Assumptions!$B$2,Assumptions!$F$4:$H$4,Assumptions!$F$8:$H$8)</f>
        <v>0.1</v>
      </c>
      <c r="L983" s="12">
        <f>_xlfn.XLOOKUP(Assumptions!$B$2,Assumptions!$F$4:$H$4,Assumptions!$F$9:$H$9)</f>
        <v>0.18</v>
      </c>
      <c r="M983" s="18">
        <f>_xlfn.XLOOKUP(Assumptions!$B$2,Assumptions!$F$4:$H$4,Assumptions!$F$10:$H$10)</f>
        <v>18000</v>
      </c>
      <c r="N983" s="12">
        <f>_xlfn.XLOOKUP(Assumptions!$B$2,Assumptions!$F$4:$H$4,Assumptions!$F$11:$H$11)</f>
        <v>0.3</v>
      </c>
      <c r="O983" s="14">
        <f>Final_Table[[#This Row],[Units Sold]]*Final_Table[[#This Row],[Sale Price]]</f>
        <v>20400</v>
      </c>
      <c r="P983" s="14">
        <f>Final_Table[[#This Row],[Gross Revenue]]*(1-Final_Table[[#This Row],[Discount %]])</f>
        <v>18360</v>
      </c>
      <c r="Q983">
        <f>Final_Table[[#This Row],[Net Revenue]]*Final_Table[[#This Row],[Variable Cost %]]</f>
        <v>3304.7999999999997</v>
      </c>
      <c r="R983">
        <f>Final_Table[[#This Row],[Variable Cost]]+Final_Table[[#This Row],[Fixed Monthly Cost]]</f>
        <v>21304.799999999999</v>
      </c>
      <c r="S983" s="5">
        <f>Final_Table[[#This Row],[Net Revenue]]-Final_Table[[#This Row],[Total Cost (COGS)]]</f>
        <v>-2944.7999999999993</v>
      </c>
      <c r="T983">
        <f>Final_Table[[#This Row],[Gross Profit]]*Final_Table[[#This Row],[Tax Rate]]</f>
        <v>-883.43999999999971</v>
      </c>
      <c r="U983" s="5">
        <f>Final_Table[[#This Row],[Gross Profit]]-Final_Table[[#This Row],[Tax]]</f>
        <v>-2061.3599999999997</v>
      </c>
      <c r="V983" s="12">
        <f>Final_Table[[#This Row],[Net Profit]]/Final_Table[[#This Row],[Gross Revenue]]</f>
        <v>-0.10104705882352939</v>
      </c>
    </row>
    <row r="984" spans="1:22">
      <c r="A984" s="18" t="s">
        <v>74</v>
      </c>
      <c r="B984">
        <v>2014</v>
      </c>
      <c r="C984" t="s">
        <v>125</v>
      </c>
      <c r="D984">
        <v>1</v>
      </c>
      <c r="E984" s="18" t="s">
        <v>32</v>
      </c>
      <c r="F984" s="18" t="s">
        <v>108</v>
      </c>
      <c r="G984" s="18" t="s">
        <v>21</v>
      </c>
      <c r="H984" s="18" t="str">
        <f>Assumptions!$B$2</f>
        <v>Worst</v>
      </c>
      <c r="I984" s="18">
        <f>_xlfn.XLOOKUP(Assumptions!$B$2,Assumptions!$F$4:$H$4,Assumptions!$F$5:$H$5)</f>
        <v>1200</v>
      </c>
      <c r="J984" s="18">
        <f>_xlfn.XLOOKUP(Assumptions!$B$2,Assumptions!$F$4:$H$4,Assumptions!$F$6:$H$6)</f>
        <v>17</v>
      </c>
      <c r="K984" s="12">
        <f>_xlfn.XLOOKUP(Assumptions!$B$2,Assumptions!$F$4:$H$4,Assumptions!$F$8:$H$8)</f>
        <v>0.1</v>
      </c>
      <c r="L984" s="12">
        <f>_xlfn.XLOOKUP(Assumptions!$B$2,Assumptions!$F$4:$H$4,Assumptions!$F$9:$H$9)</f>
        <v>0.18</v>
      </c>
      <c r="M984" s="18">
        <f>_xlfn.XLOOKUP(Assumptions!$B$2,Assumptions!$F$4:$H$4,Assumptions!$F$10:$H$10)</f>
        <v>18000</v>
      </c>
      <c r="N984" s="12">
        <f>_xlfn.XLOOKUP(Assumptions!$B$2,Assumptions!$F$4:$H$4,Assumptions!$F$11:$H$11)</f>
        <v>0.3</v>
      </c>
      <c r="O984" s="14">
        <f>Final_Table[[#This Row],[Units Sold]]*Final_Table[[#This Row],[Sale Price]]</f>
        <v>20400</v>
      </c>
      <c r="P984" s="14">
        <f>Final_Table[[#This Row],[Gross Revenue]]*(1-Final_Table[[#This Row],[Discount %]])</f>
        <v>18360</v>
      </c>
      <c r="Q984">
        <f>Final_Table[[#This Row],[Net Revenue]]*Final_Table[[#This Row],[Variable Cost %]]</f>
        <v>3304.7999999999997</v>
      </c>
      <c r="R984">
        <f>Final_Table[[#This Row],[Variable Cost]]+Final_Table[[#This Row],[Fixed Monthly Cost]]</f>
        <v>21304.799999999999</v>
      </c>
      <c r="S984" s="5">
        <f>Final_Table[[#This Row],[Net Revenue]]-Final_Table[[#This Row],[Total Cost (COGS)]]</f>
        <v>-2944.7999999999993</v>
      </c>
      <c r="T984">
        <f>Final_Table[[#This Row],[Gross Profit]]*Final_Table[[#This Row],[Tax Rate]]</f>
        <v>-883.43999999999971</v>
      </c>
      <c r="U984" s="5">
        <f>Final_Table[[#This Row],[Gross Profit]]-Final_Table[[#This Row],[Tax]]</f>
        <v>-2061.3599999999997</v>
      </c>
      <c r="V984" s="12">
        <f>Final_Table[[#This Row],[Net Profit]]/Final_Table[[#This Row],[Gross Revenue]]</f>
        <v>-0.10104705882352939</v>
      </c>
    </row>
    <row r="985" spans="1:22">
      <c r="A985" s="18" t="s">
        <v>74</v>
      </c>
      <c r="B985">
        <v>2014</v>
      </c>
      <c r="C985" t="s">
        <v>125</v>
      </c>
      <c r="D985">
        <v>1</v>
      </c>
      <c r="E985" s="18" t="s">
        <v>32</v>
      </c>
      <c r="F985" s="18" t="s">
        <v>108</v>
      </c>
      <c r="G985" s="18" t="s">
        <v>25</v>
      </c>
      <c r="H985" s="18" t="str">
        <f>Assumptions!$B$2</f>
        <v>Worst</v>
      </c>
      <c r="I985" s="18">
        <f>_xlfn.XLOOKUP(Assumptions!$B$2,Assumptions!$F$4:$H$4,Assumptions!$F$5:$H$5)</f>
        <v>1200</v>
      </c>
      <c r="J985" s="18">
        <f>_xlfn.XLOOKUP(Assumptions!$B$2,Assumptions!$F$4:$H$4,Assumptions!$F$6:$H$6)</f>
        <v>17</v>
      </c>
      <c r="K985" s="12">
        <f>_xlfn.XLOOKUP(Assumptions!$B$2,Assumptions!$F$4:$H$4,Assumptions!$F$8:$H$8)</f>
        <v>0.1</v>
      </c>
      <c r="L985" s="12">
        <f>_xlfn.XLOOKUP(Assumptions!$B$2,Assumptions!$F$4:$H$4,Assumptions!$F$9:$H$9)</f>
        <v>0.18</v>
      </c>
      <c r="M985" s="18">
        <f>_xlfn.XLOOKUP(Assumptions!$B$2,Assumptions!$F$4:$H$4,Assumptions!$F$10:$H$10)</f>
        <v>18000</v>
      </c>
      <c r="N985" s="12">
        <f>_xlfn.XLOOKUP(Assumptions!$B$2,Assumptions!$F$4:$H$4,Assumptions!$F$11:$H$11)</f>
        <v>0.3</v>
      </c>
      <c r="O985" s="14">
        <f>Final_Table[[#This Row],[Units Sold]]*Final_Table[[#This Row],[Sale Price]]</f>
        <v>20400</v>
      </c>
      <c r="P985" s="14">
        <f>Final_Table[[#This Row],[Gross Revenue]]*(1-Final_Table[[#This Row],[Discount %]])</f>
        <v>18360</v>
      </c>
      <c r="Q985">
        <f>Final_Table[[#This Row],[Net Revenue]]*Final_Table[[#This Row],[Variable Cost %]]</f>
        <v>3304.7999999999997</v>
      </c>
      <c r="R985">
        <f>Final_Table[[#This Row],[Variable Cost]]+Final_Table[[#This Row],[Fixed Monthly Cost]]</f>
        <v>21304.799999999999</v>
      </c>
      <c r="S985" s="5">
        <f>Final_Table[[#This Row],[Net Revenue]]-Final_Table[[#This Row],[Total Cost (COGS)]]</f>
        <v>-2944.7999999999993</v>
      </c>
      <c r="T985">
        <f>Final_Table[[#This Row],[Gross Profit]]*Final_Table[[#This Row],[Tax Rate]]</f>
        <v>-883.43999999999971</v>
      </c>
      <c r="U985" s="5">
        <f>Final_Table[[#This Row],[Gross Profit]]-Final_Table[[#This Row],[Tax]]</f>
        <v>-2061.3599999999997</v>
      </c>
      <c r="V985" s="12">
        <f>Final_Table[[#This Row],[Net Profit]]/Final_Table[[#This Row],[Gross Revenue]]</f>
        <v>-0.10104705882352939</v>
      </c>
    </row>
    <row r="986" spans="1:22">
      <c r="A986" s="18" t="s">
        <v>74</v>
      </c>
      <c r="B986">
        <v>2014</v>
      </c>
      <c r="C986" t="s">
        <v>125</v>
      </c>
      <c r="D986">
        <v>1</v>
      </c>
      <c r="E986" s="18" t="s">
        <v>32</v>
      </c>
      <c r="F986" s="18" t="s">
        <v>108</v>
      </c>
      <c r="G986" s="18" t="s">
        <v>17</v>
      </c>
      <c r="H986" s="18" t="str">
        <f>Assumptions!$B$2</f>
        <v>Worst</v>
      </c>
      <c r="I986" s="18">
        <f>_xlfn.XLOOKUP(Assumptions!$B$2,Assumptions!$F$4:$H$4,Assumptions!$F$5:$H$5)</f>
        <v>1200</v>
      </c>
      <c r="J986" s="18">
        <f>_xlfn.XLOOKUP(Assumptions!$B$2,Assumptions!$F$4:$H$4,Assumptions!$F$6:$H$6)</f>
        <v>17</v>
      </c>
      <c r="K986" s="12">
        <f>_xlfn.XLOOKUP(Assumptions!$B$2,Assumptions!$F$4:$H$4,Assumptions!$F$8:$H$8)</f>
        <v>0.1</v>
      </c>
      <c r="L986" s="12">
        <f>_xlfn.XLOOKUP(Assumptions!$B$2,Assumptions!$F$4:$H$4,Assumptions!$F$9:$H$9)</f>
        <v>0.18</v>
      </c>
      <c r="M986" s="18">
        <f>_xlfn.XLOOKUP(Assumptions!$B$2,Assumptions!$F$4:$H$4,Assumptions!$F$10:$H$10)</f>
        <v>18000</v>
      </c>
      <c r="N986" s="12">
        <f>_xlfn.XLOOKUP(Assumptions!$B$2,Assumptions!$F$4:$H$4,Assumptions!$F$11:$H$11)</f>
        <v>0.3</v>
      </c>
      <c r="O986" s="14">
        <f>Final_Table[[#This Row],[Units Sold]]*Final_Table[[#This Row],[Sale Price]]</f>
        <v>20400</v>
      </c>
      <c r="P986" s="14">
        <f>Final_Table[[#This Row],[Gross Revenue]]*(1-Final_Table[[#This Row],[Discount %]])</f>
        <v>18360</v>
      </c>
      <c r="Q986">
        <f>Final_Table[[#This Row],[Net Revenue]]*Final_Table[[#This Row],[Variable Cost %]]</f>
        <v>3304.7999999999997</v>
      </c>
      <c r="R986">
        <f>Final_Table[[#This Row],[Variable Cost]]+Final_Table[[#This Row],[Fixed Monthly Cost]]</f>
        <v>21304.799999999999</v>
      </c>
      <c r="S986" s="5">
        <f>Final_Table[[#This Row],[Net Revenue]]-Final_Table[[#This Row],[Total Cost (COGS)]]</f>
        <v>-2944.7999999999993</v>
      </c>
      <c r="T986">
        <f>Final_Table[[#This Row],[Gross Profit]]*Final_Table[[#This Row],[Tax Rate]]</f>
        <v>-883.43999999999971</v>
      </c>
      <c r="U986" s="5">
        <f>Final_Table[[#This Row],[Gross Profit]]-Final_Table[[#This Row],[Tax]]</f>
        <v>-2061.3599999999997</v>
      </c>
      <c r="V986" s="12">
        <f>Final_Table[[#This Row],[Net Profit]]/Final_Table[[#This Row],[Gross Revenue]]</f>
        <v>-0.10104705882352939</v>
      </c>
    </row>
    <row r="987" spans="1:22">
      <c r="A987" s="18" t="s">
        <v>74</v>
      </c>
      <c r="B987">
        <v>2014</v>
      </c>
      <c r="C987" t="s">
        <v>125</v>
      </c>
      <c r="D987">
        <v>1</v>
      </c>
      <c r="E987" s="18" t="s">
        <v>32</v>
      </c>
      <c r="F987" s="18" t="s">
        <v>112</v>
      </c>
      <c r="G987" s="18" t="s">
        <v>36</v>
      </c>
      <c r="H987" s="18" t="str">
        <f>Assumptions!$B$2</f>
        <v>Worst</v>
      </c>
      <c r="I987" s="18">
        <f>_xlfn.XLOOKUP(Assumptions!$B$2,Assumptions!$F$4:$H$4,Assumptions!$F$5:$H$5)</f>
        <v>1200</v>
      </c>
      <c r="J987" s="18">
        <f>_xlfn.XLOOKUP(Assumptions!$B$2,Assumptions!$F$4:$H$4,Assumptions!$F$6:$H$6)</f>
        <v>17</v>
      </c>
      <c r="K987" s="12">
        <f>_xlfn.XLOOKUP(Assumptions!$B$2,Assumptions!$F$4:$H$4,Assumptions!$F$8:$H$8)</f>
        <v>0.1</v>
      </c>
      <c r="L987" s="12">
        <f>_xlfn.XLOOKUP(Assumptions!$B$2,Assumptions!$F$4:$H$4,Assumptions!$F$9:$H$9)</f>
        <v>0.18</v>
      </c>
      <c r="M987" s="18">
        <f>_xlfn.XLOOKUP(Assumptions!$B$2,Assumptions!$F$4:$H$4,Assumptions!$F$10:$H$10)</f>
        <v>18000</v>
      </c>
      <c r="N987" s="12">
        <f>_xlfn.XLOOKUP(Assumptions!$B$2,Assumptions!$F$4:$H$4,Assumptions!$F$11:$H$11)</f>
        <v>0.3</v>
      </c>
      <c r="O987" s="14">
        <f>Final_Table[[#This Row],[Units Sold]]*Final_Table[[#This Row],[Sale Price]]</f>
        <v>20400</v>
      </c>
      <c r="P987" s="14">
        <f>Final_Table[[#This Row],[Gross Revenue]]*(1-Final_Table[[#This Row],[Discount %]])</f>
        <v>18360</v>
      </c>
      <c r="Q987">
        <f>Final_Table[[#This Row],[Net Revenue]]*Final_Table[[#This Row],[Variable Cost %]]</f>
        <v>3304.7999999999997</v>
      </c>
      <c r="R987">
        <f>Final_Table[[#This Row],[Variable Cost]]+Final_Table[[#This Row],[Fixed Monthly Cost]]</f>
        <v>21304.799999999999</v>
      </c>
      <c r="S987" s="5">
        <f>Final_Table[[#This Row],[Net Revenue]]-Final_Table[[#This Row],[Total Cost (COGS)]]</f>
        <v>-2944.7999999999993</v>
      </c>
      <c r="T987">
        <f>Final_Table[[#This Row],[Gross Profit]]*Final_Table[[#This Row],[Tax Rate]]</f>
        <v>-883.43999999999971</v>
      </c>
      <c r="U987" s="5">
        <f>Final_Table[[#This Row],[Gross Profit]]-Final_Table[[#This Row],[Tax]]</f>
        <v>-2061.3599999999997</v>
      </c>
      <c r="V987" s="12">
        <f>Final_Table[[#This Row],[Net Profit]]/Final_Table[[#This Row],[Gross Revenue]]</f>
        <v>-0.10104705882352939</v>
      </c>
    </row>
    <row r="988" spans="1:22">
      <c r="A988" s="18" t="s">
        <v>74</v>
      </c>
      <c r="B988">
        <v>2014</v>
      </c>
      <c r="C988" t="s">
        <v>125</v>
      </c>
      <c r="D988">
        <v>1</v>
      </c>
      <c r="E988" s="18" t="s">
        <v>32</v>
      </c>
      <c r="F988" s="18" t="s">
        <v>112</v>
      </c>
      <c r="G988" s="18" t="s">
        <v>23</v>
      </c>
      <c r="H988" s="18" t="str">
        <f>Assumptions!$B$2</f>
        <v>Worst</v>
      </c>
      <c r="I988" s="18">
        <f>_xlfn.XLOOKUP(Assumptions!$B$2,Assumptions!$F$4:$H$4,Assumptions!$F$5:$H$5)</f>
        <v>1200</v>
      </c>
      <c r="J988" s="18">
        <f>_xlfn.XLOOKUP(Assumptions!$B$2,Assumptions!$F$4:$H$4,Assumptions!$F$6:$H$6)</f>
        <v>17</v>
      </c>
      <c r="K988" s="12">
        <f>_xlfn.XLOOKUP(Assumptions!$B$2,Assumptions!$F$4:$H$4,Assumptions!$F$8:$H$8)</f>
        <v>0.1</v>
      </c>
      <c r="L988" s="12">
        <f>_xlfn.XLOOKUP(Assumptions!$B$2,Assumptions!$F$4:$H$4,Assumptions!$F$9:$H$9)</f>
        <v>0.18</v>
      </c>
      <c r="M988" s="18">
        <f>_xlfn.XLOOKUP(Assumptions!$B$2,Assumptions!$F$4:$H$4,Assumptions!$F$10:$H$10)</f>
        <v>18000</v>
      </c>
      <c r="N988" s="12">
        <f>_xlfn.XLOOKUP(Assumptions!$B$2,Assumptions!$F$4:$H$4,Assumptions!$F$11:$H$11)</f>
        <v>0.3</v>
      </c>
      <c r="O988" s="14">
        <f>Final_Table[[#This Row],[Units Sold]]*Final_Table[[#This Row],[Sale Price]]</f>
        <v>20400</v>
      </c>
      <c r="P988" s="14">
        <f>Final_Table[[#This Row],[Gross Revenue]]*(1-Final_Table[[#This Row],[Discount %]])</f>
        <v>18360</v>
      </c>
      <c r="Q988">
        <f>Final_Table[[#This Row],[Net Revenue]]*Final_Table[[#This Row],[Variable Cost %]]</f>
        <v>3304.7999999999997</v>
      </c>
      <c r="R988">
        <f>Final_Table[[#This Row],[Variable Cost]]+Final_Table[[#This Row],[Fixed Monthly Cost]]</f>
        <v>21304.799999999999</v>
      </c>
      <c r="S988" s="5">
        <f>Final_Table[[#This Row],[Net Revenue]]-Final_Table[[#This Row],[Total Cost (COGS)]]</f>
        <v>-2944.7999999999993</v>
      </c>
      <c r="T988">
        <f>Final_Table[[#This Row],[Gross Profit]]*Final_Table[[#This Row],[Tax Rate]]</f>
        <v>-883.43999999999971</v>
      </c>
      <c r="U988" s="5">
        <f>Final_Table[[#This Row],[Gross Profit]]-Final_Table[[#This Row],[Tax]]</f>
        <v>-2061.3599999999997</v>
      </c>
      <c r="V988" s="12">
        <f>Final_Table[[#This Row],[Net Profit]]/Final_Table[[#This Row],[Gross Revenue]]</f>
        <v>-0.10104705882352939</v>
      </c>
    </row>
    <row r="989" spans="1:22">
      <c r="A989" s="18" t="s">
        <v>74</v>
      </c>
      <c r="B989">
        <v>2014</v>
      </c>
      <c r="C989" t="s">
        <v>125</v>
      </c>
      <c r="D989">
        <v>1</v>
      </c>
      <c r="E989" s="18" t="s">
        <v>32</v>
      </c>
      <c r="F989" s="18" t="s">
        <v>112</v>
      </c>
      <c r="G989" s="18" t="s">
        <v>21</v>
      </c>
      <c r="H989" s="18" t="str">
        <f>Assumptions!$B$2</f>
        <v>Worst</v>
      </c>
      <c r="I989" s="18">
        <f>_xlfn.XLOOKUP(Assumptions!$B$2,Assumptions!$F$4:$H$4,Assumptions!$F$5:$H$5)</f>
        <v>1200</v>
      </c>
      <c r="J989" s="18">
        <f>_xlfn.XLOOKUP(Assumptions!$B$2,Assumptions!$F$4:$H$4,Assumptions!$F$6:$H$6)</f>
        <v>17</v>
      </c>
      <c r="K989" s="12">
        <f>_xlfn.XLOOKUP(Assumptions!$B$2,Assumptions!$F$4:$H$4,Assumptions!$F$8:$H$8)</f>
        <v>0.1</v>
      </c>
      <c r="L989" s="12">
        <f>_xlfn.XLOOKUP(Assumptions!$B$2,Assumptions!$F$4:$H$4,Assumptions!$F$9:$H$9)</f>
        <v>0.18</v>
      </c>
      <c r="M989" s="18">
        <f>_xlfn.XLOOKUP(Assumptions!$B$2,Assumptions!$F$4:$H$4,Assumptions!$F$10:$H$10)</f>
        <v>18000</v>
      </c>
      <c r="N989" s="12">
        <f>_xlfn.XLOOKUP(Assumptions!$B$2,Assumptions!$F$4:$H$4,Assumptions!$F$11:$H$11)</f>
        <v>0.3</v>
      </c>
      <c r="O989" s="14">
        <f>Final_Table[[#This Row],[Units Sold]]*Final_Table[[#This Row],[Sale Price]]</f>
        <v>20400</v>
      </c>
      <c r="P989" s="14">
        <f>Final_Table[[#This Row],[Gross Revenue]]*(1-Final_Table[[#This Row],[Discount %]])</f>
        <v>18360</v>
      </c>
      <c r="Q989">
        <f>Final_Table[[#This Row],[Net Revenue]]*Final_Table[[#This Row],[Variable Cost %]]</f>
        <v>3304.7999999999997</v>
      </c>
      <c r="R989">
        <f>Final_Table[[#This Row],[Variable Cost]]+Final_Table[[#This Row],[Fixed Monthly Cost]]</f>
        <v>21304.799999999999</v>
      </c>
      <c r="S989" s="5">
        <f>Final_Table[[#This Row],[Net Revenue]]-Final_Table[[#This Row],[Total Cost (COGS)]]</f>
        <v>-2944.7999999999993</v>
      </c>
      <c r="T989">
        <f>Final_Table[[#This Row],[Gross Profit]]*Final_Table[[#This Row],[Tax Rate]]</f>
        <v>-883.43999999999971</v>
      </c>
      <c r="U989" s="5">
        <f>Final_Table[[#This Row],[Gross Profit]]-Final_Table[[#This Row],[Tax]]</f>
        <v>-2061.3599999999997</v>
      </c>
      <c r="V989" s="12">
        <f>Final_Table[[#This Row],[Net Profit]]/Final_Table[[#This Row],[Gross Revenue]]</f>
        <v>-0.10104705882352939</v>
      </c>
    </row>
    <row r="990" spans="1:22">
      <c r="A990" s="18" t="s">
        <v>74</v>
      </c>
      <c r="B990">
        <v>2014</v>
      </c>
      <c r="C990" t="s">
        <v>125</v>
      </c>
      <c r="D990">
        <v>1</v>
      </c>
      <c r="E990" s="18" t="s">
        <v>32</v>
      </c>
      <c r="F990" s="18" t="s">
        <v>112</v>
      </c>
      <c r="G990" s="18" t="s">
        <v>25</v>
      </c>
      <c r="H990" s="18" t="str">
        <f>Assumptions!$B$2</f>
        <v>Worst</v>
      </c>
      <c r="I990" s="18">
        <f>_xlfn.XLOOKUP(Assumptions!$B$2,Assumptions!$F$4:$H$4,Assumptions!$F$5:$H$5)</f>
        <v>1200</v>
      </c>
      <c r="J990" s="18">
        <f>_xlfn.XLOOKUP(Assumptions!$B$2,Assumptions!$F$4:$H$4,Assumptions!$F$6:$H$6)</f>
        <v>17</v>
      </c>
      <c r="K990" s="12">
        <f>_xlfn.XLOOKUP(Assumptions!$B$2,Assumptions!$F$4:$H$4,Assumptions!$F$8:$H$8)</f>
        <v>0.1</v>
      </c>
      <c r="L990" s="12">
        <f>_xlfn.XLOOKUP(Assumptions!$B$2,Assumptions!$F$4:$H$4,Assumptions!$F$9:$H$9)</f>
        <v>0.18</v>
      </c>
      <c r="M990" s="18">
        <f>_xlfn.XLOOKUP(Assumptions!$B$2,Assumptions!$F$4:$H$4,Assumptions!$F$10:$H$10)</f>
        <v>18000</v>
      </c>
      <c r="N990" s="12">
        <f>_xlfn.XLOOKUP(Assumptions!$B$2,Assumptions!$F$4:$H$4,Assumptions!$F$11:$H$11)</f>
        <v>0.3</v>
      </c>
      <c r="O990" s="14">
        <f>Final_Table[[#This Row],[Units Sold]]*Final_Table[[#This Row],[Sale Price]]</f>
        <v>20400</v>
      </c>
      <c r="P990" s="14">
        <f>Final_Table[[#This Row],[Gross Revenue]]*(1-Final_Table[[#This Row],[Discount %]])</f>
        <v>18360</v>
      </c>
      <c r="Q990">
        <f>Final_Table[[#This Row],[Net Revenue]]*Final_Table[[#This Row],[Variable Cost %]]</f>
        <v>3304.7999999999997</v>
      </c>
      <c r="R990">
        <f>Final_Table[[#This Row],[Variable Cost]]+Final_Table[[#This Row],[Fixed Monthly Cost]]</f>
        <v>21304.799999999999</v>
      </c>
      <c r="S990" s="5">
        <f>Final_Table[[#This Row],[Net Revenue]]-Final_Table[[#This Row],[Total Cost (COGS)]]</f>
        <v>-2944.7999999999993</v>
      </c>
      <c r="T990">
        <f>Final_Table[[#This Row],[Gross Profit]]*Final_Table[[#This Row],[Tax Rate]]</f>
        <v>-883.43999999999971</v>
      </c>
      <c r="U990" s="5">
        <f>Final_Table[[#This Row],[Gross Profit]]-Final_Table[[#This Row],[Tax]]</f>
        <v>-2061.3599999999997</v>
      </c>
      <c r="V990" s="12">
        <f>Final_Table[[#This Row],[Net Profit]]/Final_Table[[#This Row],[Gross Revenue]]</f>
        <v>-0.10104705882352939</v>
      </c>
    </row>
    <row r="991" spans="1:22">
      <c r="A991" s="18" t="s">
        <v>74</v>
      </c>
      <c r="B991">
        <v>2014</v>
      </c>
      <c r="C991" t="s">
        <v>125</v>
      </c>
      <c r="D991">
        <v>1</v>
      </c>
      <c r="E991" s="18" t="s">
        <v>32</v>
      </c>
      <c r="F991" s="18" t="s">
        <v>112</v>
      </c>
      <c r="G991" s="18" t="s">
        <v>17</v>
      </c>
      <c r="H991" s="18" t="str">
        <f>Assumptions!$B$2</f>
        <v>Worst</v>
      </c>
      <c r="I991" s="18">
        <f>_xlfn.XLOOKUP(Assumptions!$B$2,Assumptions!$F$4:$H$4,Assumptions!$F$5:$H$5)</f>
        <v>1200</v>
      </c>
      <c r="J991" s="18">
        <f>_xlfn.XLOOKUP(Assumptions!$B$2,Assumptions!$F$4:$H$4,Assumptions!$F$6:$H$6)</f>
        <v>17</v>
      </c>
      <c r="K991" s="12">
        <f>_xlfn.XLOOKUP(Assumptions!$B$2,Assumptions!$F$4:$H$4,Assumptions!$F$8:$H$8)</f>
        <v>0.1</v>
      </c>
      <c r="L991" s="12">
        <f>_xlfn.XLOOKUP(Assumptions!$B$2,Assumptions!$F$4:$H$4,Assumptions!$F$9:$H$9)</f>
        <v>0.18</v>
      </c>
      <c r="M991" s="18">
        <f>_xlfn.XLOOKUP(Assumptions!$B$2,Assumptions!$F$4:$H$4,Assumptions!$F$10:$H$10)</f>
        <v>18000</v>
      </c>
      <c r="N991" s="12">
        <f>_xlfn.XLOOKUP(Assumptions!$B$2,Assumptions!$F$4:$H$4,Assumptions!$F$11:$H$11)</f>
        <v>0.3</v>
      </c>
      <c r="O991" s="14">
        <f>Final_Table[[#This Row],[Units Sold]]*Final_Table[[#This Row],[Sale Price]]</f>
        <v>20400</v>
      </c>
      <c r="P991" s="14">
        <f>Final_Table[[#This Row],[Gross Revenue]]*(1-Final_Table[[#This Row],[Discount %]])</f>
        <v>18360</v>
      </c>
      <c r="Q991">
        <f>Final_Table[[#This Row],[Net Revenue]]*Final_Table[[#This Row],[Variable Cost %]]</f>
        <v>3304.7999999999997</v>
      </c>
      <c r="R991">
        <f>Final_Table[[#This Row],[Variable Cost]]+Final_Table[[#This Row],[Fixed Monthly Cost]]</f>
        <v>21304.799999999999</v>
      </c>
      <c r="S991" s="5">
        <f>Final_Table[[#This Row],[Net Revenue]]-Final_Table[[#This Row],[Total Cost (COGS)]]</f>
        <v>-2944.7999999999993</v>
      </c>
      <c r="T991">
        <f>Final_Table[[#This Row],[Gross Profit]]*Final_Table[[#This Row],[Tax Rate]]</f>
        <v>-883.43999999999971</v>
      </c>
      <c r="U991" s="5">
        <f>Final_Table[[#This Row],[Gross Profit]]-Final_Table[[#This Row],[Tax]]</f>
        <v>-2061.3599999999997</v>
      </c>
      <c r="V991" s="12">
        <f>Final_Table[[#This Row],[Net Profit]]/Final_Table[[#This Row],[Gross Revenue]]</f>
        <v>-0.10104705882352939</v>
      </c>
    </row>
    <row r="992" spans="1:22">
      <c r="A992" s="18" t="s">
        <v>74</v>
      </c>
      <c r="B992">
        <v>2014</v>
      </c>
      <c r="C992" t="s">
        <v>125</v>
      </c>
      <c r="D992">
        <v>1</v>
      </c>
      <c r="E992" s="18" t="s">
        <v>32</v>
      </c>
      <c r="F992" s="18" t="s">
        <v>113</v>
      </c>
      <c r="G992" s="18" t="s">
        <v>36</v>
      </c>
      <c r="H992" s="18" t="str">
        <f>Assumptions!$B$2</f>
        <v>Worst</v>
      </c>
      <c r="I992" s="18">
        <f>_xlfn.XLOOKUP(Assumptions!$B$2,Assumptions!$F$4:$H$4,Assumptions!$F$5:$H$5)</f>
        <v>1200</v>
      </c>
      <c r="J992" s="18">
        <f>_xlfn.XLOOKUP(Assumptions!$B$2,Assumptions!$F$4:$H$4,Assumptions!$F$6:$H$6)</f>
        <v>17</v>
      </c>
      <c r="K992" s="12">
        <f>_xlfn.XLOOKUP(Assumptions!$B$2,Assumptions!$F$4:$H$4,Assumptions!$F$8:$H$8)</f>
        <v>0.1</v>
      </c>
      <c r="L992" s="12">
        <f>_xlfn.XLOOKUP(Assumptions!$B$2,Assumptions!$F$4:$H$4,Assumptions!$F$9:$H$9)</f>
        <v>0.18</v>
      </c>
      <c r="M992" s="18">
        <f>_xlfn.XLOOKUP(Assumptions!$B$2,Assumptions!$F$4:$H$4,Assumptions!$F$10:$H$10)</f>
        <v>18000</v>
      </c>
      <c r="N992" s="12">
        <f>_xlfn.XLOOKUP(Assumptions!$B$2,Assumptions!$F$4:$H$4,Assumptions!$F$11:$H$11)</f>
        <v>0.3</v>
      </c>
      <c r="O992" s="14">
        <f>Final_Table[[#This Row],[Units Sold]]*Final_Table[[#This Row],[Sale Price]]</f>
        <v>20400</v>
      </c>
      <c r="P992" s="14">
        <f>Final_Table[[#This Row],[Gross Revenue]]*(1-Final_Table[[#This Row],[Discount %]])</f>
        <v>18360</v>
      </c>
      <c r="Q992">
        <f>Final_Table[[#This Row],[Net Revenue]]*Final_Table[[#This Row],[Variable Cost %]]</f>
        <v>3304.7999999999997</v>
      </c>
      <c r="R992">
        <f>Final_Table[[#This Row],[Variable Cost]]+Final_Table[[#This Row],[Fixed Monthly Cost]]</f>
        <v>21304.799999999999</v>
      </c>
      <c r="S992" s="5">
        <f>Final_Table[[#This Row],[Net Revenue]]-Final_Table[[#This Row],[Total Cost (COGS)]]</f>
        <v>-2944.7999999999993</v>
      </c>
      <c r="T992">
        <f>Final_Table[[#This Row],[Gross Profit]]*Final_Table[[#This Row],[Tax Rate]]</f>
        <v>-883.43999999999971</v>
      </c>
      <c r="U992" s="5">
        <f>Final_Table[[#This Row],[Gross Profit]]-Final_Table[[#This Row],[Tax]]</f>
        <v>-2061.3599999999997</v>
      </c>
      <c r="V992" s="12">
        <f>Final_Table[[#This Row],[Net Profit]]/Final_Table[[#This Row],[Gross Revenue]]</f>
        <v>-0.10104705882352939</v>
      </c>
    </row>
    <row r="993" spans="1:22">
      <c r="A993" s="18" t="s">
        <v>74</v>
      </c>
      <c r="B993">
        <v>2014</v>
      </c>
      <c r="C993" t="s">
        <v>125</v>
      </c>
      <c r="D993">
        <v>1</v>
      </c>
      <c r="E993" s="18" t="s">
        <v>32</v>
      </c>
      <c r="F993" s="18" t="s">
        <v>113</v>
      </c>
      <c r="G993" s="18" t="s">
        <v>23</v>
      </c>
      <c r="H993" s="18" t="str">
        <f>Assumptions!$B$2</f>
        <v>Worst</v>
      </c>
      <c r="I993" s="18">
        <f>_xlfn.XLOOKUP(Assumptions!$B$2,Assumptions!$F$4:$H$4,Assumptions!$F$5:$H$5)</f>
        <v>1200</v>
      </c>
      <c r="J993" s="18">
        <f>_xlfn.XLOOKUP(Assumptions!$B$2,Assumptions!$F$4:$H$4,Assumptions!$F$6:$H$6)</f>
        <v>17</v>
      </c>
      <c r="K993" s="12">
        <f>_xlfn.XLOOKUP(Assumptions!$B$2,Assumptions!$F$4:$H$4,Assumptions!$F$8:$H$8)</f>
        <v>0.1</v>
      </c>
      <c r="L993" s="12">
        <f>_xlfn.XLOOKUP(Assumptions!$B$2,Assumptions!$F$4:$H$4,Assumptions!$F$9:$H$9)</f>
        <v>0.18</v>
      </c>
      <c r="M993" s="18">
        <f>_xlfn.XLOOKUP(Assumptions!$B$2,Assumptions!$F$4:$H$4,Assumptions!$F$10:$H$10)</f>
        <v>18000</v>
      </c>
      <c r="N993" s="12">
        <f>_xlfn.XLOOKUP(Assumptions!$B$2,Assumptions!$F$4:$H$4,Assumptions!$F$11:$H$11)</f>
        <v>0.3</v>
      </c>
      <c r="O993" s="14">
        <f>Final_Table[[#This Row],[Units Sold]]*Final_Table[[#This Row],[Sale Price]]</f>
        <v>20400</v>
      </c>
      <c r="P993" s="14">
        <f>Final_Table[[#This Row],[Gross Revenue]]*(1-Final_Table[[#This Row],[Discount %]])</f>
        <v>18360</v>
      </c>
      <c r="Q993">
        <f>Final_Table[[#This Row],[Net Revenue]]*Final_Table[[#This Row],[Variable Cost %]]</f>
        <v>3304.7999999999997</v>
      </c>
      <c r="R993">
        <f>Final_Table[[#This Row],[Variable Cost]]+Final_Table[[#This Row],[Fixed Monthly Cost]]</f>
        <v>21304.799999999999</v>
      </c>
      <c r="S993" s="5">
        <f>Final_Table[[#This Row],[Net Revenue]]-Final_Table[[#This Row],[Total Cost (COGS)]]</f>
        <v>-2944.7999999999993</v>
      </c>
      <c r="T993">
        <f>Final_Table[[#This Row],[Gross Profit]]*Final_Table[[#This Row],[Tax Rate]]</f>
        <v>-883.43999999999971</v>
      </c>
      <c r="U993" s="5">
        <f>Final_Table[[#This Row],[Gross Profit]]-Final_Table[[#This Row],[Tax]]</f>
        <v>-2061.3599999999997</v>
      </c>
      <c r="V993" s="12">
        <f>Final_Table[[#This Row],[Net Profit]]/Final_Table[[#This Row],[Gross Revenue]]</f>
        <v>-0.10104705882352939</v>
      </c>
    </row>
    <row r="994" spans="1:22">
      <c r="A994" s="18" t="s">
        <v>74</v>
      </c>
      <c r="B994">
        <v>2014</v>
      </c>
      <c r="C994" t="s">
        <v>125</v>
      </c>
      <c r="D994">
        <v>1</v>
      </c>
      <c r="E994" s="18" t="s">
        <v>32</v>
      </c>
      <c r="F994" s="18" t="s">
        <v>113</v>
      </c>
      <c r="G994" s="18" t="s">
        <v>21</v>
      </c>
      <c r="H994" s="18" t="str">
        <f>Assumptions!$B$2</f>
        <v>Worst</v>
      </c>
      <c r="I994" s="18">
        <f>_xlfn.XLOOKUP(Assumptions!$B$2,Assumptions!$F$4:$H$4,Assumptions!$F$5:$H$5)</f>
        <v>1200</v>
      </c>
      <c r="J994" s="18">
        <f>_xlfn.XLOOKUP(Assumptions!$B$2,Assumptions!$F$4:$H$4,Assumptions!$F$6:$H$6)</f>
        <v>17</v>
      </c>
      <c r="K994" s="12">
        <f>_xlfn.XLOOKUP(Assumptions!$B$2,Assumptions!$F$4:$H$4,Assumptions!$F$8:$H$8)</f>
        <v>0.1</v>
      </c>
      <c r="L994" s="12">
        <f>_xlfn.XLOOKUP(Assumptions!$B$2,Assumptions!$F$4:$H$4,Assumptions!$F$9:$H$9)</f>
        <v>0.18</v>
      </c>
      <c r="M994" s="18">
        <f>_xlfn.XLOOKUP(Assumptions!$B$2,Assumptions!$F$4:$H$4,Assumptions!$F$10:$H$10)</f>
        <v>18000</v>
      </c>
      <c r="N994" s="12">
        <f>_xlfn.XLOOKUP(Assumptions!$B$2,Assumptions!$F$4:$H$4,Assumptions!$F$11:$H$11)</f>
        <v>0.3</v>
      </c>
      <c r="O994" s="14">
        <f>Final_Table[[#This Row],[Units Sold]]*Final_Table[[#This Row],[Sale Price]]</f>
        <v>20400</v>
      </c>
      <c r="P994" s="14">
        <f>Final_Table[[#This Row],[Gross Revenue]]*(1-Final_Table[[#This Row],[Discount %]])</f>
        <v>18360</v>
      </c>
      <c r="Q994">
        <f>Final_Table[[#This Row],[Net Revenue]]*Final_Table[[#This Row],[Variable Cost %]]</f>
        <v>3304.7999999999997</v>
      </c>
      <c r="R994">
        <f>Final_Table[[#This Row],[Variable Cost]]+Final_Table[[#This Row],[Fixed Monthly Cost]]</f>
        <v>21304.799999999999</v>
      </c>
      <c r="S994" s="5">
        <f>Final_Table[[#This Row],[Net Revenue]]-Final_Table[[#This Row],[Total Cost (COGS)]]</f>
        <v>-2944.7999999999993</v>
      </c>
      <c r="T994">
        <f>Final_Table[[#This Row],[Gross Profit]]*Final_Table[[#This Row],[Tax Rate]]</f>
        <v>-883.43999999999971</v>
      </c>
      <c r="U994" s="5">
        <f>Final_Table[[#This Row],[Gross Profit]]-Final_Table[[#This Row],[Tax]]</f>
        <v>-2061.3599999999997</v>
      </c>
      <c r="V994" s="12">
        <f>Final_Table[[#This Row],[Net Profit]]/Final_Table[[#This Row],[Gross Revenue]]</f>
        <v>-0.10104705882352939</v>
      </c>
    </row>
    <row r="995" spans="1:22">
      <c r="A995" s="18" t="s">
        <v>74</v>
      </c>
      <c r="B995">
        <v>2014</v>
      </c>
      <c r="C995" t="s">
        <v>125</v>
      </c>
      <c r="D995">
        <v>1</v>
      </c>
      <c r="E995" s="18" t="s">
        <v>32</v>
      </c>
      <c r="F995" s="18" t="s">
        <v>113</v>
      </c>
      <c r="G995" s="18" t="s">
        <v>25</v>
      </c>
      <c r="H995" s="18" t="str">
        <f>Assumptions!$B$2</f>
        <v>Worst</v>
      </c>
      <c r="I995" s="18">
        <f>_xlfn.XLOOKUP(Assumptions!$B$2,Assumptions!$F$4:$H$4,Assumptions!$F$5:$H$5)</f>
        <v>1200</v>
      </c>
      <c r="J995" s="18">
        <f>_xlfn.XLOOKUP(Assumptions!$B$2,Assumptions!$F$4:$H$4,Assumptions!$F$6:$H$6)</f>
        <v>17</v>
      </c>
      <c r="K995" s="12">
        <f>_xlfn.XLOOKUP(Assumptions!$B$2,Assumptions!$F$4:$H$4,Assumptions!$F$8:$H$8)</f>
        <v>0.1</v>
      </c>
      <c r="L995" s="12">
        <f>_xlfn.XLOOKUP(Assumptions!$B$2,Assumptions!$F$4:$H$4,Assumptions!$F$9:$H$9)</f>
        <v>0.18</v>
      </c>
      <c r="M995" s="18">
        <f>_xlfn.XLOOKUP(Assumptions!$B$2,Assumptions!$F$4:$H$4,Assumptions!$F$10:$H$10)</f>
        <v>18000</v>
      </c>
      <c r="N995" s="12">
        <f>_xlfn.XLOOKUP(Assumptions!$B$2,Assumptions!$F$4:$H$4,Assumptions!$F$11:$H$11)</f>
        <v>0.3</v>
      </c>
      <c r="O995" s="14">
        <f>Final_Table[[#This Row],[Units Sold]]*Final_Table[[#This Row],[Sale Price]]</f>
        <v>20400</v>
      </c>
      <c r="P995" s="14">
        <f>Final_Table[[#This Row],[Gross Revenue]]*(1-Final_Table[[#This Row],[Discount %]])</f>
        <v>18360</v>
      </c>
      <c r="Q995">
        <f>Final_Table[[#This Row],[Net Revenue]]*Final_Table[[#This Row],[Variable Cost %]]</f>
        <v>3304.7999999999997</v>
      </c>
      <c r="R995">
        <f>Final_Table[[#This Row],[Variable Cost]]+Final_Table[[#This Row],[Fixed Monthly Cost]]</f>
        <v>21304.799999999999</v>
      </c>
      <c r="S995" s="5">
        <f>Final_Table[[#This Row],[Net Revenue]]-Final_Table[[#This Row],[Total Cost (COGS)]]</f>
        <v>-2944.7999999999993</v>
      </c>
      <c r="T995">
        <f>Final_Table[[#This Row],[Gross Profit]]*Final_Table[[#This Row],[Tax Rate]]</f>
        <v>-883.43999999999971</v>
      </c>
      <c r="U995" s="5">
        <f>Final_Table[[#This Row],[Gross Profit]]-Final_Table[[#This Row],[Tax]]</f>
        <v>-2061.3599999999997</v>
      </c>
      <c r="V995" s="12">
        <f>Final_Table[[#This Row],[Net Profit]]/Final_Table[[#This Row],[Gross Revenue]]</f>
        <v>-0.10104705882352939</v>
      </c>
    </row>
    <row r="996" spans="1:22">
      <c r="A996" s="18" t="s">
        <v>74</v>
      </c>
      <c r="B996">
        <v>2014</v>
      </c>
      <c r="C996" t="s">
        <v>125</v>
      </c>
      <c r="D996">
        <v>1</v>
      </c>
      <c r="E996" s="18" t="s">
        <v>32</v>
      </c>
      <c r="F996" s="18" t="s">
        <v>113</v>
      </c>
      <c r="G996" s="18" t="s">
        <v>17</v>
      </c>
      <c r="H996" s="18" t="str">
        <f>Assumptions!$B$2</f>
        <v>Worst</v>
      </c>
      <c r="I996" s="18">
        <f>_xlfn.XLOOKUP(Assumptions!$B$2,Assumptions!$F$4:$H$4,Assumptions!$F$5:$H$5)</f>
        <v>1200</v>
      </c>
      <c r="J996" s="18">
        <f>_xlfn.XLOOKUP(Assumptions!$B$2,Assumptions!$F$4:$H$4,Assumptions!$F$6:$H$6)</f>
        <v>17</v>
      </c>
      <c r="K996" s="12">
        <f>_xlfn.XLOOKUP(Assumptions!$B$2,Assumptions!$F$4:$H$4,Assumptions!$F$8:$H$8)</f>
        <v>0.1</v>
      </c>
      <c r="L996" s="12">
        <f>_xlfn.XLOOKUP(Assumptions!$B$2,Assumptions!$F$4:$H$4,Assumptions!$F$9:$H$9)</f>
        <v>0.18</v>
      </c>
      <c r="M996" s="18">
        <f>_xlfn.XLOOKUP(Assumptions!$B$2,Assumptions!$F$4:$H$4,Assumptions!$F$10:$H$10)</f>
        <v>18000</v>
      </c>
      <c r="N996" s="12">
        <f>_xlfn.XLOOKUP(Assumptions!$B$2,Assumptions!$F$4:$H$4,Assumptions!$F$11:$H$11)</f>
        <v>0.3</v>
      </c>
      <c r="O996" s="14">
        <f>Final_Table[[#This Row],[Units Sold]]*Final_Table[[#This Row],[Sale Price]]</f>
        <v>20400</v>
      </c>
      <c r="P996" s="14">
        <f>Final_Table[[#This Row],[Gross Revenue]]*(1-Final_Table[[#This Row],[Discount %]])</f>
        <v>18360</v>
      </c>
      <c r="Q996">
        <f>Final_Table[[#This Row],[Net Revenue]]*Final_Table[[#This Row],[Variable Cost %]]</f>
        <v>3304.7999999999997</v>
      </c>
      <c r="R996">
        <f>Final_Table[[#This Row],[Variable Cost]]+Final_Table[[#This Row],[Fixed Monthly Cost]]</f>
        <v>21304.799999999999</v>
      </c>
      <c r="S996" s="5">
        <f>Final_Table[[#This Row],[Net Revenue]]-Final_Table[[#This Row],[Total Cost (COGS)]]</f>
        <v>-2944.7999999999993</v>
      </c>
      <c r="T996">
        <f>Final_Table[[#This Row],[Gross Profit]]*Final_Table[[#This Row],[Tax Rate]]</f>
        <v>-883.43999999999971</v>
      </c>
      <c r="U996" s="5">
        <f>Final_Table[[#This Row],[Gross Profit]]-Final_Table[[#This Row],[Tax]]</f>
        <v>-2061.3599999999997</v>
      </c>
      <c r="V996" s="12">
        <f>Final_Table[[#This Row],[Net Profit]]/Final_Table[[#This Row],[Gross Revenue]]</f>
        <v>-0.10104705882352939</v>
      </c>
    </row>
    <row r="997" spans="1:22">
      <c r="A997" s="18" t="s">
        <v>74</v>
      </c>
      <c r="B997">
        <v>2014</v>
      </c>
      <c r="C997" t="s">
        <v>125</v>
      </c>
      <c r="D997">
        <v>1</v>
      </c>
      <c r="E997" s="18" t="s">
        <v>32</v>
      </c>
      <c r="F997" s="18" t="s">
        <v>114</v>
      </c>
      <c r="G997" s="18" t="s">
        <v>36</v>
      </c>
      <c r="H997" s="18" t="str">
        <f>Assumptions!$B$2</f>
        <v>Worst</v>
      </c>
      <c r="I997" s="18">
        <f>_xlfn.XLOOKUP(Assumptions!$B$2,Assumptions!$F$4:$H$4,Assumptions!$F$5:$H$5)</f>
        <v>1200</v>
      </c>
      <c r="J997" s="18">
        <f>_xlfn.XLOOKUP(Assumptions!$B$2,Assumptions!$F$4:$H$4,Assumptions!$F$6:$H$6)</f>
        <v>17</v>
      </c>
      <c r="K997" s="12">
        <f>_xlfn.XLOOKUP(Assumptions!$B$2,Assumptions!$F$4:$H$4,Assumptions!$F$8:$H$8)</f>
        <v>0.1</v>
      </c>
      <c r="L997" s="12">
        <f>_xlfn.XLOOKUP(Assumptions!$B$2,Assumptions!$F$4:$H$4,Assumptions!$F$9:$H$9)</f>
        <v>0.18</v>
      </c>
      <c r="M997" s="18">
        <f>_xlfn.XLOOKUP(Assumptions!$B$2,Assumptions!$F$4:$H$4,Assumptions!$F$10:$H$10)</f>
        <v>18000</v>
      </c>
      <c r="N997" s="12">
        <f>_xlfn.XLOOKUP(Assumptions!$B$2,Assumptions!$F$4:$H$4,Assumptions!$F$11:$H$11)</f>
        <v>0.3</v>
      </c>
      <c r="O997" s="14">
        <f>Final_Table[[#This Row],[Units Sold]]*Final_Table[[#This Row],[Sale Price]]</f>
        <v>20400</v>
      </c>
      <c r="P997" s="14">
        <f>Final_Table[[#This Row],[Gross Revenue]]*(1-Final_Table[[#This Row],[Discount %]])</f>
        <v>18360</v>
      </c>
      <c r="Q997">
        <f>Final_Table[[#This Row],[Net Revenue]]*Final_Table[[#This Row],[Variable Cost %]]</f>
        <v>3304.7999999999997</v>
      </c>
      <c r="R997">
        <f>Final_Table[[#This Row],[Variable Cost]]+Final_Table[[#This Row],[Fixed Monthly Cost]]</f>
        <v>21304.799999999999</v>
      </c>
      <c r="S997" s="5">
        <f>Final_Table[[#This Row],[Net Revenue]]-Final_Table[[#This Row],[Total Cost (COGS)]]</f>
        <v>-2944.7999999999993</v>
      </c>
      <c r="T997">
        <f>Final_Table[[#This Row],[Gross Profit]]*Final_Table[[#This Row],[Tax Rate]]</f>
        <v>-883.43999999999971</v>
      </c>
      <c r="U997" s="5">
        <f>Final_Table[[#This Row],[Gross Profit]]-Final_Table[[#This Row],[Tax]]</f>
        <v>-2061.3599999999997</v>
      </c>
      <c r="V997" s="12">
        <f>Final_Table[[#This Row],[Net Profit]]/Final_Table[[#This Row],[Gross Revenue]]</f>
        <v>-0.10104705882352939</v>
      </c>
    </row>
    <row r="998" spans="1:22">
      <c r="A998" s="18" t="s">
        <v>74</v>
      </c>
      <c r="B998">
        <v>2014</v>
      </c>
      <c r="C998" t="s">
        <v>125</v>
      </c>
      <c r="D998">
        <v>1</v>
      </c>
      <c r="E998" s="18" t="s">
        <v>32</v>
      </c>
      <c r="F998" s="18" t="s">
        <v>114</v>
      </c>
      <c r="G998" s="18" t="s">
        <v>23</v>
      </c>
      <c r="H998" s="18" t="str">
        <f>Assumptions!$B$2</f>
        <v>Worst</v>
      </c>
      <c r="I998" s="18">
        <f>_xlfn.XLOOKUP(Assumptions!$B$2,Assumptions!$F$4:$H$4,Assumptions!$F$5:$H$5)</f>
        <v>1200</v>
      </c>
      <c r="J998" s="18">
        <f>_xlfn.XLOOKUP(Assumptions!$B$2,Assumptions!$F$4:$H$4,Assumptions!$F$6:$H$6)</f>
        <v>17</v>
      </c>
      <c r="K998" s="12">
        <f>_xlfn.XLOOKUP(Assumptions!$B$2,Assumptions!$F$4:$H$4,Assumptions!$F$8:$H$8)</f>
        <v>0.1</v>
      </c>
      <c r="L998" s="12">
        <f>_xlfn.XLOOKUP(Assumptions!$B$2,Assumptions!$F$4:$H$4,Assumptions!$F$9:$H$9)</f>
        <v>0.18</v>
      </c>
      <c r="M998" s="18">
        <f>_xlfn.XLOOKUP(Assumptions!$B$2,Assumptions!$F$4:$H$4,Assumptions!$F$10:$H$10)</f>
        <v>18000</v>
      </c>
      <c r="N998" s="12">
        <f>_xlfn.XLOOKUP(Assumptions!$B$2,Assumptions!$F$4:$H$4,Assumptions!$F$11:$H$11)</f>
        <v>0.3</v>
      </c>
      <c r="O998" s="14">
        <f>Final_Table[[#This Row],[Units Sold]]*Final_Table[[#This Row],[Sale Price]]</f>
        <v>20400</v>
      </c>
      <c r="P998" s="14">
        <f>Final_Table[[#This Row],[Gross Revenue]]*(1-Final_Table[[#This Row],[Discount %]])</f>
        <v>18360</v>
      </c>
      <c r="Q998">
        <f>Final_Table[[#This Row],[Net Revenue]]*Final_Table[[#This Row],[Variable Cost %]]</f>
        <v>3304.7999999999997</v>
      </c>
      <c r="R998">
        <f>Final_Table[[#This Row],[Variable Cost]]+Final_Table[[#This Row],[Fixed Monthly Cost]]</f>
        <v>21304.799999999999</v>
      </c>
      <c r="S998" s="5">
        <f>Final_Table[[#This Row],[Net Revenue]]-Final_Table[[#This Row],[Total Cost (COGS)]]</f>
        <v>-2944.7999999999993</v>
      </c>
      <c r="T998">
        <f>Final_Table[[#This Row],[Gross Profit]]*Final_Table[[#This Row],[Tax Rate]]</f>
        <v>-883.43999999999971</v>
      </c>
      <c r="U998" s="5">
        <f>Final_Table[[#This Row],[Gross Profit]]-Final_Table[[#This Row],[Tax]]</f>
        <v>-2061.3599999999997</v>
      </c>
      <c r="V998" s="12">
        <f>Final_Table[[#This Row],[Net Profit]]/Final_Table[[#This Row],[Gross Revenue]]</f>
        <v>-0.10104705882352939</v>
      </c>
    </row>
    <row r="999" spans="1:22">
      <c r="A999" s="18" t="s">
        <v>74</v>
      </c>
      <c r="B999">
        <v>2014</v>
      </c>
      <c r="C999" t="s">
        <v>125</v>
      </c>
      <c r="D999">
        <v>1</v>
      </c>
      <c r="E999" s="18" t="s">
        <v>32</v>
      </c>
      <c r="F999" s="18" t="s">
        <v>114</v>
      </c>
      <c r="G999" s="18" t="s">
        <v>21</v>
      </c>
      <c r="H999" s="18" t="str">
        <f>Assumptions!$B$2</f>
        <v>Worst</v>
      </c>
      <c r="I999" s="18">
        <f>_xlfn.XLOOKUP(Assumptions!$B$2,Assumptions!$F$4:$H$4,Assumptions!$F$5:$H$5)</f>
        <v>1200</v>
      </c>
      <c r="J999" s="18">
        <f>_xlfn.XLOOKUP(Assumptions!$B$2,Assumptions!$F$4:$H$4,Assumptions!$F$6:$H$6)</f>
        <v>17</v>
      </c>
      <c r="K999" s="12">
        <f>_xlfn.XLOOKUP(Assumptions!$B$2,Assumptions!$F$4:$H$4,Assumptions!$F$8:$H$8)</f>
        <v>0.1</v>
      </c>
      <c r="L999" s="12">
        <f>_xlfn.XLOOKUP(Assumptions!$B$2,Assumptions!$F$4:$H$4,Assumptions!$F$9:$H$9)</f>
        <v>0.18</v>
      </c>
      <c r="M999" s="18">
        <f>_xlfn.XLOOKUP(Assumptions!$B$2,Assumptions!$F$4:$H$4,Assumptions!$F$10:$H$10)</f>
        <v>18000</v>
      </c>
      <c r="N999" s="12">
        <f>_xlfn.XLOOKUP(Assumptions!$B$2,Assumptions!$F$4:$H$4,Assumptions!$F$11:$H$11)</f>
        <v>0.3</v>
      </c>
      <c r="O999" s="14">
        <f>Final_Table[[#This Row],[Units Sold]]*Final_Table[[#This Row],[Sale Price]]</f>
        <v>20400</v>
      </c>
      <c r="P999" s="14">
        <f>Final_Table[[#This Row],[Gross Revenue]]*(1-Final_Table[[#This Row],[Discount %]])</f>
        <v>18360</v>
      </c>
      <c r="Q999">
        <f>Final_Table[[#This Row],[Net Revenue]]*Final_Table[[#This Row],[Variable Cost %]]</f>
        <v>3304.7999999999997</v>
      </c>
      <c r="R999">
        <f>Final_Table[[#This Row],[Variable Cost]]+Final_Table[[#This Row],[Fixed Monthly Cost]]</f>
        <v>21304.799999999999</v>
      </c>
      <c r="S999" s="5">
        <f>Final_Table[[#This Row],[Net Revenue]]-Final_Table[[#This Row],[Total Cost (COGS)]]</f>
        <v>-2944.7999999999993</v>
      </c>
      <c r="T999">
        <f>Final_Table[[#This Row],[Gross Profit]]*Final_Table[[#This Row],[Tax Rate]]</f>
        <v>-883.43999999999971</v>
      </c>
      <c r="U999" s="5">
        <f>Final_Table[[#This Row],[Gross Profit]]-Final_Table[[#This Row],[Tax]]</f>
        <v>-2061.3599999999997</v>
      </c>
      <c r="V999" s="12">
        <f>Final_Table[[#This Row],[Net Profit]]/Final_Table[[#This Row],[Gross Revenue]]</f>
        <v>-0.10104705882352939</v>
      </c>
    </row>
    <row r="1000" spans="1:22">
      <c r="A1000" s="18" t="s">
        <v>74</v>
      </c>
      <c r="B1000">
        <v>2014</v>
      </c>
      <c r="C1000" t="s">
        <v>125</v>
      </c>
      <c r="D1000">
        <v>1</v>
      </c>
      <c r="E1000" s="18" t="s">
        <v>32</v>
      </c>
      <c r="F1000" s="18" t="s">
        <v>114</v>
      </c>
      <c r="G1000" s="18" t="s">
        <v>25</v>
      </c>
      <c r="H1000" s="18" t="str">
        <f>Assumptions!$B$2</f>
        <v>Worst</v>
      </c>
      <c r="I1000" s="18">
        <f>_xlfn.XLOOKUP(Assumptions!$B$2,Assumptions!$F$4:$H$4,Assumptions!$F$5:$H$5)</f>
        <v>1200</v>
      </c>
      <c r="J1000" s="18">
        <f>_xlfn.XLOOKUP(Assumptions!$B$2,Assumptions!$F$4:$H$4,Assumptions!$F$6:$H$6)</f>
        <v>17</v>
      </c>
      <c r="K1000" s="12">
        <f>_xlfn.XLOOKUP(Assumptions!$B$2,Assumptions!$F$4:$H$4,Assumptions!$F$8:$H$8)</f>
        <v>0.1</v>
      </c>
      <c r="L1000" s="12">
        <f>_xlfn.XLOOKUP(Assumptions!$B$2,Assumptions!$F$4:$H$4,Assumptions!$F$9:$H$9)</f>
        <v>0.18</v>
      </c>
      <c r="M1000" s="18">
        <f>_xlfn.XLOOKUP(Assumptions!$B$2,Assumptions!$F$4:$H$4,Assumptions!$F$10:$H$10)</f>
        <v>18000</v>
      </c>
      <c r="N1000" s="12">
        <f>_xlfn.XLOOKUP(Assumptions!$B$2,Assumptions!$F$4:$H$4,Assumptions!$F$11:$H$11)</f>
        <v>0.3</v>
      </c>
      <c r="O1000" s="14">
        <f>Final_Table[[#This Row],[Units Sold]]*Final_Table[[#This Row],[Sale Price]]</f>
        <v>20400</v>
      </c>
      <c r="P1000" s="14">
        <f>Final_Table[[#This Row],[Gross Revenue]]*(1-Final_Table[[#This Row],[Discount %]])</f>
        <v>18360</v>
      </c>
      <c r="Q1000">
        <f>Final_Table[[#This Row],[Net Revenue]]*Final_Table[[#This Row],[Variable Cost %]]</f>
        <v>3304.7999999999997</v>
      </c>
      <c r="R1000">
        <f>Final_Table[[#This Row],[Variable Cost]]+Final_Table[[#This Row],[Fixed Monthly Cost]]</f>
        <v>21304.799999999999</v>
      </c>
      <c r="S1000" s="5">
        <f>Final_Table[[#This Row],[Net Revenue]]-Final_Table[[#This Row],[Total Cost (COGS)]]</f>
        <v>-2944.7999999999993</v>
      </c>
      <c r="T1000">
        <f>Final_Table[[#This Row],[Gross Profit]]*Final_Table[[#This Row],[Tax Rate]]</f>
        <v>-883.43999999999971</v>
      </c>
      <c r="U1000" s="5">
        <f>Final_Table[[#This Row],[Gross Profit]]-Final_Table[[#This Row],[Tax]]</f>
        <v>-2061.3599999999997</v>
      </c>
      <c r="V1000" s="12">
        <f>Final_Table[[#This Row],[Net Profit]]/Final_Table[[#This Row],[Gross Revenue]]</f>
        <v>-0.10104705882352939</v>
      </c>
    </row>
    <row r="1001" spans="1:22">
      <c r="A1001" s="18" t="s">
        <v>74</v>
      </c>
      <c r="B1001">
        <v>2014</v>
      </c>
      <c r="C1001" t="s">
        <v>125</v>
      </c>
      <c r="D1001">
        <v>1</v>
      </c>
      <c r="E1001" s="18" t="s">
        <v>32</v>
      </c>
      <c r="F1001" s="18" t="s">
        <v>114</v>
      </c>
      <c r="G1001" s="18" t="s">
        <v>17</v>
      </c>
      <c r="H1001" s="18" t="str">
        <f>Assumptions!$B$2</f>
        <v>Worst</v>
      </c>
      <c r="I1001" s="18">
        <f>_xlfn.XLOOKUP(Assumptions!$B$2,Assumptions!$F$4:$H$4,Assumptions!$F$5:$H$5)</f>
        <v>1200</v>
      </c>
      <c r="J1001" s="18">
        <f>_xlfn.XLOOKUP(Assumptions!$B$2,Assumptions!$F$4:$H$4,Assumptions!$F$6:$H$6)</f>
        <v>17</v>
      </c>
      <c r="K1001" s="12">
        <f>_xlfn.XLOOKUP(Assumptions!$B$2,Assumptions!$F$4:$H$4,Assumptions!$F$8:$H$8)</f>
        <v>0.1</v>
      </c>
      <c r="L1001" s="12">
        <f>_xlfn.XLOOKUP(Assumptions!$B$2,Assumptions!$F$4:$H$4,Assumptions!$F$9:$H$9)</f>
        <v>0.18</v>
      </c>
      <c r="M1001" s="18">
        <f>_xlfn.XLOOKUP(Assumptions!$B$2,Assumptions!$F$4:$H$4,Assumptions!$F$10:$H$10)</f>
        <v>18000</v>
      </c>
      <c r="N1001" s="12">
        <f>_xlfn.XLOOKUP(Assumptions!$B$2,Assumptions!$F$4:$H$4,Assumptions!$F$11:$H$11)</f>
        <v>0.3</v>
      </c>
      <c r="O1001" s="14">
        <f>Final_Table[[#This Row],[Units Sold]]*Final_Table[[#This Row],[Sale Price]]</f>
        <v>20400</v>
      </c>
      <c r="P1001" s="14">
        <f>Final_Table[[#This Row],[Gross Revenue]]*(1-Final_Table[[#This Row],[Discount %]])</f>
        <v>18360</v>
      </c>
      <c r="Q1001">
        <f>Final_Table[[#This Row],[Net Revenue]]*Final_Table[[#This Row],[Variable Cost %]]</f>
        <v>3304.7999999999997</v>
      </c>
      <c r="R1001">
        <f>Final_Table[[#This Row],[Variable Cost]]+Final_Table[[#This Row],[Fixed Monthly Cost]]</f>
        <v>21304.799999999999</v>
      </c>
      <c r="S1001" s="5">
        <f>Final_Table[[#This Row],[Net Revenue]]-Final_Table[[#This Row],[Total Cost (COGS)]]</f>
        <v>-2944.7999999999993</v>
      </c>
      <c r="T1001">
        <f>Final_Table[[#This Row],[Gross Profit]]*Final_Table[[#This Row],[Tax Rate]]</f>
        <v>-883.43999999999971</v>
      </c>
      <c r="U1001" s="5">
        <f>Final_Table[[#This Row],[Gross Profit]]-Final_Table[[#This Row],[Tax]]</f>
        <v>-2061.3599999999997</v>
      </c>
      <c r="V1001" s="12">
        <f>Final_Table[[#This Row],[Net Profit]]/Final_Table[[#This Row],[Gross Revenue]]</f>
        <v>-0.10104705882352939</v>
      </c>
    </row>
    <row r="1002" spans="1:22">
      <c r="A1002" s="18" t="s">
        <v>75</v>
      </c>
      <c r="B1002">
        <v>2014</v>
      </c>
      <c r="C1002" t="s">
        <v>126</v>
      </c>
      <c r="D1002">
        <v>1</v>
      </c>
      <c r="E1002" s="18" t="s">
        <v>30</v>
      </c>
      <c r="F1002" s="18" t="s">
        <v>80</v>
      </c>
      <c r="G1002" s="18" t="s">
        <v>36</v>
      </c>
      <c r="H1002" s="18" t="str">
        <f>Assumptions!$B$2</f>
        <v>Worst</v>
      </c>
      <c r="I1002" s="18">
        <f>_xlfn.XLOOKUP(Assumptions!$B$2,Assumptions!$F$4:$H$4,Assumptions!$F$5:$H$5)</f>
        <v>1200</v>
      </c>
      <c r="J1002" s="18">
        <f>_xlfn.XLOOKUP(Assumptions!$B$2,Assumptions!$F$4:$H$4,Assumptions!$F$6:$H$6)</f>
        <v>17</v>
      </c>
      <c r="K1002" s="12">
        <f>_xlfn.XLOOKUP(Assumptions!$B$2,Assumptions!$F$4:$H$4,Assumptions!$F$8:$H$8)</f>
        <v>0.1</v>
      </c>
      <c r="L1002" s="12">
        <f>_xlfn.XLOOKUP(Assumptions!$B$2,Assumptions!$F$4:$H$4,Assumptions!$F$9:$H$9)</f>
        <v>0.18</v>
      </c>
      <c r="M1002" s="18">
        <f>_xlfn.XLOOKUP(Assumptions!$B$2,Assumptions!$F$4:$H$4,Assumptions!$F$10:$H$10)</f>
        <v>18000</v>
      </c>
      <c r="N1002" s="12">
        <f>_xlfn.XLOOKUP(Assumptions!$B$2,Assumptions!$F$4:$H$4,Assumptions!$F$11:$H$11)</f>
        <v>0.3</v>
      </c>
      <c r="O1002" s="14">
        <f>Final_Table[[#This Row],[Units Sold]]*Final_Table[[#This Row],[Sale Price]]</f>
        <v>20400</v>
      </c>
      <c r="P1002" s="14">
        <f>Final_Table[[#This Row],[Gross Revenue]]*(1-Final_Table[[#This Row],[Discount %]])</f>
        <v>18360</v>
      </c>
      <c r="Q1002">
        <f>Final_Table[[#This Row],[Net Revenue]]*Final_Table[[#This Row],[Variable Cost %]]</f>
        <v>3304.7999999999997</v>
      </c>
      <c r="R1002">
        <f>Final_Table[[#This Row],[Variable Cost]]+Final_Table[[#This Row],[Fixed Monthly Cost]]</f>
        <v>21304.799999999999</v>
      </c>
      <c r="S1002" s="5">
        <f>Final_Table[[#This Row],[Net Revenue]]-Final_Table[[#This Row],[Total Cost (COGS)]]</f>
        <v>-2944.7999999999993</v>
      </c>
      <c r="T1002">
        <f>Final_Table[[#This Row],[Gross Profit]]*Final_Table[[#This Row],[Tax Rate]]</f>
        <v>-883.43999999999971</v>
      </c>
      <c r="U1002" s="5">
        <f>Final_Table[[#This Row],[Gross Profit]]-Final_Table[[#This Row],[Tax]]</f>
        <v>-2061.3599999999997</v>
      </c>
      <c r="V1002" s="12">
        <f>Final_Table[[#This Row],[Net Profit]]/Final_Table[[#This Row],[Gross Revenue]]</f>
        <v>-0.10104705882352939</v>
      </c>
    </row>
    <row r="1003" spans="1:22">
      <c r="A1003" s="18" t="s">
        <v>75</v>
      </c>
      <c r="B1003">
        <v>2014</v>
      </c>
      <c r="C1003" t="s">
        <v>126</v>
      </c>
      <c r="D1003">
        <v>1</v>
      </c>
      <c r="E1003" s="18" t="s">
        <v>30</v>
      </c>
      <c r="F1003" s="18" t="s">
        <v>80</v>
      </c>
      <c r="G1003" s="18" t="s">
        <v>23</v>
      </c>
      <c r="H1003" s="18" t="str">
        <f>Assumptions!$B$2</f>
        <v>Worst</v>
      </c>
      <c r="I1003" s="18">
        <f>_xlfn.XLOOKUP(Assumptions!$B$2,Assumptions!$F$4:$H$4,Assumptions!$F$5:$H$5)</f>
        <v>1200</v>
      </c>
      <c r="J1003" s="18">
        <f>_xlfn.XLOOKUP(Assumptions!$B$2,Assumptions!$F$4:$H$4,Assumptions!$F$6:$H$6)</f>
        <v>17</v>
      </c>
      <c r="K1003" s="12">
        <f>_xlfn.XLOOKUP(Assumptions!$B$2,Assumptions!$F$4:$H$4,Assumptions!$F$8:$H$8)</f>
        <v>0.1</v>
      </c>
      <c r="L1003" s="12">
        <f>_xlfn.XLOOKUP(Assumptions!$B$2,Assumptions!$F$4:$H$4,Assumptions!$F$9:$H$9)</f>
        <v>0.18</v>
      </c>
      <c r="M1003" s="18">
        <f>_xlfn.XLOOKUP(Assumptions!$B$2,Assumptions!$F$4:$H$4,Assumptions!$F$10:$H$10)</f>
        <v>18000</v>
      </c>
      <c r="N1003" s="12">
        <f>_xlfn.XLOOKUP(Assumptions!$B$2,Assumptions!$F$4:$H$4,Assumptions!$F$11:$H$11)</f>
        <v>0.3</v>
      </c>
      <c r="O1003" s="14">
        <f>Final_Table[[#This Row],[Units Sold]]*Final_Table[[#This Row],[Sale Price]]</f>
        <v>20400</v>
      </c>
      <c r="P1003" s="14">
        <f>Final_Table[[#This Row],[Gross Revenue]]*(1-Final_Table[[#This Row],[Discount %]])</f>
        <v>18360</v>
      </c>
      <c r="Q1003">
        <f>Final_Table[[#This Row],[Net Revenue]]*Final_Table[[#This Row],[Variable Cost %]]</f>
        <v>3304.7999999999997</v>
      </c>
      <c r="R1003">
        <f>Final_Table[[#This Row],[Variable Cost]]+Final_Table[[#This Row],[Fixed Monthly Cost]]</f>
        <v>21304.799999999999</v>
      </c>
      <c r="S1003" s="5">
        <f>Final_Table[[#This Row],[Net Revenue]]-Final_Table[[#This Row],[Total Cost (COGS)]]</f>
        <v>-2944.7999999999993</v>
      </c>
      <c r="T1003">
        <f>Final_Table[[#This Row],[Gross Profit]]*Final_Table[[#This Row],[Tax Rate]]</f>
        <v>-883.43999999999971</v>
      </c>
      <c r="U1003" s="5">
        <f>Final_Table[[#This Row],[Gross Profit]]-Final_Table[[#This Row],[Tax]]</f>
        <v>-2061.3599999999997</v>
      </c>
      <c r="V1003" s="12">
        <f>Final_Table[[#This Row],[Net Profit]]/Final_Table[[#This Row],[Gross Revenue]]</f>
        <v>-0.10104705882352939</v>
      </c>
    </row>
    <row r="1004" spans="1:22">
      <c r="A1004" s="18" t="s">
        <v>75</v>
      </c>
      <c r="B1004">
        <v>2014</v>
      </c>
      <c r="C1004" t="s">
        <v>126</v>
      </c>
      <c r="D1004">
        <v>1</v>
      </c>
      <c r="E1004" s="18" t="s">
        <v>30</v>
      </c>
      <c r="F1004" s="18" t="s">
        <v>80</v>
      </c>
      <c r="G1004" s="18" t="s">
        <v>21</v>
      </c>
      <c r="H1004" s="18" t="str">
        <f>Assumptions!$B$2</f>
        <v>Worst</v>
      </c>
      <c r="I1004" s="18">
        <f>_xlfn.XLOOKUP(Assumptions!$B$2,Assumptions!$F$4:$H$4,Assumptions!$F$5:$H$5)</f>
        <v>1200</v>
      </c>
      <c r="J1004" s="18">
        <f>_xlfn.XLOOKUP(Assumptions!$B$2,Assumptions!$F$4:$H$4,Assumptions!$F$6:$H$6)</f>
        <v>17</v>
      </c>
      <c r="K1004" s="12">
        <f>_xlfn.XLOOKUP(Assumptions!$B$2,Assumptions!$F$4:$H$4,Assumptions!$F$8:$H$8)</f>
        <v>0.1</v>
      </c>
      <c r="L1004" s="12">
        <f>_xlfn.XLOOKUP(Assumptions!$B$2,Assumptions!$F$4:$H$4,Assumptions!$F$9:$H$9)</f>
        <v>0.18</v>
      </c>
      <c r="M1004" s="18">
        <f>_xlfn.XLOOKUP(Assumptions!$B$2,Assumptions!$F$4:$H$4,Assumptions!$F$10:$H$10)</f>
        <v>18000</v>
      </c>
      <c r="N1004" s="12">
        <f>_xlfn.XLOOKUP(Assumptions!$B$2,Assumptions!$F$4:$H$4,Assumptions!$F$11:$H$11)</f>
        <v>0.3</v>
      </c>
      <c r="O1004" s="14">
        <f>Final_Table[[#This Row],[Units Sold]]*Final_Table[[#This Row],[Sale Price]]</f>
        <v>20400</v>
      </c>
      <c r="P1004" s="14">
        <f>Final_Table[[#This Row],[Gross Revenue]]*(1-Final_Table[[#This Row],[Discount %]])</f>
        <v>18360</v>
      </c>
      <c r="Q1004">
        <f>Final_Table[[#This Row],[Net Revenue]]*Final_Table[[#This Row],[Variable Cost %]]</f>
        <v>3304.7999999999997</v>
      </c>
      <c r="R1004">
        <f>Final_Table[[#This Row],[Variable Cost]]+Final_Table[[#This Row],[Fixed Monthly Cost]]</f>
        <v>21304.799999999999</v>
      </c>
      <c r="S1004" s="5">
        <f>Final_Table[[#This Row],[Net Revenue]]-Final_Table[[#This Row],[Total Cost (COGS)]]</f>
        <v>-2944.7999999999993</v>
      </c>
      <c r="T1004">
        <f>Final_Table[[#This Row],[Gross Profit]]*Final_Table[[#This Row],[Tax Rate]]</f>
        <v>-883.43999999999971</v>
      </c>
      <c r="U1004" s="5">
        <f>Final_Table[[#This Row],[Gross Profit]]-Final_Table[[#This Row],[Tax]]</f>
        <v>-2061.3599999999997</v>
      </c>
      <c r="V1004" s="12">
        <f>Final_Table[[#This Row],[Net Profit]]/Final_Table[[#This Row],[Gross Revenue]]</f>
        <v>-0.10104705882352939</v>
      </c>
    </row>
    <row r="1005" spans="1:22">
      <c r="A1005" s="18" t="s">
        <v>75</v>
      </c>
      <c r="B1005">
        <v>2014</v>
      </c>
      <c r="C1005" t="s">
        <v>126</v>
      </c>
      <c r="D1005">
        <v>1</v>
      </c>
      <c r="E1005" s="18" t="s">
        <v>30</v>
      </c>
      <c r="F1005" s="18" t="s">
        <v>80</v>
      </c>
      <c r="G1005" s="18" t="s">
        <v>25</v>
      </c>
      <c r="H1005" s="18" t="str">
        <f>Assumptions!$B$2</f>
        <v>Worst</v>
      </c>
      <c r="I1005" s="18">
        <f>_xlfn.XLOOKUP(Assumptions!$B$2,Assumptions!$F$4:$H$4,Assumptions!$F$5:$H$5)</f>
        <v>1200</v>
      </c>
      <c r="J1005" s="18">
        <f>_xlfn.XLOOKUP(Assumptions!$B$2,Assumptions!$F$4:$H$4,Assumptions!$F$6:$H$6)</f>
        <v>17</v>
      </c>
      <c r="K1005" s="12">
        <f>_xlfn.XLOOKUP(Assumptions!$B$2,Assumptions!$F$4:$H$4,Assumptions!$F$8:$H$8)</f>
        <v>0.1</v>
      </c>
      <c r="L1005" s="12">
        <f>_xlfn.XLOOKUP(Assumptions!$B$2,Assumptions!$F$4:$H$4,Assumptions!$F$9:$H$9)</f>
        <v>0.18</v>
      </c>
      <c r="M1005" s="18">
        <f>_xlfn.XLOOKUP(Assumptions!$B$2,Assumptions!$F$4:$H$4,Assumptions!$F$10:$H$10)</f>
        <v>18000</v>
      </c>
      <c r="N1005" s="12">
        <f>_xlfn.XLOOKUP(Assumptions!$B$2,Assumptions!$F$4:$H$4,Assumptions!$F$11:$H$11)</f>
        <v>0.3</v>
      </c>
      <c r="O1005" s="14">
        <f>Final_Table[[#This Row],[Units Sold]]*Final_Table[[#This Row],[Sale Price]]</f>
        <v>20400</v>
      </c>
      <c r="P1005" s="14">
        <f>Final_Table[[#This Row],[Gross Revenue]]*(1-Final_Table[[#This Row],[Discount %]])</f>
        <v>18360</v>
      </c>
      <c r="Q1005">
        <f>Final_Table[[#This Row],[Net Revenue]]*Final_Table[[#This Row],[Variable Cost %]]</f>
        <v>3304.7999999999997</v>
      </c>
      <c r="R1005">
        <f>Final_Table[[#This Row],[Variable Cost]]+Final_Table[[#This Row],[Fixed Monthly Cost]]</f>
        <v>21304.799999999999</v>
      </c>
      <c r="S1005" s="5">
        <f>Final_Table[[#This Row],[Net Revenue]]-Final_Table[[#This Row],[Total Cost (COGS)]]</f>
        <v>-2944.7999999999993</v>
      </c>
      <c r="T1005">
        <f>Final_Table[[#This Row],[Gross Profit]]*Final_Table[[#This Row],[Tax Rate]]</f>
        <v>-883.43999999999971</v>
      </c>
      <c r="U1005" s="5">
        <f>Final_Table[[#This Row],[Gross Profit]]-Final_Table[[#This Row],[Tax]]</f>
        <v>-2061.3599999999997</v>
      </c>
      <c r="V1005" s="12">
        <f>Final_Table[[#This Row],[Net Profit]]/Final_Table[[#This Row],[Gross Revenue]]</f>
        <v>-0.10104705882352939</v>
      </c>
    </row>
    <row r="1006" spans="1:22">
      <c r="A1006" s="18" t="s">
        <v>75</v>
      </c>
      <c r="B1006">
        <v>2014</v>
      </c>
      <c r="C1006" t="s">
        <v>126</v>
      </c>
      <c r="D1006">
        <v>1</v>
      </c>
      <c r="E1006" s="18" t="s">
        <v>30</v>
      </c>
      <c r="F1006" s="18" t="s">
        <v>80</v>
      </c>
      <c r="G1006" s="18" t="s">
        <v>17</v>
      </c>
      <c r="H1006" s="18" t="str">
        <f>Assumptions!$B$2</f>
        <v>Worst</v>
      </c>
      <c r="I1006" s="18">
        <f>_xlfn.XLOOKUP(Assumptions!$B$2,Assumptions!$F$4:$H$4,Assumptions!$F$5:$H$5)</f>
        <v>1200</v>
      </c>
      <c r="J1006" s="18">
        <f>_xlfn.XLOOKUP(Assumptions!$B$2,Assumptions!$F$4:$H$4,Assumptions!$F$6:$H$6)</f>
        <v>17</v>
      </c>
      <c r="K1006" s="12">
        <f>_xlfn.XLOOKUP(Assumptions!$B$2,Assumptions!$F$4:$H$4,Assumptions!$F$8:$H$8)</f>
        <v>0.1</v>
      </c>
      <c r="L1006" s="12">
        <f>_xlfn.XLOOKUP(Assumptions!$B$2,Assumptions!$F$4:$H$4,Assumptions!$F$9:$H$9)</f>
        <v>0.18</v>
      </c>
      <c r="M1006" s="18">
        <f>_xlfn.XLOOKUP(Assumptions!$B$2,Assumptions!$F$4:$H$4,Assumptions!$F$10:$H$10)</f>
        <v>18000</v>
      </c>
      <c r="N1006" s="12">
        <f>_xlfn.XLOOKUP(Assumptions!$B$2,Assumptions!$F$4:$H$4,Assumptions!$F$11:$H$11)</f>
        <v>0.3</v>
      </c>
      <c r="O1006" s="14">
        <f>Final_Table[[#This Row],[Units Sold]]*Final_Table[[#This Row],[Sale Price]]</f>
        <v>20400</v>
      </c>
      <c r="P1006" s="14">
        <f>Final_Table[[#This Row],[Gross Revenue]]*(1-Final_Table[[#This Row],[Discount %]])</f>
        <v>18360</v>
      </c>
      <c r="Q1006">
        <f>Final_Table[[#This Row],[Net Revenue]]*Final_Table[[#This Row],[Variable Cost %]]</f>
        <v>3304.7999999999997</v>
      </c>
      <c r="R1006">
        <f>Final_Table[[#This Row],[Variable Cost]]+Final_Table[[#This Row],[Fixed Monthly Cost]]</f>
        <v>21304.799999999999</v>
      </c>
      <c r="S1006" s="5">
        <f>Final_Table[[#This Row],[Net Revenue]]-Final_Table[[#This Row],[Total Cost (COGS)]]</f>
        <v>-2944.7999999999993</v>
      </c>
      <c r="T1006">
        <f>Final_Table[[#This Row],[Gross Profit]]*Final_Table[[#This Row],[Tax Rate]]</f>
        <v>-883.43999999999971</v>
      </c>
      <c r="U1006" s="5">
        <f>Final_Table[[#This Row],[Gross Profit]]-Final_Table[[#This Row],[Tax]]</f>
        <v>-2061.3599999999997</v>
      </c>
      <c r="V1006" s="12">
        <f>Final_Table[[#This Row],[Net Profit]]/Final_Table[[#This Row],[Gross Revenue]]</f>
        <v>-0.10104705882352939</v>
      </c>
    </row>
    <row r="1007" spans="1:22">
      <c r="A1007" s="18" t="s">
        <v>75</v>
      </c>
      <c r="B1007">
        <v>2014</v>
      </c>
      <c r="C1007" t="s">
        <v>126</v>
      </c>
      <c r="D1007">
        <v>1</v>
      </c>
      <c r="E1007" s="18" t="s">
        <v>30</v>
      </c>
      <c r="F1007" s="18" t="s">
        <v>108</v>
      </c>
      <c r="G1007" s="18" t="s">
        <v>36</v>
      </c>
      <c r="H1007" s="18" t="str">
        <f>Assumptions!$B$2</f>
        <v>Worst</v>
      </c>
      <c r="I1007" s="18">
        <f>_xlfn.XLOOKUP(Assumptions!$B$2,Assumptions!$F$4:$H$4,Assumptions!$F$5:$H$5)</f>
        <v>1200</v>
      </c>
      <c r="J1007" s="18">
        <f>_xlfn.XLOOKUP(Assumptions!$B$2,Assumptions!$F$4:$H$4,Assumptions!$F$6:$H$6)</f>
        <v>17</v>
      </c>
      <c r="K1007" s="12">
        <f>_xlfn.XLOOKUP(Assumptions!$B$2,Assumptions!$F$4:$H$4,Assumptions!$F$8:$H$8)</f>
        <v>0.1</v>
      </c>
      <c r="L1007" s="12">
        <f>_xlfn.XLOOKUP(Assumptions!$B$2,Assumptions!$F$4:$H$4,Assumptions!$F$9:$H$9)</f>
        <v>0.18</v>
      </c>
      <c r="M1007" s="18">
        <f>_xlfn.XLOOKUP(Assumptions!$B$2,Assumptions!$F$4:$H$4,Assumptions!$F$10:$H$10)</f>
        <v>18000</v>
      </c>
      <c r="N1007" s="12">
        <f>_xlfn.XLOOKUP(Assumptions!$B$2,Assumptions!$F$4:$H$4,Assumptions!$F$11:$H$11)</f>
        <v>0.3</v>
      </c>
      <c r="O1007" s="14">
        <f>Final_Table[[#This Row],[Units Sold]]*Final_Table[[#This Row],[Sale Price]]</f>
        <v>20400</v>
      </c>
      <c r="P1007" s="14">
        <f>Final_Table[[#This Row],[Gross Revenue]]*(1-Final_Table[[#This Row],[Discount %]])</f>
        <v>18360</v>
      </c>
      <c r="Q1007">
        <f>Final_Table[[#This Row],[Net Revenue]]*Final_Table[[#This Row],[Variable Cost %]]</f>
        <v>3304.7999999999997</v>
      </c>
      <c r="R1007">
        <f>Final_Table[[#This Row],[Variable Cost]]+Final_Table[[#This Row],[Fixed Monthly Cost]]</f>
        <v>21304.799999999999</v>
      </c>
      <c r="S1007" s="5">
        <f>Final_Table[[#This Row],[Net Revenue]]-Final_Table[[#This Row],[Total Cost (COGS)]]</f>
        <v>-2944.7999999999993</v>
      </c>
      <c r="T1007">
        <f>Final_Table[[#This Row],[Gross Profit]]*Final_Table[[#This Row],[Tax Rate]]</f>
        <v>-883.43999999999971</v>
      </c>
      <c r="U1007" s="5">
        <f>Final_Table[[#This Row],[Gross Profit]]-Final_Table[[#This Row],[Tax]]</f>
        <v>-2061.3599999999997</v>
      </c>
      <c r="V1007" s="12">
        <f>Final_Table[[#This Row],[Net Profit]]/Final_Table[[#This Row],[Gross Revenue]]</f>
        <v>-0.10104705882352939</v>
      </c>
    </row>
    <row r="1008" spans="1:22">
      <c r="A1008" s="18" t="s">
        <v>75</v>
      </c>
      <c r="B1008">
        <v>2014</v>
      </c>
      <c r="C1008" t="s">
        <v>126</v>
      </c>
      <c r="D1008">
        <v>1</v>
      </c>
      <c r="E1008" s="18" t="s">
        <v>30</v>
      </c>
      <c r="F1008" s="18" t="s">
        <v>108</v>
      </c>
      <c r="G1008" s="18" t="s">
        <v>23</v>
      </c>
      <c r="H1008" s="18" t="str">
        <f>Assumptions!$B$2</f>
        <v>Worst</v>
      </c>
      <c r="I1008" s="18">
        <f>_xlfn.XLOOKUP(Assumptions!$B$2,Assumptions!$F$4:$H$4,Assumptions!$F$5:$H$5)</f>
        <v>1200</v>
      </c>
      <c r="J1008" s="18">
        <f>_xlfn.XLOOKUP(Assumptions!$B$2,Assumptions!$F$4:$H$4,Assumptions!$F$6:$H$6)</f>
        <v>17</v>
      </c>
      <c r="K1008" s="12">
        <f>_xlfn.XLOOKUP(Assumptions!$B$2,Assumptions!$F$4:$H$4,Assumptions!$F$8:$H$8)</f>
        <v>0.1</v>
      </c>
      <c r="L1008" s="12">
        <f>_xlfn.XLOOKUP(Assumptions!$B$2,Assumptions!$F$4:$H$4,Assumptions!$F$9:$H$9)</f>
        <v>0.18</v>
      </c>
      <c r="M1008" s="18">
        <f>_xlfn.XLOOKUP(Assumptions!$B$2,Assumptions!$F$4:$H$4,Assumptions!$F$10:$H$10)</f>
        <v>18000</v>
      </c>
      <c r="N1008" s="12">
        <f>_xlfn.XLOOKUP(Assumptions!$B$2,Assumptions!$F$4:$H$4,Assumptions!$F$11:$H$11)</f>
        <v>0.3</v>
      </c>
      <c r="O1008" s="14">
        <f>Final_Table[[#This Row],[Units Sold]]*Final_Table[[#This Row],[Sale Price]]</f>
        <v>20400</v>
      </c>
      <c r="P1008" s="14">
        <f>Final_Table[[#This Row],[Gross Revenue]]*(1-Final_Table[[#This Row],[Discount %]])</f>
        <v>18360</v>
      </c>
      <c r="Q1008">
        <f>Final_Table[[#This Row],[Net Revenue]]*Final_Table[[#This Row],[Variable Cost %]]</f>
        <v>3304.7999999999997</v>
      </c>
      <c r="R1008">
        <f>Final_Table[[#This Row],[Variable Cost]]+Final_Table[[#This Row],[Fixed Monthly Cost]]</f>
        <v>21304.799999999999</v>
      </c>
      <c r="S1008" s="5">
        <f>Final_Table[[#This Row],[Net Revenue]]-Final_Table[[#This Row],[Total Cost (COGS)]]</f>
        <v>-2944.7999999999993</v>
      </c>
      <c r="T1008">
        <f>Final_Table[[#This Row],[Gross Profit]]*Final_Table[[#This Row],[Tax Rate]]</f>
        <v>-883.43999999999971</v>
      </c>
      <c r="U1008" s="5">
        <f>Final_Table[[#This Row],[Gross Profit]]-Final_Table[[#This Row],[Tax]]</f>
        <v>-2061.3599999999997</v>
      </c>
      <c r="V1008" s="12">
        <f>Final_Table[[#This Row],[Net Profit]]/Final_Table[[#This Row],[Gross Revenue]]</f>
        <v>-0.10104705882352939</v>
      </c>
    </row>
    <row r="1009" spans="1:22">
      <c r="A1009" s="18" t="s">
        <v>75</v>
      </c>
      <c r="B1009">
        <v>2014</v>
      </c>
      <c r="C1009" t="s">
        <v>126</v>
      </c>
      <c r="D1009">
        <v>1</v>
      </c>
      <c r="E1009" s="18" t="s">
        <v>30</v>
      </c>
      <c r="F1009" s="18" t="s">
        <v>108</v>
      </c>
      <c r="G1009" s="18" t="s">
        <v>21</v>
      </c>
      <c r="H1009" s="18" t="str">
        <f>Assumptions!$B$2</f>
        <v>Worst</v>
      </c>
      <c r="I1009" s="18">
        <f>_xlfn.XLOOKUP(Assumptions!$B$2,Assumptions!$F$4:$H$4,Assumptions!$F$5:$H$5)</f>
        <v>1200</v>
      </c>
      <c r="J1009" s="18">
        <f>_xlfn.XLOOKUP(Assumptions!$B$2,Assumptions!$F$4:$H$4,Assumptions!$F$6:$H$6)</f>
        <v>17</v>
      </c>
      <c r="K1009" s="12">
        <f>_xlfn.XLOOKUP(Assumptions!$B$2,Assumptions!$F$4:$H$4,Assumptions!$F$8:$H$8)</f>
        <v>0.1</v>
      </c>
      <c r="L1009" s="12">
        <f>_xlfn.XLOOKUP(Assumptions!$B$2,Assumptions!$F$4:$H$4,Assumptions!$F$9:$H$9)</f>
        <v>0.18</v>
      </c>
      <c r="M1009" s="18">
        <f>_xlfn.XLOOKUP(Assumptions!$B$2,Assumptions!$F$4:$H$4,Assumptions!$F$10:$H$10)</f>
        <v>18000</v>
      </c>
      <c r="N1009" s="12">
        <f>_xlfn.XLOOKUP(Assumptions!$B$2,Assumptions!$F$4:$H$4,Assumptions!$F$11:$H$11)</f>
        <v>0.3</v>
      </c>
      <c r="O1009" s="14">
        <f>Final_Table[[#This Row],[Units Sold]]*Final_Table[[#This Row],[Sale Price]]</f>
        <v>20400</v>
      </c>
      <c r="P1009" s="14">
        <f>Final_Table[[#This Row],[Gross Revenue]]*(1-Final_Table[[#This Row],[Discount %]])</f>
        <v>18360</v>
      </c>
      <c r="Q1009">
        <f>Final_Table[[#This Row],[Net Revenue]]*Final_Table[[#This Row],[Variable Cost %]]</f>
        <v>3304.7999999999997</v>
      </c>
      <c r="R1009">
        <f>Final_Table[[#This Row],[Variable Cost]]+Final_Table[[#This Row],[Fixed Monthly Cost]]</f>
        <v>21304.799999999999</v>
      </c>
      <c r="S1009" s="5">
        <f>Final_Table[[#This Row],[Net Revenue]]-Final_Table[[#This Row],[Total Cost (COGS)]]</f>
        <v>-2944.7999999999993</v>
      </c>
      <c r="T1009">
        <f>Final_Table[[#This Row],[Gross Profit]]*Final_Table[[#This Row],[Tax Rate]]</f>
        <v>-883.43999999999971</v>
      </c>
      <c r="U1009" s="5">
        <f>Final_Table[[#This Row],[Gross Profit]]-Final_Table[[#This Row],[Tax]]</f>
        <v>-2061.3599999999997</v>
      </c>
      <c r="V1009" s="12">
        <f>Final_Table[[#This Row],[Net Profit]]/Final_Table[[#This Row],[Gross Revenue]]</f>
        <v>-0.10104705882352939</v>
      </c>
    </row>
    <row r="1010" spans="1:22">
      <c r="A1010" s="18" t="s">
        <v>75</v>
      </c>
      <c r="B1010">
        <v>2014</v>
      </c>
      <c r="C1010" t="s">
        <v>126</v>
      </c>
      <c r="D1010">
        <v>1</v>
      </c>
      <c r="E1010" s="18" t="s">
        <v>30</v>
      </c>
      <c r="F1010" s="18" t="s">
        <v>108</v>
      </c>
      <c r="G1010" s="18" t="s">
        <v>25</v>
      </c>
      <c r="H1010" s="18" t="str">
        <f>Assumptions!$B$2</f>
        <v>Worst</v>
      </c>
      <c r="I1010" s="18">
        <f>_xlfn.XLOOKUP(Assumptions!$B$2,Assumptions!$F$4:$H$4,Assumptions!$F$5:$H$5)</f>
        <v>1200</v>
      </c>
      <c r="J1010" s="18">
        <f>_xlfn.XLOOKUP(Assumptions!$B$2,Assumptions!$F$4:$H$4,Assumptions!$F$6:$H$6)</f>
        <v>17</v>
      </c>
      <c r="K1010" s="12">
        <f>_xlfn.XLOOKUP(Assumptions!$B$2,Assumptions!$F$4:$H$4,Assumptions!$F$8:$H$8)</f>
        <v>0.1</v>
      </c>
      <c r="L1010" s="12">
        <f>_xlfn.XLOOKUP(Assumptions!$B$2,Assumptions!$F$4:$H$4,Assumptions!$F$9:$H$9)</f>
        <v>0.18</v>
      </c>
      <c r="M1010" s="18">
        <f>_xlfn.XLOOKUP(Assumptions!$B$2,Assumptions!$F$4:$H$4,Assumptions!$F$10:$H$10)</f>
        <v>18000</v>
      </c>
      <c r="N1010" s="12">
        <f>_xlfn.XLOOKUP(Assumptions!$B$2,Assumptions!$F$4:$H$4,Assumptions!$F$11:$H$11)</f>
        <v>0.3</v>
      </c>
      <c r="O1010" s="14">
        <f>Final_Table[[#This Row],[Units Sold]]*Final_Table[[#This Row],[Sale Price]]</f>
        <v>20400</v>
      </c>
      <c r="P1010" s="14">
        <f>Final_Table[[#This Row],[Gross Revenue]]*(1-Final_Table[[#This Row],[Discount %]])</f>
        <v>18360</v>
      </c>
      <c r="Q1010">
        <f>Final_Table[[#This Row],[Net Revenue]]*Final_Table[[#This Row],[Variable Cost %]]</f>
        <v>3304.7999999999997</v>
      </c>
      <c r="R1010">
        <f>Final_Table[[#This Row],[Variable Cost]]+Final_Table[[#This Row],[Fixed Monthly Cost]]</f>
        <v>21304.799999999999</v>
      </c>
      <c r="S1010" s="5">
        <f>Final_Table[[#This Row],[Net Revenue]]-Final_Table[[#This Row],[Total Cost (COGS)]]</f>
        <v>-2944.7999999999993</v>
      </c>
      <c r="T1010">
        <f>Final_Table[[#This Row],[Gross Profit]]*Final_Table[[#This Row],[Tax Rate]]</f>
        <v>-883.43999999999971</v>
      </c>
      <c r="U1010" s="5">
        <f>Final_Table[[#This Row],[Gross Profit]]-Final_Table[[#This Row],[Tax]]</f>
        <v>-2061.3599999999997</v>
      </c>
      <c r="V1010" s="12">
        <f>Final_Table[[#This Row],[Net Profit]]/Final_Table[[#This Row],[Gross Revenue]]</f>
        <v>-0.10104705882352939</v>
      </c>
    </row>
    <row r="1011" spans="1:22">
      <c r="A1011" s="18" t="s">
        <v>75</v>
      </c>
      <c r="B1011">
        <v>2014</v>
      </c>
      <c r="C1011" t="s">
        <v>126</v>
      </c>
      <c r="D1011">
        <v>1</v>
      </c>
      <c r="E1011" s="18" t="s">
        <v>30</v>
      </c>
      <c r="F1011" s="18" t="s">
        <v>108</v>
      </c>
      <c r="G1011" s="18" t="s">
        <v>17</v>
      </c>
      <c r="H1011" s="18" t="str">
        <f>Assumptions!$B$2</f>
        <v>Worst</v>
      </c>
      <c r="I1011" s="18">
        <f>_xlfn.XLOOKUP(Assumptions!$B$2,Assumptions!$F$4:$H$4,Assumptions!$F$5:$H$5)</f>
        <v>1200</v>
      </c>
      <c r="J1011" s="18">
        <f>_xlfn.XLOOKUP(Assumptions!$B$2,Assumptions!$F$4:$H$4,Assumptions!$F$6:$H$6)</f>
        <v>17</v>
      </c>
      <c r="K1011" s="12">
        <f>_xlfn.XLOOKUP(Assumptions!$B$2,Assumptions!$F$4:$H$4,Assumptions!$F$8:$H$8)</f>
        <v>0.1</v>
      </c>
      <c r="L1011" s="12">
        <f>_xlfn.XLOOKUP(Assumptions!$B$2,Assumptions!$F$4:$H$4,Assumptions!$F$9:$H$9)</f>
        <v>0.18</v>
      </c>
      <c r="M1011" s="18">
        <f>_xlfn.XLOOKUP(Assumptions!$B$2,Assumptions!$F$4:$H$4,Assumptions!$F$10:$H$10)</f>
        <v>18000</v>
      </c>
      <c r="N1011" s="12">
        <f>_xlfn.XLOOKUP(Assumptions!$B$2,Assumptions!$F$4:$H$4,Assumptions!$F$11:$H$11)</f>
        <v>0.3</v>
      </c>
      <c r="O1011" s="14">
        <f>Final_Table[[#This Row],[Units Sold]]*Final_Table[[#This Row],[Sale Price]]</f>
        <v>20400</v>
      </c>
      <c r="P1011" s="14">
        <f>Final_Table[[#This Row],[Gross Revenue]]*(1-Final_Table[[#This Row],[Discount %]])</f>
        <v>18360</v>
      </c>
      <c r="Q1011">
        <f>Final_Table[[#This Row],[Net Revenue]]*Final_Table[[#This Row],[Variable Cost %]]</f>
        <v>3304.7999999999997</v>
      </c>
      <c r="R1011">
        <f>Final_Table[[#This Row],[Variable Cost]]+Final_Table[[#This Row],[Fixed Monthly Cost]]</f>
        <v>21304.799999999999</v>
      </c>
      <c r="S1011" s="5">
        <f>Final_Table[[#This Row],[Net Revenue]]-Final_Table[[#This Row],[Total Cost (COGS)]]</f>
        <v>-2944.7999999999993</v>
      </c>
      <c r="T1011">
        <f>Final_Table[[#This Row],[Gross Profit]]*Final_Table[[#This Row],[Tax Rate]]</f>
        <v>-883.43999999999971</v>
      </c>
      <c r="U1011" s="5">
        <f>Final_Table[[#This Row],[Gross Profit]]-Final_Table[[#This Row],[Tax]]</f>
        <v>-2061.3599999999997</v>
      </c>
      <c r="V1011" s="12">
        <f>Final_Table[[#This Row],[Net Profit]]/Final_Table[[#This Row],[Gross Revenue]]</f>
        <v>-0.10104705882352939</v>
      </c>
    </row>
    <row r="1012" spans="1:22">
      <c r="A1012" s="18" t="s">
        <v>75</v>
      </c>
      <c r="B1012">
        <v>2014</v>
      </c>
      <c r="C1012" t="s">
        <v>126</v>
      </c>
      <c r="D1012">
        <v>1</v>
      </c>
      <c r="E1012" s="18" t="s">
        <v>30</v>
      </c>
      <c r="F1012" s="18" t="s">
        <v>112</v>
      </c>
      <c r="G1012" s="18" t="s">
        <v>36</v>
      </c>
      <c r="H1012" s="18" t="str">
        <f>Assumptions!$B$2</f>
        <v>Worst</v>
      </c>
      <c r="I1012" s="18">
        <f>_xlfn.XLOOKUP(Assumptions!$B$2,Assumptions!$F$4:$H$4,Assumptions!$F$5:$H$5)</f>
        <v>1200</v>
      </c>
      <c r="J1012" s="18">
        <f>_xlfn.XLOOKUP(Assumptions!$B$2,Assumptions!$F$4:$H$4,Assumptions!$F$6:$H$6)</f>
        <v>17</v>
      </c>
      <c r="K1012" s="12">
        <f>_xlfn.XLOOKUP(Assumptions!$B$2,Assumptions!$F$4:$H$4,Assumptions!$F$8:$H$8)</f>
        <v>0.1</v>
      </c>
      <c r="L1012" s="12">
        <f>_xlfn.XLOOKUP(Assumptions!$B$2,Assumptions!$F$4:$H$4,Assumptions!$F$9:$H$9)</f>
        <v>0.18</v>
      </c>
      <c r="M1012" s="18">
        <f>_xlfn.XLOOKUP(Assumptions!$B$2,Assumptions!$F$4:$H$4,Assumptions!$F$10:$H$10)</f>
        <v>18000</v>
      </c>
      <c r="N1012" s="12">
        <f>_xlfn.XLOOKUP(Assumptions!$B$2,Assumptions!$F$4:$H$4,Assumptions!$F$11:$H$11)</f>
        <v>0.3</v>
      </c>
      <c r="O1012" s="14">
        <f>Final_Table[[#This Row],[Units Sold]]*Final_Table[[#This Row],[Sale Price]]</f>
        <v>20400</v>
      </c>
      <c r="P1012" s="14">
        <f>Final_Table[[#This Row],[Gross Revenue]]*(1-Final_Table[[#This Row],[Discount %]])</f>
        <v>18360</v>
      </c>
      <c r="Q1012">
        <f>Final_Table[[#This Row],[Net Revenue]]*Final_Table[[#This Row],[Variable Cost %]]</f>
        <v>3304.7999999999997</v>
      </c>
      <c r="R1012">
        <f>Final_Table[[#This Row],[Variable Cost]]+Final_Table[[#This Row],[Fixed Monthly Cost]]</f>
        <v>21304.799999999999</v>
      </c>
      <c r="S1012" s="5">
        <f>Final_Table[[#This Row],[Net Revenue]]-Final_Table[[#This Row],[Total Cost (COGS)]]</f>
        <v>-2944.7999999999993</v>
      </c>
      <c r="T1012">
        <f>Final_Table[[#This Row],[Gross Profit]]*Final_Table[[#This Row],[Tax Rate]]</f>
        <v>-883.43999999999971</v>
      </c>
      <c r="U1012" s="5">
        <f>Final_Table[[#This Row],[Gross Profit]]-Final_Table[[#This Row],[Tax]]</f>
        <v>-2061.3599999999997</v>
      </c>
      <c r="V1012" s="12">
        <f>Final_Table[[#This Row],[Net Profit]]/Final_Table[[#This Row],[Gross Revenue]]</f>
        <v>-0.10104705882352939</v>
      </c>
    </row>
    <row r="1013" spans="1:22">
      <c r="A1013" s="18" t="s">
        <v>75</v>
      </c>
      <c r="B1013">
        <v>2014</v>
      </c>
      <c r="C1013" t="s">
        <v>126</v>
      </c>
      <c r="D1013">
        <v>1</v>
      </c>
      <c r="E1013" s="18" t="s">
        <v>30</v>
      </c>
      <c r="F1013" s="18" t="s">
        <v>112</v>
      </c>
      <c r="G1013" s="18" t="s">
        <v>23</v>
      </c>
      <c r="H1013" s="18" t="str">
        <f>Assumptions!$B$2</f>
        <v>Worst</v>
      </c>
      <c r="I1013" s="18">
        <f>_xlfn.XLOOKUP(Assumptions!$B$2,Assumptions!$F$4:$H$4,Assumptions!$F$5:$H$5)</f>
        <v>1200</v>
      </c>
      <c r="J1013" s="18">
        <f>_xlfn.XLOOKUP(Assumptions!$B$2,Assumptions!$F$4:$H$4,Assumptions!$F$6:$H$6)</f>
        <v>17</v>
      </c>
      <c r="K1013" s="12">
        <f>_xlfn.XLOOKUP(Assumptions!$B$2,Assumptions!$F$4:$H$4,Assumptions!$F$8:$H$8)</f>
        <v>0.1</v>
      </c>
      <c r="L1013" s="12">
        <f>_xlfn.XLOOKUP(Assumptions!$B$2,Assumptions!$F$4:$H$4,Assumptions!$F$9:$H$9)</f>
        <v>0.18</v>
      </c>
      <c r="M1013" s="18">
        <f>_xlfn.XLOOKUP(Assumptions!$B$2,Assumptions!$F$4:$H$4,Assumptions!$F$10:$H$10)</f>
        <v>18000</v>
      </c>
      <c r="N1013" s="12">
        <f>_xlfn.XLOOKUP(Assumptions!$B$2,Assumptions!$F$4:$H$4,Assumptions!$F$11:$H$11)</f>
        <v>0.3</v>
      </c>
      <c r="O1013" s="14">
        <f>Final_Table[[#This Row],[Units Sold]]*Final_Table[[#This Row],[Sale Price]]</f>
        <v>20400</v>
      </c>
      <c r="P1013" s="14">
        <f>Final_Table[[#This Row],[Gross Revenue]]*(1-Final_Table[[#This Row],[Discount %]])</f>
        <v>18360</v>
      </c>
      <c r="Q1013">
        <f>Final_Table[[#This Row],[Net Revenue]]*Final_Table[[#This Row],[Variable Cost %]]</f>
        <v>3304.7999999999997</v>
      </c>
      <c r="R1013">
        <f>Final_Table[[#This Row],[Variable Cost]]+Final_Table[[#This Row],[Fixed Monthly Cost]]</f>
        <v>21304.799999999999</v>
      </c>
      <c r="S1013" s="5">
        <f>Final_Table[[#This Row],[Net Revenue]]-Final_Table[[#This Row],[Total Cost (COGS)]]</f>
        <v>-2944.7999999999993</v>
      </c>
      <c r="T1013">
        <f>Final_Table[[#This Row],[Gross Profit]]*Final_Table[[#This Row],[Tax Rate]]</f>
        <v>-883.43999999999971</v>
      </c>
      <c r="U1013" s="5">
        <f>Final_Table[[#This Row],[Gross Profit]]-Final_Table[[#This Row],[Tax]]</f>
        <v>-2061.3599999999997</v>
      </c>
      <c r="V1013" s="12">
        <f>Final_Table[[#This Row],[Net Profit]]/Final_Table[[#This Row],[Gross Revenue]]</f>
        <v>-0.10104705882352939</v>
      </c>
    </row>
    <row r="1014" spans="1:22">
      <c r="A1014" s="18" t="s">
        <v>75</v>
      </c>
      <c r="B1014">
        <v>2014</v>
      </c>
      <c r="C1014" t="s">
        <v>126</v>
      </c>
      <c r="D1014">
        <v>1</v>
      </c>
      <c r="E1014" s="18" t="s">
        <v>30</v>
      </c>
      <c r="F1014" s="18" t="s">
        <v>112</v>
      </c>
      <c r="G1014" s="18" t="s">
        <v>21</v>
      </c>
      <c r="H1014" s="18" t="str">
        <f>Assumptions!$B$2</f>
        <v>Worst</v>
      </c>
      <c r="I1014" s="18">
        <f>_xlfn.XLOOKUP(Assumptions!$B$2,Assumptions!$F$4:$H$4,Assumptions!$F$5:$H$5)</f>
        <v>1200</v>
      </c>
      <c r="J1014" s="18">
        <f>_xlfn.XLOOKUP(Assumptions!$B$2,Assumptions!$F$4:$H$4,Assumptions!$F$6:$H$6)</f>
        <v>17</v>
      </c>
      <c r="K1014" s="12">
        <f>_xlfn.XLOOKUP(Assumptions!$B$2,Assumptions!$F$4:$H$4,Assumptions!$F$8:$H$8)</f>
        <v>0.1</v>
      </c>
      <c r="L1014" s="12">
        <f>_xlfn.XLOOKUP(Assumptions!$B$2,Assumptions!$F$4:$H$4,Assumptions!$F$9:$H$9)</f>
        <v>0.18</v>
      </c>
      <c r="M1014" s="18">
        <f>_xlfn.XLOOKUP(Assumptions!$B$2,Assumptions!$F$4:$H$4,Assumptions!$F$10:$H$10)</f>
        <v>18000</v>
      </c>
      <c r="N1014" s="12">
        <f>_xlfn.XLOOKUP(Assumptions!$B$2,Assumptions!$F$4:$H$4,Assumptions!$F$11:$H$11)</f>
        <v>0.3</v>
      </c>
      <c r="O1014" s="14">
        <f>Final_Table[[#This Row],[Units Sold]]*Final_Table[[#This Row],[Sale Price]]</f>
        <v>20400</v>
      </c>
      <c r="P1014" s="14">
        <f>Final_Table[[#This Row],[Gross Revenue]]*(1-Final_Table[[#This Row],[Discount %]])</f>
        <v>18360</v>
      </c>
      <c r="Q1014">
        <f>Final_Table[[#This Row],[Net Revenue]]*Final_Table[[#This Row],[Variable Cost %]]</f>
        <v>3304.7999999999997</v>
      </c>
      <c r="R1014">
        <f>Final_Table[[#This Row],[Variable Cost]]+Final_Table[[#This Row],[Fixed Monthly Cost]]</f>
        <v>21304.799999999999</v>
      </c>
      <c r="S1014" s="5">
        <f>Final_Table[[#This Row],[Net Revenue]]-Final_Table[[#This Row],[Total Cost (COGS)]]</f>
        <v>-2944.7999999999993</v>
      </c>
      <c r="T1014">
        <f>Final_Table[[#This Row],[Gross Profit]]*Final_Table[[#This Row],[Tax Rate]]</f>
        <v>-883.43999999999971</v>
      </c>
      <c r="U1014" s="5">
        <f>Final_Table[[#This Row],[Gross Profit]]-Final_Table[[#This Row],[Tax]]</f>
        <v>-2061.3599999999997</v>
      </c>
      <c r="V1014" s="12">
        <f>Final_Table[[#This Row],[Net Profit]]/Final_Table[[#This Row],[Gross Revenue]]</f>
        <v>-0.10104705882352939</v>
      </c>
    </row>
    <row r="1015" spans="1:22">
      <c r="A1015" s="18" t="s">
        <v>75</v>
      </c>
      <c r="B1015">
        <v>2014</v>
      </c>
      <c r="C1015" t="s">
        <v>126</v>
      </c>
      <c r="D1015">
        <v>1</v>
      </c>
      <c r="E1015" s="18" t="s">
        <v>30</v>
      </c>
      <c r="F1015" s="18" t="s">
        <v>112</v>
      </c>
      <c r="G1015" s="18" t="s">
        <v>25</v>
      </c>
      <c r="H1015" s="18" t="str">
        <f>Assumptions!$B$2</f>
        <v>Worst</v>
      </c>
      <c r="I1015" s="18">
        <f>_xlfn.XLOOKUP(Assumptions!$B$2,Assumptions!$F$4:$H$4,Assumptions!$F$5:$H$5)</f>
        <v>1200</v>
      </c>
      <c r="J1015" s="18">
        <f>_xlfn.XLOOKUP(Assumptions!$B$2,Assumptions!$F$4:$H$4,Assumptions!$F$6:$H$6)</f>
        <v>17</v>
      </c>
      <c r="K1015" s="12">
        <f>_xlfn.XLOOKUP(Assumptions!$B$2,Assumptions!$F$4:$H$4,Assumptions!$F$8:$H$8)</f>
        <v>0.1</v>
      </c>
      <c r="L1015" s="12">
        <f>_xlfn.XLOOKUP(Assumptions!$B$2,Assumptions!$F$4:$H$4,Assumptions!$F$9:$H$9)</f>
        <v>0.18</v>
      </c>
      <c r="M1015" s="18">
        <f>_xlfn.XLOOKUP(Assumptions!$B$2,Assumptions!$F$4:$H$4,Assumptions!$F$10:$H$10)</f>
        <v>18000</v>
      </c>
      <c r="N1015" s="12">
        <f>_xlfn.XLOOKUP(Assumptions!$B$2,Assumptions!$F$4:$H$4,Assumptions!$F$11:$H$11)</f>
        <v>0.3</v>
      </c>
      <c r="O1015" s="14">
        <f>Final_Table[[#This Row],[Units Sold]]*Final_Table[[#This Row],[Sale Price]]</f>
        <v>20400</v>
      </c>
      <c r="P1015" s="14">
        <f>Final_Table[[#This Row],[Gross Revenue]]*(1-Final_Table[[#This Row],[Discount %]])</f>
        <v>18360</v>
      </c>
      <c r="Q1015">
        <f>Final_Table[[#This Row],[Net Revenue]]*Final_Table[[#This Row],[Variable Cost %]]</f>
        <v>3304.7999999999997</v>
      </c>
      <c r="R1015">
        <f>Final_Table[[#This Row],[Variable Cost]]+Final_Table[[#This Row],[Fixed Monthly Cost]]</f>
        <v>21304.799999999999</v>
      </c>
      <c r="S1015" s="5">
        <f>Final_Table[[#This Row],[Net Revenue]]-Final_Table[[#This Row],[Total Cost (COGS)]]</f>
        <v>-2944.7999999999993</v>
      </c>
      <c r="T1015">
        <f>Final_Table[[#This Row],[Gross Profit]]*Final_Table[[#This Row],[Tax Rate]]</f>
        <v>-883.43999999999971</v>
      </c>
      <c r="U1015" s="5">
        <f>Final_Table[[#This Row],[Gross Profit]]-Final_Table[[#This Row],[Tax]]</f>
        <v>-2061.3599999999997</v>
      </c>
      <c r="V1015" s="12">
        <f>Final_Table[[#This Row],[Net Profit]]/Final_Table[[#This Row],[Gross Revenue]]</f>
        <v>-0.10104705882352939</v>
      </c>
    </row>
    <row r="1016" spans="1:22">
      <c r="A1016" s="18" t="s">
        <v>75</v>
      </c>
      <c r="B1016">
        <v>2014</v>
      </c>
      <c r="C1016" t="s">
        <v>126</v>
      </c>
      <c r="D1016">
        <v>1</v>
      </c>
      <c r="E1016" s="18" t="s">
        <v>30</v>
      </c>
      <c r="F1016" s="18" t="s">
        <v>112</v>
      </c>
      <c r="G1016" s="18" t="s">
        <v>17</v>
      </c>
      <c r="H1016" s="18" t="str">
        <f>Assumptions!$B$2</f>
        <v>Worst</v>
      </c>
      <c r="I1016" s="18">
        <f>_xlfn.XLOOKUP(Assumptions!$B$2,Assumptions!$F$4:$H$4,Assumptions!$F$5:$H$5)</f>
        <v>1200</v>
      </c>
      <c r="J1016" s="18">
        <f>_xlfn.XLOOKUP(Assumptions!$B$2,Assumptions!$F$4:$H$4,Assumptions!$F$6:$H$6)</f>
        <v>17</v>
      </c>
      <c r="K1016" s="12">
        <f>_xlfn.XLOOKUP(Assumptions!$B$2,Assumptions!$F$4:$H$4,Assumptions!$F$8:$H$8)</f>
        <v>0.1</v>
      </c>
      <c r="L1016" s="12">
        <f>_xlfn.XLOOKUP(Assumptions!$B$2,Assumptions!$F$4:$H$4,Assumptions!$F$9:$H$9)</f>
        <v>0.18</v>
      </c>
      <c r="M1016" s="18">
        <f>_xlfn.XLOOKUP(Assumptions!$B$2,Assumptions!$F$4:$H$4,Assumptions!$F$10:$H$10)</f>
        <v>18000</v>
      </c>
      <c r="N1016" s="12">
        <f>_xlfn.XLOOKUP(Assumptions!$B$2,Assumptions!$F$4:$H$4,Assumptions!$F$11:$H$11)</f>
        <v>0.3</v>
      </c>
      <c r="O1016" s="14">
        <f>Final_Table[[#This Row],[Units Sold]]*Final_Table[[#This Row],[Sale Price]]</f>
        <v>20400</v>
      </c>
      <c r="P1016" s="14">
        <f>Final_Table[[#This Row],[Gross Revenue]]*(1-Final_Table[[#This Row],[Discount %]])</f>
        <v>18360</v>
      </c>
      <c r="Q1016">
        <f>Final_Table[[#This Row],[Net Revenue]]*Final_Table[[#This Row],[Variable Cost %]]</f>
        <v>3304.7999999999997</v>
      </c>
      <c r="R1016">
        <f>Final_Table[[#This Row],[Variable Cost]]+Final_Table[[#This Row],[Fixed Monthly Cost]]</f>
        <v>21304.799999999999</v>
      </c>
      <c r="S1016" s="5">
        <f>Final_Table[[#This Row],[Net Revenue]]-Final_Table[[#This Row],[Total Cost (COGS)]]</f>
        <v>-2944.7999999999993</v>
      </c>
      <c r="T1016">
        <f>Final_Table[[#This Row],[Gross Profit]]*Final_Table[[#This Row],[Tax Rate]]</f>
        <v>-883.43999999999971</v>
      </c>
      <c r="U1016" s="5">
        <f>Final_Table[[#This Row],[Gross Profit]]-Final_Table[[#This Row],[Tax]]</f>
        <v>-2061.3599999999997</v>
      </c>
      <c r="V1016" s="12">
        <f>Final_Table[[#This Row],[Net Profit]]/Final_Table[[#This Row],[Gross Revenue]]</f>
        <v>-0.10104705882352939</v>
      </c>
    </row>
    <row r="1017" spans="1:22">
      <c r="A1017" s="18" t="s">
        <v>75</v>
      </c>
      <c r="B1017">
        <v>2014</v>
      </c>
      <c r="C1017" t="s">
        <v>126</v>
      </c>
      <c r="D1017">
        <v>1</v>
      </c>
      <c r="E1017" s="18" t="s">
        <v>30</v>
      </c>
      <c r="F1017" s="18" t="s">
        <v>113</v>
      </c>
      <c r="G1017" s="18" t="s">
        <v>36</v>
      </c>
      <c r="H1017" s="18" t="str">
        <f>Assumptions!$B$2</f>
        <v>Worst</v>
      </c>
      <c r="I1017" s="18">
        <f>_xlfn.XLOOKUP(Assumptions!$B$2,Assumptions!$F$4:$H$4,Assumptions!$F$5:$H$5)</f>
        <v>1200</v>
      </c>
      <c r="J1017" s="18">
        <f>_xlfn.XLOOKUP(Assumptions!$B$2,Assumptions!$F$4:$H$4,Assumptions!$F$6:$H$6)</f>
        <v>17</v>
      </c>
      <c r="K1017" s="12">
        <f>_xlfn.XLOOKUP(Assumptions!$B$2,Assumptions!$F$4:$H$4,Assumptions!$F$8:$H$8)</f>
        <v>0.1</v>
      </c>
      <c r="L1017" s="12">
        <f>_xlfn.XLOOKUP(Assumptions!$B$2,Assumptions!$F$4:$H$4,Assumptions!$F$9:$H$9)</f>
        <v>0.18</v>
      </c>
      <c r="M1017" s="18">
        <f>_xlfn.XLOOKUP(Assumptions!$B$2,Assumptions!$F$4:$H$4,Assumptions!$F$10:$H$10)</f>
        <v>18000</v>
      </c>
      <c r="N1017" s="12">
        <f>_xlfn.XLOOKUP(Assumptions!$B$2,Assumptions!$F$4:$H$4,Assumptions!$F$11:$H$11)</f>
        <v>0.3</v>
      </c>
      <c r="O1017" s="14">
        <f>Final_Table[[#This Row],[Units Sold]]*Final_Table[[#This Row],[Sale Price]]</f>
        <v>20400</v>
      </c>
      <c r="P1017" s="14">
        <f>Final_Table[[#This Row],[Gross Revenue]]*(1-Final_Table[[#This Row],[Discount %]])</f>
        <v>18360</v>
      </c>
      <c r="Q1017">
        <f>Final_Table[[#This Row],[Net Revenue]]*Final_Table[[#This Row],[Variable Cost %]]</f>
        <v>3304.7999999999997</v>
      </c>
      <c r="R1017">
        <f>Final_Table[[#This Row],[Variable Cost]]+Final_Table[[#This Row],[Fixed Monthly Cost]]</f>
        <v>21304.799999999999</v>
      </c>
      <c r="S1017" s="5">
        <f>Final_Table[[#This Row],[Net Revenue]]-Final_Table[[#This Row],[Total Cost (COGS)]]</f>
        <v>-2944.7999999999993</v>
      </c>
      <c r="T1017">
        <f>Final_Table[[#This Row],[Gross Profit]]*Final_Table[[#This Row],[Tax Rate]]</f>
        <v>-883.43999999999971</v>
      </c>
      <c r="U1017" s="5">
        <f>Final_Table[[#This Row],[Gross Profit]]-Final_Table[[#This Row],[Tax]]</f>
        <v>-2061.3599999999997</v>
      </c>
      <c r="V1017" s="12">
        <f>Final_Table[[#This Row],[Net Profit]]/Final_Table[[#This Row],[Gross Revenue]]</f>
        <v>-0.10104705882352939</v>
      </c>
    </row>
    <row r="1018" spans="1:22">
      <c r="A1018" s="18" t="s">
        <v>75</v>
      </c>
      <c r="B1018">
        <v>2014</v>
      </c>
      <c r="C1018" t="s">
        <v>126</v>
      </c>
      <c r="D1018">
        <v>1</v>
      </c>
      <c r="E1018" s="18" t="s">
        <v>30</v>
      </c>
      <c r="F1018" s="18" t="s">
        <v>113</v>
      </c>
      <c r="G1018" s="18" t="s">
        <v>23</v>
      </c>
      <c r="H1018" s="18" t="str">
        <f>Assumptions!$B$2</f>
        <v>Worst</v>
      </c>
      <c r="I1018" s="18">
        <f>_xlfn.XLOOKUP(Assumptions!$B$2,Assumptions!$F$4:$H$4,Assumptions!$F$5:$H$5)</f>
        <v>1200</v>
      </c>
      <c r="J1018" s="18">
        <f>_xlfn.XLOOKUP(Assumptions!$B$2,Assumptions!$F$4:$H$4,Assumptions!$F$6:$H$6)</f>
        <v>17</v>
      </c>
      <c r="K1018" s="12">
        <f>_xlfn.XLOOKUP(Assumptions!$B$2,Assumptions!$F$4:$H$4,Assumptions!$F$8:$H$8)</f>
        <v>0.1</v>
      </c>
      <c r="L1018" s="12">
        <f>_xlfn.XLOOKUP(Assumptions!$B$2,Assumptions!$F$4:$H$4,Assumptions!$F$9:$H$9)</f>
        <v>0.18</v>
      </c>
      <c r="M1018" s="18">
        <f>_xlfn.XLOOKUP(Assumptions!$B$2,Assumptions!$F$4:$H$4,Assumptions!$F$10:$H$10)</f>
        <v>18000</v>
      </c>
      <c r="N1018" s="12">
        <f>_xlfn.XLOOKUP(Assumptions!$B$2,Assumptions!$F$4:$H$4,Assumptions!$F$11:$H$11)</f>
        <v>0.3</v>
      </c>
      <c r="O1018" s="14">
        <f>Final_Table[[#This Row],[Units Sold]]*Final_Table[[#This Row],[Sale Price]]</f>
        <v>20400</v>
      </c>
      <c r="P1018" s="14">
        <f>Final_Table[[#This Row],[Gross Revenue]]*(1-Final_Table[[#This Row],[Discount %]])</f>
        <v>18360</v>
      </c>
      <c r="Q1018">
        <f>Final_Table[[#This Row],[Net Revenue]]*Final_Table[[#This Row],[Variable Cost %]]</f>
        <v>3304.7999999999997</v>
      </c>
      <c r="R1018">
        <f>Final_Table[[#This Row],[Variable Cost]]+Final_Table[[#This Row],[Fixed Monthly Cost]]</f>
        <v>21304.799999999999</v>
      </c>
      <c r="S1018" s="5">
        <f>Final_Table[[#This Row],[Net Revenue]]-Final_Table[[#This Row],[Total Cost (COGS)]]</f>
        <v>-2944.7999999999993</v>
      </c>
      <c r="T1018">
        <f>Final_Table[[#This Row],[Gross Profit]]*Final_Table[[#This Row],[Tax Rate]]</f>
        <v>-883.43999999999971</v>
      </c>
      <c r="U1018" s="5">
        <f>Final_Table[[#This Row],[Gross Profit]]-Final_Table[[#This Row],[Tax]]</f>
        <v>-2061.3599999999997</v>
      </c>
      <c r="V1018" s="12">
        <f>Final_Table[[#This Row],[Net Profit]]/Final_Table[[#This Row],[Gross Revenue]]</f>
        <v>-0.10104705882352939</v>
      </c>
    </row>
    <row r="1019" spans="1:22">
      <c r="A1019" s="18" t="s">
        <v>75</v>
      </c>
      <c r="B1019">
        <v>2014</v>
      </c>
      <c r="C1019" t="s">
        <v>126</v>
      </c>
      <c r="D1019">
        <v>1</v>
      </c>
      <c r="E1019" s="18" t="s">
        <v>30</v>
      </c>
      <c r="F1019" s="18" t="s">
        <v>113</v>
      </c>
      <c r="G1019" s="18" t="s">
        <v>21</v>
      </c>
      <c r="H1019" s="18" t="str">
        <f>Assumptions!$B$2</f>
        <v>Worst</v>
      </c>
      <c r="I1019" s="18">
        <f>_xlfn.XLOOKUP(Assumptions!$B$2,Assumptions!$F$4:$H$4,Assumptions!$F$5:$H$5)</f>
        <v>1200</v>
      </c>
      <c r="J1019" s="18">
        <f>_xlfn.XLOOKUP(Assumptions!$B$2,Assumptions!$F$4:$H$4,Assumptions!$F$6:$H$6)</f>
        <v>17</v>
      </c>
      <c r="K1019" s="12">
        <f>_xlfn.XLOOKUP(Assumptions!$B$2,Assumptions!$F$4:$H$4,Assumptions!$F$8:$H$8)</f>
        <v>0.1</v>
      </c>
      <c r="L1019" s="12">
        <f>_xlfn.XLOOKUP(Assumptions!$B$2,Assumptions!$F$4:$H$4,Assumptions!$F$9:$H$9)</f>
        <v>0.18</v>
      </c>
      <c r="M1019" s="18">
        <f>_xlfn.XLOOKUP(Assumptions!$B$2,Assumptions!$F$4:$H$4,Assumptions!$F$10:$H$10)</f>
        <v>18000</v>
      </c>
      <c r="N1019" s="12">
        <f>_xlfn.XLOOKUP(Assumptions!$B$2,Assumptions!$F$4:$H$4,Assumptions!$F$11:$H$11)</f>
        <v>0.3</v>
      </c>
      <c r="O1019" s="14">
        <f>Final_Table[[#This Row],[Units Sold]]*Final_Table[[#This Row],[Sale Price]]</f>
        <v>20400</v>
      </c>
      <c r="P1019" s="14">
        <f>Final_Table[[#This Row],[Gross Revenue]]*(1-Final_Table[[#This Row],[Discount %]])</f>
        <v>18360</v>
      </c>
      <c r="Q1019">
        <f>Final_Table[[#This Row],[Net Revenue]]*Final_Table[[#This Row],[Variable Cost %]]</f>
        <v>3304.7999999999997</v>
      </c>
      <c r="R1019">
        <f>Final_Table[[#This Row],[Variable Cost]]+Final_Table[[#This Row],[Fixed Monthly Cost]]</f>
        <v>21304.799999999999</v>
      </c>
      <c r="S1019" s="5">
        <f>Final_Table[[#This Row],[Net Revenue]]-Final_Table[[#This Row],[Total Cost (COGS)]]</f>
        <v>-2944.7999999999993</v>
      </c>
      <c r="T1019">
        <f>Final_Table[[#This Row],[Gross Profit]]*Final_Table[[#This Row],[Tax Rate]]</f>
        <v>-883.43999999999971</v>
      </c>
      <c r="U1019" s="5">
        <f>Final_Table[[#This Row],[Gross Profit]]-Final_Table[[#This Row],[Tax]]</f>
        <v>-2061.3599999999997</v>
      </c>
      <c r="V1019" s="12">
        <f>Final_Table[[#This Row],[Net Profit]]/Final_Table[[#This Row],[Gross Revenue]]</f>
        <v>-0.10104705882352939</v>
      </c>
    </row>
    <row r="1020" spans="1:22">
      <c r="A1020" s="18" t="s">
        <v>75</v>
      </c>
      <c r="B1020">
        <v>2014</v>
      </c>
      <c r="C1020" t="s">
        <v>126</v>
      </c>
      <c r="D1020">
        <v>1</v>
      </c>
      <c r="E1020" s="18" t="s">
        <v>30</v>
      </c>
      <c r="F1020" s="18" t="s">
        <v>113</v>
      </c>
      <c r="G1020" s="18" t="s">
        <v>25</v>
      </c>
      <c r="H1020" s="18" t="str">
        <f>Assumptions!$B$2</f>
        <v>Worst</v>
      </c>
      <c r="I1020" s="18">
        <f>_xlfn.XLOOKUP(Assumptions!$B$2,Assumptions!$F$4:$H$4,Assumptions!$F$5:$H$5)</f>
        <v>1200</v>
      </c>
      <c r="J1020" s="18">
        <f>_xlfn.XLOOKUP(Assumptions!$B$2,Assumptions!$F$4:$H$4,Assumptions!$F$6:$H$6)</f>
        <v>17</v>
      </c>
      <c r="K1020" s="12">
        <f>_xlfn.XLOOKUP(Assumptions!$B$2,Assumptions!$F$4:$H$4,Assumptions!$F$8:$H$8)</f>
        <v>0.1</v>
      </c>
      <c r="L1020" s="12">
        <f>_xlfn.XLOOKUP(Assumptions!$B$2,Assumptions!$F$4:$H$4,Assumptions!$F$9:$H$9)</f>
        <v>0.18</v>
      </c>
      <c r="M1020" s="18">
        <f>_xlfn.XLOOKUP(Assumptions!$B$2,Assumptions!$F$4:$H$4,Assumptions!$F$10:$H$10)</f>
        <v>18000</v>
      </c>
      <c r="N1020" s="12">
        <f>_xlfn.XLOOKUP(Assumptions!$B$2,Assumptions!$F$4:$H$4,Assumptions!$F$11:$H$11)</f>
        <v>0.3</v>
      </c>
      <c r="O1020" s="14">
        <f>Final_Table[[#This Row],[Units Sold]]*Final_Table[[#This Row],[Sale Price]]</f>
        <v>20400</v>
      </c>
      <c r="P1020" s="14">
        <f>Final_Table[[#This Row],[Gross Revenue]]*(1-Final_Table[[#This Row],[Discount %]])</f>
        <v>18360</v>
      </c>
      <c r="Q1020">
        <f>Final_Table[[#This Row],[Net Revenue]]*Final_Table[[#This Row],[Variable Cost %]]</f>
        <v>3304.7999999999997</v>
      </c>
      <c r="R1020">
        <f>Final_Table[[#This Row],[Variable Cost]]+Final_Table[[#This Row],[Fixed Monthly Cost]]</f>
        <v>21304.799999999999</v>
      </c>
      <c r="S1020" s="5">
        <f>Final_Table[[#This Row],[Net Revenue]]-Final_Table[[#This Row],[Total Cost (COGS)]]</f>
        <v>-2944.7999999999993</v>
      </c>
      <c r="T1020">
        <f>Final_Table[[#This Row],[Gross Profit]]*Final_Table[[#This Row],[Tax Rate]]</f>
        <v>-883.43999999999971</v>
      </c>
      <c r="U1020" s="5">
        <f>Final_Table[[#This Row],[Gross Profit]]-Final_Table[[#This Row],[Tax]]</f>
        <v>-2061.3599999999997</v>
      </c>
      <c r="V1020" s="12">
        <f>Final_Table[[#This Row],[Net Profit]]/Final_Table[[#This Row],[Gross Revenue]]</f>
        <v>-0.10104705882352939</v>
      </c>
    </row>
    <row r="1021" spans="1:22">
      <c r="A1021" s="18" t="s">
        <v>75</v>
      </c>
      <c r="B1021">
        <v>2014</v>
      </c>
      <c r="C1021" t="s">
        <v>126</v>
      </c>
      <c r="D1021">
        <v>1</v>
      </c>
      <c r="E1021" s="18" t="s">
        <v>30</v>
      </c>
      <c r="F1021" s="18" t="s">
        <v>113</v>
      </c>
      <c r="G1021" s="18" t="s">
        <v>17</v>
      </c>
      <c r="H1021" s="18" t="str">
        <f>Assumptions!$B$2</f>
        <v>Worst</v>
      </c>
      <c r="I1021" s="18">
        <f>_xlfn.XLOOKUP(Assumptions!$B$2,Assumptions!$F$4:$H$4,Assumptions!$F$5:$H$5)</f>
        <v>1200</v>
      </c>
      <c r="J1021" s="18">
        <f>_xlfn.XLOOKUP(Assumptions!$B$2,Assumptions!$F$4:$H$4,Assumptions!$F$6:$H$6)</f>
        <v>17</v>
      </c>
      <c r="K1021" s="12">
        <f>_xlfn.XLOOKUP(Assumptions!$B$2,Assumptions!$F$4:$H$4,Assumptions!$F$8:$H$8)</f>
        <v>0.1</v>
      </c>
      <c r="L1021" s="12">
        <f>_xlfn.XLOOKUP(Assumptions!$B$2,Assumptions!$F$4:$H$4,Assumptions!$F$9:$H$9)</f>
        <v>0.18</v>
      </c>
      <c r="M1021" s="18">
        <f>_xlfn.XLOOKUP(Assumptions!$B$2,Assumptions!$F$4:$H$4,Assumptions!$F$10:$H$10)</f>
        <v>18000</v>
      </c>
      <c r="N1021" s="12">
        <f>_xlfn.XLOOKUP(Assumptions!$B$2,Assumptions!$F$4:$H$4,Assumptions!$F$11:$H$11)</f>
        <v>0.3</v>
      </c>
      <c r="O1021" s="14">
        <f>Final_Table[[#This Row],[Units Sold]]*Final_Table[[#This Row],[Sale Price]]</f>
        <v>20400</v>
      </c>
      <c r="P1021" s="14">
        <f>Final_Table[[#This Row],[Gross Revenue]]*(1-Final_Table[[#This Row],[Discount %]])</f>
        <v>18360</v>
      </c>
      <c r="Q1021">
        <f>Final_Table[[#This Row],[Net Revenue]]*Final_Table[[#This Row],[Variable Cost %]]</f>
        <v>3304.7999999999997</v>
      </c>
      <c r="R1021">
        <f>Final_Table[[#This Row],[Variable Cost]]+Final_Table[[#This Row],[Fixed Monthly Cost]]</f>
        <v>21304.799999999999</v>
      </c>
      <c r="S1021" s="5">
        <f>Final_Table[[#This Row],[Net Revenue]]-Final_Table[[#This Row],[Total Cost (COGS)]]</f>
        <v>-2944.7999999999993</v>
      </c>
      <c r="T1021">
        <f>Final_Table[[#This Row],[Gross Profit]]*Final_Table[[#This Row],[Tax Rate]]</f>
        <v>-883.43999999999971</v>
      </c>
      <c r="U1021" s="5">
        <f>Final_Table[[#This Row],[Gross Profit]]-Final_Table[[#This Row],[Tax]]</f>
        <v>-2061.3599999999997</v>
      </c>
      <c r="V1021" s="12">
        <f>Final_Table[[#This Row],[Net Profit]]/Final_Table[[#This Row],[Gross Revenue]]</f>
        <v>-0.10104705882352939</v>
      </c>
    </row>
    <row r="1022" spans="1:22">
      <c r="A1022" s="18" t="s">
        <v>75</v>
      </c>
      <c r="B1022">
        <v>2014</v>
      </c>
      <c r="C1022" t="s">
        <v>126</v>
      </c>
      <c r="D1022">
        <v>1</v>
      </c>
      <c r="E1022" s="18" t="s">
        <v>30</v>
      </c>
      <c r="F1022" s="18" t="s">
        <v>114</v>
      </c>
      <c r="G1022" s="18" t="s">
        <v>36</v>
      </c>
      <c r="H1022" s="18" t="str">
        <f>Assumptions!$B$2</f>
        <v>Worst</v>
      </c>
      <c r="I1022" s="18">
        <f>_xlfn.XLOOKUP(Assumptions!$B$2,Assumptions!$F$4:$H$4,Assumptions!$F$5:$H$5)</f>
        <v>1200</v>
      </c>
      <c r="J1022" s="18">
        <f>_xlfn.XLOOKUP(Assumptions!$B$2,Assumptions!$F$4:$H$4,Assumptions!$F$6:$H$6)</f>
        <v>17</v>
      </c>
      <c r="K1022" s="12">
        <f>_xlfn.XLOOKUP(Assumptions!$B$2,Assumptions!$F$4:$H$4,Assumptions!$F$8:$H$8)</f>
        <v>0.1</v>
      </c>
      <c r="L1022" s="12">
        <f>_xlfn.XLOOKUP(Assumptions!$B$2,Assumptions!$F$4:$H$4,Assumptions!$F$9:$H$9)</f>
        <v>0.18</v>
      </c>
      <c r="M1022" s="18">
        <f>_xlfn.XLOOKUP(Assumptions!$B$2,Assumptions!$F$4:$H$4,Assumptions!$F$10:$H$10)</f>
        <v>18000</v>
      </c>
      <c r="N1022" s="12">
        <f>_xlfn.XLOOKUP(Assumptions!$B$2,Assumptions!$F$4:$H$4,Assumptions!$F$11:$H$11)</f>
        <v>0.3</v>
      </c>
      <c r="O1022" s="14">
        <f>Final_Table[[#This Row],[Units Sold]]*Final_Table[[#This Row],[Sale Price]]</f>
        <v>20400</v>
      </c>
      <c r="P1022" s="14">
        <f>Final_Table[[#This Row],[Gross Revenue]]*(1-Final_Table[[#This Row],[Discount %]])</f>
        <v>18360</v>
      </c>
      <c r="Q1022">
        <f>Final_Table[[#This Row],[Net Revenue]]*Final_Table[[#This Row],[Variable Cost %]]</f>
        <v>3304.7999999999997</v>
      </c>
      <c r="R1022">
        <f>Final_Table[[#This Row],[Variable Cost]]+Final_Table[[#This Row],[Fixed Monthly Cost]]</f>
        <v>21304.799999999999</v>
      </c>
      <c r="S1022" s="5">
        <f>Final_Table[[#This Row],[Net Revenue]]-Final_Table[[#This Row],[Total Cost (COGS)]]</f>
        <v>-2944.7999999999993</v>
      </c>
      <c r="T1022">
        <f>Final_Table[[#This Row],[Gross Profit]]*Final_Table[[#This Row],[Tax Rate]]</f>
        <v>-883.43999999999971</v>
      </c>
      <c r="U1022" s="5">
        <f>Final_Table[[#This Row],[Gross Profit]]-Final_Table[[#This Row],[Tax]]</f>
        <v>-2061.3599999999997</v>
      </c>
      <c r="V1022" s="12">
        <f>Final_Table[[#This Row],[Net Profit]]/Final_Table[[#This Row],[Gross Revenue]]</f>
        <v>-0.10104705882352939</v>
      </c>
    </row>
    <row r="1023" spans="1:22">
      <c r="A1023" s="18" t="s">
        <v>75</v>
      </c>
      <c r="B1023">
        <v>2014</v>
      </c>
      <c r="C1023" t="s">
        <v>126</v>
      </c>
      <c r="D1023">
        <v>1</v>
      </c>
      <c r="E1023" s="18" t="s">
        <v>30</v>
      </c>
      <c r="F1023" s="18" t="s">
        <v>114</v>
      </c>
      <c r="G1023" s="18" t="s">
        <v>23</v>
      </c>
      <c r="H1023" s="18" t="str">
        <f>Assumptions!$B$2</f>
        <v>Worst</v>
      </c>
      <c r="I1023" s="18">
        <f>_xlfn.XLOOKUP(Assumptions!$B$2,Assumptions!$F$4:$H$4,Assumptions!$F$5:$H$5)</f>
        <v>1200</v>
      </c>
      <c r="J1023" s="18">
        <f>_xlfn.XLOOKUP(Assumptions!$B$2,Assumptions!$F$4:$H$4,Assumptions!$F$6:$H$6)</f>
        <v>17</v>
      </c>
      <c r="K1023" s="12">
        <f>_xlfn.XLOOKUP(Assumptions!$B$2,Assumptions!$F$4:$H$4,Assumptions!$F$8:$H$8)</f>
        <v>0.1</v>
      </c>
      <c r="L1023" s="12">
        <f>_xlfn.XLOOKUP(Assumptions!$B$2,Assumptions!$F$4:$H$4,Assumptions!$F$9:$H$9)</f>
        <v>0.18</v>
      </c>
      <c r="M1023" s="18">
        <f>_xlfn.XLOOKUP(Assumptions!$B$2,Assumptions!$F$4:$H$4,Assumptions!$F$10:$H$10)</f>
        <v>18000</v>
      </c>
      <c r="N1023" s="12">
        <f>_xlfn.XLOOKUP(Assumptions!$B$2,Assumptions!$F$4:$H$4,Assumptions!$F$11:$H$11)</f>
        <v>0.3</v>
      </c>
      <c r="O1023" s="14">
        <f>Final_Table[[#This Row],[Units Sold]]*Final_Table[[#This Row],[Sale Price]]</f>
        <v>20400</v>
      </c>
      <c r="P1023" s="14">
        <f>Final_Table[[#This Row],[Gross Revenue]]*(1-Final_Table[[#This Row],[Discount %]])</f>
        <v>18360</v>
      </c>
      <c r="Q1023">
        <f>Final_Table[[#This Row],[Net Revenue]]*Final_Table[[#This Row],[Variable Cost %]]</f>
        <v>3304.7999999999997</v>
      </c>
      <c r="R1023">
        <f>Final_Table[[#This Row],[Variable Cost]]+Final_Table[[#This Row],[Fixed Monthly Cost]]</f>
        <v>21304.799999999999</v>
      </c>
      <c r="S1023" s="5">
        <f>Final_Table[[#This Row],[Net Revenue]]-Final_Table[[#This Row],[Total Cost (COGS)]]</f>
        <v>-2944.7999999999993</v>
      </c>
      <c r="T1023">
        <f>Final_Table[[#This Row],[Gross Profit]]*Final_Table[[#This Row],[Tax Rate]]</f>
        <v>-883.43999999999971</v>
      </c>
      <c r="U1023" s="5">
        <f>Final_Table[[#This Row],[Gross Profit]]-Final_Table[[#This Row],[Tax]]</f>
        <v>-2061.3599999999997</v>
      </c>
      <c r="V1023" s="12">
        <f>Final_Table[[#This Row],[Net Profit]]/Final_Table[[#This Row],[Gross Revenue]]</f>
        <v>-0.10104705882352939</v>
      </c>
    </row>
    <row r="1024" spans="1:22">
      <c r="A1024" s="18" t="s">
        <v>75</v>
      </c>
      <c r="B1024">
        <v>2014</v>
      </c>
      <c r="C1024" t="s">
        <v>126</v>
      </c>
      <c r="D1024">
        <v>1</v>
      </c>
      <c r="E1024" s="18" t="s">
        <v>30</v>
      </c>
      <c r="F1024" s="18" t="s">
        <v>114</v>
      </c>
      <c r="G1024" s="18" t="s">
        <v>21</v>
      </c>
      <c r="H1024" s="18" t="str">
        <f>Assumptions!$B$2</f>
        <v>Worst</v>
      </c>
      <c r="I1024" s="18">
        <f>_xlfn.XLOOKUP(Assumptions!$B$2,Assumptions!$F$4:$H$4,Assumptions!$F$5:$H$5)</f>
        <v>1200</v>
      </c>
      <c r="J1024" s="18">
        <f>_xlfn.XLOOKUP(Assumptions!$B$2,Assumptions!$F$4:$H$4,Assumptions!$F$6:$H$6)</f>
        <v>17</v>
      </c>
      <c r="K1024" s="12">
        <f>_xlfn.XLOOKUP(Assumptions!$B$2,Assumptions!$F$4:$H$4,Assumptions!$F$8:$H$8)</f>
        <v>0.1</v>
      </c>
      <c r="L1024" s="12">
        <f>_xlfn.XLOOKUP(Assumptions!$B$2,Assumptions!$F$4:$H$4,Assumptions!$F$9:$H$9)</f>
        <v>0.18</v>
      </c>
      <c r="M1024" s="18">
        <f>_xlfn.XLOOKUP(Assumptions!$B$2,Assumptions!$F$4:$H$4,Assumptions!$F$10:$H$10)</f>
        <v>18000</v>
      </c>
      <c r="N1024" s="12">
        <f>_xlfn.XLOOKUP(Assumptions!$B$2,Assumptions!$F$4:$H$4,Assumptions!$F$11:$H$11)</f>
        <v>0.3</v>
      </c>
      <c r="O1024" s="14">
        <f>Final_Table[[#This Row],[Units Sold]]*Final_Table[[#This Row],[Sale Price]]</f>
        <v>20400</v>
      </c>
      <c r="P1024" s="14">
        <f>Final_Table[[#This Row],[Gross Revenue]]*(1-Final_Table[[#This Row],[Discount %]])</f>
        <v>18360</v>
      </c>
      <c r="Q1024">
        <f>Final_Table[[#This Row],[Net Revenue]]*Final_Table[[#This Row],[Variable Cost %]]</f>
        <v>3304.7999999999997</v>
      </c>
      <c r="R1024">
        <f>Final_Table[[#This Row],[Variable Cost]]+Final_Table[[#This Row],[Fixed Monthly Cost]]</f>
        <v>21304.799999999999</v>
      </c>
      <c r="S1024" s="5">
        <f>Final_Table[[#This Row],[Net Revenue]]-Final_Table[[#This Row],[Total Cost (COGS)]]</f>
        <v>-2944.7999999999993</v>
      </c>
      <c r="T1024">
        <f>Final_Table[[#This Row],[Gross Profit]]*Final_Table[[#This Row],[Tax Rate]]</f>
        <v>-883.43999999999971</v>
      </c>
      <c r="U1024" s="5">
        <f>Final_Table[[#This Row],[Gross Profit]]-Final_Table[[#This Row],[Tax]]</f>
        <v>-2061.3599999999997</v>
      </c>
      <c r="V1024" s="12">
        <f>Final_Table[[#This Row],[Net Profit]]/Final_Table[[#This Row],[Gross Revenue]]</f>
        <v>-0.10104705882352939</v>
      </c>
    </row>
    <row r="1025" spans="1:22">
      <c r="A1025" s="18" t="s">
        <v>75</v>
      </c>
      <c r="B1025">
        <v>2014</v>
      </c>
      <c r="C1025" t="s">
        <v>126</v>
      </c>
      <c r="D1025">
        <v>1</v>
      </c>
      <c r="E1025" s="18" t="s">
        <v>30</v>
      </c>
      <c r="F1025" s="18" t="s">
        <v>114</v>
      </c>
      <c r="G1025" s="18" t="s">
        <v>25</v>
      </c>
      <c r="H1025" s="18" t="str">
        <f>Assumptions!$B$2</f>
        <v>Worst</v>
      </c>
      <c r="I1025" s="18">
        <f>_xlfn.XLOOKUP(Assumptions!$B$2,Assumptions!$F$4:$H$4,Assumptions!$F$5:$H$5)</f>
        <v>1200</v>
      </c>
      <c r="J1025" s="18">
        <f>_xlfn.XLOOKUP(Assumptions!$B$2,Assumptions!$F$4:$H$4,Assumptions!$F$6:$H$6)</f>
        <v>17</v>
      </c>
      <c r="K1025" s="12">
        <f>_xlfn.XLOOKUP(Assumptions!$B$2,Assumptions!$F$4:$H$4,Assumptions!$F$8:$H$8)</f>
        <v>0.1</v>
      </c>
      <c r="L1025" s="12">
        <f>_xlfn.XLOOKUP(Assumptions!$B$2,Assumptions!$F$4:$H$4,Assumptions!$F$9:$H$9)</f>
        <v>0.18</v>
      </c>
      <c r="M1025" s="18">
        <f>_xlfn.XLOOKUP(Assumptions!$B$2,Assumptions!$F$4:$H$4,Assumptions!$F$10:$H$10)</f>
        <v>18000</v>
      </c>
      <c r="N1025" s="12">
        <f>_xlfn.XLOOKUP(Assumptions!$B$2,Assumptions!$F$4:$H$4,Assumptions!$F$11:$H$11)</f>
        <v>0.3</v>
      </c>
      <c r="O1025" s="14">
        <f>Final_Table[[#This Row],[Units Sold]]*Final_Table[[#This Row],[Sale Price]]</f>
        <v>20400</v>
      </c>
      <c r="P1025" s="14">
        <f>Final_Table[[#This Row],[Gross Revenue]]*(1-Final_Table[[#This Row],[Discount %]])</f>
        <v>18360</v>
      </c>
      <c r="Q1025">
        <f>Final_Table[[#This Row],[Net Revenue]]*Final_Table[[#This Row],[Variable Cost %]]</f>
        <v>3304.7999999999997</v>
      </c>
      <c r="R1025">
        <f>Final_Table[[#This Row],[Variable Cost]]+Final_Table[[#This Row],[Fixed Monthly Cost]]</f>
        <v>21304.799999999999</v>
      </c>
      <c r="S1025" s="5">
        <f>Final_Table[[#This Row],[Net Revenue]]-Final_Table[[#This Row],[Total Cost (COGS)]]</f>
        <v>-2944.7999999999993</v>
      </c>
      <c r="T1025">
        <f>Final_Table[[#This Row],[Gross Profit]]*Final_Table[[#This Row],[Tax Rate]]</f>
        <v>-883.43999999999971</v>
      </c>
      <c r="U1025" s="5">
        <f>Final_Table[[#This Row],[Gross Profit]]-Final_Table[[#This Row],[Tax]]</f>
        <v>-2061.3599999999997</v>
      </c>
      <c r="V1025" s="12">
        <f>Final_Table[[#This Row],[Net Profit]]/Final_Table[[#This Row],[Gross Revenue]]</f>
        <v>-0.10104705882352939</v>
      </c>
    </row>
    <row r="1026" spans="1:22">
      <c r="A1026" s="18" t="s">
        <v>75</v>
      </c>
      <c r="B1026">
        <v>2014</v>
      </c>
      <c r="C1026" t="s">
        <v>126</v>
      </c>
      <c r="D1026">
        <v>1</v>
      </c>
      <c r="E1026" s="18" t="s">
        <v>30</v>
      </c>
      <c r="F1026" s="18" t="s">
        <v>114</v>
      </c>
      <c r="G1026" s="18" t="s">
        <v>17</v>
      </c>
      <c r="H1026" s="18" t="str">
        <f>Assumptions!$B$2</f>
        <v>Worst</v>
      </c>
      <c r="I1026" s="18">
        <f>_xlfn.XLOOKUP(Assumptions!$B$2,Assumptions!$F$4:$H$4,Assumptions!$F$5:$H$5)</f>
        <v>1200</v>
      </c>
      <c r="J1026" s="18">
        <f>_xlfn.XLOOKUP(Assumptions!$B$2,Assumptions!$F$4:$H$4,Assumptions!$F$6:$H$6)</f>
        <v>17</v>
      </c>
      <c r="K1026" s="12">
        <f>_xlfn.XLOOKUP(Assumptions!$B$2,Assumptions!$F$4:$H$4,Assumptions!$F$8:$H$8)</f>
        <v>0.1</v>
      </c>
      <c r="L1026" s="12">
        <f>_xlfn.XLOOKUP(Assumptions!$B$2,Assumptions!$F$4:$H$4,Assumptions!$F$9:$H$9)</f>
        <v>0.18</v>
      </c>
      <c r="M1026" s="18">
        <f>_xlfn.XLOOKUP(Assumptions!$B$2,Assumptions!$F$4:$H$4,Assumptions!$F$10:$H$10)</f>
        <v>18000</v>
      </c>
      <c r="N1026" s="12">
        <f>_xlfn.XLOOKUP(Assumptions!$B$2,Assumptions!$F$4:$H$4,Assumptions!$F$11:$H$11)</f>
        <v>0.3</v>
      </c>
      <c r="O1026" s="14">
        <f>Final_Table[[#This Row],[Units Sold]]*Final_Table[[#This Row],[Sale Price]]</f>
        <v>20400</v>
      </c>
      <c r="P1026" s="14">
        <f>Final_Table[[#This Row],[Gross Revenue]]*(1-Final_Table[[#This Row],[Discount %]])</f>
        <v>18360</v>
      </c>
      <c r="Q1026">
        <f>Final_Table[[#This Row],[Net Revenue]]*Final_Table[[#This Row],[Variable Cost %]]</f>
        <v>3304.7999999999997</v>
      </c>
      <c r="R1026">
        <f>Final_Table[[#This Row],[Variable Cost]]+Final_Table[[#This Row],[Fixed Monthly Cost]]</f>
        <v>21304.799999999999</v>
      </c>
      <c r="S1026" s="5">
        <f>Final_Table[[#This Row],[Net Revenue]]-Final_Table[[#This Row],[Total Cost (COGS)]]</f>
        <v>-2944.7999999999993</v>
      </c>
      <c r="T1026">
        <f>Final_Table[[#This Row],[Gross Profit]]*Final_Table[[#This Row],[Tax Rate]]</f>
        <v>-883.43999999999971</v>
      </c>
      <c r="U1026" s="5">
        <f>Final_Table[[#This Row],[Gross Profit]]-Final_Table[[#This Row],[Tax]]</f>
        <v>-2061.3599999999997</v>
      </c>
      <c r="V1026" s="12">
        <f>Final_Table[[#This Row],[Net Profit]]/Final_Table[[#This Row],[Gross Revenue]]</f>
        <v>-0.10104705882352939</v>
      </c>
    </row>
    <row r="1027" spans="1:22">
      <c r="A1027" s="18" t="s">
        <v>75</v>
      </c>
      <c r="B1027">
        <v>2014</v>
      </c>
      <c r="C1027" t="s">
        <v>126</v>
      </c>
      <c r="D1027">
        <v>1</v>
      </c>
      <c r="E1027" s="18" t="s">
        <v>29</v>
      </c>
      <c r="F1027" s="18" t="s">
        <v>80</v>
      </c>
      <c r="G1027" s="18" t="s">
        <v>36</v>
      </c>
      <c r="H1027" s="18" t="str">
        <f>Assumptions!$B$2</f>
        <v>Worst</v>
      </c>
      <c r="I1027" s="18">
        <f>_xlfn.XLOOKUP(Assumptions!$B$2,Assumptions!$F$4:$H$4,Assumptions!$F$5:$H$5)</f>
        <v>1200</v>
      </c>
      <c r="J1027" s="18">
        <f>_xlfn.XLOOKUP(Assumptions!$B$2,Assumptions!$F$4:$H$4,Assumptions!$F$6:$H$6)</f>
        <v>17</v>
      </c>
      <c r="K1027" s="12">
        <f>_xlfn.XLOOKUP(Assumptions!$B$2,Assumptions!$F$4:$H$4,Assumptions!$F$8:$H$8)</f>
        <v>0.1</v>
      </c>
      <c r="L1027" s="12">
        <f>_xlfn.XLOOKUP(Assumptions!$B$2,Assumptions!$F$4:$H$4,Assumptions!$F$9:$H$9)</f>
        <v>0.18</v>
      </c>
      <c r="M1027" s="18">
        <f>_xlfn.XLOOKUP(Assumptions!$B$2,Assumptions!$F$4:$H$4,Assumptions!$F$10:$H$10)</f>
        <v>18000</v>
      </c>
      <c r="N1027" s="12">
        <f>_xlfn.XLOOKUP(Assumptions!$B$2,Assumptions!$F$4:$H$4,Assumptions!$F$11:$H$11)</f>
        <v>0.3</v>
      </c>
      <c r="O1027" s="14">
        <f>Final_Table[[#This Row],[Units Sold]]*Final_Table[[#This Row],[Sale Price]]</f>
        <v>20400</v>
      </c>
      <c r="P1027" s="14">
        <f>Final_Table[[#This Row],[Gross Revenue]]*(1-Final_Table[[#This Row],[Discount %]])</f>
        <v>18360</v>
      </c>
      <c r="Q1027">
        <f>Final_Table[[#This Row],[Net Revenue]]*Final_Table[[#This Row],[Variable Cost %]]</f>
        <v>3304.7999999999997</v>
      </c>
      <c r="R1027">
        <f>Final_Table[[#This Row],[Variable Cost]]+Final_Table[[#This Row],[Fixed Monthly Cost]]</f>
        <v>21304.799999999999</v>
      </c>
      <c r="S1027" s="5">
        <f>Final_Table[[#This Row],[Net Revenue]]-Final_Table[[#This Row],[Total Cost (COGS)]]</f>
        <v>-2944.7999999999993</v>
      </c>
      <c r="T1027">
        <f>Final_Table[[#This Row],[Gross Profit]]*Final_Table[[#This Row],[Tax Rate]]</f>
        <v>-883.43999999999971</v>
      </c>
      <c r="U1027" s="5">
        <f>Final_Table[[#This Row],[Gross Profit]]-Final_Table[[#This Row],[Tax]]</f>
        <v>-2061.3599999999997</v>
      </c>
      <c r="V1027" s="12">
        <f>Final_Table[[#This Row],[Net Profit]]/Final_Table[[#This Row],[Gross Revenue]]</f>
        <v>-0.10104705882352939</v>
      </c>
    </row>
    <row r="1028" spans="1:22">
      <c r="A1028" s="18" t="s">
        <v>75</v>
      </c>
      <c r="B1028">
        <v>2014</v>
      </c>
      <c r="C1028" t="s">
        <v>126</v>
      </c>
      <c r="D1028">
        <v>1</v>
      </c>
      <c r="E1028" s="18" t="s">
        <v>29</v>
      </c>
      <c r="F1028" s="18" t="s">
        <v>80</v>
      </c>
      <c r="G1028" s="18" t="s">
        <v>23</v>
      </c>
      <c r="H1028" s="18" t="str">
        <f>Assumptions!$B$2</f>
        <v>Worst</v>
      </c>
      <c r="I1028" s="18">
        <f>_xlfn.XLOOKUP(Assumptions!$B$2,Assumptions!$F$4:$H$4,Assumptions!$F$5:$H$5)</f>
        <v>1200</v>
      </c>
      <c r="J1028" s="18">
        <f>_xlfn.XLOOKUP(Assumptions!$B$2,Assumptions!$F$4:$H$4,Assumptions!$F$6:$H$6)</f>
        <v>17</v>
      </c>
      <c r="K1028" s="12">
        <f>_xlfn.XLOOKUP(Assumptions!$B$2,Assumptions!$F$4:$H$4,Assumptions!$F$8:$H$8)</f>
        <v>0.1</v>
      </c>
      <c r="L1028" s="12">
        <f>_xlfn.XLOOKUP(Assumptions!$B$2,Assumptions!$F$4:$H$4,Assumptions!$F$9:$H$9)</f>
        <v>0.18</v>
      </c>
      <c r="M1028" s="18">
        <f>_xlfn.XLOOKUP(Assumptions!$B$2,Assumptions!$F$4:$H$4,Assumptions!$F$10:$H$10)</f>
        <v>18000</v>
      </c>
      <c r="N1028" s="12">
        <f>_xlfn.XLOOKUP(Assumptions!$B$2,Assumptions!$F$4:$H$4,Assumptions!$F$11:$H$11)</f>
        <v>0.3</v>
      </c>
      <c r="O1028" s="14">
        <f>Final_Table[[#This Row],[Units Sold]]*Final_Table[[#This Row],[Sale Price]]</f>
        <v>20400</v>
      </c>
      <c r="P1028" s="14">
        <f>Final_Table[[#This Row],[Gross Revenue]]*(1-Final_Table[[#This Row],[Discount %]])</f>
        <v>18360</v>
      </c>
      <c r="Q1028">
        <f>Final_Table[[#This Row],[Net Revenue]]*Final_Table[[#This Row],[Variable Cost %]]</f>
        <v>3304.7999999999997</v>
      </c>
      <c r="R1028">
        <f>Final_Table[[#This Row],[Variable Cost]]+Final_Table[[#This Row],[Fixed Monthly Cost]]</f>
        <v>21304.799999999999</v>
      </c>
      <c r="S1028" s="5">
        <f>Final_Table[[#This Row],[Net Revenue]]-Final_Table[[#This Row],[Total Cost (COGS)]]</f>
        <v>-2944.7999999999993</v>
      </c>
      <c r="T1028">
        <f>Final_Table[[#This Row],[Gross Profit]]*Final_Table[[#This Row],[Tax Rate]]</f>
        <v>-883.43999999999971</v>
      </c>
      <c r="U1028" s="5">
        <f>Final_Table[[#This Row],[Gross Profit]]-Final_Table[[#This Row],[Tax]]</f>
        <v>-2061.3599999999997</v>
      </c>
      <c r="V1028" s="12">
        <f>Final_Table[[#This Row],[Net Profit]]/Final_Table[[#This Row],[Gross Revenue]]</f>
        <v>-0.10104705882352939</v>
      </c>
    </row>
    <row r="1029" spans="1:22">
      <c r="A1029" s="18" t="s">
        <v>75</v>
      </c>
      <c r="B1029">
        <v>2014</v>
      </c>
      <c r="C1029" t="s">
        <v>126</v>
      </c>
      <c r="D1029">
        <v>1</v>
      </c>
      <c r="E1029" s="18" t="s">
        <v>29</v>
      </c>
      <c r="F1029" s="18" t="s">
        <v>80</v>
      </c>
      <c r="G1029" s="18" t="s">
        <v>21</v>
      </c>
      <c r="H1029" s="18" t="str">
        <f>Assumptions!$B$2</f>
        <v>Worst</v>
      </c>
      <c r="I1029" s="18">
        <f>_xlfn.XLOOKUP(Assumptions!$B$2,Assumptions!$F$4:$H$4,Assumptions!$F$5:$H$5)</f>
        <v>1200</v>
      </c>
      <c r="J1029" s="18">
        <f>_xlfn.XLOOKUP(Assumptions!$B$2,Assumptions!$F$4:$H$4,Assumptions!$F$6:$H$6)</f>
        <v>17</v>
      </c>
      <c r="K1029" s="12">
        <f>_xlfn.XLOOKUP(Assumptions!$B$2,Assumptions!$F$4:$H$4,Assumptions!$F$8:$H$8)</f>
        <v>0.1</v>
      </c>
      <c r="L1029" s="12">
        <f>_xlfn.XLOOKUP(Assumptions!$B$2,Assumptions!$F$4:$H$4,Assumptions!$F$9:$H$9)</f>
        <v>0.18</v>
      </c>
      <c r="M1029" s="18">
        <f>_xlfn.XLOOKUP(Assumptions!$B$2,Assumptions!$F$4:$H$4,Assumptions!$F$10:$H$10)</f>
        <v>18000</v>
      </c>
      <c r="N1029" s="12">
        <f>_xlfn.XLOOKUP(Assumptions!$B$2,Assumptions!$F$4:$H$4,Assumptions!$F$11:$H$11)</f>
        <v>0.3</v>
      </c>
      <c r="O1029" s="14">
        <f>Final_Table[[#This Row],[Units Sold]]*Final_Table[[#This Row],[Sale Price]]</f>
        <v>20400</v>
      </c>
      <c r="P1029" s="14">
        <f>Final_Table[[#This Row],[Gross Revenue]]*(1-Final_Table[[#This Row],[Discount %]])</f>
        <v>18360</v>
      </c>
      <c r="Q1029">
        <f>Final_Table[[#This Row],[Net Revenue]]*Final_Table[[#This Row],[Variable Cost %]]</f>
        <v>3304.7999999999997</v>
      </c>
      <c r="R1029">
        <f>Final_Table[[#This Row],[Variable Cost]]+Final_Table[[#This Row],[Fixed Monthly Cost]]</f>
        <v>21304.799999999999</v>
      </c>
      <c r="S1029" s="5">
        <f>Final_Table[[#This Row],[Net Revenue]]-Final_Table[[#This Row],[Total Cost (COGS)]]</f>
        <v>-2944.7999999999993</v>
      </c>
      <c r="T1029">
        <f>Final_Table[[#This Row],[Gross Profit]]*Final_Table[[#This Row],[Tax Rate]]</f>
        <v>-883.43999999999971</v>
      </c>
      <c r="U1029" s="5">
        <f>Final_Table[[#This Row],[Gross Profit]]-Final_Table[[#This Row],[Tax]]</f>
        <v>-2061.3599999999997</v>
      </c>
      <c r="V1029" s="12">
        <f>Final_Table[[#This Row],[Net Profit]]/Final_Table[[#This Row],[Gross Revenue]]</f>
        <v>-0.10104705882352939</v>
      </c>
    </row>
    <row r="1030" spans="1:22">
      <c r="A1030" s="18" t="s">
        <v>75</v>
      </c>
      <c r="B1030">
        <v>2014</v>
      </c>
      <c r="C1030" t="s">
        <v>126</v>
      </c>
      <c r="D1030">
        <v>1</v>
      </c>
      <c r="E1030" s="18" t="s">
        <v>29</v>
      </c>
      <c r="F1030" s="18" t="s">
        <v>80</v>
      </c>
      <c r="G1030" s="18" t="s">
        <v>25</v>
      </c>
      <c r="H1030" s="18" t="str">
        <f>Assumptions!$B$2</f>
        <v>Worst</v>
      </c>
      <c r="I1030" s="18">
        <f>_xlfn.XLOOKUP(Assumptions!$B$2,Assumptions!$F$4:$H$4,Assumptions!$F$5:$H$5)</f>
        <v>1200</v>
      </c>
      <c r="J1030" s="18">
        <f>_xlfn.XLOOKUP(Assumptions!$B$2,Assumptions!$F$4:$H$4,Assumptions!$F$6:$H$6)</f>
        <v>17</v>
      </c>
      <c r="K1030" s="12">
        <f>_xlfn.XLOOKUP(Assumptions!$B$2,Assumptions!$F$4:$H$4,Assumptions!$F$8:$H$8)</f>
        <v>0.1</v>
      </c>
      <c r="L1030" s="12">
        <f>_xlfn.XLOOKUP(Assumptions!$B$2,Assumptions!$F$4:$H$4,Assumptions!$F$9:$H$9)</f>
        <v>0.18</v>
      </c>
      <c r="M1030" s="18">
        <f>_xlfn.XLOOKUP(Assumptions!$B$2,Assumptions!$F$4:$H$4,Assumptions!$F$10:$H$10)</f>
        <v>18000</v>
      </c>
      <c r="N1030" s="12">
        <f>_xlfn.XLOOKUP(Assumptions!$B$2,Assumptions!$F$4:$H$4,Assumptions!$F$11:$H$11)</f>
        <v>0.3</v>
      </c>
      <c r="O1030" s="14">
        <f>Final_Table[[#This Row],[Units Sold]]*Final_Table[[#This Row],[Sale Price]]</f>
        <v>20400</v>
      </c>
      <c r="P1030" s="14">
        <f>Final_Table[[#This Row],[Gross Revenue]]*(1-Final_Table[[#This Row],[Discount %]])</f>
        <v>18360</v>
      </c>
      <c r="Q1030">
        <f>Final_Table[[#This Row],[Net Revenue]]*Final_Table[[#This Row],[Variable Cost %]]</f>
        <v>3304.7999999999997</v>
      </c>
      <c r="R1030">
        <f>Final_Table[[#This Row],[Variable Cost]]+Final_Table[[#This Row],[Fixed Monthly Cost]]</f>
        <v>21304.799999999999</v>
      </c>
      <c r="S1030" s="5">
        <f>Final_Table[[#This Row],[Net Revenue]]-Final_Table[[#This Row],[Total Cost (COGS)]]</f>
        <v>-2944.7999999999993</v>
      </c>
      <c r="T1030">
        <f>Final_Table[[#This Row],[Gross Profit]]*Final_Table[[#This Row],[Tax Rate]]</f>
        <v>-883.43999999999971</v>
      </c>
      <c r="U1030" s="5">
        <f>Final_Table[[#This Row],[Gross Profit]]-Final_Table[[#This Row],[Tax]]</f>
        <v>-2061.3599999999997</v>
      </c>
      <c r="V1030" s="12">
        <f>Final_Table[[#This Row],[Net Profit]]/Final_Table[[#This Row],[Gross Revenue]]</f>
        <v>-0.10104705882352939</v>
      </c>
    </row>
    <row r="1031" spans="1:22">
      <c r="A1031" s="18" t="s">
        <v>75</v>
      </c>
      <c r="B1031">
        <v>2014</v>
      </c>
      <c r="C1031" t="s">
        <v>126</v>
      </c>
      <c r="D1031">
        <v>1</v>
      </c>
      <c r="E1031" s="18" t="s">
        <v>29</v>
      </c>
      <c r="F1031" s="18" t="s">
        <v>80</v>
      </c>
      <c r="G1031" s="18" t="s">
        <v>17</v>
      </c>
      <c r="H1031" s="18" t="str">
        <f>Assumptions!$B$2</f>
        <v>Worst</v>
      </c>
      <c r="I1031" s="18">
        <f>_xlfn.XLOOKUP(Assumptions!$B$2,Assumptions!$F$4:$H$4,Assumptions!$F$5:$H$5)</f>
        <v>1200</v>
      </c>
      <c r="J1031" s="18">
        <f>_xlfn.XLOOKUP(Assumptions!$B$2,Assumptions!$F$4:$H$4,Assumptions!$F$6:$H$6)</f>
        <v>17</v>
      </c>
      <c r="K1031" s="12">
        <f>_xlfn.XLOOKUP(Assumptions!$B$2,Assumptions!$F$4:$H$4,Assumptions!$F$8:$H$8)</f>
        <v>0.1</v>
      </c>
      <c r="L1031" s="12">
        <f>_xlfn.XLOOKUP(Assumptions!$B$2,Assumptions!$F$4:$H$4,Assumptions!$F$9:$H$9)</f>
        <v>0.18</v>
      </c>
      <c r="M1031" s="18">
        <f>_xlfn.XLOOKUP(Assumptions!$B$2,Assumptions!$F$4:$H$4,Assumptions!$F$10:$H$10)</f>
        <v>18000</v>
      </c>
      <c r="N1031" s="12">
        <f>_xlfn.XLOOKUP(Assumptions!$B$2,Assumptions!$F$4:$H$4,Assumptions!$F$11:$H$11)</f>
        <v>0.3</v>
      </c>
      <c r="O1031" s="14">
        <f>Final_Table[[#This Row],[Units Sold]]*Final_Table[[#This Row],[Sale Price]]</f>
        <v>20400</v>
      </c>
      <c r="P1031" s="14">
        <f>Final_Table[[#This Row],[Gross Revenue]]*(1-Final_Table[[#This Row],[Discount %]])</f>
        <v>18360</v>
      </c>
      <c r="Q1031">
        <f>Final_Table[[#This Row],[Net Revenue]]*Final_Table[[#This Row],[Variable Cost %]]</f>
        <v>3304.7999999999997</v>
      </c>
      <c r="R1031">
        <f>Final_Table[[#This Row],[Variable Cost]]+Final_Table[[#This Row],[Fixed Monthly Cost]]</f>
        <v>21304.799999999999</v>
      </c>
      <c r="S1031" s="5">
        <f>Final_Table[[#This Row],[Net Revenue]]-Final_Table[[#This Row],[Total Cost (COGS)]]</f>
        <v>-2944.7999999999993</v>
      </c>
      <c r="T1031">
        <f>Final_Table[[#This Row],[Gross Profit]]*Final_Table[[#This Row],[Tax Rate]]</f>
        <v>-883.43999999999971</v>
      </c>
      <c r="U1031" s="5">
        <f>Final_Table[[#This Row],[Gross Profit]]-Final_Table[[#This Row],[Tax]]</f>
        <v>-2061.3599999999997</v>
      </c>
      <c r="V1031" s="12">
        <f>Final_Table[[#This Row],[Net Profit]]/Final_Table[[#This Row],[Gross Revenue]]</f>
        <v>-0.10104705882352939</v>
      </c>
    </row>
    <row r="1032" spans="1:22">
      <c r="A1032" s="18" t="s">
        <v>75</v>
      </c>
      <c r="B1032">
        <v>2014</v>
      </c>
      <c r="C1032" t="s">
        <v>126</v>
      </c>
      <c r="D1032">
        <v>1</v>
      </c>
      <c r="E1032" s="18" t="s">
        <v>29</v>
      </c>
      <c r="F1032" s="18" t="s">
        <v>108</v>
      </c>
      <c r="G1032" s="18" t="s">
        <v>36</v>
      </c>
      <c r="H1032" s="18" t="str">
        <f>Assumptions!$B$2</f>
        <v>Worst</v>
      </c>
      <c r="I1032" s="18">
        <f>_xlfn.XLOOKUP(Assumptions!$B$2,Assumptions!$F$4:$H$4,Assumptions!$F$5:$H$5)</f>
        <v>1200</v>
      </c>
      <c r="J1032" s="18">
        <f>_xlfn.XLOOKUP(Assumptions!$B$2,Assumptions!$F$4:$H$4,Assumptions!$F$6:$H$6)</f>
        <v>17</v>
      </c>
      <c r="K1032" s="12">
        <f>_xlfn.XLOOKUP(Assumptions!$B$2,Assumptions!$F$4:$H$4,Assumptions!$F$8:$H$8)</f>
        <v>0.1</v>
      </c>
      <c r="L1032" s="12">
        <f>_xlfn.XLOOKUP(Assumptions!$B$2,Assumptions!$F$4:$H$4,Assumptions!$F$9:$H$9)</f>
        <v>0.18</v>
      </c>
      <c r="M1032" s="18">
        <f>_xlfn.XLOOKUP(Assumptions!$B$2,Assumptions!$F$4:$H$4,Assumptions!$F$10:$H$10)</f>
        <v>18000</v>
      </c>
      <c r="N1032" s="12">
        <f>_xlfn.XLOOKUP(Assumptions!$B$2,Assumptions!$F$4:$H$4,Assumptions!$F$11:$H$11)</f>
        <v>0.3</v>
      </c>
      <c r="O1032" s="14">
        <f>Final_Table[[#This Row],[Units Sold]]*Final_Table[[#This Row],[Sale Price]]</f>
        <v>20400</v>
      </c>
      <c r="P1032" s="14">
        <f>Final_Table[[#This Row],[Gross Revenue]]*(1-Final_Table[[#This Row],[Discount %]])</f>
        <v>18360</v>
      </c>
      <c r="Q1032">
        <f>Final_Table[[#This Row],[Net Revenue]]*Final_Table[[#This Row],[Variable Cost %]]</f>
        <v>3304.7999999999997</v>
      </c>
      <c r="R1032">
        <f>Final_Table[[#This Row],[Variable Cost]]+Final_Table[[#This Row],[Fixed Monthly Cost]]</f>
        <v>21304.799999999999</v>
      </c>
      <c r="S1032" s="5">
        <f>Final_Table[[#This Row],[Net Revenue]]-Final_Table[[#This Row],[Total Cost (COGS)]]</f>
        <v>-2944.7999999999993</v>
      </c>
      <c r="T1032">
        <f>Final_Table[[#This Row],[Gross Profit]]*Final_Table[[#This Row],[Tax Rate]]</f>
        <v>-883.43999999999971</v>
      </c>
      <c r="U1032" s="5">
        <f>Final_Table[[#This Row],[Gross Profit]]-Final_Table[[#This Row],[Tax]]</f>
        <v>-2061.3599999999997</v>
      </c>
      <c r="V1032" s="12">
        <f>Final_Table[[#This Row],[Net Profit]]/Final_Table[[#This Row],[Gross Revenue]]</f>
        <v>-0.10104705882352939</v>
      </c>
    </row>
    <row r="1033" spans="1:22">
      <c r="A1033" s="18" t="s">
        <v>75</v>
      </c>
      <c r="B1033">
        <v>2014</v>
      </c>
      <c r="C1033" t="s">
        <v>126</v>
      </c>
      <c r="D1033">
        <v>1</v>
      </c>
      <c r="E1033" s="18" t="s">
        <v>29</v>
      </c>
      <c r="F1033" s="18" t="s">
        <v>108</v>
      </c>
      <c r="G1033" s="18" t="s">
        <v>23</v>
      </c>
      <c r="H1033" s="18" t="str">
        <f>Assumptions!$B$2</f>
        <v>Worst</v>
      </c>
      <c r="I1033" s="18">
        <f>_xlfn.XLOOKUP(Assumptions!$B$2,Assumptions!$F$4:$H$4,Assumptions!$F$5:$H$5)</f>
        <v>1200</v>
      </c>
      <c r="J1033" s="18">
        <f>_xlfn.XLOOKUP(Assumptions!$B$2,Assumptions!$F$4:$H$4,Assumptions!$F$6:$H$6)</f>
        <v>17</v>
      </c>
      <c r="K1033" s="12">
        <f>_xlfn.XLOOKUP(Assumptions!$B$2,Assumptions!$F$4:$H$4,Assumptions!$F$8:$H$8)</f>
        <v>0.1</v>
      </c>
      <c r="L1033" s="12">
        <f>_xlfn.XLOOKUP(Assumptions!$B$2,Assumptions!$F$4:$H$4,Assumptions!$F$9:$H$9)</f>
        <v>0.18</v>
      </c>
      <c r="M1033" s="18">
        <f>_xlfn.XLOOKUP(Assumptions!$B$2,Assumptions!$F$4:$H$4,Assumptions!$F$10:$H$10)</f>
        <v>18000</v>
      </c>
      <c r="N1033" s="12">
        <f>_xlfn.XLOOKUP(Assumptions!$B$2,Assumptions!$F$4:$H$4,Assumptions!$F$11:$H$11)</f>
        <v>0.3</v>
      </c>
      <c r="O1033" s="14">
        <f>Final_Table[[#This Row],[Units Sold]]*Final_Table[[#This Row],[Sale Price]]</f>
        <v>20400</v>
      </c>
      <c r="P1033" s="14">
        <f>Final_Table[[#This Row],[Gross Revenue]]*(1-Final_Table[[#This Row],[Discount %]])</f>
        <v>18360</v>
      </c>
      <c r="Q1033">
        <f>Final_Table[[#This Row],[Net Revenue]]*Final_Table[[#This Row],[Variable Cost %]]</f>
        <v>3304.7999999999997</v>
      </c>
      <c r="R1033">
        <f>Final_Table[[#This Row],[Variable Cost]]+Final_Table[[#This Row],[Fixed Monthly Cost]]</f>
        <v>21304.799999999999</v>
      </c>
      <c r="S1033" s="5">
        <f>Final_Table[[#This Row],[Net Revenue]]-Final_Table[[#This Row],[Total Cost (COGS)]]</f>
        <v>-2944.7999999999993</v>
      </c>
      <c r="T1033">
        <f>Final_Table[[#This Row],[Gross Profit]]*Final_Table[[#This Row],[Tax Rate]]</f>
        <v>-883.43999999999971</v>
      </c>
      <c r="U1033" s="5">
        <f>Final_Table[[#This Row],[Gross Profit]]-Final_Table[[#This Row],[Tax]]</f>
        <v>-2061.3599999999997</v>
      </c>
      <c r="V1033" s="12">
        <f>Final_Table[[#This Row],[Net Profit]]/Final_Table[[#This Row],[Gross Revenue]]</f>
        <v>-0.10104705882352939</v>
      </c>
    </row>
    <row r="1034" spans="1:22">
      <c r="A1034" s="18" t="s">
        <v>75</v>
      </c>
      <c r="B1034">
        <v>2014</v>
      </c>
      <c r="C1034" t="s">
        <v>126</v>
      </c>
      <c r="D1034">
        <v>1</v>
      </c>
      <c r="E1034" s="18" t="s">
        <v>29</v>
      </c>
      <c r="F1034" s="18" t="s">
        <v>108</v>
      </c>
      <c r="G1034" s="18" t="s">
        <v>21</v>
      </c>
      <c r="H1034" s="18" t="str">
        <f>Assumptions!$B$2</f>
        <v>Worst</v>
      </c>
      <c r="I1034" s="18">
        <f>_xlfn.XLOOKUP(Assumptions!$B$2,Assumptions!$F$4:$H$4,Assumptions!$F$5:$H$5)</f>
        <v>1200</v>
      </c>
      <c r="J1034" s="18">
        <f>_xlfn.XLOOKUP(Assumptions!$B$2,Assumptions!$F$4:$H$4,Assumptions!$F$6:$H$6)</f>
        <v>17</v>
      </c>
      <c r="K1034" s="12">
        <f>_xlfn.XLOOKUP(Assumptions!$B$2,Assumptions!$F$4:$H$4,Assumptions!$F$8:$H$8)</f>
        <v>0.1</v>
      </c>
      <c r="L1034" s="12">
        <f>_xlfn.XLOOKUP(Assumptions!$B$2,Assumptions!$F$4:$H$4,Assumptions!$F$9:$H$9)</f>
        <v>0.18</v>
      </c>
      <c r="M1034" s="18">
        <f>_xlfn.XLOOKUP(Assumptions!$B$2,Assumptions!$F$4:$H$4,Assumptions!$F$10:$H$10)</f>
        <v>18000</v>
      </c>
      <c r="N1034" s="12">
        <f>_xlfn.XLOOKUP(Assumptions!$B$2,Assumptions!$F$4:$H$4,Assumptions!$F$11:$H$11)</f>
        <v>0.3</v>
      </c>
      <c r="O1034" s="14">
        <f>Final_Table[[#This Row],[Units Sold]]*Final_Table[[#This Row],[Sale Price]]</f>
        <v>20400</v>
      </c>
      <c r="P1034" s="14">
        <f>Final_Table[[#This Row],[Gross Revenue]]*(1-Final_Table[[#This Row],[Discount %]])</f>
        <v>18360</v>
      </c>
      <c r="Q1034">
        <f>Final_Table[[#This Row],[Net Revenue]]*Final_Table[[#This Row],[Variable Cost %]]</f>
        <v>3304.7999999999997</v>
      </c>
      <c r="R1034">
        <f>Final_Table[[#This Row],[Variable Cost]]+Final_Table[[#This Row],[Fixed Monthly Cost]]</f>
        <v>21304.799999999999</v>
      </c>
      <c r="S1034" s="5">
        <f>Final_Table[[#This Row],[Net Revenue]]-Final_Table[[#This Row],[Total Cost (COGS)]]</f>
        <v>-2944.7999999999993</v>
      </c>
      <c r="T1034">
        <f>Final_Table[[#This Row],[Gross Profit]]*Final_Table[[#This Row],[Tax Rate]]</f>
        <v>-883.43999999999971</v>
      </c>
      <c r="U1034" s="5">
        <f>Final_Table[[#This Row],[Gross Profit]]-Final_Table[[#This Row],[Tax]]</f>
        <v>-2061.3599999999997</v>
      </c>
      <c r="V1034" s="12">
        <f>Final_Table[[#This Row],[Net Profit]]/Final_Table[[#This Row],[Gross Revenue]]</f>
        <v>-0.10104705882352939</v>
      </c>
    </row>
    <row r="1035" spans="1:22">
      <c r="A1035" s="18" t="s">
        <v>75</v>
      </c>
      <c r="B1035">
        <v>2014</v>
      </c>
      <c r="C1035" t="s">
        <v>126</v>
      </c>
      <c r="D1035">
        <v>1</v>
      </c>
      <c r="E1035" s="18" t="s">
        <v>29</v>
      </c>
      <c r="F1035" s="18" t="s">
        <v>108</v>
      </c>
      <c r="G1035" s="18" t="s">
        <v>25</v>
      </c>
      <c r="H1035" s="18" t="str">
        <f>Assumptions!$B$2</f>
        <v>Worst</v>
      </c>
      <c r="I1035" s="18">
        <f>_xlfn.XLOOKUP(Assumptions!$B$2,Assumptions!$F$4:$H$4,Assumptions!$F$5:$H$5)</f>
        <v>1200</v>
      </c>
      <c r="J1035" s="18">
        <f>_xlfn.XLOOKUP(Assumptions!$B$2,Assumptions!$F$4:$H$4,Assumptions!$F$6:$H$6)</f>
        <v>17</v>
      </c>
      <c r="K1035" s="12">
        <f>_xlfn.XLOOKUP(Assumptions!$B$2,Assumptions!$F$4:$H$4,Assumptions!$F$8:$H$8)</f>
        <v>0.1</v>
      </c>
      <c r="L1035" s="12">
        <f>_xlfn.XLOOKUP(Assumptions!$B$2,Assumptions!$F$4:$H$4,Assumptions!$F$9:$H$9)</f>
        <v>0.18</v>
      </c>
      <c r="M1035" s="18">
        <f>_xlfn.XLOOKUP(Assumptions!$B$2,Assumptions!$F$4:$H$4,Assumptions!$F$10:$H$10)</f>
        <v>18000</v>
      </c>
      <c r="N1035" s="12">
        <f>_xlfn.XLOOKUP(Assumptions!$B$2,Assumptions!$F$4:$H$4,Assumptions!$F$11:$H$11)</f>
        <v>0.3</v>
      </c>
      <c r="O1035" s="14">
        <f>Final_Table[[#This Row],[Units Sold]]*Final_Table[[#This Row],[Sale Price]]</f>
        <v>20400</v>
      </c>
      <c r="P1035" s="14">
        <f>Final_Table[[#This Row],[Gross Revenue]]*(1-Final_Table[[#This Row],[Discount %]])</f>
        <v>18360</v>
      </c>
      <c r="Q1035">
        <f>Final_Table[[#This Row],[Net Revenue]]*Final_Table[[#This Row],[Variable Cost %]]</f>
        <v>3304.7999999999997</v>
      </c>
      <c r="R1035">
        <f>Final_Table[[#This Row],[Variable Cost]]+Final_Table[[#This Row],[Fixed Monthly Cost]]</f>
        <v>21304.799999999999</v>
      </c>
      <c r="S1035" s="5">
        <f>Final_Table[[#This Row],[Net Revenue]]-Final_Table[[#This Row],[Total Cost (COGS)]]</f>
        <v>-2944.7999999999993</v>
      </c>
      <c r="T1035">
        <f>Final_Table[[#This Row],[Gross Profit]]*Final_Table[[#This Row],[Tax Rate]]</f>
        <v>-883.43999999999971</v>
      </c>
      <c r="U1035" s="5">
        <f>Final_Table[[#This Row],[Gross Profit]]-Final_Table[[#This Row],[Tax]]</f>
        <v>-2061.3599999999997</v>
      </c>
      <c r="V1035" s="12">
        <f>Final_Table[[#This Row],[Net Profit]]/Final_Table[[#This Row],[Gross Revenue]]</f>
        <v>-0.10104705882352939</v>
      </c>
    </row>
    <row r="1036" spans="1:22">
      <c r="A1036" s="18" t="s">
        <v>75</v>
      </c>
      <c r="B1036">
        <v>2014</v>
      </c>
      <c r="C1036" t="s">
        <v>126</v>
      </c>
      <c r="D1036">
        <v>1</v>
      </c>
      <c r="E1036" s="18" t="s">
        <v>29</v>
      </c>
      <c r="F1036" s="18" t="s">
        <v>108</v>
      </c>
      <c r="G1036" s="18" t="s">
        <v>17</v>
      </c>
      <c r="H1036" s="18" t="str">
        <f>Assumptions!$B$2</f>
        <v>Worst</v>
      </c>
      <c r="I1036" s="18">
        <f>_xlfn.XLOOKUP(Assumptions!$B$2,Assumptions!$F$4:$H$4,Assumptions!$F$5:$H$5)</f>
        <v>1200</v>
      </c>
      <c r="J1036" s="18">
        <f>_xlfn.XLOOKUP(Assumptions!$B$2,Assumptions!$F$4:$H$4,Assumptions!$F$6:$H$6)</f>
        <v>17</v>
      </c>
      <c r="K1036" s="12">
        <f>_xlfn.XLOOKUP(Assumptions!$B$2,Assumptions!$F$4:$H$4,Assumptions!$F$8:$H$8)</f>
        <v>0.1</v>
      </c>
      <c r="L1036" s="12">
        <f>_xlfn.XLOOKUP(Assumptions!$B$2,Assumptions!$F$4:$H$4,Assumptions!$F$9:$H$9)</f>
        <v>0.18</v>
      </c>
      <c r="M1036" s="18">
        <f>_xlfn.XLOOKUP(Assumptions!$B$2,Assumptions!$F$4:$H$4,Assumptions!$F$10:$H$10)</f>
        <v>18000</v>
      </c>
      <c r="N1036" s="12">
        <f>_xlfn.XLOOKUP(Assumptions!$B$2,Assumptions!$F$4:$H$4,Assumptions!$F$11:$H$11)</f>
        <v>0.3</v>
      </c>
      <c r="O1036" s="14">
        <f>Final_Table[[#This Row],[Units Sold]]*Final_Table[[#This Row],[Sale Price]]</f>
        <v>20400</v>
      </c>
      <c r="P1036" s="14">
        <f>Final_Table[[#This Row],[Gross Revenue]]*(1-Final_Table[[#This Row],[Discount %]])</f>
        <v>18360</v>
      </c>
      <c r="Q1036">
        <f>Final_Table[[#This Row],[Net Revenue]]*Final_Table[[#This Row],[Variable Cost %]]</f>
        <v>3304.7999999999997</v>
      </c>
      <c r="R1036">
        <f>Final_Table[[#This Row],[Variable Cost]]+Final_Table[[#This Row],[Fixed Monthly Cost]]</f>
        <v>21304.799999999999</v>
      </c>
      <c r="S1036" s="5">
        <f>Final_Table[[#This Row],[Net Revenue]]-Final_Table[[#This Row],[Total Cost (COGS)]]</f>
        <v>-2944.7999999999993</v>
      </c>
      <c r="T1036">
        <f>Final_Table[[#This Row],[Gross Profit]]*Final_Table[[#This Row],[Tax Rate]]</f>
        <v>-883.43999999999971</v>
      </c>
      <c r="U1036" s="5">
        <f>Final_Table[[#This Row],[Gross Profit]]-Final_Table[[#This Row],[Tax]]</f>
        <v>-2061.3599999999997</v>
      </c>
      <c r="V1036" s="12">
        <f>Final_Table[[#This Row],[Net Profit]]/Final_Table[[#This Row],[Gross Revenue]]</f>
        <v>-0.10104705882352939</v>
      </c>
    </row>
    <row r="1037" spans="1:22">
      <c r="A1037" s="18" t="s">
        <v>75</v>
      </c>
      <c r="B1037">
        <v>2014</v>
      </c>
      <c r="C1037" t="s">
        <v>126</v>
      </c>
      <c r="D1037">
        <v>1</v>
      </c>
      <c r="E1037" s="18" t="s">
        <v>29</v>
      </c>
      <c r="F1037" s="18" t="s">
        <v>112</v>
      </c>
      <c r="G1037" s="18" t="s">
        <v>36</v>
      </c>
      <c r="H1037" s="18" t="str">
        <f>Assumptions!$B$2</f>
        <v>Worst</v>
      </c>
      <c r="I1037" s="18">
        <f>_xlfn.XLOOKUP(Assumptions!$B$2,Assumptions!$F$4:$H$4,Assumptions!$F$5:$H$5)</f>
        <v>1200</v>
      </c>
      <c r="J1037" s="18">
        <f>_xlfn.XLOOKUP(Assumptions!$B$2,Assumptions!$F$4:$H$4,Assumptions!$F$6:$H$6)</f>
        <v>17</v>
      </c>
      <c r="K1037" s="12">
        <f>_xlfn.XLOOKUP(Assumptions!$B$2,Assumptions!$F$4:$H$4,Assumptions!$F$8:$H$8)</f>
        <v>0.1</v>
      </c>
      <c r="L1037" s="12">
        <f>_xlfn.XLOOKUP(Assumptions!$B$2,Assumptions!$F$4:$H$4,Assumptions!$F$9:$H$9)</f>
        <v>0.18</v>
      </c>
      <c r="M1037" s="18">
        <f>_xlfn.XLOOKUP(Assumptions!$B$2,Assumptions!$F$4:$H$4,Assumptions!$F$10:$H$10)</f>
        <v>18000</v>
      </c>
      <c r="N1037" s="12">
        <f>_xlfn.XLOOKUP(Assumptions!$B$2,Assumptions!$F$4:$H$4,Assumptions!$F$11:$H$11)</f>
        <v>0.3</v>
      </c>
      <c r="O1037" s="14">
        <f>Final_Table[[#This Row],[Units Sold]]*Final_Table[[#This Row],[Sale Price]]</f>
        <v>20400</v>
      </c>
      <c r="P1037" s="14">
        <f>Final_Table[[#This Row],[Gross Revenue]]*(1-Final_Table[[#This Row],[Discount %]])</f>
        <v>18360</v>
      </c>
      <c r="Q1037">
        <f>Final_Table[[#This Row],[Net Revenue]]*Final_Table[[#This Row],[Variable Cost %]]</f>
        <v>3304.7999999999997</v>
      </c>
      <c r="R1037">
        <f>Final_Table[[#This Row],[Variable Cost]]+Final_Table[[#This Row],[Fixed Monthly Cost]]</f>
        <v>21304.799999999999</v>
      </c>
      <c r="S1037" s="5">
        <f>Final_Table[[#This Row],[Net Revenue]]-Final_Table[[#This Row],[Total Cost (COGS)]]</f>
        <v>-2944.7999999999993</v>
      </c>
      <c r="T1037">
        <f>Final_Table[[#This Row],[Gross Profit]]*Final_Table[[#This Row],[Tax Rate]]</f>
        <v>-883.43999999999971</v>
      </c>
      <c r="U1037" s="5">
        <f>Final_Table[[#This Row],[Gross Profit]]-Final_Table[[#This Row],[Tax]]</f>
        <v>-2061.3599999999997</v>
      </c>
      <c r="V1037" s="12">
        <f>Final_Table[[#This Row],[Net Profit]]/Final_Table[[#This Row],[Gross Revenue]]</f>
        <v>-0.10104705882352939</v>
      </c>
    </row>
    <row r="1038" spans="1:22">
      <c r="A1038" s="18" t="s">
        <v>75</v>
      </c>
      <c r="B1038">
        <v>2014</v>
      </c>
      <c r="C1038" t="s">
        <v>126</v>
      </c>
      <c r="D1038">
        <v>1</v>
      </c>
      <c r="E1038" s="18" t="s">
        <v>29</v>
      </c>
      <c r="F1038" s="18" t="s">
        <v>112</v>
      </c>
      <c r="G1038" s="18" t="s">
        <v>23</v>
      </c>
      <c r="H1038" s="18" t="str">
        <f>Assumptions!$B$2</f>
        <v>Worst</v>
      </c>
      <c r="I1038" s="18">
        <f>_xlfn.XLOOKUP(Assumptions!$B$2,Assumptions!$F$4:$H$4,Assumptions!$F$5:$H$5)</f>
        <v>1200</v>
      </c>
      <c r="J1038" s="18">
        <f>_xlfn.XLOOKUP(Assumptions!$B$2,Assumptions!$F$4:$H$4,Assumptions!$F$6:$H$6)</f>
        <v>17</v>
      </c>
      <c r="K1038" s="12">
        <f>_xlfn.XLOOKUP(Assumptions!$B$2,Assumptions!$F$4:$H$4,Assumptions!$F$8:$H$8)</f>
        <v>0.1</v>
      </c>
      <c r="L1038" s="12">
        <f>_xlfn.XLOOKUP(Assumptions!$B$2,Assumptions!$F$4:$H$4,Assumptions!$F$9:$H$9)</f>
        <v>0.18</v>
      </c>
      <c r="M1038" s="18">
        <f>_xlfn.XLOOKUP(Assumptions!$B$2,Assumptions!$F$4:$H$4,Assumptions!$F$10:$H$10)</f>
        <v>18000</v>
      </c>
      <c r="N1038" s="12">
        <f>_xlfn.XLOOKUP(Assumptions!$B$2,Assumptions!$F$4:$H$4,Assumptions!$F$11:$H$11)</f>
        <v>0.3</v>
      </c>
      <c r="O1038" s="14">
        <f>Final_Table[[#This Row],[Units Sold]]*Final_Table[[#This Row],[Sale Price]]</f>
        <v>20400</v>
      </c>
      <c r="P1038" s="14">
        <f>Final_Table[[#This Row],[Gross Revenue]]*(1-Final_Table[[#This Row],[Discount %]])</f>
        <v>18360</v>
      </c>
      <c r="Q1038">
        <f>Final_Table[[#This Row],[Net Revenue]]*Final_Table[[#This Row],[Variable Cost %]]</f>
        <v>3304.7999999999997</v>
      </c>
      <c r="R1038">
        <f>Final_Table[[#This Row],[Variable Cost]]+Final_Table[[#This Row],[Fixed Monthly Cost]]</f>
        <v>21304.799999999999</v>
      </c>
      <c r="S1038" s="5">
        <f>Final_Table[[#This Row],[Net Revenue]]-Final_Table[[#This Row],[Total Cost (COGS)]]</f>
        <v>-2944.7999999999993</v>
      </c>
      <c r="T1038">
        <f>Final_Table[[#This Row],[Gross Profit]]*Final_Table[[#This Row],[Tax Rate]]</f>
        <v>-883.43999999999971</v>
      </c>
      <c r="U1038" s="5">
        <f>Final_Table[[#This Row],[Gross Profit]]-Final_Table[[#This Row],[Tax]]</f>
        <v>-2061.3599999999997</v>
      </c>
      <c r="V1038" s="12">
        <f>Final_Table[[#This Row],[Net Profit]]/Final_Table[[#This Row],[Gross Revenue]]</f>
        <v>-0.10104705882352939</v>
      </c>
    </row>
    <row r="1039" spans="1:22">
      <c r="A1039" s="18" t="s">
        <v>75</v>
      </c>
      <c r="B1039">
        <v>2014</v>
      </c>
      <c r="C1039" t="s">
        <v>126</v>
      </c>
      <c r="D1039">
        <v>1</v>
      </c>
      <c r="E1039" s="18" t="s">
        <v>29</v>
      </c>
      <c r="F1039" s="18" t="s">
        <v>112</v>
      </c>
      <c r="G1039" s="18" t="s">
        <v>21</v>
      </c>
      <c r="H1039" s="18" t="str">
        <f>Assumptions!$B$2</f>
        <v>Worst</v>
      </c>
      <c r="I1039" s="18">
        <f>_xlfn.XLOOKUP(Assumptions!$B$2,Assumptions!$F$4:$H$4,Assumptions!$F$5:$H$5)</f>
        <v>1200</v>
      </c>
      <c r="J1039" s="18">
        <f>_xlfn.XLOOKUP(Assumptions!$B$2,Assumptions!$F$4:$H$4,Assumptions!$F$6:$H$6)</f>
        <v>17</v>
      </c>
      <c r="K1039" s="12">
        <f>_xlfn.XLOOKUP(Assumptions!$B$2,Assumptions!$F$4:$H$4,Assumptions!$F$8:$H$8)</f>
        <v>0.1</v>
      </c>
      <c r="L1039" s="12">
        <f>_xlfn.XLOOKUP(Assumptions!$B$2,Assumptions!$F$4:$H$4,Assumptions!$F$9:$H$9)</f>
        <v>0.18</v>
      </c>
      <c r="M1039" s="18">
        <f>_xlfn.XLOOKUP(Assumptions!$B$2,Assumptions!$F$4:$H$4,Assumptions!$F$10:$H$10)</f>
        <v>18000</v>
      </c>
      <c r="N1039" s="12">
        <f>_xlfn.XLOOKUP(Assumptions!$B$2,Assumptions!$F$4:$H$4,Assumptions!$F$11:$H$11)</f>
        <v>0.3</v>
      </c>
      <c r="O1039" s="14">
        <f>Final_Table[[#This Row],[Units Sold]]*Final_Table[[#This Row],[Sale Price]]</f>
        <v>20400</v>
      </c>
      <c r="P1039" s="14">
        <f>Final_Table[[#This Row],[Gross Revenue]]*(1-Final_Table[[#This Row],[Discount %]])</f>
        <v>18360</v>
      </c>
      <c r="Q1039">
        <f>Final_Table[[#This Row],[Net Revenue]]*Final_Table[[#This Row],[Variable Cost %]]</f>
        <v>3304.7999999999997</v>
      </c>
      <c r="R1039">
        <f>Final_Table[[#This Row],[Variable Cost]]+Final_Table[[#This Row],[Fixed Monthly Cost]]</f>
        <v>21304.799999999999</v>
      </c>
      <c r="S1039" s="5">
        <f>Final_Table[[#This Row],[Net Revenue]]-Final_Table[[#This Row],[Total Cost (COGS)]]</f>
        <v>-2944.7999999999993</v>
      </c>
      <c r="T1039">
        <f>Final_Table[[#This Row],[Gross Profit]]*Final_Table[[#This Row],[Tax Rate]]</f>
        <v>-883.43999999999971</v>
      </c>
      <c r="U1039" s="5">
        <f>Final_Table[[#This Row],[Gross Profit]]-Final_Table[[#This Row],[Tax]]</f>
        <v>-2061.3599999999997</v>
      </c>
      <c r="V1039" s="12">
        <f>Final_Table[[#This Row],[Net Profit]]/Final_Table[[#This Row],[Gross Revenue]]</f>
        <v>-0.10104705882352939</v>
      </c>
    </row>
    <row r="1040" spans="1:22">
      <c r="A1040" s="18" t="s">
        <v>75</v>
      </c>
      <c r="B1040">
        <v>2014</v>
      </c>
      <c r="C1040" t="s">
        <v>126</v>
      </c>
      <c r="D1040">
        <v>1</v>
      </c>
      <c r="E1040" s="18" t="s">
        <v>29</v>
      </c>
      <c r="F1040" s="18" t="s">
        <v>112</v>
      </c>
      <c r="G1040" s="18" t="s">
        <v>25</v>
      </c>
      <c r="H1040" s="18" t="str">
        <f>Assumptions!$B$2</f>
        <v>Worst</v>
      </c>
      <c r="I1040" s="18">
        <f>_xlfn.XLOOKUP(Assumptions!$B$2,Assumptions!$F$4:$H$4,Assumptions!$F$5:$H$5)</f>
        <v>1200</v>
      </c>
      <c r="J1040" s="18">
        <f>_xlfn.XLOOKUP(Assumptions!$B$2,Assumptions!$F$4:$H$4,Assumptions!$F$6:$H$6)</f>
        <v>17</v>
      </c>
      <c r="K1040" s="12">
        <f>_xlfn.XLOOKUP(Assumptions!$B$2,Assumptions!$F$4:$H$4,Assumptions!$F$8:$H$8)</f>
        <v>0.1</v>
      </c>
      <c r="L1040" s="12">
        <f>_xlfn.XLOOKUP(Assumptions!$B$2,Assumptions!$F$4:$H$4,Assumptions!$F$9:$H$9)</f>
        <v>0.18</v>
      </c>
      <c r="M1040" s="18">
        <f>_xlfn.XLOOKUP(Assumptions!$B$2,Assumptions!$F$4:$H$4,Assumptions!$F$10:$H$10)</f>
        <v>18000</v>
      </c>
      <c r="N1040" s="12">
        <f>_xlfn.XLOOKUP(Assumptions!$B$2,Assumptions!$F$4:$H$4,Assumptions!$F$11:$H$11)</f>
        <v>0.3</v>
      </c>
      <c r="O1040" s="14">
        <f>Final_Table[[#This Row],[Units Sold]]*Final_Table[[#This Row],[Sale Price]]</f>
        <v>20400</v>
      </c>
      <c r="P1040" s="14">
        <f>Final_Table[[#This Row],[Gross Revenue]]*(1-Final_Table[[#This Row],[Discount %]])</f>
        <v>18360</v>
      </c>
      <c r="Q1040">
        <f>Final_Table[[#This Row],[Net Revenue]]*Final_Table[[#This Row],[Variable Cost %]]</f>
        <v>3304.7999999999997</v>
      </c>
      <c r="R1040">
        <f>Final_Table[[#This Row],[Variable Cost]]+Final_Table[[#This Row],[Fixed Monthly Cost]]</f>
        <v>21304.799999999999</v>
      </c>
      <c r="S1040" s="5">
        <f>Final_Table[[#This Row],[Net Revenue]]-Final_Table[[#This Row],[Total Cost (COGS)]]</f>
        <v>-2944.7999999999993</v>
      </c>
      <c r="T1040">
        <f>Final_Table[[#This Row],[Gross Profit]]*Final_Table[[#This Row],[Tax Rate]]</f>
        <v>-883.43999999999971</v>
      </c>
      <c r="U1040" s="5">
        <f>Final_Table[[#This Row],[Gross Profit]]-Final_Table[[#This Row],[Tax]]</f>
        <v>-2061.3599999999997</v>
      </c>
      <c r="V1040" s="12">
        <f>Final_Table[[#This Row],[Net Profit]]/Final_Table[[#This Row],[Gross Revenue]]</f>
        <v>-0.10104705882352939</v>
      </c>
    </row>
    <row r="1041" spans="1:22">
      <c r="A1041" s="18" t="s">
        <v>75</v>
      </c>
      <c r="B1041">
        <v>2014</v>
      </c>
      <c r="C1041" t="s">
        <v>126</v>
      </c>
      <c r="D1041">
        <v>1</v>
      </c>
      <c r="E1041" s="18" t="s">
        <v>29</v>
      </c>
      <c r="F1041" s="18" t="s">
        <v>112</v>
      </c>
      <c r="G1041" s="18" t="s">
        <v>17</v>
      </c>
      <c r="H1041" s="18" t="str">
        <f>Assumptions!$B$2</f>
        <v>Worst</v>
      </c>
      <c r="I1041" s="18">
        <f>_xlfn.XLOOKUP(Assumptions!$B$2,Assumptions!$F$4:$H$4,Assumptions!$F$5:$H$5)</f>
        <v>1200</v>
      </c>
      <c r="J1041" s="18">
        <f>_xlfn.XLOOKUP(Assumptions!$B$2,Assumptions!$F$4:$H$4,Assumptions!$F$6:$H$6)</f>
        <v>17</v>
      </c>
      <c r="K1041" s="12">
        <f>_xlfn.XLOOKUP(Assumptions!$B$2,Assumptions!$F$4:$H$4,Assumptions!$F$8:$H$8)</f>
        <v>0.1</v>
      </c>
      <c r="L1041" s="12">
        <f>_xlfn.XLOOKUP(Assumptions!$B$2,Assumptions!$F$4:$H$4,Assumptions!$F$9:$H$9)</f>
        <v>0.18</v>
      </c>
      <c r="M1041" s="18">
        <f>_xlfn.XLOOKUP(Assumptions!$B$2,Assumptions!$F$4:$H$4,Assumptions!$F$10:$H$10)</f>
        <v>18000</v>
      </c>
      <c r="N1041" s="12">
        <f>_xlfn.XLOOKUP(Assumptions!$B$2,Assumptions!$F$4:$H$4,Assumptions!$F$11:$H$11)</f>
        <v>0.3</v>
      </c>
      <c r="O1041" s="14">
        <f>Final_Table[[#This Row],[Units Sold]]*Final_Table[[#This Row],[Sale Price]]</f>
        <v>20400</v>
      </c>
      <c r="P1041" s="14">
        <f>Final_Table[[#This Row],[Gross Revenue]]*(1-Final_Table[[#This Row],[Discount %]])</f>
        <v>18360</v>
      </c>
      <c r="Q1041">
        <f>Final_Table[[#This Row],[Net Revenue]]*Final_Table[[#This Row],[Variable Cost %]]</f>
        <v>3304.7999999999997</v>
      </c>
      <c r="R1041">
        <f>Final_Table[[#This Row],[Variable Cost]]+Final_Table[[#This Row],[Fixed Monthly Cost]]</f>
        <v>21304.799999999999</v>
      </c>
      <c r="S1041" s="5">
        <f>Final_Table[[#This Row],[Net Revenue]]-Final_Table[[#This Row],[Total Cost (COGS)]]</f>
        <v>-2944.7999999999993</v>
      </c>
      <c r="T1041">
        <f>Final_Table[[#This Row],[Gross Profit]]*Final_Table[[#This Row],[Tax Rate]]</f>
        <v>-883.43999999999971</v>
      </c>
      <c r="U1041" s="5">
        <f>Final_Table[[#This Row],[Gross Profit]]-Final_Table[[#This Row],[Tax]]</f>
        <v>-2061.3599999999997</v>
      </c>
      <c r="V1041" s="12">
        <f>Final_Table[[#This Row],[Net Profit]]/Final_Table[[#This Row],[Gross Revenue]]</f>
        <v>-0.10104705882352939</v>
      </c>
    </row>
    <row r="1042" spans="1:22">
      <c r="A1042" s="18" t="s">
        <v>75</v>
      </c>
      <c r="B1042">
        <v>2014</v>
      </c>
      <c r="C1042" t="s">
        <v>126</v>
      </c>
      <c r="D1042">
        <v>1</v>
      </c>
      <c r="E1042" s="18" t="s">
        <v>29</v>
      </c>
      <c r="F1042" s="18" t="s">
        <v>113</v>
      </c>
      <c r="G1042" s="18" t="s">
        <v>36</v>
      </c>
      <c r="H1042" s="18" t="str">
        <f>Assumptions!$B$2</f>
        <v>Worst</v>
      </c>
      <c r="I1042" s="18">
        <f>_xlfn.XLOOKUP(Assumptions!$B$2,Assumptions!$F$4:$H$4,Assumptions!$F$5:$H$5)</f>
        <v>1200</v>
      </c>
      <c r="J1042" s="18">
        <f>_xlfn.XLOOKUP(Assumptions!$B$2,Assumptions!$F$4:$H$4,Assumptions!$F$6:$H$6)</f>
        <v>17</v>
      </c>
      <c r="K1042" s="12">
        <f>_xlfn.XLOOKUP(Assumptions!$B$2,Assumptions!$F$4:$H$4,Assumptions!$F$8:$H$8)</f>
        <v>0.1</v>
      </c>
      <c r="L1042" s="12">
        <f>_xlfn.XLOOKUP(Assumptions!$B$2,Assumptions!$F$4:$H$4,Assumptions!$F$9:$H$9)</f>
        <v>0.18</v>
      </c>
      <c r="M1042" s="18">
        <f>_xlfn.XLOOKUP(Assumptions!$B$2,Assumptions!$F$4:$H$4,Assumptions!$F$10:$H$10)</f>
        <v>18000</v>
      </c>
      <c r="N1042" s="12">
        <f>_xlfn.XLOOKUP(Assumptions!$B$2,Assumptions!$F$4:$H$4,Assumptions!$F$11:$H$11)</f>
        <v>0.3</v>
      </c>
      <c r="O1042" s="14">
        <f>Final_Table[[#This Row],[Units Sold]]*Final_Table[[#This Row],[Sale Price]]</f>
        <v>20400</v>
      </c>
      <c r="P1042" s="14">
        <f>Final_Table[[#This Row],[Gross Revenue]]*(1-Final_Table[[#This Row],[Discount %]])</f>
        <v>18360</v>
      </c>
      <c r="Q1042">
        <f>Final_Table[[#This Row],[Net Revenue]]*Final_Table[[#This Row],[Variable Cost %]]</f>
        <v>3304.7999999999997</v>
      </c>
      <c r="R1042">
        <f>Final_Table[[#This Row],[Variable Cost]]+Final_Table[[#This Row],[Fixed Monthly Cost]]</f>
        <v>21304.799999999999</v>
      </c>
      <c r="S1042" s="5">
        <f>Final_Table[[#This Row],[Net Revenue]]-Final_Table[[#This Row],[Total Cost (COGS)]]</f>
        <v>-2944.7999999999993</v>
      </c>
      <c r="T1042">
        <f>Final_Table[[#This Row],[Gross Profit]]*Final_Table[[#This Row],[Tax Rate]]</f>
        <v>-883.43999999999971</v>
      </c>
      <c r="U1042" s="5">
        <f>Final_Table[[#This Row],[Gross Profit]]-Final_Table[[#This Row],[Tax]]</f>
        <v>-2061.3599999999997</v>
      </c>
      <c r="V1042" s="12">
        <f>Final_Table[[#This Row],[Net Profit]]/Final_Table[[#This Row],[Gross Revenue]]</f>
        <v>-0.10104705882352939</v>
      </c>
    </row>
    <row r="1043" spans="1:22">
      <c r="A1043" s="18" t="s">
        <v>75</v>
      </c>
      <c r="B1043">
        <v>2014</v>
      </c>
      <c r="C1043" t="s">
        <v>126</v>
      </c>
      <c r="D1043">
        <v>1</v>
      </c>
      <c r="E1043" s="18" t="s">
        <v>29</v>
      </c>
      <c r="F1043" s="18" t="s">
        <v>113</v>
      </c>
      <c r="G1043" s="18" t="s">
        <v>23</v>
      </c>
      <c r="H1043" s="18" t="str">
        <f>Assumptions!$B$2</f>
        <v>Worst</v>
      </c>
      <c r="I1043" s="18">
        <f>_xlfn.XLOOKUP(Assumptions!$B$2,Assumptions!$F$4:$H$4,Assumptions!$F$5:$H$5)</f>
        <v>1200</v>
      </c>
      <c r="J1043" s="18">
        <f>_xlfn.XLOOKUP(Assumptions!$B$2,Assumptions!$F$4:$H$4,Assumptions!$F$6:$H$6)</f>
        <v>17</v>
      </c>
      <c r="K1043" s="12">
        <f>_xlfn.XLOOKUP(Assumptions!$B$2,Assumptions!$F$4:$H$4,Assumptions!$F$8:$H$8)</f>
        <v>0.1</v>
      </c>
      <c r="L1043" s="12">
        <f>_xlfn.XLOOKUP(Assumptions!$B$2,Assumptions!$F$4:$H$4,Assumptions!$F$9:$H$9)</f>
        <v>0.18</v>
      </c>
      <c r="M1043" s="18">
        <f>_xlfn.XLOOKUP(Assumptions!$B$2,Assumptions!$F$4:$H$4,Assumptions!$F$10:$H$10)</f>
        <v>18000</v>
      </c>
      <c r="N1043" s="12">
        <f>_xlfn.XLOOKUP(Assumptions!$B$2,Assumptions!$F$4:$H$4,Assumptions!$F$11:$H$11)</f>
        <v>0.3</v>
      </c>
      <c r="O1043" s="14">
        <f>Final_Table[[#This Row],[Units Sold]]*Final_Table[[#This Row],[Sale Price]]</f>
        <v>20400</v>
      </c>
      <c r="P1043" s="14">
        <f>Final_Table[[#This Row],[Gross Revenue]]*(1-Final_Table[[#This Row],[Discount %]])</f>
        <v>18360</v>
      </c>
      <c r="Q1043">
        <f>Final_Table[[#This Row],[Net Revenue]]*Final_Table[[#This Row],[Variable Cost %]]</f>
        <v>3304.7999999999997</v>
      </c>
      <c r="R1043">
        <f>Final_Table[[#This Row],[Variable Cost]]+Final_Table[[#This Row],[Fixed Monthly Cost]]</f>
        <v>21304.799999999999</v>
      </c>
      <c r="S1043" s="5">
        <f>Final_Table[[#This Row],[Net Revenue]]-Final_Table[[#This Row],[Total Cost (COGS)]]</f>
        <v>-2944.7999999999993</v>
      </c>
      <c r="T1043">
        <f>Final_Table[[#This Row],[Gross Profit]]*Final_Table[[#This Row],[Tax Rate]]</f>
        <v>-883.43999999999971</v>
      </c>
      <c r="U1043" s="5">
        <f>Final_Table[[#This Row],[Gross Profit]]-Final_Table[[#This Row],[Tax]]</f>
        <v>-2061.3599999999997</v>
      </c>
      <c r="V1043" s="12">
        <f>Final_Table[[#This Row],[Net Profit]]/Final_Table[[#This Row],[Gross Revenue]]</f>
        <v>-0.10104705882352939</v>
      </c>
    </row>
    <row r="1044" spans="1:22">
      <c r="A1044" s="18" t="s">
        <v>75</v>
      </c>
      <c r="B1044">
        <v>2014</v>
      </c>
      <c r="C1044" t="s">
        <v>126</v>
      </c>
      <c r="D1044">
        <v>1</v>
      </c>
      <c r="E1044" s="18" t="s">
        <v>29</v>
      </c>
      <c r="F1044" s="18" t="s">
        <v>113</v>
      </c>
      <c r="G1044" s="18" t="s">
        <v>21</v>
      </c>
      <c r="H1044" s="18" t="str">
        <f>Assumptions!$B$2</f>
        <v>Worst</v>
      </c>
      <c r="I1044" s="18">
        <f>_xlfn.XLOOKUP(Assumptions!$B$2,Assumptions!$F$4:$H$4,Assumptions!$F$5:$H$5)</f>
        <v>1200</v>
      </c>
      <c r="J1044" s="18">
        <f>_xlfn.XLOOKUP(Assumptions!$B$2,Assumptions!$F$4:$H$4,Assumptions!$F$6:$H$6)</f>
        <v>17</v>
      </c>
      <c r="K1044" s="12">
        <f>_xlfn.XLOOKUP(Assumptions!$B$2,Assumptions!$F$4:$H$4,Assumptions!$F$8:$H$8)</f>
        <v>0.1</v>
      </c>
      <c r="L1044" s="12">
        <f>_xlfn.XLOOKUP(Assumptions!$B$2,Assumptions!$F$4:$H$4,Assumptions!$F$9:$H$9)</f>
        <v>0.18</v>
      </c>
      <c r="M1044" s="18">
        <f>_xlfn.XLOOKUP(Assumptions!$B$2,Assumptions!$F$4:$H$4,Assumptions!$F$10:$H$10)</f>
        <v>18000</v>
      </c>
      <c r="N1044" s="12">
        <f>_xlfn.XLOOKUP(Assumptions!$B$2,Assumptions!$F$4:$H$4,Assumptions!$F$11:$H$11)</f>
        <v>0.3</v>
      </c>
      <c r="O1044" s="14">
        <f>Final_Table[[#This Row],[Units Sold]]*Final_Table[[#This Row],[Sale Price]]</f>
        <v>20400</v>
      </c>
      <c r="P1044" s="14">
        <f>Final_Table[[#This Row],[Gross Revenue]]*(1-Final_Table[[#This Row],[Discount %]])</f>
        <v>18360</v>
      </c>
      <c r="Q1044">
        <f>Final_Table[[#This Row],[Net Revenue]]*Final_Table[[#This Row],[Variable Cost %]]</f>
        <v>3304.7999999999997</v>
      </c>
      <c r="R1044">
        <f>Final_Table[[#This Row],[Variable Cost]]+Final_Table[[#This Row],[Fixed Monthly Cost]]</f>
        <v>21304.799999999999</v>
      </c>
      <c r="S1044" s="5">
        <f>Final_Table[[#This Row],[Net Revenue]]-Final_Table[[#This Row],[Total Cost (COGS)]]</f>
        <v>-2944.7999999999993</v>
      </c>
      <c r="T1044">
        <f>Final_Table[[#This Row],[Gross Profit]]*Final_Table[[#This Row],[Tax Rate]]</f>
        <v>-883.43999999999971</v>
      </c>
      <c r="U1044" s="5">
        <f>Final_Table[[#This Row],[Gross Profit]]-Final_Table[[#This Row],[Tax]]</f>
        <v>-2061.3599999999997</v>
      </c>
      <c r="V1044" s="12">
        <f>Final_Table[[#This Row],[Net Profit]]/Final_Table[[#This Row],[Gross Revenue]]</f>
        <v>-0.10104705882352939</v>
      </c>
    </row>
    <row r="1045" spans="1:22">
      <c r="A1045" s="18" t="s">
        <v>75</v>
      </c>
      <c r="B1045">
        <v>2014</v>
      </c>
      <c r="C1045" t="s">
        <v>126</v>
      </c>
      <c r="D1045">
        <v>1</v>
      </c>
      <c r="E1045" s="18" t="s">
        <v>29</v>
      </c>
      <c r="F1045" s="18" t="s">
        <v>113</v>
      </c>
      <c r="G1045" s="18" t="s">
        <v>25</v>
      </c>
      <c r="H1045" s="18" t="str">
        <f>Assumptions!$B$2</f>
        <v>Worst</v>
      </c>
      <c r="I1045" s="18">
        <f>_xlfn.XLOOKUP(Assumptions!$B$2,Assumptions!$F$4:$H$4,Assumptions!$F$5:$H$5)</f>
        <v>1200</v>
      </c>
      <c r="J1045" s="18">
        <f>_xlfn.XLOOKUP(Assumptions!$B$2,Assumptions!$F$4:$H$4,Assumptions!$F$6:$H$6)</f>
        <v>17</v>
      </c>
      <c r="K1045" s="12">
        <f>_xlfn.XLOOKUP(Assumptions!$B$2,Assumptions!$F$4:$H$4,Assumptions!$F$8:$H$8)</f>
        <v>0.1</v>
      </c>
      <c r="L1045" s="12">
        <f>_xlfn.XLOOKUP(Assumptions!$B$2,Assumptions!$F$4:$H$4,Assumptions!$F$9:$H$9)</f>
        <v>0.18</v>
      </c>
      <c r="M1045" s="18">
        <f>_xlfn.XLOOKUP(Assumptions!$B$2,Assumptions!$F$4:$H$4,Assumptions!$F$10:$H$10)</f>
        <v>18000</v>
      </c>
      <c r="N1045" s="12">
        <f>_xlfn.XLOOKUP(Assumptions!$B$2,Assumptions!$F$4:$H$4,Assumptions!$F$11:$H$11)</f>
        <v>0.3</v>
      </c>
      <c r="O1045" s="14">
        <f>Final_Table[[#This Row],[Units Sold]]*Final_Table[[#This Row],[Sale Price]]</f>
        <v>20400</v>
      </c>
      <c r="P1045" s="14">
        <f>Final_Table[[#This Row],[Gross Revenue]]*(1-Final_Table[[#This Row],[Discount %]])</f>
        <v>18360</v>
      </c>
      <c r="Q1045">
        <f>Final_Table[[#This Row],[Net Revenue]]*Final_Table[[#This Row],[Variable Cost %]]</f>
        <v>3304.7999999999997</v>
      </c>
      <c r="R1045">
        <f>Final_Table[[#This Row],[Variable Cost]]+Final_Table[[#This Row],[Fixed Monthly Cost]]</f>
        <v>21304.799999999999</v>
      </c>
      <c r="S1045" s="5">
        <f>Final_Table[[#This Row],[Net Revenue]]-Final_Table[[#This Row],[Total Cost (COGS)]]</f>
        <v>-2944.7999999999993</v>
      </c>
      <c r="T1045">
        <f>Final_Table[[#This Row],[Gross Profit]]*Final_Table[[#This Row],[Tax Rate]]</f>
        <v>-883.43999999999971</v>
      </c>
      <c r="U1045" s="5">
        <f>Final_Table[[#This Row],[Gross Profit]]-Final_Table[[#This Row],[Tax]]</f>
        <v>-2061.3599999999997</v>
      </c>
      <c r="V1045" s="12">
        <f>Final_Table[[#This Row],[Net Profit]]/Final_Table[[#This Row],[Gross Revenue]]</f>
        <v>-0.10104705882352939</v>
      </c>
    </row>
    <row r="1046" spans="1:22">
      <c r="A1046" s="18" t="s">
        <v>75</v>
      </c>
      <c r="B1046">
        <v>2014</v>
      </c>
      <c r="C1046" t="s">
        <v>126</v>
      </c>
      <c r="D1046">
        <v>1</v>
      </c>
      <c r="E1046" s="18" t="s">
        <v>29</v>
      </c>
      <c r="F1046" s="18" t="s">
        <v>113</v>
      </c>
      <c r="G1046" s="18" t="s">
        <v>17</v>
      </c>
      <c r="H1046" s="18" t="str">
        <f>Assumptions!$B$2</f>
        <v>Worst</v>
      </c>
      <c r="I1046" s="18">
        <f>_xlfn.XLOOKUP(Assumptions!$B$2,Assumptions!$F$4:$H$4,Assumptions!$F$5:$H$5)</f>
        <v>1200</v>
      </c>
      <c r="J1046" s="18">
        <f>_xlfn.XLOOKUP(Assumptions!$B$2,Assumptions!$F$4:$H$4,Assumptions!$F$6:$H$6)</f>
        <v>17</v>
      </c>
      <c r="K1046" s="12">
        <f>_xlfn.XLOOKUP(Assumptions!$B$2,Assumptions!$F$4:$H$4,Assumptions!$F$8:$H$8)</f>
        <v>0.1</v>
      </c>
      <c r="L1046" s="12">
        <f>_xlfn.XLOOKUP(Assumptions!$B$2,Assumptions!$F$4:$H$4,Assumptions!$F$9:$H$9)</f>
        <v>0.18</v>
      </c>
      <c r="M1046" s="18">
        <f>_xlfn.XLOOKUP(Assumptions!$B$2,Assumptions!$F$4:$H$4,Assumptions!$F$10:$H$10)</f>
        <v>18000</v>
      </c>
      <c r="N1046" s="12">
        <f>_xlfn.XLOOKUP(Assumptions!$B$2,Assumptions!$F$4:$H$4,Assumptions!$F$11:$H$11)</f>
        <v>0.3</v>
      </c>
      <c r="O1046" s="14">
        <f>Final_Table[[#This Row],[Units Sold]]*Final_Table[[#This Row],[Sale Price]]</f>
        <v>20400</v>
      </c>
      <c r="P1046" s="14">
        <f>Final_Table[[#This Row],[Gross Revenue]]*(1-Final_Table[[#This Row],[Discount %]])</f>
        <v>18360</v>
      </c>
      <c r="Q1046">
        <f>Final_Table[[#This Row],[Net Revenue]]*Final_Table[[#This Row],[Variable Cost %]]</f>
        <v>3304.7999999999997</v>
      </c>
      <c r="R1046">
        <f>Final_Table[[#This Row],[Variable Cost]]+Final_Table[[#This Row],[Fixed Monthly Cost]]</f>
        <v>21304.799999999999</v>
      </c>
      <c r="S1046" s="5">
        <f>Final_Table[[#This Row],[Net Revenue]]-Final_Table[[#This Row],[Total Cost (COGS)]]</f>
        <v>-2944.7999999999993</v>
      </c>
      <c r="T1046">
        <f>Final_Table[[#This Row],[Gross Profit]]*Final_Table[[#This Row],[Tax Rate]]</f>
        <v>-883.43999999999971</v>
      </c>
      <c r="U1046" s="5">
        <f>Final_Table[[#This Row],[Gross Profit]]-Final_Table[[#This Row],[Tax]]</f>
        <v>-2061.3599999999997</v>
      </c>
      <c r="V1046" s="12">
        <f>Final_Table[[#This Row],[Net Profit]]/Final_Table[[#This Row],[Gross Revenue]]</f>
        <v>-0.10104705882352939</v>
      </c>
    </row>
    <row r="1047" spans="1:22">
      <c r="A1047" s="18" t="s">
        <v>75</v>
      </c>
      <c r="B1047">
        <v>2014</v>
      </c>
      <c r="C1047" t="s">
        <v>126</v>
      </c>
      <c r="D1047">
        <v>1</v>
      </c>
      <c r="E1047" s="18" t="s">
        <v>29</v>
      </c>
      <c r="F1047" s="18" t="s">
        <v>114</v>
      </c>
      <c r="G1047" s="18" t="s">
        <v>36</v>
      </c>
      <c r="H1047" s="18" t="str">
        <f>Assumptions!$B$2</f>
        <v>Worst</v>
      </c>
      <c r="I1047" s="18">
        <f>_xlfn.XLOOKUP(Assumptions!$B$2,Assumptions!$F$4:$H$4,Assumptions!$F$5:$H$5)</f>
        <v>1200</v>
      </c>
      <c r="J1047" s="18">
        <f>_xlfn.XLOOKUP(Assumptions!$B$2,Assumptions!$F$4:$H$4,Assumptions!$F$6:$H$6)</f>
        <v>17</v>
      </c>
      <c r="K1047" s="12">
        <f>_xlfn.XLOOKUP(Assumptions!$B$2,Assumptions!$F$4:$H$4,Assumptions!$F$8:$H$8)</f>
        <v>0.1</v>
      </c>
      <c r="L1047" s="12">
        <f>_xlfn.XLOOKUP(Assumptions!$B$2,Assumptions!$F$4:$H$4,Assumptions!$F$9:$H$9)</f>
        <v>0.18</v>
      </c>
      <c r="M1047" s="18">
        <f>_xlfn.XLOOKUP(Assumptions!$B$2,Assumptions!$F$4:$H$4,Assumptions!$F$10:$H$10)</f>
        <v>18000</v>
      </c>
      <c r="N1047" s="12">
        <f>_xlfn.XLOOKUP(Assumptions!$B$2,Assumptions!$F$4:$H$4,Assumptions!$F$11:$H$11)</f>
        <v>0.3</v>
      </c>
      <c r="O1047" s="14">
        <f>Final_Table[[#This Row],[Units Sold]]*Final_Table[[#This Row],[Sale Price]]</f>
        <v>20400</v>
      </c>
      <c r="P1047" s="14">
        <f>Final_Table[[#This Row],[Gross Revenue]]*(1-Final_Table[[#This Row],[Discount %]])</f>
        <v>18360</v>
      </c>
      <c r="Q1047">
        <f>Final_Table[[#This Row],[Net Revenue]]*Final_Table[[#This Row],[Variable Cost %]]</f>
        <v>3304.7999999999997</v>
      </c>
      <c r="R1047">
        <f>Final_Table[[#This Row],[Variable Cost]]+Final_Table[[#This Row],[Fixed Monthly Cost]]</f>
        <v>21304.799999999999</v>
      </c>
      <c r="S1047" s="5">
        <f>Final_Table[[#This Row],[Net Revenue]]-Final_Table[[#This Row],[Total Cost (COGS)]]</f>
        <v>-2944.7999999999993</v>
      </c>
      <c r="T1047">
        <f>Final_Table[[#This Row],[Gross Profit]]*Final_Table[[#This Row],[Tax Rate]]</f>
        <v>-883.43999999999971</v>
      </c>
      <c r="U1047" s="5">
        <f>Final_Table[[#This Row],[Gross Profit]]-Final_Table[[#This Row],[Tax]]</f>
        <v>-2061.3599999999997</v>
      </c>
      <c r="V1047" s="12">
        <f>Final_Table[[#This Row],[Net Profit]]/Final_Table[[#This Row],[Gross Revenue]]</f>
        <v>-0.10104705882352939</v>
      </c>
    </row>
    <row r="1048" spans="1:22">
      <c r="A1048" s="18" t="s">
        <v>75</v>
      </c>
      <c r="B1048">
        <v>2014</v>
      </c>
      <c r="C1048" t="s">
        <v>126</v>
      </c>
      <c r="D1048">
        <v>1</v>
      </c>
      <c r="E1048" s="18" t="s">
        <v>29</v>
      </c>
      <c r="F1048" s="18" t="s">
        <v>114</v>
      </c>
      <c r="G1048" s="18" t="s">
        <v>23</v>
      </c>
      <c r="H1048" s="18" t="str">
        <f>Assumptions!$B$2</f>
        <v>Worst</v>
      </c>
      <c r="I1048" s="18">
        <f>_xlfn.XLOOKUP(Assumptions!$B$2,Assumptions!$F$4:$H$4,Assumptions!$F$5:$H$5)</f>
        <v>1200</v>
      </c>
      <c r="J1048" s="18">
        <f>_xlfn.XLOOKUP(Assumptions!$B$2,Assumptions!$F$4:$H$4,Assumptions!$F$6:$H$6)</f>
        <v>17</v>
      </c>
      <c r="K1048" s="12">
        <f>_xlfn.XLOOKUP(Assumptions!$B$2,Assumptions!$F$4:$H$4,Assumptions!$F$8:$H$8)</f>
        <v>0.1</v>
      </c>
      <c r="L1048" s="12">
        <f>_xlfn.XLOOKUP(Assumptions!$B$2,Assumptions!$F$4:$H$4,Assumptions!$F$9:$H$9)</f>
        <v>0.18</v>
      </c>
      <c r="M1048" s="18">
        <f>_xlfn.XLOOKUP(Assumptions!$B$2,Assumptions!$F$4:$H$4,Assumptions!$F$10:$H$10)</f>
        <v>18000</v>
      </c>
      <c r="N1048" s="12">
        <f>_xlfn.XLOOKUP(Assumptions!$B$2,Assumptions!$F$4:$H$4,Assumptions!$F$11:$H$11)</f>
        <v>0.3</v>
      </c>
      <c r="O1048" s="14">
        <f>Final_Table[[#This Row],[Units Sold]]*Final_Table[[#This Row],[Sale Price]]</f>
        <v>20400</v>
      </c>
      <c r="P1048" s="14">
        <f>Final_Table[[#This Row],[Gross Revenue]]*(1-Final_Table[[#This Row],[Discount %]])</f>
        <v>18360</v>
      </c>
      <c r="Q1048">
        <f>Final_Table[[#This Row],[Net Revenue]]*Final_Table[[#This Row],[Variable Cost %]]</f>
        <v>3304.7999999999997</v>
      </c>
      <c r="R1048">
        <f>Final_Table[[#This Row],[Variable Cost]]+Final_Table[[#This Row],[Fixed Monthly Cost]]</f>
        <v>21304.799999999999</v>
      </c>
      <c r="S1048" s="5">
        <f>Final_Table[[#This Row],[Net Revenue]]-Final_Table[[#This Row],[Total Cost (COGS)]]</f>
        <v>-2944.7999999999993</v>
      </c>
      <c r="T1048">
        <f>Final_Table[[#This Row],[Gross Profit]]*Final_Table[[#This Row],[Tax Rate]]</f>
        <v>-883.43999999999971</v>
      </c>
      <c r="U1048" s="5">
        <f>Final_Table[[#This Row],[Gross Profit]]-Final_Table[[#This Row],[Tax]]</f>
        <v>-2061.3599999999997</v>
      </c>
      <c r="V1048" s="12">
        <f>Final_Table[[#This Row],[Net Profit]]/Final_Table[[#This Row],[Gross Revenue]]</f>
        <v>-0.10104705882352939</v>
      </c>
    </row>
    <row r="1049" spans="1:22">
      <c r="A1049" s="18" t="s">
        <v>75</v>
      </c>
      <c r="B1049">
        <v>2014</v>
      </c>
      <c r="C1049" t="s">
        <v>126</v>
      </c>
      <c r="D1049">
        <v>1</v>
      </c>
      <c r="E1049" s="18" t="s">
        <v>29</v>
      </c>
      <c r="F1049" s="18" t="s">
        <v>114</v>
      </c>
      <c r="G1049" s="18" t="s">
        <v>21</v>
      </c>
      <c r="H1049" s="18" t="str">
        <f>Assumptions!$B$2</f>
        <v>Worst</v>
      </c>
      <c r="I1049" s="18">
        <f>_xlfn.XLOOKUP(Assumptions!$B$2,Assumptions!$F$4:$H$4,Assumptions!$F$5:$H$5)</f>
        <v>1200</v>
      </c>
      <c r="J1049" s="18">
        <f>_xlfn.XLOOKUP(Assumptions!$B$2,Assumptions!$F$4:$H$4,Assumptions!$F$6:$H$6)</f>
        <v>17</v>
      </c>
      <c r="K1049" s="12">
        <f>_xlfn.XLOOKUP(Assumptions!$B$2,Assumptions!$F$4:$H$4,Assumptions!$F$8:$H$8)</f>
        <v>0.1</v>
      </c>
      <c r="L1049" s="12">
        <f>_xlfn.XLOOKUP(Assumptions!$B$2,Assumptions!$F$4:$H$4,Assumptions!$F$9:$H$9)</f>
        <v>0.18</v>
      </c>
      <c r="M1049" s="18">
        <f>_xlfn.XLOOKUP(Assumptions!$B$2,Assumptions!$F$4:$H$4,Assumptions!$F$10:$H$10)</f>
        <v>18000</v>
      </c>
      <c r="N1049" s="12">
        <f>_xlfn.XLOOKUP(Assumptions!$B$2,Assumptions!$F$4:$H$4,Assumptions!$F$11:$H$11)</f>
        <v>0.3</v>
      </c>
      <c r="O1049" s="14">
        <f>Final_Table[[#This Row],[Units Sold]]*Final_Table[[#This Row],[Sale Price]]</f>
        <v>20400</v>
      </c>
      <c r="P1049" s="14">
        <f>Final_Table[[#This Row],[Gross Revenue]]*(1-Final_Table[[#This Row],[Discount %]])</f>
        <v>18360</v>
      </c>
      <c r="Q1049">
        <f>Final_Table[[#This Row],[Net Revenue]]*Final_Table[[#This Row],[Variable Cost %]]</f>
        <v>3304.7999999999997</v>
      </c>
      <c r="R1049">
        <f>Final_Table[[#This Row],[Variable Cost]]+Final_Table[[#This Row],[Fixed Monthly Cost]]</f>
        <v>21304.799999999999</v>
      </c>
      <c r="S1049" s="5">
        <f>Final_Table[[#This Row],[Net Revenue]]-Final_Table[[#This Row],[Total Cost (COGS)]]</f>
        <v>-2944.7999999999993</v>
      </c>
      <c r="T1049">
        <f>Final_Table[[#This Row],[Gross Profit]]*Final_Table[[#This Row],[Tax Rate]]</f>
        <v>-883.43999999999971</v>
      </c>
      <c r="U1049" s="5">
        <f>Final_Table[[#This Row],[Gross Profit]]-Final_Table[[#This Row],[Tax]]</f>
        <v>-2061.3599999999997</v>
      </c>
      <c r="V1049" s="12">
        <f>Final_Table[[#This Row],[Net Profit]]/Final_Table[[#This Row],[Gross Revenue]]</f>
        <v>-0.10104705882352939</v>
      </c>
    </row>
    <row r="1050" spans="1:22">
      <c r="A1050" s="18" t="s">
        <v>75</v>
      </c>
      <c r="B1050">
        <v>2014</v>
      </c>
      <c r="C1050" t="s">
        <v>126</v>
      </c>
      <c r="D1050">
        <v>1</v>
      </c>
      <c r="E1050" s="18" t="s">
        <v>29</v>
      </c>
      <c r="F1050" s="18" t="s">
        <v>114</v>
      </c>
      <c r="G1050" s="18" t="s">
        <v>25</v>
      </c>
      <c r="H1050" s="18" t="str">
        <f>Assumptions!$B$2</f>
        <v>Worst</v>
      </c>
      <c r="I1050" s="18">
        <f>_xlfn.XLOOKUP(Assumptions!$B$2,Assumptions!$F$4:$H$4,Assumptions!$F$5:$H$5)</f>
        <v>1200</v>
      </c>
      <c r="J1050" s="18">
        <f>_xlfn.XLOOKUP(Assumptions!$B$2,Assumptions!$F$4:$H$4,Assumptions!$F$6:$H$6)</f>
        <v>17</v>
      </c>
      <c r="K1050" s="12">
        <f>_xlfn.XLOOKUP(Assumptions!$B$2,Assumptions!$F$4:$H$4,Assumptions!$F$8:$H$8)</f>
        <v>0.1</v>
      </c>
      <c r="L1050" s="12">
        <f>_xlfn.XLOOKUP(Assumptions!$B$2,Assumptions!$F$4:$H$4,Assumptions!$F$9:$H$9)</f>
        <v>0.18</v>
      </c>
      <c r="M1050" s="18">
        <f>_xlfn.XLOOKUP(Assumptions!$B$2,Assumptions!$F$4:$H$4,Assumptions!$F$10:$H$10)</f>
        <v>18000</v>
      </c>
      <c r="N1050" s="12">
        <f>_xlfn.XLOOKUP(Assumptions!$B$2,Assumptions!$F$4:$H$4,Assumptions!$F$11:$H$11)</f>
        <v>0.3</v>
      </c>
      <c r="O1050" s="14">
        <f>Final_Table[[#This Row],[Units Sold]]*Final_Table[[#This Row],[Sale Price]]</f>
        <v>20400</v>
      </c>
      <c r="P1050" s="14">
        <f>Final_Table[[#This Row],[Gross Revenue]]*(1-Final_Table[[#This Row],[Discount %]])</f>
        <v>18360</v>
      </c>
      <c r="Q1050">
        <f>Final_Table[[#This Row],[Net Revenue]]*Final_Table[[#This Row],[Variable Cost %]]</f>
        <v>3304.7999999999997</v>
      </c>
      <c r="R1050">
        <f>Final_Table[[#This Row],[Variable Cost]]+Final_Table[[#This Row],[Fixed Monthly Cost]]</f>
        <v>21304.799999999999</v>
      </c>
      <c r="S1050" s="5">
        <f>Final_Table[[#This Row],[Net Revenue]]-Final_Table[[#This Row],[Total Cost (COGS)]]</f>
        <v>-2944.7999999999993</v>
      </c>
      <c r="T1050">
        <f>Final_Table[[#This Row],[Gross Profit]]*Final_Table[[#This Row],[Tax Rate]]</f>
        <v>-883.43999999999971</v>
      </c>
      <c r="U1050" s="5">
        <f>Final_Table[[#This Row],[Gross Profit]]-Final_Table[[#This Row],[Tax]]</f>
        <v>-2061.3599999999997</v>
      </c>
      <c r="V1050" s="12">
        <f>Final_Table[[#This Row],[Net Profit]]/Final_Table[[#This Row],[Gross Revenue]]</f>
        <v>-0.10104705882352939</v>
      </c>
    </row>
    <row r="1051" spans="1:22">
      <c r="A1051" s="18" t="s">
        <v>75</v>
      </c>
      <c r="B1051">
        <v>2014</v>
      </c>
      <c r="C1051" t="s">
        <v>126</v>
      </c>
      <c r="D1051">
        <v>1</v>
      </c>
      <c r="E1051" s="18" t="s">
        <v>29</v>
      </c>
      <c r="F1051" s="18" t="s">
        <v>114</v>
      </c>
      <c r="G1051" s="18" t="s">
        <v>17</v>
      </c>
      <c r="H1051" s="18" t="str">
        <f>Assumptions!$B$2</f>
        <v>Worst</v>
      </c>
      <c r="I1051" s="18">
        <f>_xlfn.XLOOKUP(Assumptions!$B$2,Assumptions!$F$4:$H$4,Assumptions!$F$5:$H$5)</f>
        <v>1200</v>
      </c>
      <c r="J1051" s="18">
        <f>_xlfn.XLOOKUP(Assumptions!$B$2,Assumptions!$F$4:$H$4,Assumptions!$F$6:$H$6)</f>
        <v>17</v>
      </c>
      <c r="K1051" s="12">
        <f>_xlfn.XLOOKUP(Assumptions!$B$2,Assumptions!$F$4:$H$4,Assumptions!$F$8:$H$8)</f>
        <v>0.1</v>
      </c>
      <c r="L1051" s="12">
        <f>_xlfn.XLOOKUP(Assumptions!$B$2,Assumptions!$F$4:$H$4,Assumptions!$F$9:$H$9)</f>
        <v>0.18</v>
      </c>
      <c r="M1051" s="18">
        <f>_xlfn.XLOOKUP(Assumptions!$B$2,Assumptions!$F$4:$H$4,Assumptions!$F$10:$H$10)</f>
        <v>18000</v>
      </c>
      <c r="N1051" s="12">
        <f>_xlfn.XLOOKUP(Assumptions!$B$2,Assumptions!$F$4:$H$4,Assumptions!$F$11:$H$11)</f>
        <v>0.3</v>
      </c>
      <c r="O1051" s="14">
        <f>Final_Table[[#This Row],[Units Sold]]*Final_Table[[#This Row],[Sale Price]]</f>
        <v>20400</v>
      </c>
      <c r="P1051" s="14">
        <f>Final_Table[[#This Row],[Gross Revenue]]*(1-Final_Table[[#This Row],[Discount %]])</f>
        <v>18360</v>
      </c>
      <c r="Q1051">
        <f>Final_Table[[#This Row],[Net Revenue]]*Final_Table[[#This Row],[Variable Cost %]]</f>
        <v>3304.7999999999997</v>
      </c>
      <c r="R1051">
        <f>Final_Table[[#This Row],[Variable Cost]]+Final_Table[[#This Row],[Fixed Monthly Cost]]</f>
        <v>21304.799999999999</v>
      </c>
      <c r="S1051" s="5">
        <f>Final_Table[[#This Row],[Net Revenue]]-Final_Table[[#This Row],[Total Cost (COGS)]]</f>
        <v>-2944.7999999999993</v>
      </c>
      <c r="T1051">
        <f>Final_Table[[#This Row],[Gross Profit]]*Final_Table[[#This Row],[Tax Rate]]</f>
        <v>-883.43999999999971</v>
      </c>
      <c r="U1051" s="5">
        <f>Final_Table[[#This Row],[Gross Profit]]-Final_Table[[#This Row],[Tax]]</f>
        <v>-2061.3599999999997</v>
      </c>
      <c r="V1051" s="12">
        <f>Final_Table[[#This Row],[Net Profit]]/Final_Table[[#This Row],[Gross Revenue]]</f>
        <v>-0.10104705882352939</v>
      </c>
    </row>
    <row r="1052" spans="1:22">
      <c r="A1052" s="18" t="s">
        <v>75</v>
      </c>
      <c r="B1052">
        <v>2014</v>
      </c>
      <c r="C1052" t="s">
        <v>126</v>
      </c>
      <c r="D1052">
        <v>1</v>
      </c>
      <c r="E1052" s="18" t="s">
        <v>22</v>
      </c>
      <c r="F1052" s="18" t="s">
        <v>80</v>
      </c>
      <c r="G1052" s="18" t="s">
        <v>36</v>
      </c>
      <c r="H1052" s="18" t="str">
        <f>Assumptions!$B$2</f>
        <v>Worst</v>
      </c>
      <c r="I1052" s="18">
        <f>_xlfn.XLOOKUP(Assumptions!$B$2,Assumptions!$F$4:$H$4,Assumptions!$F$5:$H$5)</f>
        <v>1200</v>
      </c>
      <c r="J1052" s="18">
        <f>_xlfn.XLOOKUP(Assumptions!$B$2,Assumptions!$F$4:$H$4,Assumptions!$F$6:$H$6)</f>
        <v>17</v>
      </c>
      <c r="K1052" s="12">
        <f>_xlfn.XLOOKUP(Assumptions!$B$2,Assumptions!$F$4:$H$4,Assumptions!$F$8:$H$8)</f>
        <v>0.1</v>
      </c>
      <c r="L1052" s="12">
        <f>_xlfn.XLOOKUP(Assumptions!$B$2,Assumptions!$F$4:$H$4,Assumptions!$F$9:$H$9)</f>
        <v>0.18</v>
      </c>
      <c r="M1052" s="18">
        <f>_xlfn.XLOOKUP(Assumptions!$B$2,Assumptions!$F$4:$H$4,Assumptions!$F$10:$H$10)</f>
        <v>18000</v>
      </c>
      <c r="N1052" s="12">
        <f>_xlfn.XLOOKUP(Assumptions!$B$2,Assumptions!$F$4:$H$4,Assumptions!$F$11:$H$11)</f>
        <v>0.3</v>
      </c>
      <c r="O1052" s="14">
        <f>Final_Table[[#This Row],[Units Sold]]*Final_Table[[#This Row],[Sale Price]]</f>
        <v>20400</v>
      </c>
      <c r="P1052" s="14">
        <f>Final_Table[[#This Row],[Gross Revenue]]*(1-Final_Table[[#This Row],[Discount %]])</f>
        <v>18360</v>
      </c>
      <c r="Q1052">
        <f>Final_Table[[#This Row],[Net Revenue]]*Final_Table[[#This Row],[Variable Cost %]]</f>
        <v>3304.7999999999997</v>
      </c>
      <c r="R1052">
        <f>Final_Table[[#This Row],[Variable Cost]]+Final_Table[[#This Row],[Fixed Monthly Cost]]</f>
        <v>21304.799999999999</v>
      </c>
      <c r="S1052" s="5">
        <f>Final_Table[[#This Row],[Net Revenue]]-Final_Table[[#This Row],[Total Cost (COGS)]]</f>
        <v>-2944.7999999999993</v>
      </c>
      <c r="T1052">
        <f>Final_Table[[#This Row],[Gross Profit]]*Final_Table[[#This Row],[Tax Rate]]</f>
        <v>-883.43999999999971</v>
      </c>
      <c r="U1052" s="5">
        <f>Final_Table[[#This Row],[Gross Profit]]-Final_Table[[#This Row],[Tax]]</f>
        <v>-2061.3599999999997</v>
      </c>
      <c r="V1052" s="12">
        <f>Final_Table[[#This Row],[Net Profit]]/Final_Table[[#This Row],[Gross Revenue]]</f>
        <v>-0.10104705882352939</v>
      </c>
    </row>
    <row r="1053" spans="1:22">
      <c r="A1053" s="18" t="s">
        <v>75</v>
      </c>
      <c r="B1053">
        <v>2014</v>
      </c>
      <c r="C1053" t="s">
        <v>126</v>
      </c>
      <c r="D1053">
        <v>1</v>
      </c>
      <c r="E1053" s="18" t="s">
        <v>22</v>
      </c>
      <c r="F1053" s="18" t="s">
        <v>80</v>
      </c>
      <c r="G1053" s="18" t="s">
        <v>23</v>
      </c>
      <c r="H1053" s="18" t="str">
        <f>Assumptions!$B$2</f>
        <v>Worst</v>
      </c>
      <c r="I1053" s="18">
        <f>_xlfn.XLOOKUP(Assumptions!$B$2,Assumptions!$F$4:$H$4,Assumptions!$F$5:$H$5)</f>
        <v>1200</v>
      </c>
      <c r="J1053" s="18">
        <f>_xlfn.XLOOKUP(Assumptions!$B$2,Assumptions!$F$4:$H$4,Assumptions!$F$6:$H$6)</f>
        <v>17</v>
      </c>
      <c r="K1053" s="12">
        <f>_xlfn.XLOOKUP(Assumptions!$B$2,Assumptions!$F$4:$H$4,Assumptions!$F$8:$H$8)</f>
        <v>0.1</v>
      </c>
      <c r="L1053" s="12">
        <f>_xlfn.XLOOKUP(Assumptions!$B$2,Assumptions!$F$4:$H$4,Assumptions!$F$9:$H$9)</f>
        <v>0.18</v>
      </c>
      <c r="M1053" s="18">
        <f>_xlfn.XLOOKUP(Assumptions!$B$2,Assumptions!$F$4:$H$4,Assumptions!$F$10:$H$10)</f>
        <v>18000</v>
      </c>
      <c r="N1053" s="12">
        <f>_xlfn.XLOOKUP(Assumptions!$B$2,Assumptions!$F$4:$H$4,Assumptions!$F$11:$H$11)</f>
        <v>0.3</v>
      </c>
      <c r="O1053" s="14">
        <f>Final_Table[[#This Row],[Units Sold]]*Final_Table[[#This Row],[Sale Price]]</f>
        <v>20400</v>
      </c>
      <c r="P1053" s="14">
        <f>Final_Table[[#This Row],[Gross Revenue]]*(1-Final_Table[[#This Row],[Discount %]])</f>
        <v>18360</v>
      </c>
      <c r="Q1053">
        <f>Final_Table[[#This Row],[Net Revenue]]*Final_Table[[#This Row],[Variable Cost %]]</f>
        <v>3304.7999999999997</v>
      </c>
      <c r="R1053">
        <f>Final_Table[[#This Row],[Variable Cost]]+Final_Table[[#This Row],[Fixed Monthly Cost]]</f>
        <v>21304.799999999999</v>
      </c>
      <c r="S1053" s="5">
        <f>Final_Table[[#This Row],[Net Revenue]]-Final_Table[[#This Row],[Total Cost (COGS)]]</f>
        <v>-2944.7999999999993</v>
      </c>
      <c r="T1053">
        <f>Final_Table[[#This Row],[Gross Profit]]*Final_Table[[#This Row],[Tax Rate]]</f>
        <v>-883.43999999999971</v>
      </c>
      <c r="U1053" s="5">
        <f>Final_Table[[#This Row],[Gross Profit]]-Final_Table[[#This Row],[Tax]]</f>
        <v>-2061.3599999999997</v>
      </c>
      <c r="V1053" s="12">
        <f>Final_Table[[#This Row],[Net Profit]]/Final_Table[[#This Row],[Gross Revenue]]</f>
        <v>-0.10104705882352939</v>
      </c>
    </row>
    <row r="1054" spans="1:22">
      <c r="A1054" s="18" t="s">
        <v>75</v>
      </c>
      <c r="B1054">
        <v>2014</v>
      </c>
      <c r="C1054" t="s">
        <v>126</v>
      </c>
      <c r="D1054">
        <v>1</v>
      </c>
      <c r="E1054" s="18" t="s">
        <v>22</v>
      </c>
      <c r="F1054" s="18" t="s">
        <v>80</v>
      </c>
      <c r="G1054" s="18" t="s">
        <v>21</v>
      </c>
      <c r="H1054" s="18" t="str">
        <f>Assumptions!$B$2</f>
        <v>Worst</v>
      </c>
      <c r="I1054" s="18">
        <f>_xlfn.XLOOKUP(Assumptions!$B$2,Assumptions!$F$4:$H$4,Assumptions!$F$5:$H$5)</f>
        <v>1200</v>
      </c>
      <c r="J1054" s="18">
        <f>_xlfn.XLOOKUP(Assumptions!$B$2,Assumptions!$F$4:$H$4,Assumptions!$F$6:$H$6)</f>
        <v>17</v>
      </c>
      <c r="K1054" s="12">
        <f>_xlfn.XLOOKUP(Assumptions!$B$2,Assumptions!$F$4:$H$4,Assumptions!$F$8:$H$8)</f>
        <v>0.1</v>
      </c>
      <c r="L1054" s="12">
        <f>_xlfn.XLOOKUP(Assumptions!$B$2,Assumptions!$F$4:$H$4,Assumptions!$F$9:$H$9)</f>
        <v>0.18</v>
      </c>
      <c r="M1054" s="18">
        <f>_xlfn.XLOOKUP(Assumptions!$B$2,Assumptions!$F$4:$H$4,Assumptions!$F$10:$H$10)</f>
        <v>18000</v>
      </c>
      <c r="N1054" s="12">
        <f>_xlfn.XLOOKUP(Assumptions!$B$2,Assumptions!$F$4:$H$4,Assumptions!$F$11:$H$11)</f>
        <v>0.3</v>
      </c>
      <c r="O1054" s="14">
        <f>Final_Table[[#This Row],[Units Sold]]*Final_Table[[#This Row],[Sale Price]]</f>
        <v>20400</v>
      </c>
      <c r="P1054" s="14">
        <f>Final_Table[[#This Row],[Gross Revenue]]*(1-Final_Table[[#This Row],[Discount %]])</f>
        <v>18360</v>
      </c>
      <c r="Q1054">
        <f>Final_Table[[#This Row],[Net Revenue]]*Final_Table[[#This Row],[Variable Cost %]]</f>
        <v>3304.7999999999997</v>
      </c>
      <c r="R1054">
        <f>Final_Table[[#This Row],[Variable Cost]]+Final_Table[[#This Row],[Fixed Monthly Cost]]</f>
        <v>21304.799999999999</v>
      </c>
      <c r="S1054" s="5">
        <f>Final_Table[[#This Row],[Net Revenue]]-Final_Table[[#This Row],[Total Cost (COGS)]]</f>
        <v>-2944.7999999999993</v>
      </c>
      <c r="T1054">
        <f>Final_Table[[#This Row],[Gross Profit]]*Final_Table[[#This Row],[Tax Rate]]</f>
        <v>-883.43999999999971</v>
      </c>
      <c r="U1054" s="5">
        <f>Final_Table[[#This Row],[Gross Profit]]-Final_Table[[#This Row],[Tax]]</f>
        <v>-2061.3599999999997</v>
      </c>
      <c r="V1054" s="12">
        <f>Final_Table[[#This Row],[Net Profit]]/Final_Table[[#This Row],[Gross Revenue]]</f>
        <v>-0.10104705882352939</v>
      </c>
    </row>
    <row r="1055" spans="1:22">
      <c r="A1055" s="18" t="s">
        <v>75</v>
      </c>
      <c r="B1055">
        <v>2014</v>
      </c>
      <c r="C1055" t="s">
        <v>126</v>
      </c>
      <c r="D1055">
        <v>1</v>
      </c>
      <c r="E1055" s="18" t="s">
        <v>22</v>
      </c>
      <c r="F1055" s="18" t="s">
        <v>80</v>
      </c>
      <c r="G1055" s="18" t="s">
        <v>25</v>
      </c>
      <c r="H1055" s="18" t="str">
        <f>Assumptions!$B$2</f>
        <v>Worst</v>
      </c>
      <c r="I1055" s="18">
        <f>_xlfn.XLOOKUP(Assumptions!$B$2,Assumptions!$F$4:$H$4,Assumptions!$F$5:$H$5)</f>
        <v>1200</v>
      </c>
      <c r="J1055" s="18">
        <f>_xlfn.XLOOKUP(Assumptions!$B$2,Assumptions!$F$4:$H$4,Assumptions!$F$6:$H$6)</f>
        <v>17</v>
      </c>
      <c r="K1055" s="12">
        <f>_xlfn.XLOOKUP(Assumptions!$B$2,Assumptions!$F$4:$H$4,Assumptions!$F$8:$H$8)</f>
        <v>0.1</v>
      </c>
      <c r="L1055" s="12">
        <f>_xlfn.XLOOKUP(Assumptions!$B$2,Assumptions!$F$4:$H$4,Assumptions!$F$9:$H$9)</f>
        <v>0.18</v>
      </c>
      <c r="M1055" s="18">
        <f>_xlfn.XLOOKUP(Assumptions!$B$2,Assumptions!$F$4:$H$4,Assumptions!$F$10:$H$10)</f>
        <v>18000</v>
      </c>
      <c r="N1055" s="12">
        <f>_xlfn.XLOOKUP(Assumptions!$B$2,Assumptions!$F$4:$H$4,Assumptions!$F$11:$H$11)</f>
        <v>0.3</v>
      </c>
      <c r="O1055" s="14">
        <f>Final_Table[[#This Row],[Units Sold]]*Final_Table[[#This Row],[Sale Price]]</f>
        <v>20400</v>
      </c>
      <c r="P1055" s="14">
        <f>Final_Table[[#This Row],[Gross Revenue]]*(1-Final_Table[[#This Row],[Discount %]])</f>
        <v>18360</v>
      </c>
      <c r="Q1055">
        <f>Final_Table[[#This Row],[Net Revenue]]*Final_Table[[#This Row],[Variable Cost %]]</f>
        <v>3304.7999999999997</v>
      </c>
      <c r="R1055">
        <f>Final_Table[[#This Row],[Variable Cost]]+Final_Table[[#This Row],[Fixed Monthly Cost]]</f>
        <v>21304.799999999999</v>
      </c>
      <c r="S1055" s="5">
        <f>Final_Table[[#This Row],[Net Revenue]]-Final_Table[[#This Row],[Total Cost (COGS)]]</f>
        <v>-2944.7999999999993</v>
      </c>
      <c r="T1055">
        <f>Final_Table[[#This Row],[Gross Profit]]*Final_Table[[#This Row],[Tax Rate]]</f>
        <v>-883.43999999999971</v>
      </c>
      <c r="U1055" s="5">
        <f>Final_Table[[#This Row],[Gross Profit]]-Final_Table[[#This Row],[Tax]]</f>
        <v>-2061.3599999999997</v>
      </c>
      <c r="V1055" s="12">
        <f>Final_Table[[#This Row],[Net Profit]]/Final_Table[[#This Row],[Gross Revenue]]</f>
        <v>-0.10104705882352939</v>
      </c>
    </row>
    <row r="1056" spans="1:22">
      <c r="A1056" s="18" t="s">
        <v>75</v>
      </c>
      <c r="B1056">
        <v>2014</v>
      </c>
      <c r="C1056" t="s">
        <v>126</v>
      </c>
      <c r="D1056">
        <v>1</v>
      </c>
      <c r="E1056" s="18" t="s">
        <v>22</v>
      </c>
      <c r="F1056" s="18" t="s">
        <v>80</v>
      </c>
      <c r="G1056" s="18" t="s">
        <v>17</v>
      </c>
      <c r="H1056" s="18" t="str">
        <f>Assumptions!$B$2</f>
        <v>Worst</v>
      </c>
      <c r="I1056" s="18">
        <f>_xlfn.XLOOKUP(Assumptions!$B$2,Assumptions!$F$4:$H$4,Assumptions!$F$5:$H$5)</f>
        <v>1200</v>
      </c>
      <c r="J1056" s="18">
        <f>_xlfn.XLOOKUP(Assumptions!$B$2,Assumptions!$F$4:$H$4,Assumptions!$F$6:$H$6)</f>
        <v>17</v>
      </c>
      <c r="K1056" s="12">
        <f>_xlfn.XLOOKUP(Assumptions!$B$2,Assumptions!$F$4:$H$4,Assumptions!$F$8:$H$8)</f>
        <v>0.1</v>
      </c>
      <c r="L1056" s="12">
        <f>_xlfn.XLOOKUP(Assumptions!$B$2,Assumptions!$F$4:$H$4,Assumptions!$F$9:$H$9)</f>
        <v>0.18</v>
      </c>
      <c r="M1056" s="18">
        <f>_xlfn.XLOOKUP(Assumptions!$B$2,Assumptions!$F$4:$H$4,Assumptions!$F$10:$H$10)</f>
        <v>18000</v>
      </c>
      <c r="N1056" s="12">
        <f>_xlfn.XLOOKUP(Assumptions!$B$2,Assumptions!$F$4:$H$4,Assumptions!$F$11:$H$11)</f>
        <v>0.3</v>
      </c>
      <c r="O1056" s="14">
        <f>Final_Table[[#This Row],[Units Sold]]*Final_Table[[#This Row],[Sale Price]]</f>
        <v>20400</v>
      </c>
      <c r="P1056" s="14">
        <f>Final_Table[[#This Row],[Gross Revenue]]*(1-Final_Table[[#This Row],[Discount %]])</f>
        <v>18360</v>
      </c>
      <c r="Q1056">
        <f>Final_Table[[#This Row],[Net Revenue]]*Final_Table[[#This Row],[Variable Cost %]]</f>
        <v>3304.7999999999997</v>
      </c>
      <c r="R1056">
        <f>Final_Table[[#This Row],[Variable Cost]]+Final_Table[[#This Row],[Fixed Monthly Cost]]</f>
        <v>21304.799999999999</v>
      </c>
      <c r="S1056" s="5">
        <f>Final_Table[[#This Row],[Net Revenue]]-Final_Table[[#This Row],[Total Cost (COGS)]]</f>
        <v>-2944.7999999999993</v>
      </c>
      <c r="T1056">
        <f>Final_Table[[#This Row],[Gross Profit]]*Final_Table[[#This Row],[Tax Rate]]</f>
        <v>-883.43999999999971</v>
      </c>
      <c r="U1056" s="5">
        <f>Final_Table[[#This Row],[Gross Profit]]-Final_Table[[#This Row],[Tax]]</f>
        <v>-2061.3599999999997</v>
      </c>
      <c r="V1056" s="12">
        <f>Final_Table[[#This Row],[Net Profit]]/Final_Table[[#This Row],[Gross Revenue]]</f>
        <v>-0.10104705882352939</v>
      </c>
    </row>
    <row r="1057" spans="1:22">
      <c r="A1057" s="18" t="s">
        <v>75</v>
      </c>
      <c r="B1057">
        <v>2014</v>
      </c>
      <c r="C1057" t="s">
        <v>126</v>
      </c>
      <c r="D1057">
        <v>1</v>
      </c>
      <c r="E1057" s="18" t="s">
        <v>22</v>
      </c>
      <c r="F1057" s="18" t="s">
        <v>108</v>
      </c>
      <c r="G1057" s="18" t="s">
        <v>36</v>
      </c>
      <c r="H1057" s="18" t="str">
        <f>Assumptions!$B$2</f>
        <v>Worst</v>
      </c>
      <c r="I1057" s="18">
        <f>_xlfn.XLOOKUP(Assumptions!$B$2,Assumptions!$F$4:$H$4,Assumptions!$F$5:$H$5)</f>
        <v>1200</v>
      </c>
      <c r="J1057" s="18">
        <f>_xlfn.XLOOKUP(Assumptions!$B$2,Assumptions!$F$4:$H$4,Assumptions!$F$6:$H$6)</f>
        <v>17</v>
      </c>
      <c r="K1057" s="12">
        <f>_xlfn.XLOOKUP(Assumptions!$B$2,Assumptions!$F$4:$H$4,Assumptions!$F$8:$H$8)</f>
        <v>0.1</v>
      </c>
      <c r="L1057" s="12">
        <f>_xlfn.XLOOKUP(Assumptions!$B$2,Assumptions!$F$4:$H$4,Assumptions!$F$9:$H$9)</f>
        <v>0.18</v>
      </c>
      <c r="M1057" s="18">
        <f>_xlfn.XLOOKUP(Assumptions!$B$2,Assumptions!$F$4:$H$4,Assumptions!$F$10:$H$10)</f>
        <v>18000</v>
      </c>
      <c r="N1057" s="12">
        <f>_xlfn.XLOOKUP(Assumptions!$B$2,Assumptions!$F$4:$H$4,Assumptions!$F$11:$H$11)</f>
        <v>0.3</v>
      </c>
      <c r="O1057" s="14">
        <f>Final_Table[[#This Row],[Units Sold]]*Final_Table[[#This Row],[Sale Price]]</f>
        <v>20400</v>
      </c>
      <c r="P1057" s="14">
        <f>Final_Table[[#This Row],[Gross Revenue]]*(1-Final_Table[[#This Row],[Discount %]])</f>
        <v>18360</v>
      </c>
      <c r="Q1057">
        <f>Final_Table[[#This Row],[Net Revenue]]*Final_Table[[#This Row],[Variable Cost %]]</f>
        <v>3304.7999999999997</v>
      </c>
      <c r="R1057">
        <f>Final_Table[[#This Row],[Variable Cost]]+Final_Table[[#This Row],[Fixed Monthly Cost]]</f>
        <v>21304.799999999999</v>
      </c>
      <c r="S1057" s="5">
        <f>Final_Table[[#This Row],[Net Revenue]]-Final_Table[[#This Row],[Total Cost (COGS)]]</f>
        <v>-2944.7999999999993</v>
      </c>
      <c r="T1057">
        <f>Final_Table[[#This Row],[Gross Profit]]*Final_Table[[#This Row],[Tax Rate]]</f>
        <v>-883.43999999999971</v>
      </c>
      <c r="U1057" s="5">
        <f>Final_Table[[#This Row],[Gross Profit]]-Final_Table[[#This Row],[Tax]]</f>
        <v>-2061.3599999999997</v>
      </c>
      <c r="V1057" s="12">
        <f>Final_Table[[#This Row],[Net Profit]]/Final_Table[[#This Row],[Gross Revenue]]</f>
        <v>-0.10104705882352939</v>
      </c>
    </row>
    <row r="1058" spans="1:22">
      <c r="A1058" s="18" t="s">
        <v>75</v>
      </c>
      <c r="B1058">
        <v>2014</v>
      </c>
      <c r="C1058" t="s">
        <v>126</v>
      </c>
      <c r="D1058">
        <v>1</v>
      </c>
      <c r="E1058" s="18" t="s">
        <v>22</v>
      </c>
      <c r="F1058" s="18" t="s">
        <v>108</v>
      </c>
      <c r="G1058" s="18" t="s">
        <v>23</v>
      </c>
      <c r="H1058" s="18" t="str">
        <f>Assumptions!$B$2</f>
        <v>Worst</v>
      </c>
      <c r="I1058" s="18">
        <f>_xlfn.XLOOKUP(Assumptions!$B$2,Assumptions!$F$4:$H$4,Assumptions!$F$5:$H$5)</f>
        <v>1200</v>
      </c>
      <c r="J1058" s="18">
        <f>_xlfn.XLOOKUP(Assumptions!$B$2,Assumptions!$F$4:$H$4,Assumptions!$F$6:$H$6)</f>
        <v>17</v>
      </c>
      <c r="K1058" s="12">
        <f>_xlfn.XLOOKUP(Assumptions!$B$2,Assumptions!$F$4:$H$4,Assumptions!$F$8:$H$8)</f>
        <v>0.1</v>
      </c>
      <c r="L1058" s="12">
        <f>_xlfn.XLOOKUP(Assumptions!$B$2,Assumptions!$F$4:$H$4,Assumptions!$F$9:$H$9)</f>
        <v>0.18</v>
      </c>
      <c r="M1058" s="18">
        <f>_xlfn.XLOOKUP(Assumptions!$B$2,Assumptions!$F$4:$H$4,Assumptions!$F$10:$H$10)</f>
        <v>18000</v>
      </c>
      <c r="N1058" s="12">
        <f>_xlfn.XLOOKUP(Assumptions!$B$2,Assumptions!$F$4:$H$4,Assumptions!$F$11:$H$11)</f>
        <v>0.3</v>
      </c>
      <c r="O1058" s="14">
        <f>Final_Table[[#This Row],[Units Sold]]*Final_Table[[#This Row],[Sale Price]]</f>
        <v>20400</v>
      </c>
      <c r="P1058" s="14">
        <f>Final_Table[[#This Row],[Gross Revenue]]*(1-Final_Table[[#This Row],[Discount %]])</f>
        <v>18360</v>
      </c>
      <c r="Q1058">
        <f>Final_Table[[#This Row],[Net Revenue]]*Final_Table[[#This Row],[Variable Cost %]]</f>
        <v>3304.7999999999997</v>
      </c>
      <c r="R1058">
        <f>Final_Table[[#This Row],[Variable Cost]]+Final_Table[[#This Row],[Fixed Monthly Cost]]</f>
        <v>21304.799999999999</v>
      </c>
      <c r="S1058" s="5">
        <f>Final_Table[[#This Row],[Net Revenue]]-Final_Table[[#This Row],[Total Cost (COGS)]]</f>
        <v>-2944.7999999999993</v>
      </c>
      <c r="T1058">
        <f>Final_Table[[#This Row],[Gross Profit]]*Final_Table[[#This Row],[Tax Rate]]</f>
        <v>-883.43999999999971</v>
      </c>
      <c r="U1058" s="5">
        <f>Final_Table[[#This Row],[Gross Profit]]-Final_Table[[#This Row],[Tax]]</f>
        <v>-2061.3599999999997</v>
      </c>
      <c r="V1058" s="12">
        <f>Final_Table[[#This Row],[Net Profit]]/Final_Table[[#This Row],[Gross Revenue]]</f>
        <v>-0.10104705882352939</v>
      </c>
    </row>
    <row r="1059" spans="1:22">
      <c r="A1059" s="18" t="s">
        <v>75</v>
      </c>
      <c r="B1059">
        <v>2014</v>
      </c>
      <c r="C1059" t="s">
        <v>126</v>
      </c>
      <c r="D1059">
        <v>1</v>
      </c>
      <c r="E1059" s="18" t="s">
        <v>22</v>
      </c>
      <c r="F1059" s="18" t="s">
        <v>108</v>
      </c>
      <c r="G1059" s="18" t="s">
        <v>21</v>
      </c>
      <c r="H1059" s="18" t="str">
        <f>Assumptions!$B$2</f>
        <v>Worst</v>
      </c>
      <c r="I1059" s="18">
        <f>_xlfn.XLOOKUP(Assumptions!$B$2,Assumptions!$F$4:$H$4,Assumptions!$F$5:$H$5)</f>
        <v>1200</v>
      </c>
      <c r="J1059" s="18">
        <f>_xlfn.XLOOKUP(Assumptions!$B$2,Assumptions!$F$4:$H$4,Assumptions!$F$6:$H$6)</f>
        <v>17</v>
      </c>
      <c r="K1059" s="12">
        <f>_xlfn.XLOOKUP(Assumptions!$B$2,Assumptions!$F$4:$H$4,Assumptions!$F$8:$H$8)</f>
        <v>0.1</v>
      </c>
      <c r="L1059" s="12">
        <f>_xlfn.XLOOKUP(Assumptions!$B$2,Assumptions!$F$4:$H$4,Assumptions!$F$9:$H$9)</f>
        <v>0.18</v>
      </c>
      <c r="M1059" s="18">
        <f>_xlfn.XLOOKUP(Assumptions!$B$2,Assumptions!$F$4:$H$4,Assumptions!$F$10:$H$10)</f>
        <v>18000</v>
      </c>
      <c r="N1059" s="12">
        <f>_xlfn.XLOOKUP(Assumptions!$B$2,Assumptions!$F$4:$H$4,Assumptions!$F$11:$H$11)</f>
        <v>0.3</v>
      </c>
      <c r="O1059" s="14">
        <f>Final_Table[[#This Row],[Units Sold]]*Final_Table[[#This Row],[Sale Price]]</f>
        <v>20400</v>
      </c>
      <c r="P1059" s="14">
        <f>Final_Table[[#This Row],[Gross Revenue]]*(1-Final_Table[[#This Row],[Discount %]])</f>
        <v>18360</v>
      </c>
      <c r="Q1059">
        <f>Final_Table[[#This Row],[Net Revenue]]*Final_Table[[#This Row],[Variable Cost %]]</f>
        <v>3304.7999999999997</v>
      </c>
      <c r="R1059">
        <f>Final_Table[[#This Row],[Variable Cost]]+Final_Table[[#This Row],[Fixed Monthly Cost]]</f>
        <v>21304.799999999999</v>
      </c>
      <c r="S1059" s="5">
        <f>Final_Table[[#This Row],[Net Revenue]]-Final_Table[[#This Row],[Total Cost (COGS)]]</f>
        <v>-2944.7999999999993</v>
      </c>
      <c r="T1059">
        <f>Final_Table[[#This Row],[Gross Profit]]*Final_Table[[#This Row],[Tax Rate]]</f>
        <v>-883.43999999999971</v>
      </c>
      <c r="U1059" s="5">
        <f>Final_Table[[#This Row],[Gross Profit]]-Final_Table[[#This Row],[Tax]]</f>
        <v>-2061.3599999999997</v>
      </c>
      <c r="V1059" s="12">
        <f>Final_Table[[#This Row],[Net Profit]]/Final_Table[[#This Row],[Gross Revenue]]</f>
        <v>-0.10104705882352939</v>
      </c>
    </row>
    <row r="1060" spans="1:22">
      <c r="A1060" s="18" t="s">
        <v>75</v>
      </c>
      <c r="B1060">
        <v>2014</v>
      </c>
      <c r="C1060" t="s">
        <v>126</v>
      </c>
      <c r="D1060">
        <v>1</v>
      </c>
      <c r="E1060" s="18" t="s">
        <v>22</v>
      </c>
      <c r="F1060" s="18" t="s">
        <v>108</v>
      </c>
      <c r="G1060" s="18" t="s">
        <v>25</v>
      </c>
      <c r="H1060" s="18" t="str">
        <f>Assumptions!$B$2</f>
        <v>Worst</v>
      </c>
      <c r="I1060" s="18">
        <f>_xlfn.XLOOKUP(Assumptions!$B$2,Assumptions!$F$4:$H$4,Assumptions!$F$5:$H$5)</f>
        <v>1200</v>
      </c>
      <c r="J1060" s="18">
        <f>_xlfn.XLOOKUP(Assumptions!$B$2,Assumptions!$F$4:$H$4,Assumptions!$F$6:$H$6)</f>
        <v>17</v>
      </c>
      <c r="K1060" s="12">
        <f>_xlfn.XLOOKUP(Assumptions!$B$2,Assumptions!$F$4:$H$4,Assumptions!$F$8:$H$8)</f>
        <v>0.1</v>
      </c>
      <c r="L1060" s="12">
        <f>_xlfn.XLOOKUP(Assumptions!$B$2,Assumptions!$F$4:$H$4,Assumptions!$F$9:$H$9)</f>
        <v>0.18</v>
      </c>
      <c r="M1060" s="18">
        <f>_xlfn.XLOOKUP(Assumptions!$B$2,Assumptions!$F$4:$H$4,Assumptions!$F$10:$H$10)</f>
        <v>18000</v>
      </c>
      <c r="N1060" s="12">
        <f>_xlfn.XLOOKUP(Assumptions!$B$2,Assumptions!$F$4:$H$4,Assumptions!$F$11:$H$11)</f>
        <v>0.3</v>
      </c>
      <c r="O1060" s="14">
        <f>Final_Table[[#This Row],[Units Sold]]*Final_Table[[#This Row],[Sale Price]]</f>
        <v>20400</v>
      </c>
      <c r="P1060" s="14">
        <f>Final_Table[[#This Row],[Gross Revenue]]*(1-Final_Table[[#This Row],[Discount %]])</f>
        <v>18360</v>
      </c>
      <c r="Q1060">
        <f>Final_Table[[#This Row],[Net Revenue]]*Final_Table[[#This Row],[Variable Cost %]]</f>
        <v>3304.7999999999997</v>
      </c>
      <c r="R1060">
        <f>Final_Table[[#This Row],[Variable Cost]]+Final_Table[[#This Row],[Fixed Monthly Cost]]</f>
        <v>21304.799999999999</v>
      </c>
      <c r="S1060" s="5">
        <f>Final_Table[[#This Row],[Net Revenue]]-Final_Table[[#This Row],[Total Cost (COGS)]]</f>
        <v>-2944.7999999999993</v>
      </c>
      <c r="T1060">
        <f>Final_Table[[#This Row],[Gross Profit]]*Final_Table[[#This Row],[Tax Rate]]</f>
        <v>-883.43999999999971</v>
      </c>
      <c r="U1060" s="5">
        <f>Final_Table[[#This Row],[Gross Profit]]-Final_Table[[#This Row],[Tax]]</f>
        <v>-2061.3599999999997</v>
      </c>
      <c r="V1060" s="12">
        <f>Final_Table[[#This Row],[Net Profit]]/Final_Table[[#This Row],[Gross Revenue]]</f>
        <v>-0.10104705882352939</v>
      </c>
    </row>
    <row r="1061" spans="1:22">
      <c r="A1061" s="18" t="s">
        <v>75</v>
      </c>
      <c r="B1061">
        <v>2014</v>
      </c>
      <c r="C1061" t="s">
        <v>126</v>
      </c>
      <c r="D1061">
        <v>1</v>
      </c>
      <c r="E1061" s="18" t="s">
        <v>22</v>
      </c>
      <c r="F1061" s="18" t="s">
        <v>108</v>
      </c>
      <c r="G1061" s="18" t="s">
        <v>17</v>
      </c>
      <c r="H1061" s="18" t="str">
        <f>Assumptions!$B$2</f>
        <v>Worst</v>
      </c>
      <c r="I1061" s="18">
        <f>_xlfn.XLOOKUP(Assumptions!$B$2,Assumptions!$F$4:$H$4,Assumptions!$F$5:$H$5)</f>
        <v>1200</v>
      </c>
      <c r="J1061" s="18">
        <f>_xlfn.XLOOKUP(Assumptions!$B$2,Assumptions!$F$4:$H$4,Assumptions!$F$6:$H$6)</f>
        <v>17</v>
      </c>
      <c r="K1061" s="12">
        <f>_xlfn.XLOOKUP(Assumptions!$B$2,Assumptions!$F$4:$H$4,Assumptions!$F$8:$H$8)</f>
        <v>0.1</v>
      </c>
      <c r="L1061" s="12">
        <f>_xlfn.XLOOKUP(Assumptions!$B$2,Assumptions!$F$4:$H$4,Assumptions!$F$9:$H$9)</f>
        <v>0.18</v>
      </c>
      <c r="M1061" s="18">
        <f>_xlfn.XLOOKUP(Assumptions!$B$2,Assumptions!$F$4:$H$4,Assumptions!$F$10:$H$10)</f>
        <v>18000</v>
      </c>
      <c r="N1061" s="12">
        <f>_xlfn.XLOOKUP(Assumptions!$B$2,Assumptions!$F$4:$H$4,Assumptions!$F$11:$H$11)</f>
        <v>0.3</v>
      </c>
      <c r="O1061" s="14">
        <f>Final_Table[[#This Row],[Units Sold]]*Final_Table[[#This Row],[Sale Price]]</f>
        <v>20400</v>
      </c>
      <c r="P1061" s="14">
        <f>Final_Table[[#This Row],[Gross Revenue]]*(1-Final_Table[[#This Row],[Discount %]])</f>
        <v>18360</v>
      </c>
      <c r="Q1061">
        <f>Final_Table[[#This Row],[Net Revenue]]*Final_Table[[#This Row],[Variable Cost %]]</f>
        <v>3304.7999999999997</v>
      </c>
      <c r="R1061">
        <f>Final_Table[[#This Row],[Variable Cost]]+Final_Table[[#This Row],[Fixed Monthly Cost]]</f>
        <v>21304.799999999999</v>
      </c>
      <c r="S1061" s="5">
        <f>Final_Table[[#This Row],[Net Revenue]]-Final_Table[[#This Row],[Total Cost (COGS)]]</f>
        <v>-2944.7999999999993</v>
      </c>
      <c r="T1061">
        <f>Final_Table[[#This Row],[Gross Profit]]*Final_Table[[#This Row],[Tax Rate]]</f>
        <v>-883.43999999999971</v>
      </c>
      <c r="U1061" s="5">
        <f>Final_Table[[#This Row],[Gross Profit]]-Final_Table[[#This Row],[Tax]]</f>
        <v>-2061.3599999999997</v>
      </c>
      <c r="V1061" s="12">
        <f>Final_Table[[#This Row],[Net Profit]]/Final_Table[[#This Row],[Gross Revenue]]</f>
        <v>-0.10104705882352939</v>
      </c>
    </row>
    <row r="1062" spans="1:22">
      <c r="A1062" s="18" t="s">
        <v>75</v>
      </c>
      <c r="B1062">
        <v>2014</v>
      </c>
      <c r="C1062" t="s">
        <v>126</v>
      </c>
      <c r="D1062">
        <v>1</v>
      </c>
      <c r="E1062" s="18" t="s">
        <v>22</v>
      </c>
      <c r="F1062" s="18" t="s">
        <v>112</v>
      </c>
      <c r="G1062" s="18" t="s">
        <v>36</v>
      </c>
      <c r="H1062" s="18" t="str">
        <f>Assumptions!$B$2</f>
        <v>Worst</v>
      </c>
      <c r="I1062" s="18">
        <f>_xlfn.XLOOKUP(Assumptions!$B$2,Assumptions!$F$4:$H$4,Assumptions!$F$5:$H$5)</f>
        <v>1200</v>
      </c>
      <c r="J1062" s="18">
        <f>_xlfn.XLOOKUP(Assumptions!$B$2,Assumptions!$F$4:$H$4,Assumptions!$F$6:$H$6)</f>
        <v>17</v>
      </c>
      <c r="K1062" s="12">
        <f>_xlfn.XLOOKUP(Assumptions!$B$2,Assumptions!$F$4:$H$4,Assumptions!$F$8:$H$8)</f>
        <v>0.1</v>
      </c>
      <c r="L1062" s="12">
        <f>_xlfn.XLOOKUP(Assumptions!$B$2,Assumptions!$F$4:$H$4,Assumptions!$F$9:$H$9)</f>
        <v>0.18</v>
      </c>
      <c r="M1062" s="18">
        <f>_xlfn.XLOOKUP(Assumptions!$B$2,Assumptions!$F$4:$H$4,Assumptions!$F$10:$H$10)</f>
        <v>18000</v>
      </c>
      <c r="N1062" s="12">
        <f>_xlfn.XLOOKUP(Assumptions!$B$2,Assumptions!$F$4:$H$4,Assumptions!$F$11:$H$11)</f>
        <v>0.3</v>
      </c>
      <c r="O1062" s="14">
        <f>Final_Table[[#This Row],[Units Sold]]*Final_Table[[#This Row],[Sale Price]]</f>
        <v>20400</v>
      </c>
      <c r="P1062" s="14">
        <f>Final_Table[[#This Row],[Gross Revenue]]*(1-Final_Table[[#This Row],[Discount %]])</f>
        <v>18360</v>
      </c>
      <c r="Q1062">
        <f>Final_Table[[#This Row],[Net Revenue]]*Final_Table[[#This Row],[Variable Cost %]]</f>
        <v>3304.7999999999997</v>
      </c>
      <c r="R1062">
        <f>Final_Table[[#This Row],[Variable Cost]]+Final_Table[[#This Row],[Fixed Monthly Cost]]</f>
        <v>21304.799999999999</v>
      </c>
      <c r="S1062" s="5">
        <f>Final_Table[[#This Row],[Net Revenue]]-Final_Table[[#This Row],[Total Cost (COGS)]]</f>
        <v>-2944.7999999999993</v>
      </c>
      <c r="T1062">
        <f>Final_Table[[#This Row],[Gross Profit]]*Final_Table[[#This Row],[Tax Rate]]</f>
        <v>-883.43999999999971</v>
      </c>
      <c r="U1062" s="5">
        <f>Final_Table[[#This Row],[Gross Profit]]-Final_Table[[#This Row],[Tax]]</f>
        <v>-2061.3599999999997</v>
      </c>
      <c r="V1062" s="12">
        <f>Final_Table[[#This Row],[Net Profit]]/Final_Table[[#This Row],[Gross Revenue]]</f>
        <v>-0.10104705882352939</v>
      </c>
    </row>
    <row r="1063" spans="1:22">
      <c r="A1063" s="18" t="s">
        <v>75</v>
      </c>
      <c r="B1063">
        <v>2014</v>
      </c>
      <c r="C1063" t="s">
        <v>126</v>
      </c>
      <c r="D1063">
        <v>1</v>
      </c>
      <c r="E1063" s="18" t="s">
        <v>22</v>
      </c>
      <c r="F1063" s="18" t="s">
        <v>112</v>
      </c>
      <c r="G1063" s="18" t="s">
        <v>23</v>
      </c>
      <c r="H1063" s="18" t="str">
        <f>Assumptions!$B$2</f>
        <v>Worst</v>
      </c>
      <c r="I1063" s="18">
        <f>_xlfn.XLOOKUP(Assumptions!$B$2,Assumptions!$F$4:$H$4,Assumptions!$F$5:$H$5)</f>
        <v>1200</v>
      </c>
      <c r="J1063" s="18">
        <f>_xlfn.XLOOKUP(Assumptions!$B$2,Assumptions!$F$4:$H$4,Assumptions!$F$6:$H$6)</f>
        <v>17</v>
      </c>
      <c r="K1063" s="12">
        <f>_xlfn.XLOOKUP(Assumptions!$B$2,Assumptions!$F$4:$H$4,Assumptions!$F$8:$H$8)</f>
        <v>0.1</v>
      </c>
      <c r="L1063" s="12">
        <f>_xlfn.XLOOKUP(Assumptions!$B$2,Assumptions!$F$4:$H$4,Assumptions!$F$9:$H$9)</f>
        <v>0.18</v>
      </c>
      <c r="M1063" s="18">
        <f>_xlfn.XLOOKUP(Assumptions!$B$2,Assumptions!$F$4:$H$4,Assumptions!$F$10:$H$10)</f>
        <v>18000</v>
      </c>
      <c r="N1063" s="12">
        <f>_xlfn.XLOOKUP(Assumptions!$B$2,Assumptions!$F$4:$H$4,Assumptions!$F$11:$H$11)</f>
        <v>0.3</v>
      </c>
      <c r="O1063" s="14">
        <f>Final_Table[[#This Row],[Units Sold]]*Final_Table[[#This Row],[Sale Price]]</f>
        <v>20400</v>
      </c>
      <c r="P1063" s="14">
        <f>Final_Table[[#This Row],[Gross Revenue]]*(1-Final_Table[[#This Row],[Discount %]])</f>
        <v>18360</v>
      </c>
      <c r="Q1063">
        <f>Final_Table[[#This Row],[Net Revenue]]*Final_Table[[#This Row],[Variable Cost %]]</f>
        <v>3304.7999999999997</v>
      </c>
      <c r="R1063">
        <f>Final_Table[[#This Row],[Variable Cost]]+Final_Table[[#This Row],[Fixed Monthly Cost]]</f>
        <v>21304.799999999999</v>
      </c>
      <c r="S1063" s="5">
        <f>Final_Table[[#This Row],[Net Revenue]]-Final_Table[[#This Row],[Total Cost (COGS)]]</f>
        <v>-2944.7999999999993</v>
      </c>
      <c r="T1063">
        <f>Final_Table[[#This Row],[Gross Profit]]*Final_Table[[#This Row],[Tax Rate]]</f>
        <v>-883.43999999999971</v>
      </c>
      <c r="U1063" s="5">
        <f>Final_Table[[#This Row],[Gross Profit]]-Final_Table[[#This Row],[Tax]]</f>
        <v>-2061.3599999999997</v>
      </c>
      <c r="V1063" s="12">
        <f>Final_Table[[#This Row],[Net Profit]]/Final_Table[[#This Row],[Gross Revenue]]</f>
        <v>-0.10104705882352939</v>
      </c>
    </row>
    <row r="1064" spans="1:22">
      <c r="A1064" s="18" t="s">
        <v>75</v>
      </c>
      <c r="B1064">
        <v>2014</v>
      </c>
      <c r="C1064" t="s">
        <v>126</v>
      </c>
      <c r="D1064">
        <v>1</v>
      </c>
      <c r="E1064" s="18" t="s">
        <v>22</v>
      </c>
      <c r="F1064" s="18" t="s">
        <v>112</v>
      </c>
      <c r="G1064" s="18" t="s">
        <v>21</v>
      </c>
      <c r="H1064" s="18" t="str">
        <f>Assumptions!$B$2</f>
        <v>Worst</v>
      </c>
      <c r="I1064" s="18">
        <f>_xlfn.XLOOKUP(Assumptions!$B$2,Assumptions!$F$4:$H$4,Assumptions!$F$5:$H$5)</f>
        <v>1200</v>
      </c>
      <c r="J1064" s="18">
        <f>_xlfn.XLOOKUP(Assumptions!$B$2,Assumptions!$F$4:$H$4,Assumptions!$F$6:$H$6)</f>
        <v>17</v>
      </c>
      <c r="K1064" s="12">
        <f>_xlfn.XLOOKUP(Assumptions!$B$2,Assumptions!$F$4:$H$4,Assumptions!$F$8:$H$8)</f>
        <v>0.1</v>
      </c>
      <c r="L1064" s="12">
        <f>_xlfn.XLOOKUP(Assumptions!$B$2,Assumptions!$F$4:$H$4,Assumptions!$F$9:$H$9)</f>
        <v>0.18</v>
      </c>
      <c r="M1064" s="18">
        <f>_xlfn.XLOOKUP(Assumptions!$B$2,Assumptions!$F$4:$H$4,Assumptions!$F$10:$H$10)</f>
        <v>18000</v>
      </c>
      <c r="N1064" s="12">
        <f>_xlfn.XLOOKUP(Assumptions!$B$2,Assumptions!$F$4:$H$4,Assumptions!$F$11:$H$11)</f>
        <v>0.3</v>
      </c>
      <c r="O1064" s="14">
        <f>Final_Table[[#This Row],[Units Sold]]*Final_Table[[#This Row],[Sale Price]]</f>
        <v>20400</v>
      </c>
      <c r="P1064" s="14">
        <f>Final_Table[[#This Row],[Gross Revenue]]*(1-Final_Table[[#This Row],[Discount %]])</f>
        <v>18360</v>
      </c>
      <c r="Q1064">
        <f>Final_Table[[#This Row],[Net Revenue]]*Final_Table[[#This Row],[Variable Cost %]]</f>
        <v>3304.7999999999997</v>
      </c>
      <c r="R1064">
        <f>Final_Table[[#This Row],[Variable Cost]]+Final_Table[[#This Row],[Fixed Monthly Cost]]</f>
        <v>21304.799999999999</v>
      </c>
      <c r="S1064" s="5">
        <f>Final_Table[[#This Row],[Net Revenue]]-Final_Table[[#This Row],[Total Cost (COGS)]]</f>
        <v>-2944.7999999999993</v>
      </c>
      <c r="T1064">
        <f>Final_Table[[#This Row],[Gross Profit]]*Final_Table[[#This Row],[Tax Rate]]</f>
        <v>-883.43999999999971</v>
      </c>
      <c r="U1064" s="5">
        <f>Final_Table[[#This Row],[Gross Profit]]-Final_Table[[#This Row],[Tax]]</f>
        <v>-2061.3599999999997</v>
      </c>
      <c r="V1064" s="12">
        <f>Final_Table[[#This Row],[Net Profit]]/Final_Table[[#This Row],[Gross Revenue]]</f>
        <v>-0.10104705882352939</v>
      </c>
    </row>
    <row r="1065" spans="1:22">
      <c r="A1065" s="18" t="s">
        <v>75</v>
      </c>
      <c r="B1065">
        <v>2014</v>
      </c>
      <c r="C1065" t="s">
        <v>126</v>
      </c>
      <c r="D1065">
        <v>1</v>
      </c>
      <c r="E1065" s="18" t="s">
        <v>22</v>
      </c>
      <c r="F1065" s="18" t="s">
        <v>112</v>
      </c>
      <c r="G1065" s="18" t="s">
        <v>25</v>
      </c>
      <c r="H1065" s="18" t="str">
        <f>Assumptions!$B$2</f>
        <v>Worst</v>
      </c>
      <c r="I1065" s="18">
        <f>_xlfn.XLOOKUP(Assumptions!$B$2,Assumptions!$F$4:$H$4,Assumptions!$F$5:$H$5)</f>
        <v>1200</v>
      </c>
      <c r="J1065" s="18">
        <f>_xlfn.XLOOKUP(Assumptions!$B$2,Assumptions!$F$4:$H$4,Assumptions!$F$6:$H$6)</f>
        <v>17</v>
      </c>
      <c r="K1065" s="12">
        <f>_xlfn.XLOOKUP(Assumptions!$B$2,Assumptions!$F$4:$H$4,Assumptions!$F$8:$H$8)</f>
        <v>0.1</v>
      </c>
      <c r="L1065" s="12">
        <f>_xlfn.XLOOKUP(Assumptions!$B$2,Assumptions!$F$4:$H$4,Assumptions!$F$9:$H$9)</f>
        <v>0.18</v>
      </c>
      <c r="M1065" s="18">
        <f>_xlfn.XLOOKUP(Assumptions!$B$2,Assumptions!$F$4:$H$4,Assumptions!$F$10:$H$10)</f>
        <v>18000</v>
      </c>
      <c r="N1065" s="12">
        <f>_xlfn.XLOOKUP(Assumptions!$B$2,Assumptions!$F$4:$H$4,Assumptions!$F$11:$H$11)</f>
        <v>0.3</v>
      </c>
      <c r="O1065" s="14">
        <f>Final_Table[[#This Row],[Units Sold]]*Final_Table[[#This Row],[Sale Price]]</f>
        <v>20400</v>
      </c>
      <c r="P1065" s="14">
        <f>Final_Table[[#This Row],[Gross Revenue]]*(1-Final_Table[[#This Row],[Discount %]])</f>
        <v>18360</v>
      </c>
      <c r="Q1065">
        <f>Final_Table[[#This Row],[Net Revenue]]*Final_Table[[#This Row],[Variable Cost %]]</f>
        <v>3304.7999999999997</v>
      </c>
      <c r="R1065">
        <f>Final_Table[[#This Row],[Variable Cost]]+Final_Table[[#This Row],[Fixed Monthly Cost]]</f>
        <v>21304.799999999999</v>
      </c>
      <c r="S1065" s="5">
        <f>Final_Table[[#This Row],[Net Revenue]]-Final_Table[[#This Row],[Total Cost (COGS)]]</f>
        <v>-2944.7999999999993</v>
      </c>
      <c r="T1065">
        <f>Final_Table[[#This Row],[Gross Profit]]*Final_Table[[#This Row],[Tax Rate]]</f>
        <v>-883.43999999999971</v>
      </c>
      <c r="U1065" s="5">
        <f>Final_Table[[#This Row],[Gross Profit]]-Final_Table[[#This Row],[Tax]]</f>
        <v>-2061.3599999999997</v>
      </c>
      <c r="V1065" s="12">
        <f>Final_Table[[#This Row],[Net Profit]]/Final_Table[[#This Row],[Gross Revenue]]</f>
        <v>-0.10104705882352939</v>
      </c>
    </row>
    <row r="1066" spans="1:22">
      <c r="A1066" s="18" t="s">
        <v>75</v>
      </c>
      <c r="B1066">
        <v>2014</v>
      </c>
      <c r="C1066" t="s">
        <v>126</v>
      </c>
      <c r="D1066">
        <v>1</v>
      </c>
      <c r="E1066" s="18" t="s">
        <v>22</v>
      </c>
      <c r="F1066" s="18" t="s">
        <v>112</v>
      </c>
      <c r="G1066" s="18" t="s">
        <v>17</v>
      </c>
      <c r="H1066" s="18" t="str">
        <f>Assumptions!$B$2</f>
        <v>Worst</v>
      </c>
      <c r="I1066" s="18">
        <f>_xlfn.XLOOKUP(Assumptions!$B$2,Assumptions!$F$4:$H$4,Assumptions!$F$5:$H$5)</f>
        <v>1200</v>
      </c>
      <c r="J1066" s="18">
        <f>_xlfn.XLOOKUP(Assumptions!$B$2,Assumptions!$F$4:$H$4,Assumptions!$F$6:$H$6)</f>
        <v>17</v>
      </c>
      <c r="K1066" s="12">
        <f>_xlfn.XLOOKUP(Assumptions!$B$2,Assumptions!$F$4:$H$4,Assumptions!$F$8:$H$8)</f>
        <v>0.1</v>
      </c>
      <c r="L1066" s="12">
        <f>_xlfn.XLOOKUP(Assumptions!$B$2,Assumptions!$F$4:$H$4,Assumptions!$F$9:$H$9)</f>
        <v>0.18</v>
      </c>
      <c r="M1066" s="18">
        <f>_xlfn.XLOOKUP(Assumptions!$B$2,Assumptions!$F$4:$H$4,Assumptions!$F$10:$H$10)</f>
        <v>18000</v>
      </c>
      <c r="N1066" s="12">
        <f>_xlfn.XLOOKUP(Assumptions!$B$2,Assumptions!$F$4:$H$4,Assumptions!$F$11:$H$11)</f>
        <v>0.3</v>
      </c>
      <c r="O1066" s="14">
        <f>Final_Table[[#This Row],[Units Sold]]*Final_Table[[#This Row],[Sale Price]]</f>
        <v>20400</v>
      </c>
      <c r="P1066" s="14">
        <f>Final_Table[[#This Row],[Gross Revenue]]*(1-Final_Table[[#This Row],[Discount %]])</f>
        <v>18360</v>
      </c>
      <c r="Q1066">
        <f>Final_Table[[#This Row],[Net Revenue]]*Final_Table[[#This Row],[Variable Cost %]]</f>
        <v>3304.7999999999997</v>
      </c>
      <c r="R1066">
        <f>Final_Table[[#This Row],[Variable Cost]]+Final_Table[[#This Row],[Fixed Monthly Cost]]</f>
        <v>21304.799999999999</v>
      </c>
      <c r="S1066" s="5">
        <f>Final_Table[[#This Row],[Net Revenue]]-Final_Table[[#This Row],[Total Cost (COGS)]]</f>
        <v>-2944.7999999999993</v>
      </c>
      <c r="T1066">
        <f>Final_Table[[#This Row],[Gross Profit]]*Final_Table[[#This Row],[Tax Rate]]</f>
        <v>-883.43999999999971</v>
      </c>
      <c r="U1066" s="5">
        <f>Final_Table[[#This Row],[Gross Profit]]-Final_Table[[#This Row],[Tax]]</f>
        <v>-2061.3599999999997</v>
      </c>
      <c r="V1066" s="12">
        <f>Final_Table[[#This Row],[Net Profit]]/Final_Table[[#This Row],[Gross Revenue]]</f>
        <v>-0.10104705882352939</v>
      </c>
    </row>
    <row r="1067" spans="1:22">
      <c r="A1067" s="18" t="s">
        <v>75</v>
      </c>
      <c r="B1067">
        <v>2014</v>
      </c>
      <c r="C1067" t="s">
        <v>126</v>
      </c>
      <c r="D1067">
        <v>1</v>
      </c>
      <c r="E1067" s="18" t="s">
        <v>22</v>
      </c>
      <c r="F1067" s="18" t="s">
        <v>113</v>
      </c>
      <c r="G1067" s="18" t="s">
        <v>36</v>
      </c>
      <c r="H1067" s="18" t="str">
        <f>Assumptions!$B$2</f>
        <v>Worst</v>
      </c>
      <c r="I1067" s="18">
        <f>_xlfn.XLOOKUP(Assumptions!$B$2,Assumptions!$F$4:$H$4,Assumptions!$F$5:$H$5)</f>
        <v>1200</v>
      </c>
      <c r="J1067" s="18">
        <f>_xlfn.XLOOKUP(Assumptions!$B$2,Assumptions!$F$4:$H$4,Assumptions!$F$6:$H$6)</f>
        <v>17</v>
      </c>
      <c r="K1067" s="12">
        <f>_xlfn.XLOOKUP(Assumptions!$B$2,Assumptions!$F$4:$H$4,Assumptions!$F$8:$H$8)</f>
        <v>0.1</v>
      </c>
      <c r="L1067" s="12">
        <f>_xlfn.XLOOKUP(Assumptions!$B$2,Assumptions!$F$4:$H$4,Assumptions!$F$9:$H$9)</f>
        <v>0.18</v>
      </c>
      <c r="M1067" s="18">
        <f>_xlfn.XLOOKUP(Assumptions!$B$2,Assumptions!$F$4:$H$4,Assumptions!$F$10:$H$10)</f>
        <v>18000</v>
      </c>
      <c r="N1067" s="12">
        <f>_xlfn.XLOOKUP(Assumptions!$B$2,Assumptions!$F$4:$H$4,Assumptions!$F$11:$H$11)</f>
        <v>0.3</v>
      </c>
      <c r="O1067" s="14">
        <f>Final_Table[[#This Row],[Units Sold]]*Final_Table[[#This Row],[Sale Price]]</f>
        <v>20400</v>
      </c>
      <c r="P1067" s="14">
        <f>Final_Table[[#This Row],[Gross Revenue]]*(1-Final_Table[[#This Row],[Discount %]])</f>
        <v>18360</v>
      </c>
      <c r="Q1067">
        <f>Final_Table[[#This Row],[Net Revenue]]*Final_Table[[#This Row],[Variable Cost %]]</f>
        <v>3304.7999999999997</v>
      </c>
      <c r="R1067">
        <f>Final_Table[[#This Row],[Variable Cost]]+Final_Table[[#This Row],[Fixed Monthly Cost]]</f>
        <v>21304.799999999999</v>
      </c>
      <c r="S1067" s="5">
        <f>Final_Table[[#This Row],[Net Revenue]]-Final_Table[[#This Row],[Total Cost (COGS)]]</f>
        <v>-2944.7999999999993</v>
      </c>
      <c r="T1067">
        <f>Final_Table[[#This Row],[Gross Profit]]*Final_Table[[#This Row],[Tax Rate]]</f>
        <v>-883.43999999999971</v>
      </c>
      <c r="U1067" s="5">
        <f>Final_Table[[#This Row],[Gross Profit]]-Final_Table[[#This Row],[Tax]]</f>
        <v>-2061.3599999999997</v>
      </c>
      <c r="V1067" s="12">
        <f>Final_Table[[#This Row],[Net Profit]]/Final_Table[[#This Row],[Gross Revenue]]</f>
        <v>-0.10104705882352939</v>
      </c>
    </row>
    <row r="1068" spans="1:22">
      <c r="A1068" s="18" t="s">
        <v>75</v>
      </c>
      <c r="B1068">
        <v>2014</v>
      </c>
      <c r="C1068" t="s">
        <v>126</v>
      </c>
      <c r="D1068">
        <v>1</v>
      </c>
      <c r="E1068" s="18" t="s">
        <v>22</v>
      </c>
      <c r="F1068" s="18" t="s">
        <v>113</v>
      </c>
      <c r="G1068" s="18" t="s">
        <v>23</v>
      </c>
      <c r="H1068" s="18" t="str">
        <f>Assumptions!$B$2</f>
        <v>Worst</v>
      </c>
      <c r="I1068" s="18">
        <f>_xlfn.XLOOKUP(Assumptions!$B$2,Assumptions!$F$4:$H$4,Assumptions!$F$5:$H$5)</f>
        <v>1200</v>
      </c>
      <c r="J1068" s="18">
        <f>_xlfn.XLOOKUP(Assumptions!$B$2,Assumptions!$F$4:$H$4,Assumptions!$F$6:$H$6)</f>
        <v>17</v>
      </c>
      <c r="K1068" s="12">
        <f>_xlfn.XLOOKUP(Assumptions!$B$2,Assumptions!$F$4:$H$4,Assumptions!$F$8:$H$8)</f>
        <v>0.1</v>
      </c>
      <c r="L1068" s="12">
        <f>_xlfn.XLOOKUP(Assumptions!$B$2,Assumptions!$F$4:$H$4,Assumptions!$F$9:$H$9)</f>
        <v>0.18</v>
      </c>
      <c r="M1068" s="18">
        <f>_xlfn.XLOOKUP(Assumptions!$B$2,Assumptions!$F$4:$H$4,Assumptions!$F$10:$H$10)</f>
        <v>18000</v>
      </c>
      <c r="N1068" s="12">
        <f>_xlfn.XLOOKUP(Assumptions!$B$2,Assumptions!$F$4:$H$4,Assumptions!$F$11:$H$11)</f>
        <v>0.3</v>
      </c>
      <c r="O1068" s="14">
        <f>Final_Table[[#This Row],[Units Sold]]*Final_Table[[#This Row],[Sale Price]]</f>
        <v>20400</v>
      </c>
      <c r="P1068" s="14">
        <f>Final_Table[[#This Row],[Gross Revenue]]*(1-Final_Table[[#This Row],[Discount %]])</f>
        <v>18360</v>
      </c>
      <c r="Q1068">
        <f>Final_Table[[#This Row],[Net Revenue]]*Final_Table[[#This Row],[Variable Cost %]]</f>
        <v>3304.7999999999997</v>
      </c>
      <c r="R1068">
        <f>Final_Table[[#This Row],[Variable Cost]]+Final_Table[[#This Row],[Fixed Monthly Cost]]</f>
        <v>21304.799999999999</v>
      </c>
      <c r="S1068" s="5">
        <f>Final_Table[[#This Row],[Net Revenue]]-Final_Table[[#This Row],[Total Cost (COGS)]]</f>
        <v>-2944.7999999999993</v>
      </c>
      <c r="T1068">
        <f>Final_Table[[#This Row],[Gross Profit]]*Final_Table[[#This Row],[Tax Rate]]</f>
        <v>-883.43999999999971</v>
      </c>
      <c r="U1068" s="5">
        <f>Final_Table[[#This Row],[Gross Profit]]-Final_Table[[#This Row],[Tax]]</f>
        <v>-2061.3599999999997</v>
      </c>
      <c r="V1068" s="12">
        <f>Final_Table[[#This Row],[Net Profit]]/Final_Table[[#This Row],[Gross Revenue]]</f>
        <v>-0.10104705882352939</v>
      </c>
    </row>
    <row r="1069" spans="1:22">
      <c r="A1069" s="18" t="s">
        <v>75</v>
      </c>
      <c r="B1069">
        <v>2014</v>
      </c>
      <c r="C1069" t="s">
        <v>126</v>
      </c>
      <c r="D1069">
        <v>1</v>
      </c>
      <c r="E1069" s="18" t="s">
        <v>22</v>
      </c>
      <c r="F1069" s="18" t="s">
        <v>113</v>
      </c>
      <c r="G1069" s="18" t="s">
        <v>21</v>
      </c>
      <c r="H1069" s="18" t="str">
        <f>Assumptions!$B$2</f>
        <v>Worst</v>
      </c>
      <c r="I1069" s="18">
        <f>_xlfn.XLOOKUP(Assumptions!$B$2,Assumptions!$F$4:$H$4,Assumptions!$F$5:$H$5)</f>
        <v>1200</v>
      </c>
      <c r="J1069" s="18">
        <f>_xlfn.XLOOKUP(Assumptions!$B$2,Assumptions!$F$4:$H$4,Assumptions!$F$6:$H$6)</f>
        <v>17</v>
      </c>
      <c r="K1069" s="12">
        <f>_xlfn.XLOOKUP(Assumptions!$B$2,Assumptions!$F$4:$H$4,Assumptions!$F$8:$H$8)</f>
        <v>0.1</v>
      </c>
      <c r="L1069" s="12">
        <f>_xlfn.XLOOKUP(Assumptions!$B$2,Assumptions!$F$4:$H$4,Assumptions!$F$9:$H$9)</f>
        <v>0.18</v>
      </c>
      <c r="M1069" s="18">
        <f>_xlfn.XLOOKUP(Assumptions!$B$2,Assumptions!$F$4:$H$4,Assumptions!$F$10:$H$10)</f>
        <v>18000</v>
      </c>
      <c r="N1069" s="12">
        <f>_xlfn.XLOOKUP(Assumptions!$B$2,Assumptions!$F$4:$H$4,Assumptions!$F$11:$H$11)</f>
        <v>0.3</v>
      </c>
      <c r="O1069" s="14">
        <f>Final_Table[[#This Row],[Units Sold]]*Final_Table[[#This Row],[Sale Price]]</f>
        <v>20400</v>
      </c>
      <c r="P1069" s="14">
        <f>Final_Table[[#This Row],[Gross Revenue]]*(1-Final_Table[[#This Row],[Discount %]])</f>
        <v>18360</v>
      </c>
      <c r="Q1069">
        <f>Final_Table[[#This Row],[Net Revenue]]*Final_Table[[#This Row],[Variable Cost %]]</f>
        <v>3304.7999999999997</v>
      </c>
      <c r="R1069">
        <f>Final_Table[[#This Row],[Variable Cost]]+Final_Table[[#This Row],[Fixed Monthly Cost]]</f>
        <v>21304.799999999999</v>
      </c>
      <c r="S1069" s="5">
        <f>Final_Table[[#This Row],[Net Revenue]]-Final_Table[[#This Row],[Total Cost (COGS)]]</f>
        <v>-2944.7999999999993</v>
      </c>
      <c r="T1069">
        <f>Final_Table[[#This Row],[Gross Profit]]*Final_Table[[#This Row],[Tax Rate]]</f>
        <v>-883.43999999999971</v>
      </c>
      <c r="U1069" s="5">
        <f>Final_Table[[#This Row],[Gross Profit]]-Final_Table[[#This Row],[Tax]]</f>
        <v>-2061.3599999999997</v>
      </c>
      <c r="V1069" s="12">
        <f>Final_Table[[#This Row],[Net Profit]]/Final_Table[[#This Row],[Gross Revenue]]</f>
        <v>-0.10104705882352939</v>
      </c>
    </row>
    <row r="1070" spans="1:22">
      <c r="A1070" s="18" t="s">
        <v>75</v>
      </c>
      <c r="B1070">
        <v>2014</v>
      </c>
      <c r="C1070" t="s">
        <v>126</v>
      </c>
      <c r="D1070">
        <v>1</v>
      </c>
      <c r="E1070" s="18" t="s">
        <v>22</v>
      </c>
      <c r="F1070" s="18" t="s">
        <v>113</v>
      </c>
      <c r="G1070" s="18" t="s">
        <v>25</v>
      </c>
      <c r="H1070" s="18" t="str">
        <f>Assumptions!$B$2</f>
        <v>Worst</v>
      </c>
      <c r="I1070" s="18">
        <f>_xlfn.XLOOKUP(Assumptions!$B$2,Assumptions!$F$4:$H$4,Assumptions!$F$5:$H$5)</f>
        <v>1200</v>
      </c>
      <c r="J1070" s="18">
        <f>_xlfn.XLOOKUP(Assumptions!$B$2,Assumptions!$F$4:$H$4,Assumptions!$F$6:$H$6)</f>
        <v>17</v>
      </c>
      <c r="K1070" s="12">
        <f>_xlfn.XLOOKUP(Assumptions!$B$2,Assumptions!$F$4:$H$4,Assumptions!$F$8:$H$8)</f>
        <v>0.1</v>
      </c>
      <c r="L1070" s="12">
        <f>_xlfn.XLOOKUP(Assumptions!$B$2,Assumptions!$F$4:$H$4,Assumptions!$F$9:$H$9)</f>
        <v>0.18</v>
      </c>
      <c r="M1070" s="18">
        <f>_xlfn.XLOOKUP(Assumptions!$B$2,Assumptions!$F$4:$H$4,Assumptions!$F$10:$H$10)</f>
        <v>18000</v>
      </c>
      <c r="N1070" s="12">
        <f>_xlfn.XLOOKUP(Assumptions!$B$2,Assumptions!$F$4:$H$4,Assumptions!$F$11:$H$11)</f>
        <v>0.3</v>
      </c>
      <c r="O1070" s="14">
        <f>Final_Table[[#This Row],[Units Sold]]*Final_Table[[#This Row],[Sale Price]]</f>
        <v>20400</v>
      </c>
      <c r="P1070" s="14">
        <f>Final_Table[[#This Row],[Gross Revenue]]*(1-Final_Table[[#This Row],[Discount %]])</f>
        <v>18360</v>
      </c>
      <c r="Q1070">
        <f>Final_Table[[#This Row],[Net Revenue]]*Final_Table[[#This Row],[Variable Cost %]]</f>
        <v>3304.7999999999997</v>
      </c>
      <c r="R1070">
        <f>Final_Table[[#This Row],[Variable Cost]]+Final_Table[[#This Row],[Fixed Monthly Cost]]</f>
        <v>21304.799999999999</v>
      </c>
      <c r="S1070" s="5">
        <f>Final_Table[[#This Row],[Net Revenue]]-Final_Table[[#This Row],[Total Cost (COGS)]]</f>
        <v>-2944.7999999999993</v>
      </c>
      <c r="T1070">
        <f>Final_Table[[#This Row],[Gross Profit]]*Final_Table[[#This Row],[Tax Rate]]</f>
        <v>-883.43999999999971</v>
      </c>
      <c r="U1070" s="5">
        <f>Final_Table[[#This Row],[Gross Profit]]-Final_Table[[#This Row],[Tax]]</f>
        <v>-2061.3599999999997</v>
      </c>
      <c r="V1070" s="12">
        <f>Final_Table[[#This Row],[Net Profit]]/Final_Table[[#This Row],[Gross Revenue]]</f>
        <v>-0.10104705882352939</v>
      </c>
    </row>
    <row r="1071" spans="1:22">
      <c r="A1071" s="18" t="s">
        <v>75</v>
      </c>
      <c r="B1071">
        <v>2014</v>
      </c>
      <c r="C1071" t="s">
        <v>126</v>
      </c>
      <c r="D1071">
        <v>1</v>
      </c>
      <c r="E1071" s="18" t="s">
        <v>22</v>
      </c>
      <c r="F1071" s="18" t="s">
        <v>113</v>
      </c>
      <c r="G1071" s="18" t="s">
        <v>17</v>
      </c>
      <c r="H1071" s="18" t="str">
        <f>Assumptions!$B$2</f>
        <v>Worst</v>
      </c>
      <c r="I1071" s="18">
        <f>_xlfn.XLOOKUP(Assumptions!$B$2,Assumptions!$F$4:$H$4,Assumptions!$F$5:$H$5)</f>
        <v>1200</v>
      </c>
      <c r="J1071" s="18">
        <f>_xlfn.XLOOKUP(Assumptions!$B$2,Assumptions!$F$4:$H$4,Assumptions!$F$6:$H$6)</f>
        <v>17</v>
      </c>
      <c r="K1071" s="12">
        <f>_xlfn.XLOOKUP(Assumptions!$B$2,Assumptions!$F$4:$H$4,Assumptions!$F$8:$H$8)</f>
        <v>0.1</v>
      </c>
      <c r="L1071" s="12">
        <f>_xlfn.XLOOKUP(Assumptions!$B$2,Assumptions!$F$4:$H$4,Assumptions!$F$9:$H$9)</f>
        <v>0.18</v>
      </c>
      <c r="M1071" s="18">
        <f>_xlfn.XLOOKUP(Assumptions!$B$2,Assumptions!$F$4:$H$4,Assumptions!$F$10:$H$10)</f>
        <v>18000</v>
      </c>
      <c r="N1071" s="12">
        <f>_xlfn.XLOOKUP(Assumptions!$B$2,Assumptions!$F$4:$H$4,Assumptions!$F$11:$H$11)</f>
        <v>0.3</v>
      </c>
      <c r="O1071" s="14">
        <f>Final_Table[[#This Row],[Units Sold]]*Final_Table[[#This Row],[Sale Price]]</f>
        <v>20400</v>
      </c>
      <c r="P1071" s="14">
        <f>Final_Table[[#This Row],[Gross Revenue]]*(1-Final_Table[[#This Row],[Discount %]])</f>
        <v>18360</v>
      </c>
      <c r="Q1071">
        <f>Final_Table[[#This Row],[Net Revenue]]*Final_Table[[#This Row],[Variable Cost %]]</f>
        <v>3304.7999999999997</v>
      </c>
      <c r="R1071">
        <f>Final_Table[[#This Row],[Variable Cost]]+Final_Table[[#This Row],[Fixed Monthly Cost]]</f>
        <v>21304.799999999999</v>
      </c>
      <c r="S1071" s="5">
        <f>Final_Table[[#This Row],[Net Revenue]]-Final_Table[[#This Row],[Total Cost (COGS)]]</f>
        <v>-2944.7999999999993</v>
      </c>
      <c r="T1071">
        <f>Final_Table[[#This Row],[Gross Profit]]*Final_Table[[#This Row],[Tax Rate]]</f>
        <v>-883.43999999999971</v>
      </c>
      <c r="U1071" s="5">
        <f>Final_Table[[#This Row],[Gross Profit]]-Final_Table[[#This Row],[Tax]]</f>
        <v>-2061.3599999999997</v>
      </c>
      <c r="V1071" s="12">
        <f>Final_Table[[#This Row],[Net Profit]]/Final_Table[[#This Row],[Gross Revenue]]</f>
        <v>-0.10104705882352939</v>
      </c>
    </row>
    <row r="1072" spans="1:22">
      <c r="A1072" s="18" t="s">
        <v>75</v>
      </c>
      <c r="B1072">
        <v>2014</v>
      </c>
      <c r="C1072" t="s">
        <v>126</v>
      </c>
      <c r="D1072">
        <v>1</v>
      </c>
      <c r="E1072" s="18" t="s">
        <v>22</v>
      </c>
      <c r="F1072" s="18" t="s">
        <v>114</v>
      </c>
      <c r="G1072" s="18" t="s">
        <v>36</v>
      </c>
      <c r="H1072" s="18" t="str">
        <f>Assumptions!$B$2</f>
        <v>Worst</v>
      </c>
      <c r="I1072" s="18">
        <f>_xlfn.XLOOKUP(Assumptions!$B$2,Assumptions!$F$4:$H$4,Assumptions!$F$5:$H$5)</f>
        <v>1200</v>
      </c>
      <c r="J1072" s="18">
        <f>_xlfn.XLOOKUP(Assumptions!$B$2,Assumptions!$F$4:$H$4,Assumptions!$F$6:$H$6)</f>
        <v>17</v>
      </c>
      <c r="K1072" s="12">
        <f>_xlfn.XLOOKUP(Assumptions!$B$2,Assumptions!$F$4:$H$4,Assumptions!$F$8:$H$8)</f>
        <v>0.1</v>
      </c>
      <c r="L1072" s="12">
        <f>_xlfn.XLOOKUP(Assumptions!$B$2,Assumptions!$F$4:$H$4,Assumptions!$F$9:$H$9)</f>
        <v>0.18</v>
      </c>
      <c r="M1072" s="18">
        <f>_xlfn.XLOOKUP(Assumptions!$B$2,Assumptions!$F$4:$H$4,Assumptions!$F$10:$H$10)</f>
        <v>18000</v>
      </c>
      <c r="N1072" s="12">
        <f>_xlfn.XLOOKUP(Assumptions!$B$2,Assumptions!$F$4:$H$4,Assumptions!$F$11:$H$11)</f>
        <v>0.3</v>
      </c>
      <c r="O1072" s="14">
        <f>Final_Table[[#This Row],[Units Sold]]*Final_Table[[#This Row],[Sale Price]]</f>
        <v>20400</v>
      </c>
      <c r="P1072" s="14">
        <f>Final_Table[[#This Row],[Gross Revenue]]*(1-Final_Table[[#This Row],[Discount %]])</f>
        <v>18360</v>
      </c>
      <c r="Q1072">
        <f>Final_Table[[#This Row],[Net Revenue]]*Final_Table[[#This Row],[Variable Cost %]]</f>
        <v>3304.7999999999997</v>
      </c>
      <c r="R1072">
        <f>Final_Table[[#This Row],[Variable Cost]]+Final_Table[[#This Row],[Fixed Monthly Cost]]</f>
        <v>21304.799999999999</v>
      </c>
      <c r="S1072" s="5">
        <f>Final_Table[[#This Row],[Net Revenue]]-Final_Table[[#This Row],[Total Cost (COGS)]]</f>
        <v>-2944.7999999999993</v>
      </c>
      <c r="T1072">
        <f>Final_Table[[#This Row],[Gross Profit]]*Final_Table[[#This Row],[Tax Rate]]</f>
        <v>-883.43999999999971</v>
      </c>
      <c r="U1072" s="5">
        <f>Final_Table[[#This Row],[Gross Profit]]-Final_Table[[#This Row],[Tax]]</f>
        <v>-2061.3599999999997</v>
      </c>
      <c r="V1072" s="12">
        <f>Final_Table[[#This Row],[Net Profit]]/Final_Table[[#This Row],[Gross Revenue]]</f>
        <v>-0.10104705882352939</v>
      </c>
    </row>
    <row r="1073" spans="1:22">
      <c r="A1073" s="18" t="s">
        <v>75</v>
      </c>
      <c r="B1073">
        <v>2014</v>
      </c>
      <c r="C1073" t="s">
        <v>126</v>
      </c>
      <c r="D1073">
        <v>1</v>
      </c>
      <c r="E1073" s="18" t="s">
        <v>22</v>
      </c>
      <c r="F1073" s="18" t="s">
        <v>114</v>
      </c>
      <c r="G1073" s="18" t="s">
        <v>23</v>
      </c>
      <c r="H1073" s="18" t="str">
        <f>Assumptions!$B$2</f>
        <v>Worst</v>
      </c>
      <c r="I1073" s="18">
        <f>_xlfn.XLOOKUP(Assumptions!$B$2,Assumptions!$F$4:$H$4,Assumptions!$F$5:$H$5)</f>
        <v>1200</v>
      </c>
      <c r="J1073" s="18">
        <f>_xlfn.XLOOKUP(Assumptions!$B$2,Assumptions!$F$4:$H$4,Assumptions!$F$6:$H$6)</f>
        <v>17</v>
      </c>
      <c r="K1073" s="12">
        <f>_xlfn.XLOOKUP(Assumptions!$B$2,Assumptions!$F$4:$H$4,Assumptions!$F$8:$H$8)</f>
        <v>0.1</v>
      </c>
      <c r="L1073" s="12">
        <f>_xlfn.XLOOKUP(Assumptions!$B$2,Assumptions!$F$4:$H$4,Assumptions!$F$9:$H$9)</f>
        <v>0.18</v>
      </c>
      <c r="M1073" s="18">
        <f>_xlfn.XLOOKUP(Assumptions!$B$2,Assumptions!$F$4:$H$4,Assumptions!$F$10:$H$10)</f>
        <v>18000</v>
      </c>
      <c r="N1073" s="12">
        <f>_xlfn.XLOOKUP(Assumptions!$B$2,Assumptions!$F$4:$H$4,Assumptions!$F$11:$H$11)</f>
        <v>0.3</v>
      </c>
      <c r="O1073" s="14">
        <f>Final_Table[[#This Row],[Units Sold]]*Final_Table[[#This Row],[Sale Price]]</f>
        <v>20400</v>
      </c>
      <c r="P1073" s="14">
        <f>Final_Table[[#This Row],[Gross Revenue]]*(1-Final_Table[[#This Row],[Discount %]])</f>
        <v>18360</v>
      </c>
      <c r="Q1073">
        <f>Final_Table[[#This Row],[Net Revenue]]*Final_Table[[#This Row],[Variable Cost %]]</f>
        <v>3304.7999999999997</v>
      </c>
      <c r="R1073">
        <f>Final_Table[[#This Row],[Variable Cost]]+Final_Table[[#This Row],[Fixed Monthly Cost]]</f>
        <v>21304.799999999999</v>
      </c>
      <c r="S1073" s="5">
        <f>Final_Table[[#This Row],[Net Revenue]]-Final_Table[[#This Row],[Total Cost (COGS)]]</f>
        <v>-2944.7999999999993</v>
      </c>
      <c r="T1073">
        <f>Final_Table[[#This Row],[Gross Profit]]*Final_Table[[#This Row],[Tax Rate]]</f>
        <v>-883.43999999999971</v>
      </c>
      <c r="U1073" s="5">
        <f>Final_Table[[#This Row],[Gross Profit]]-Final_Table[[#This Row],[Tax]]</f>
        <v>-2061.3599999999997</v>
      </c>
      <c r="V1073" s="12">
        <f>Final_Table[[#This Row],[Net Profit]]/Final_Table[[#This Row],[Gross Revenue]]</f>
        <v>-0.10104705882352939</v>
      </c>
    </row>
    <row r="1074" spans="1:22">
      <c r="A1074" s="18" t="s">
        <v>75</v>
      </c>
      <c r="B1074">
        <v>2014</v>
      </c>
      <c r="C1074" t="s">
        <v>126</v>
      </c>
      <c r="D1074">
        <v>1</v>
      </c>
      <c r="E1074" s="18" t="s">
        <v>22</v>
      </c>
      <c r="F1074" s="18" t="s">
        <v>114</v>
      </c>
      <c r="G1074" s="18" t="s">
        <v>21</v>
      </c>
      <c r="H1074" s="18" t="str">
        <f>Assumptions!$B$2</f>
        <v>Worst</v>
      </c>
      <c r="I1074" s="18">
        <f>_xlfn.XLOOKUP(Assumptions!$B$2,Assumptions!$F$4:$H$4,Assumptions!$F$5:$H$5)</f>
        <v>1200</v>
      </c>
      <c r="J1074" s="18">
        <f>_xlfn.XLOOKUP(Assumptions!$B$2,Assumptions!$F$4:$H$4,Assumptions!$F$6:$H$6)</f>
        <v>17</v>
      </c>
      <c r="K1074" s="12">
        <f>_xlfn.XLOOKUP(Assumptions!$B$2,Assumptions!$F$4:$H$4,Assumptions!$F$8:$H$8)</f>
        <v>0.1</v>
      </c>
      <c r="L1074" s="12">
        <f>_xlfn.XLOOKUP(Assumptions!$B$2,Assumptions!$F$4:$H$4,Assumptions!$F$9:$H$9)</f>
        <v>0.18</v>
      </c>
      <c r="M1074" s="18">
        <f>_xlfn.XLOOKUP(Assumptions!$B$2,Assumptions!$F$4:$H$4,Assumptions!$F$10:$H$10)</f>
        <v>18000</v>
      </c>
      <c r="N1074" s="12">
        <f>_xlfn.XLOOKUP(Assumptions!$B$2,Assumptions!$F$4:$H$4,Assumptions!$F$11:$H$11)</f>
        <v>0.3</v>
      </c>
      <c r="O1074" s="14">
        <f>Final_Table[[#This Row],[Units Sold]]*Final_Table[[#This Row],[Sale Price]]</f>
        <v>20400</v>
      </c>
      <c r="P1074" s="14">
        <f>Final_Table[[#This Row],[Gross Revenue]]*(1-Final_Table[[#This Row],[Discount %]])</f>
        <v>18360</v>
      </c>
      <c r="Q1074">
        <f>Final_Table[[#This Row],[Net Revenue]]*Final_Table[[#This Row],[Variable Cost %]]</f>
        <v>3304.7999999999997</v>
      </c>
      <c r="R1074">
        <f>Final_Table[[#This Row],[Variable Cost]]+Final_Table[[#This Row],[Fixed Monthly Cost]]</f>
        <v>21304.799999999999</v>
      </c>
      <c r="S1074" s="5">
        <f>Final_Table[[#This Row],[Net Revenue]]-Final_Table[[#This Row],[Total Cost (COGS)]]</f>
        <v>-2944.7999999999993</v>
      </c>
      <c r="T1074">
        <f>Final_Table[[#This Row],[Gross Profit]]*Final_Table[[#This Row],[Tax Rate]]</f>
        <v>-883.43999999999971</v>
      </c>
      <c r="U1074" s="5">
        <f>Final_Table[[#This Row],[Gross Profit]]-Final_Table[[#This Row],[Tax]]</f>
        <v>-2061.3599999999997</v>
      </c>
      <c r="V1074" s="12">
        <f>Final_Table[[#This Row],[Net Profit]]/Final_Table[[#This Row],[Gross Revenue]]</f>
        <v>-0.10104705882352939</v>
      </c>
    </row>
    <row r="1075" spans="1:22">
      <c r="A1075" s="18" t="s">
        <v>75</v>
      </c>
      <c r="B1075">
        <v>2014</v>
      </c>
      <c r="C1075" t="s">
        <v>126</v>
      </c>
      <c r="D1075">
        <v>1</v>
      </c>
      <c r="E1075" s="18" t="s">
        <v>22</v>
      </c>
      <c r="F1075" s="18" t="s">
        <v>114</v>
      </c>
      <c r="G1075" s="18" t="s">
        <v>25</v>
      </c>
      <c r="H1075" s="18" t="str">
        <f>Assumptions!$B$2</f>
        <v>Worst</v>
      </c>
      <c r="I1075" s="18">
        <f>_xlfn.XLOOKUP(Assumptions!$B$2,Assumptions!$F$4:$H$4,Assumptions!$F$5:$H$5)</f>
        <v>1200</v>
      </c>
      <c r="J1075" s="18">
        <f>_xlfn.XLOOKUP(Assumptions!$B$2,Assumptions!$F$4:$H$4,Assumptions!$F$6:$H$6)</f>
        <v>17</v>
      </c>
      <c r="K1075" s="12">
        <f>_xlfn.XLOOKUP(Assumptions!$B$2,Assumptions!$F$4:$H$4,Assumptions!$F$8:$H$8)</f>
        <v>0.1</v>
      </c>
      <c r="L1075" s="12">
        <f>_xlfn.XLOOKUP(Assumptions!$B$2,Assumptions!$F$4:$H$4,Assumptions!$F$9:$H$9)</f>
        <v>0.18</v>
      </c>
      <c r="M1075" s="18">
        <f>_xlfn.XLOOKUP(Assumptions!$B$2,Assumptions!$F$4:$H$4,Assumptions!$F$10:$H$10)</f>
        <v>18000</v>
      </c>
      <c r="N1075" s="12">
        <f>_xlfn.XLOOKUP(Assumptions!$B$2,Assumptions!$F$4:$H$4,Assumptions!$F$11:$H$11)</f>
        <v>0.3</v>
      </c>
      <c r="O1075" s="14">
        <f>Final_Table[[#This Row],[Units Sold]]*Final_Table[[#This Row],[Sale Price]]</f>
        <v>20400</v>
      </c>
      <c r="P1075" s="14">
        <f>Final_Table[[#This Row],[Gross Revenue]]*(1-Final_Table[[#This Row],[Discount %]])</f>
        <v>18360</v>
      </c>
      <c r="Q1075">
        <f>Final_Table[[#This Row],[Net Revenue]]*Final_Table[[#This Row],[Variable Cost %]]</f>
        <v>3304.7999999999997</v>
      </c>
      <c r="R1075">
        <f>Final_Table[[#This Row],[Variable Cost]]+Final_Table[[#This Row],[Fixed Monthly Cost]]</f>
        <v>21304.799999999999</v>
      </c>
      <c r="S1075" s="5">
        <f>Final_Table[[#This Row],[Net Revenue]]-Final_Table[[#This Row],[Total Cost (COGS)]]</f>
        <v>-2944.7999999999993</v>
      </c>
      <c r="T1075">
        <f>Final_Table[[#This Row],[Gross Profit]]*Final_Table[[#This Row],[Tax Rate]]</f>
        <v>-883.43999999999971</v>
      </c>
      <c r="U1075" s="5">
        <f>Final_Table[[#This Row],[Gross Profit]]-Final_Table[[#This Row],[Tax]]</f>
        <v>-2061.3599999999997</v>
      </c>
      <c r="V1075" s="12">
        <f>Final_Table[[#This Row],[Net Profit]]/Final_Table[[#This Row],[Gross Revenue]]</f>
        <v>-0.10104705882352939</v>
      </c>
    </row>
    <row r="1076" spans="1:22">
      <c r="A1076" s="18" t="s">
        <v>75</v>
      </c>
      <c r="B1076">
        <v>2014</v>
      </c>
      <c r="C1076" t="s">
        <v>126</v>
      </c>
      <c r="D1076">
        <v>1</v>
      </c>
      <c r="E1076" s="18" t="s">
        <v>22</v>
      </c>
      <c r="F1076" s="18" t="s">
        <v>114</v>
      </c>
      <c r="G1076" s="18" t="s">
        <v>17</v>
      </c>
      <c r="H1076" s="18" t="str">
        <f>Assumptions!$B$2</f>
        <v>Worst</v>
      </c>
      <c r="I1076" s="18">
        <f>_xlfn.XLOOKUP(Assumptions!$B$2,Assumptions!$F$4:$H$4,Assumptions!$F$5:$H$5)</f>
        <v>1200</v>
      </c>
      <c r="J1076" s="18">
        <f>_xlfn.XLOOKUP(Assumptions!$B$2,Assumptions!$F$4:$H$4,Assumptions!$F$6:$H$6)</f>
        <v>17</v>
      </c>
      <c r="K1076" s="12">
        <f>_xlfn.XLOOKUP(Assumptions!$B$2,Assumptions!$F$4:$H$4,Assumptions!$F$8:$H$8)</f>
        <v>0.1</v>
      </c>
      <c r="L1076" s="12">
        <f>_xlfn.XLOOKUP(Assumptions!$B$2,Assumptions!$F$4:$H$4,Assumptions!$F$9:$H$9)</f>
        <v>0.18</v>
      </c>
      <c r="M1076" s="18">
        <f>_xlfn.XLOOKUP(Assumptions!$B$2,Assumptions!$F$4:$H$4,Assumptions!$F$10:$H$10)</f>
        <v>18000</v>
      </c>
      <c r="N1076" s="12">
        <f>_xlfn.XLOOKUP(Assumptions!$B$2,Assumptions!$F$4:$H$4,Assumptions!$F$11:$H$11)</f>
        <v>0.3</v>
      </c>
      <c r="O1076" s="14">
        <f>Final_Table[[#This Row],[Units Sold]]*Final_Table[[#This Row],[Sale Price]]</f>
        <v>20400</v>
      </c>
      <c r="P1076" s="14">
        <f>Final_Table[[#This Row],[Gross Revenue]]*(1-Final_Table[[#This Row],[Discount %]])</f>
        <v>18360</v>
      </c>
      <c r="Q1076">
        <f>Final_Table[[#This Row],[Net Revenue]]*Final_Table[[#This Row],[Variable Cost %]]</f>
        <v>3304.7999999999997</v>
      </c>
      <c r="R1076">
        <f>Final_Table[[#This Row],[Variable Cost]]+Final_Table[[#This Row],[Fixed Monthly Cost]]</f>
        <v>21304.799999999999</v>
      </c>
      <c r="S1076" s="5">
        <f>Final_Table[[#This Row],[Net Revenue]]-Final_Table[[#This Row],[Total Cost (COGS)]]</f>
        <v>-2944.7999999999993</v>
      </c>
      <c r="T1076">
        <f>Final_Table[[#This Row],[Gross Profit]]*Final_Table[[#This Row],[Tax Rate]]</f>
        <v>-883.43999999999971</v>
      </c>
      <c r="U1076" s="5">
        <f>Final_Table[[#This Row],[Gross Profit]]-Final_Table[[#This Row],[Tax]]</f>
        <v>-2061.3599999999997</v>
      </c>
      <c r="V1076" s="12">
        <f>Final_Table[[#This Row],[Net Profit]]/Final_Table[[#This Row],[Gross Revenue]]</f>
        <v>-0.10104705882352939</v>
      </c>
    </row>
    <row r="1077" spans="1:22">
      <c r="A1077" s="18" t="s">
        <v>75</v>
      </c>
      <c r="B1077">
        <v>2014</v>
      </c>
      <c r="C1077" t="s">
        <v>126</v>
      </c>
      <c r="D1077">
        <v>1</v>
      </c>
      <c r="E1077" s="18" t="s">
        <v>16</v>
      </c>
      <c r="F1077" s="18" t="s">
        <v>80</v>
      </c>
      <c r="G1077" s="18" t="s">
        <v>36</v>
      </c>
      <c r="H1077" s="18" t="str">
        <f>Assumptions!$B$2</f>
        <v>Worst</v>
      </c>
      <c r="I1077" s="18">
        <f>_xlfn.XLOOKUP(Assumptions!$B$2,Assumptions!$F$4:$H$4,Assumptions!$F$5:$H$5)</f>
        <v>1200</v>
      </c>
      <c r="J1077" s="18">
        <f>_xlfn.XLOOKUP(Assumptions!$B$2,Assumptions!$F$4:$H$4,Assumptions!$F$6:$H$6)</f>
        <v>17</v>
      </c>
      <c r="K1077" s="12">
        <f>_xlfn.XLOOKUP(Assumptions!$B$2,Assumptions!$F$4:$H$4,Assumptions!$F$8:$H$8)</f>
        <v>0.1</v>
      </c>
      <c r="L1077" s="12">
        <f>_xlfn.XLOOKUP(Assumptions!$B$2,Assumptions!$F$4:$H$4,Assumptions!$F$9:$H$9)</f>
        <v>0.18</v>
      </c>
      <c r="M1077" s="18">
        <f>_xlfn.XLOOKUP(Assumptions!$B$2,Assumptions!$F$4:$H$4,Assumptions!$F$10:$H$10)</f>
        <v>18000</v>
      </c>
      <c r="N1077" s="12">
        <f>_xlfn.XLOOKUP(Assumptions!$B$2,Assumptions!$F$4:$H$4,Assumptions!$F$11:$H$11)</f>
        <v>0.3</v>
      </c>
      <c r="O1077" s="14">
        <f>Final_Table[[#This Row],[Units Sold]]*Final_Table[[#This Row],[Sale Price]]</f>
        <v>20400</v>
      </c>
      <c r="P1077" s="14">
        <f>Final_Table[[#This Row],[Gross Revenue]]*(1-Final_Table[[#This Row],[Discount %]])</f>
        <v>18360</v>
      </c>
      <c r="Q1077">
        <f>Final_Table[[#This Row],[Net Revenue]]*Final_Table[[#This Row],[Variable Cost %]]</f>
        <v>3304.7999999999997</v>
      </c>
      <c r="R1077">
        <f>Final_Table[[#This Row],[Variable Cost]]+Final_Table[[#This Row],[Fixed Monthly Cost]]</f>
        <v>21304.799999999999</v>
      </c>
      <c r="S1077" s="5">
        <f>Final_Table[[#This Row],[Net Revenue]]-Final_Table[[#This Row],[Total Cost (COGS)]]</f>
        <v>-2944.7999999999993</v>
      </c>
      <c r="T1077">
        <f>Final_Table[[#This Row],[Gross Profit]]*Final_Table[[#This Row],[Tax Rate]]</f>
        <v>-883.43999999999971</v>
      </c>
      <c r="U1077" s="5">
        <f>Final_Table[[#This Row],[Gross Profit]]-Final_Table[[#This Row],[Tax]]</f>
        <v>-2061.3599999999997</v>
      </c>
      <c r="V1077" s="12">
        <f>Final_Table[[#This Row],[Net Profit]]/Final_Table[[#This Row],[Gross Revenue]]</f>
        <v>-0.10104705882352939</v>
      </c>
    </row>
    <row r="1078" spans="1:22">
      <c r="A1078" s="18" t="s">
        <v>75</v>
      </c>
      <c r="B1078">
        <v>2014</v>
      </c>
      <c r="C1078" t="s">
        <v>126</v>
      </c>
      <c r="D1078">
        <v>1</v>
      </c>
      <c r="E1078" s="18" t="s">
        <v>16</v>
      </c>
      <c r="F1078" s="18" t="s">
        <v>80</v>
      </c>
      <c r="G1078" s="18" t="s">
        <v>23</v>
      </c>
      <c r="H1078" s="18" t="str">
        <f>Assumptions!$B$2</f>
        <v>Worst</v>
      </c>
      <c r="I1078" s="18">
        <f>_xlfn.XLOOKUP(Assumptions!$B$2,Assumptions!$F$4:$H$4,Assumptions!$F$5:$H$5)</f>
        <v>1200</v>
      </c>
      <c r="J1078" s="18">
        <f>_xlfn.XLOOKUP(Assumptions!$B$2,Assumptions!$F$4:$H$4,Assumptions!$F$6:$H$6)</f>
        <v>17</v>
      </c>
      <c r="K1078" s="12">
        <f>_xlfn.XLOOKUP(Assumptions!$B$2,Assumptions!$F$4:$H$4,Assumptions!$F$8:$H$8)</f>
        <v>0.1</v>
      </c>
      <c r="L1078" s="12">
        <f>_xlfn.XLOOKUP(Assumptions!$B$2,Assumptions!$F$4:$H$4,Assumptions!$F$9:$H$9)</f>
        <v>0.18</v>
      </c>
      <c r="M1078" s="18">
        <f>_xlfn.XLOOKUP(Assumptions!$B$2,Assumptions!$F$4:$H$4,Assumptions!$F$10:$H$10)</f>
        <v>18000</v>
      </c>
      <c r="N1078" s="12">
        <f>_xlfn.XLOOKUP(Assumptions!$B$2,Assumptions!$F$4:$H$4,Assumptions!$F$11:$H$11)</f>
        <v>0.3</v>
      </c>
      <c r="O1078" s="14">
        <f>Final_Table[[#This Row],[Units Sold]]*Final_Table[[#This Row],[Sale Price]]</f>
        <v>20400</v>
      </c>
      <c r="P1078" s="14">
        <f>Final_Table[[#This Row],[Gross Revenue]]*(1-Final_Table[[#This Row],[Discount %]])</f>
        <v>18360</v>
      </c>
      <c r="Q1078">
        <f>Final_Table[[#This Row],[Net Revenue]]*Final_Table[[#This Row],[Variable Cost %]]</f>
        <v>3304.7999999999997</v>
      </c>
      <c r="R1078">
        <f>Final_Table[[#This Row],[Variable Cost]]+Final_Table[[#This Row],[Fixed Monthly Cost]]</f>
        <v>21304.799999999999</v>
      </c>
      <c r="S1078" s="5">
        <f>Final_Table[[#This Row],[Net Revenue]]-Final_Table[[#This Row],[Total Cost (COGS)]]</f>
        <v>-2944.7999999999993</v>
      </c>
      <c r="T1078">
        <f>Final_Table[[#This Row],[Gross Profit]]*Final_Table[[#This Row],[Tax Rate]]</f>
        <v>-883.43999999999971</v>
      </c>
      <c r="U1078" s="5">
        <f>Final_Table[[#This Row],[Gross Profit]]-Final_Table[[#This Row],[Tax]]</f>
        <v>-2061.3599999999997</v>
      </c>
      <c r="V1078" s="12">
        <f>Final_Table[[#This Row],[Net Profit]]/Final_Table[[#This Row],[Gross Revenue]]</f>
        <v>-0.10104705882352939</v>
      </c>
    </row>
    <row r="1079" spans="1:22">
      <c r="A1079" s="18" t="s">
        <v>75</v>
      </c>
      <c r="B1079">
        <v>2014</v>
      </c>
      <c r="C1079" t="s">
        <v>126</v>
      </c>
      <c r="D1079">
        <v>1</v>
      </c>
      <c r="E1079" s="18" t="s">
        <v>16</v>
      </c>
      <c r="F1079" s="18" t="s">
        <v>80</v>
      </c>
      <c r="G1079" s="18" t="s">
        <v>21</v>
      </c>
      <c r="H1079" s="18" t="str">
        <f>Assumptions!$B$2</f>
        <v>Worst</v>
      </c>
      <c r="I1079" s="18">
        <f>_xlfn.XLOOKUP(Assumptions!$B$2,Assumptions!$F$4:$H$4,Assumptions!$F$5:$H$5)</f>
        <v>1200</v>
      </c>
      <c r="J1079" s="18">
        <f>_xlfn.XLOOKUP(Assumptions!$B$2,Assumptions!$F$4:$H$4,Assumptions!$F$6:$H$6)</f>
        <v>17</v>
      </c>
      <c r="K1079" s="12">
        <f>_xlfn.XLOOKUP(Assumptions!$B$2,Assumptions!$F$4:$H$4,Assumptions!$F$8:$H$8)</f>
        <v>0.1</v>
      </c>
      <c r="L1079" s="12">
        <f>_xlfn.XLOOKUP(Assumptions!$B$2,Assumptions!$F$4:$H$4,Assumptions!$F$9:$H$9)</f>
        <v>0.18</v>
      </c>
      <c r="M1079" s="18">
        <f>_xlfn.XLOOKUP(Assumptions!$B$2,Assumptions!$F$4:$H$4,Assumptions!$F$10:$H$10)</f>
        <v>18000</v>
      </c>
      <c r="N1079" s="12">
        <f>_xlfn.XLOOKUP(Assumptions!$B$2,Assumptions!$F$4:$H$4,Assumptions!$F$11:$H$11)</f>
        <v>0.3</v>
      </c>
      <c r="O1079" s="14">
        <f>Final_Table[[#This Row],[Units Sold]]*Final_Table[[#This Row],[Sale Price]]</f>
        <v>20400</v>
      </c>
      <c r="P1079" s="14">
        <f>Final_Table[[#This Row],[Gross Revenue]]*(1-Final_Table[[#This Row],[Discount %]])</f>
        <v>18360</v>
      </c>
      <c r="Q1079">
        <f>Final_Table[[#This Row],[Net Revenue]]*Final_Table[[#This Row],[Variable Cost %]]</f>
        <v>3304.7999999999997</v>
      </c>
      <c r="R1079">
        <f>Final_Table[[#This Row],[Variable Cost]]+Final_Table[[#This Row],[Fixed Monthly Cost]]</f>
        <v>21304.799999999999</v>
      </c>
      <c r="S1079" s="5">
        <f>Final_Table[[#This Row],[Net Revenue]]-Final_Table[[#This Row],[Total Cost (COGS)]]</f>
        <v>-2944.7999999999993</v>
      </c>
      <c r="T1079">
        <f>Final_Table[[#This Row],[Gross Profit]]*Final_Table[[#This Row],[Tax Rate]]</f>
        <v>-883.43999999999971</v>
      </c>
      <c r="U1079" s="5">
        <f>Final_Table[[#This Row],[Gross Profit]]-Final_Table[[#This Row],[Tax]]</f>
        <v>-2061.3599999999997</v>
      </c>
      <c r="V1079" s="12">
        <f>Final_Table[[#This Row],[Net Profit]]/Final_Table[[#This Row],[Gross Revenue]]</f>
        <v>-0.10104705882352939</v>
      </c>
    </row>
    <row r="1080" spans="1:22">
      <c r="A1080" s="18" t="s">
        <v>75</v>
      </c>
      <c r="B1080">
        <v>2014</v>
      </c>
      <c r="C1080" t="s">
        <v>126</v>
      </c>
      <c r="D1080">
        <v>1</v>
      </c>
      <c r="E1080" s="18" t="s">
        <v>16</v>
      </c>
      <c r="F1080" s="18" t="s">
        <v>80</v>
      </c>
      <c r="G1080" s="18" t="s">
        <v>25</v>
      </c>
      <c r="H1080" s="18" t="str">
        <f>Assumptions!$B$2</f>
        <v>Worst</v>
      </c>
      <c r="I1080" s="18">
        <f>_xlfn.XLOOKUP(Assumptions!$B$2,Assumptions!$F$4:$H$4,Assumptions!$F$5:$H$5)</f>
        <v>1200</v>
      </c>
      <c r="J1080" s="18">
        <f>_xlfn.XLOOKUP(Assumptions!$B$2,Assumptions!$F$4:$H$4,Assumptions!$F$6:$H$6)</f>
        <v>17</v>
      </c>
      <c r="K1080" s="12">
        <f>_xlfn.XLOOKUP(Assumptions!$B$2,Assumptions!$F$4:$H$4,Assumptions!$F$8:$H$8)</f>
        <v>0.1</v>
      </c>
      <c r="L1080" s="12">
        <f>_xlfn.XLOOKUP(Assumptions!$B$2,Assumptions!$F$4:$H$4,Assumptions!$F$9:$H$9)</f>
        <v>0.18</v>
      </c>
      <c r="M1080" s="18">
        <f>_xlfn.XLOOKUP(Assumptions!$B$2,Assumptions!$F$4:$H$4,Assumptions!$F$10:$H$10)</f>
        <v>18000</v>
      </c>
      <c r="N1080" s="12">
        <f>_xlfn.XLOOKUP(Assumptions!$B$2,Assumptions!$F$4:$H$4,Assumptions!$F$11:$H$11)</f>
        <v>0.3</v>
      </c>
      <c r="O1080" s="14">
        <f>Final_Table[[#This Row],[Units Sold]]*Final_Table[[#This Row],[Sale Price]]</f>
        <v>20400</v>
      </c>
      <c r="P1080" s="14">
        <f>Final_Table[[#This Row],[Gross Revenue]]*(1-Final_Table[[#This Row],[Discount %]])</f>
        <v>18360</v>
      </c>
      <c r="Q1080">
        <f>Final_Table[[#This Row],[Net Revenue]]*Final_Table[[#This Row],[Variable Cost %]]</f>
        <v>3304.7999999999997</v>
      </c>
      <c r="R1080">
        <f>Final_Table[[#This Row],[Variable Cost]]+Final_Table[[#This Row],[Fixed Monthly Cost]]</f>
        <v>21304.799999999999</v>
      </c>
      <c r="S1080" s="5">
        <f>Final_Table[[#This Row],[Net Revenue]]-Final_Table[[#This Row],[Total Cost (COGS)]]</f>
        <v>-2944.7999999999993</v>
      </c>
      <c r="T1080">
        <f>Final_Table[[#This Row],[Gross Profit]]*Final_Table[[#This Row],[Tax Rate]]</f>
        <v>-883.43999999999971</v>
      </c>
      <c r="U1080" s="5">
        <f>Final_Table[[#This Row],[Gross Profit]]-Final_Table[[#This Row],[Tax]]</f>
        <v>-2061.3599999999997</v>
      </c>
      <c r="V1080" s="12">
        <f>Final_Table[[#This Row],[Net Profit]]/Final_Table[[#This Row],[Gross Revenue]]</f>
        <v>-0.10104705882352939</v>
      </c>
    </row>
    <row r="1081" spans="1:22">
      <c r="A1081" s="18" t="s">
        <v>75</v>
      </c>
      <c r="B1081">
        <v>2014</v>
      </c>
      <c r="C1081" t="s">
        <v>126</v>
      </c>
      <c r="D1081">
        <v>1</v>
      </c>
      <c r="E1081" s="18" t="s">
        <v>16</v>
      </c>
      <c r="F1081" s="18" t="s">
        <v>80</v>
      </c>
      <c r="G1081" s="18" t="s">
        <v>17</v>
      </c>
      <c r="H1081" s="18" t="str">
        <f>Assumptions!$B$2</f>
        <v>Worst</v>
      </c>
      <c r="I1081" s="18">
        <f>_xlfn.XLOOKUP(Assumptions!$B$2,Assumptions!$F$4:$H$4,Assumptions!$F$5:$H$5)</f>
        <v>1200</v>
      </c>
      <c r="J1081" s="18">
        <f>_xlfn.XLOOKUP(Assumptions!$B$2,Assumptions!$F$4:$H$4,Assumptions!$F$6:$H$6)</f>
        <v>17</v>
      </c>
      <c r="K1081" s="12">
        <f>_xlfn.XLOOKUP(Assumptions!$B$2,Assumptions!$F$4:$H$4,Assumptions!$F$8:$H$8)</f>
        <v>0.1</v>
      </c>
      <c r="L1081" s="12">
        <f>_xlfn.XLOOKUP(Assumptions!$B$2,Assumptions!$F$4:$H$4,Assumptions!$F$9:$H$9)</f>
        <v>0.18</v>
      </c>
      <c r="M1081" s="18">
        <f>_xlfn.XLOOKUP(Assumptions!$B$2,Assumptions!$F$4:$H$4,Assumptions!$F$10:$H$10)</f>
        <v>18000</v>
      </c>
      <c r="N1081" s="12">
        <f>_xlfn.XLOOKUP(Assumptions!$B$2,Assumptions!$F$4:$H$4,Assumptions!$F$11:$H$11)</f>
        <v>0.3</v>
      </c>
      <c r="O1081" s="14">
        <f>Final_Table[[#This Row],[Units Sold]]*Final_Table[[#This Row],[Sale Price]]</f>
        <v>20400</v>
      </c>
      <c r="P1081" s="14">
        <f>Final_Table[[#This Row],[Gross Revenue]]*(1-Final_Table[[#This Row],[Discount %]])</f>
        <v>18360</v>
      </c>
      <c r="Q1081">
        <f>Final_Table[[#This Row],[Net Revenue]]*Final_Table[[#This Row],[Variable Cost %]]</f>
        <v>3304.7999999999997</v>
      </c>
      <c r="R1081">
        <f>Final_Table[[#This Row],[Variable Cost]]+Final_Table[[#This Row],[Fixed Monthly Cost]]</f>
        <v>21304.799999999999</v>
      </c>
      <c r="S1081" s="5">
        <f>Final_Table[[#This Row],[Net Revenue]]-Final_Table[[#This Row],[Total Cost (COGS)]]</f>
        <v>-2944.7999999999993</v>
      </c>
      <c r="T1081">
        <f>Final_Table[[#This Row],[Gross Profit]]*Final_Table[[#This Row],[Tax Rate]]</f>
        <v>-883.43999999999971</v>
      </c>
      <c r="U1081" s="5">
        <f>Final_Table[[#This Row],[Gross Profit]]-Final_Table[[#This Row],[Tax]]</f>
        <v>-2061.3599999999997</v>
      </c>
      <c r="V1081" s="12">
        <f>Final_Table[[#This Row],[Net Profit]]/Final_Table[[#This Row],[Gross Revenue]]</f>
        <v>-0.10104705882352939</v>
      </c>
    </row>
    <row r="1082" spans="1:22">
      <c r="A1082" s="18" t="s">
        <v>75</v>
      </c>
      <c r="B1082">
        <v>2014</v>
      </c>
      <c r="C1082" t="s">
        <v>126</v>
      </c>
      <c r="D1082">
        <v>1</v>
      </c>
      <c r="E1082" s="18" t="s">
        <v>16</v>
      </c>
      <c r="F1082" s="18" t="s">
        <v>108</v>
      </c>
      <c r="G1082" s="18" t="s">
        <v>36</v>
      </c>
      <c r="H1082" s="18" t="str">
        <f>Assumptions!$B$2</f>
        <v>Worst</v>
      </c>
      <c r="I1082" s="18">
        <f>_xlfn.XLOOKUP(Assumptions!$B$2,Assumptions!$F$4:$H$4,Assumptions!$F$5:$H$5)</f>
        <v>1200</v>
      </c>
      <c r="J1082" s="18">
        <f>_xlfn.XLOOKUP(Assumptions!$B$2,Assumptions!$F$4:$H$4,Assumptions!$F$6:$H$6)</f>
        <v>17</v>
      </c>
      <c r="K1082" s="12">
        <f>_xlfn.XLOOKUP(Assumptions!$B$2,Assumptions!$F$4:$H$4,Assumptions!$F$8:$H$8)</f>
        <v>0.1</v>
      </c>
      <c r="L1082" s="12">
        <f>_xlfn.XLOOKUP(Assumptions!$B$2,Assumptions!$F$4:$H$4,Assumptions!$F$9:$H$9)</f>
        <v>0.18</v>
      </c>
      <c r="M1082" s="18">
        <f>_xlfn.XLOOKUP(Assumptions!$B$2,Assumptions!$F$4:$H$4,Assumptions!$F$10:$H$10)</f>
        <v>18000</v>
      </c>
      <c r="N1082" s="12">
        <f>_xlfn.XLOOKUP(Assumptions!$B$2,Assumptions!$F$4:$H$4,Assumptions!$F$11:$H$11)</f>
        <v>0.3</v>
      </c>
      <c r="O1082" s="14">
        <f>Final_Table[[#This Row],[Units Sold]]*Final_Table[[#This Row],[Sale Price]]</f>
        <v>20400</v>
      </c>
      <c r="P1082" s="14">
        <f>Final_Table[[#This Row],[Gross Revenue]]*(1-Final_Table[[#This Row],[Discount %]])</f>
        <v>18360</v>
      </c>
      <c r="Q1082">
        <f>Final_Table[[#This Row],[Net Revenue]]*Final_Table[[#This Row],[Variable Cost %]]</f>
        <v>3304.7999999999997</v>
      </c>
      <c r="R1082">
        <f>Final_Table[[#This Row],[Variable Cost]]+Final_Table[[#This Row],[Fixed Monthly Cost]]</f>
        <v>21304.799999999999</v>
      </c>
      <c r="S1082" s="5">
        <f>Final_Table[[#This Row],[Net Revenue]]-Final_Table[[#This Row],[Total Cost (COGS)]]</f>
        <v>-2944.7999999999993</v>
      </c>
      <c r="T1082">
        <f>Final_Table[[#This Row],[Gross Profit]]*Final_Table[[#This Row],[Tax Rate]]</f>
        <v>-883.43999999999971</v>
      </c>
      <c r="U1082" s="5">
        <f>Final_Table[[#This Row],[Gross Profit]]-Final_Table[[#This Row],[Tax]]</f>
        <v>-2061.3599999999997</v>
      </c>
      <c r="V1082" s="12">
        <f>Final_Table[[#This Row],[Net Profit]]/Final_Table[[#This Row],[Gross Revenue]]</f>
        <v>-0.10104705882352939</v>
      </c>
    </row>
    <row r="1083" spans="1:22">
      <c r="A1083" s="18" t="s">
        <v>75</v>
      </c>
      <c r="B1083">
        <v>2014</v>
      </c>
      <c r="C1083" t="s">
        <v>126</v>
      </c>
      <c r="D1083">
        <v>1</v>
      </c>
      <c r="E1083" s="18" t="s">
        <v>16</v>
      </c>
      <c r="F1083" s="18" t="s">
        <v>108</v>
      </c>
      <c r="G1083" s="18" t="s">
        <v>23</v>
      </c>
      <c r="H1083" s="18" t="str">
        <f>Assumptions!$B$2</f>
        <v>Worst</v>
      </c>
      <c r="I1083" s="18">
        <f>_xlfn.XLOOKUP(Assumptions!$B$2,Assumptions!$F$4:$H$4,Assumptions!$F$5:$H$5)</f>
        <v>1200</v>
      </c>
      <c r="J1083" s="18">
        <f>_xlfn.XLOOKUP(Assumptions!$B$2,Assumptions!$F$4:$H$4,Assumptions!$F$6:$H$6)</f>
        <v>17</v>
      </c>
      <c r="K1083" s="12">
        <f>_xlfn.XLOOKUP(Assumptions!$B$2,Assumptions!$F$4:$H$4,Assumptions!$F$8:$H$8)</f>
        <v>0.1</v>
      </c>
      <c r="L1083" s="12">
        <f>_xlfn.XLOOKUP(Assumptions!$B$2,Assumptions!$F$4:$H$4,Assumptions!$F$9:$H$9)</f>
        <v>0.18</v>
      </c>
      <c r="M1083" s="18">
        <f>_xlfn.XLOOKUP(Assumptions!$B$2,Assumptions!$F$4:$H$4,Assumptions!$F$10:$H$10)</f>
        <v>18000</v>
      </c>
      <c r="N1083" s="12">
        <f>_xlfn.XLOOKUP(Assumptions!$B$2,Assumptions!$F$4:$H$4,Assumptions!$F$11:$H$11)</f>
        <v>0.3</v>
      </c>
      <c r="O1083" s="14">
        <f>Final_Table[[#This Row],[Units Sold]]*Final_Table[[#This Row],[Sale Price]]</f>
        <v>20400</v>
      </c>
      <c r="P1083" s="14">
        <f>Final_Table[[#This Row],[Gross Revenue]]*(1-Final_Table[[#This Row],[Discount %]])</f>
        <v>18360</v>
      </c>
      <c r="Q1083">
        <f>Final_Table[[#This Row],[Net Revenue]]*Final_Table[[#This Row],[Variable Cost %]]</f>
        <v>3304.7999999999997</v>
      </c>
      <c r="R1083">
        <f>Final_Table[[#This Row],[Variable Cost]]+Final_Table[[#This Row],[Fixed Monthly Cost]]</f>
        <v>21304.799999999999</v>
      </c>
      <c r="S1083" s="5">
        <f>Final_Table[[#This Row],[Net Revenue]]-Final_Table[[#This Row],[Total Cost (COGS)]]</f>
        <v>-2944.7999999999993</v>
      </c>
      <c r="T1083">
        <f>Final_Table[[#This Row],[Gross Profit]]*Final_Table[[#This Row],[Tax Rate]]</f>
        <v>-883.43999999999971</v>
      </c>
      <c r="U1083" s="5">
        <f>Final_Table[[#This Row],[Gross Profit]]-Final_Table[[#This Row],[Tax]]</f>
        <v>-2061.3599999999997</v>
      </c>
      <c r="V1083" s="12">
        <f>Final_Table[[#This Row],[Net Profit]]/Final_Table[[#This Row],[Gross Revenue]]</f>
        <v>-0.10104705882352939</v>
      </c>
    </row>
    <row r="1084" spans="1:22">
      <c r="A1084" s="18" t="s">
        <v>75</v>
      </c>
      <c r="B1084">
        <v>2014</v>
      </c>
      <c r="C1084" t="s">
        <v>126</v>
      </c>
      <c r="D1084">
        <v>1</v>
      </c>
      <c r="E1084" s="18" t="s">
        <v>16</v>
      </c>
      <c r="F1084" s="18" t="s">
        <v>108</v>
      </c>
      <c r="G1084" s="18" t="s">
        <v>21</v>
      </c>
      <c r="H1084" s="18" t="str">
        <f>Assumptions!$B$2</f>
        <v>Worst</v>
      </c>
      <c r="I1084" s="18">
        <f>_xlfn.XLOOKUP(Assumptions!$B$2,Assumptions!$F$4:$H$4,Assumptions!$F$5:$H$5)</f>
        <v>1200</v>
      </c>
      <c r="J1084" s="18">
        <f>_xlfn.XLOOKUP(Assumptions!$B$2,Assumptions!$F$4:$H$4,Assumptions!$F$6:$H$6)</f>
        <v>17</v>
      </c>
      <c r="K1084" s="12">
        <f>_xlfn.XLOOKUP(Assumptions!$B$2,Assumptions!$F$4:$H$4,Assumptions!$F$8:$H$8)</f>
        <v>0.1</v>
      </c>
      <c r="L1084" s="12">
        <f>_xlfn.XLOOKUP(Assumptions!$B$2,Assumptions!$F$4:$H$4,Assumptions!$F$9:$H$9)</f>
        <v>0.18</v>
      </c>
      <c r="M1084" s="18">
        <f>_xlfn.XLOOKUP(Assumptions!$B$2,Assumptions!$F$4:$H$4,Assumptions!$F$10:$H$10)</f>
        <v>18000</v>
      </c>
      <c r="N1084" s="12">
        <f>_xlfn.XLOOKUP(Assumptions!$B$2,Assumptions!$F$4:$H$4,Assumptions!$F$11:$H$11)</f>
        <v>0.3</v>
      </c>
      <c r="O1084" s="14">
        <f>Final_Table[[#This Row],[Units Sold]]*Final_Table[[#This Row],[Sale Price]]</f>
        <v>20400</v>
      </c>
      <c r="P1084" s="14">
        <f>Final_Table[[#This Row],[Gross Revenue]]*(1-Final_Table[[#This Row],[Discount %]])</f>
        <v>18360</v>
      </c>
      <c r="Q1084">
        <f>Final_Table[[#This Row],[Net Revenue]]*Final_Table[[#This Row],[Variable Cost %]]</f>
        <v>3304.7999999999997</v>
      </c>
      <c r="R1084">
        <f>Final_Table[[#This Row],[Variable Cost]]+Final_Table[[#This Row],[Fixed Monthly Cost]]</f>
        <v>21304.799999999999</v>
      </c>
      <c r="S1084" s="5">
        <f>Final_Table[[#This Row],[Net Revenue]]-Final_Table[[#This Row],[Total Cost (COGS)]]</f>
        <v>-2944.7999999999993</v>
      </c>
      <c r="T1084">
        <f>Final_Table[[#This Row],[Gross Profit]]*Final_Table[[#This Row],[Tax Rate]]</f>
        <v>-883.43999999999971</v>
      </c>
      <c r="U1084" s="5">
        <f>Final_Table[[#This Row],[Gross Profit]]-Final_Table[[#This Row],[Tax]]</f>
        <v>-2061.3599999999997</v>
      </c>
      <c r="V1084" s="12">
        <f>Final_Table[[#This Row],[Net Profit]]/Final_Table[[#This Row],[Gross Revenue]]</f>
        <v>-0.10104705882352939</v>
      </c>
    </row>
    <row r="1085" spans="1:22">
      <c r="A1085" s="18" t="s">
        <v>75</v>
      </c>
      <c r="B1085">
        <v>2014</v>
      </c>
      <c r="C1085" t="s">
        <v>126</v>
      </c>
      <c r="D1085">
        <v>1</v>
      </c>
      <c r="E1085" s="18" t="s">
        <v>16</v>
      </c>
      <c r="F1085" s="18" t="s">
        <v>108</v>
      </c>
      <c r="G1085" s="18" t="s">
        <v>25</v>
      </c>
      <c r="H1085" s="18" t="str">
        <f>Assumptions!$B$2</f>
        <v>Worst</v>
      </c>
      <c r="I1085" s="18">
        <f>_xlfn.XLOOKUP(Assumptions!$B$2,Assumptions!$F$4:$H$4,Assumptions!$F$5:$H$5)</f>
        <v>1200</v>
      </c>
      <c r="J1085" s="18">
        <f>_xlfn.XLOOKUP(Assumptions!$B$2,Assumptions!$F$4:$H$4,Assumptions!$F$6:$H$6)</f>
        <v>17</v>
      </c>
      <c r="K1085" s="12">
        <f>_xlfn.XLOOKUP(Assumptions!$B$2,Assumptions!$F$4:$H$4,Assumptions!$F$8:$H$8)</f>
        <v>0.1</v>
      </c>
      <c r="L1085" s="12">
        <f>_xlfn.XLOOKUP(Assumptions!$B$2,Assumptions!$F$4:$H$4,Assumptions!$F$9:$H$9)</f>
        <v>0.18</v>
      </c>
      <c r="M1085" s="18">
        <f>_xlfn.XLOOKUP(Assumptions!$B$2,Assumptions!$F$4:$H$4,Assumptions!$F$10:$H$10)</f>
        <v>18000</v>
      </c>
      <c r="N1085" s="12">
        <f>_xlfn.XLOOKUP(Assumptions!$B$2,Assumptions!$F$4:$H$4,Assumptions!$F$11:$H$11)</f>
        <v>0.3</v>
      </c>
      <c r="O1085" s="14">
        <f>Final_Table[[#This Row],[Units Sold]]*Final_Table[[#This Row],[Sale Price]]</f>
        <v>20400</v>
      </c>
      <c r="P1085" s="14">
        <f>Final_Table[[#This Row],[Gross Revenue]]*(1-Final_Table[[#This Row],[Discount %]])</f>
        <v>18360</v>
      </c>
      <c r="Q1085">
        <f>Final_Table[[#This Row],[Net Revenue]]*Final_Table[[#This Row],[Variable Cost %]]</f>
        <v>3304.7999999999997</v>
      </c>
      <c r="R1085">
        <f>Final_Table[[#This Row],[Variable Cost]]+Final_Table[[#This Row],[Fixed Monthly Cost]]</f>
        <v>21304.799999999999</v>
      </c>
      <c r="S1085" s="5">
        <f>Final_Table[[#This Row],[Net Revenue]]-Final_Table[[#This Row],[Total Cost (COGS)]]</f>
        <v>-2944.7999999999993</v>
      </c>
      <c r="T1085">
        <f>Final_Table[[#This Row],[Gross Profit]]*Final_Table[[#This Row],[Tax Rate]]</f>
        <v>-883.43999999999971</v>
      </c>
      <c r="U1085" s="5">
        <f>Final_Table[[#This Row],[Gross Profit]]-Final_Table[[#This Row],[Tax]]</f>
        <v>-2061.3599999999997</v>
      </c>
      <c r="V1085" s="12">
        <f>Final_Table[[#This Row],[Net Profit]]/Final_Table[[#This Row],[Gross Revenue]]</f>
        <v>-0.10104705882352939</v>
      </c>
    </row>
    <row r="1086" spans="1:22">
      <c r="A1086" s="18" t="s">
        <v>75</v>
      </c>
      <c r="B1086">
        <v>2014</v>
      </c>
      <c r="C1086" t="s">
        <v>126</v>
      </c>
      <c r="D1086">
        <v>1</v>
      </c>
      <c r="E1086" s="18" t="s">
        <v>16</v>
      </c>
      <c r="F1086" s="18" t="s">
        <v>108</v>
      </c>
      <c r="G1086" s="18" t="s">
        <v>17</v>
      </c>
      <c r="H1086" s="18" t="str">
        <f>Assumptions!$B$2</f>
        <v>Worst</v>
      </c>
      <c r="I1086" s="18">
        <f>_xlfn.XLOOKUP(Assumptions!$B$2,Assumptions!$F$4:$H$4,Assumptions!$F$5:$H$5)</f>
        <v>1200</v>
      </c>
      <c r="J1086" s="18">
        <f>_xlfn.XLOOKUP(Assumptions!$B$2,Assumptions!$F$4:$H$4,Assumptions!$F$6:$H$6)</f>
        <v>17</v>
      </c>
      <c r="K1086" s="12">
        <f>_xlfn.XLOOKUP(Assumptions!$B$2,Assumptions!$F$4:$H$4,Assumptions!$F$8:$H$8)</f>
        <v>0.1</v>
      </c>
      <c r="L1086" s="12">
        <f>_xlfn.XLOOKUP(Assumptions!$B$2,Assumptions!$F$4:$H$4,Assumptions!$F$9:$H$9)</f>
        <v>0.18</v>
      </c>
      <c r="M1086" s="18">
        <f>_xlfn.XLOOKUP(Assumptions!$B$2,Assumptions!$F$4:$H$4,Assumptions!$F$10:$H$10)</f>
        <v>18000</v>
      </c>
      <c r="N1086" s="12">
        <f>_xlfn.XLOOKUP(Assumptions!$B$2,Assumptions!$F$4:$H$4,Assumptions!$F$11:$H$11)</f>
        <v>0.3</v>
      </c>
      <c r="O1086" s="14">
        <f>Final_Table[[#This Row],[Units Sold]]*Final_Table[[#This Row],[Sale Price]]</f>
        <v>20400</v>
      </c>
      <c r="P1086" s="14">
        <f>Final_Table[[#This Row],[Gross Revenue]]*(1-Final_Table[[#This Row],[Discount %]])</f>
        <v>18360</v>
      </c>
      <c r="Q1086">
        <f>Final_Table[[#This Row],[Net Revenue]]*Final_Table[[#This Row],[Variable Cost %]]</f>
        <v>3304.7999999999997</v>
      </c>
      <c r="R1086">
        <f>Final_Table[[#This Row],[Variable Cost]]+Final_Table[[#This Row],[Fixed Monthly Cost]]</f>
        <v>21304.799999999999</v>
      </c>
      <c r="S1086" s="5">
        <f>Final_Table[[#This Row],[Net Revenue]]-Final_Table[[#This Row],[Total Cost (COGS)]]</f>
        <v>-2944.7999999999993</v>
      </c>
      <c r="T1086">
        <f>Final_Table[[#This Row],[Gross Profit]]*Final_Table[[#This Row],[Tax Rate]]</f>
        <v>-883.43999999999971</v>
      </c>
      <c r="U1086" s="5">
        <f>Final_Table[[#This Row],[Gross Profit]]-Final_Table[[#This Row],[Tax]]</f>
        <v>-2061.3599999999997</v>
      </c>
      <c r="V1086" s="12">
        <f>Final_Table[[#This Row],[Net Profit]]/Final_Table[[#This Row],[Gross Revenue]]</f>
        <v>-0.10104705882352939</v>
      </c>
    </row>
    <row r="1087" spans="1:22">
      <c r="A1087" s="18" t="s">
        <v>75</v>
      </c>
      <c r="B1087">
        <v>2014</v>
      </c>
      <c r="C1087" t="s">
        <v>126</v>
      </c>
      <c r="D1087">
        <v>1</v>
      </c>
      <c r="E1087" s="18" t="s">
        <v>16</v>
      </c>
      <c r="F1087" s="18" t="s">
        <v>112</v>
      </c>
      <c r="G1087" s="18" t="s">
        <v>36</v>
      </c>
      <c r="H1087" s="18" t="str">
        <f>Assumptions!$B$2</f>
        <v>Worst</v>
      </c>
      <c r="I1087" s="18">
        <f>_xlfn.XLOOKUP(Assumptions!$B$2,Assumptions!$F$4:$H$4,Assumptions!$F$5:$H$5)</f>
        <v>1200</v>
      </c>
      <c r="J1087" s="18">
        <f>_xlfn.XLOOKUP(Assumptions!$B$2,Assumptions!$F$4:$H$4,Assumptions!$F$6:$H$6)</f>
        <v>17</v>
      </c>
      <c r="K1087" s="12">
        <f>_xlfn.XLOOKUP(Assumptions!$B$2,Assumptions!$F$4:$H$4,Assumptions!$F$8:$H$8)</f>
        <v>0.1</v>
      </c>
      <c r="L1087" s="12">
        <f>_xlfn.XLOOKUP(Assumptions!$B$2,Assumptions!$F$4:$H$4,Assumptions!$F$9:$H$9)</f>
        <v>0.18</v>
      </c>
      <c r="M1087" s="18">
        <f>_xlfn.XLOOKUP(Assumptions!$B$2,Assumptions!$F$4:$H$4,Assumptions!$F$10:$H$10)</f>
        <v>18000</v>
      </c>
      <c r="N1087" s="12">
        <f>_xlfn.XLOOKUP(Assumptions!$B$2,Assumptions!$F$4:$H$4,Assumptions!$F$11:$H$11)</f>
        <v>0.3</v>
      </c>
      <c r="O1087" s="14">
        <f>Final_Table[[#This Row],[Units Sold]]*Final_Table[[#This Row],[Sale Price]]</f>
        <v>20400</v>
      </c>
      <c r="P1087" s="14">
        <f>Final_Table[[#This Row],[Gross Revenue]]*(1-Final_Table[[#This Row],[Discount %]])</f>
        <v>18360</v>
      </c>
      <c r="Q1087">
        <f>Final_Table[[#This Row],[Net Revenue]]*Final_Table[[#This Row],[Variable Cost %]]</f>
        <v>3304.7999999999997</v>
      </c>
      <c r="R1087">
        <f>Final_Table[[#This Row],[Variable Cost]]+Final_Table[[#This Row],[Fixed Monthly Cost]]</f>
        <v>21304.799999999999</v>
      </c>
      <c r="S1087" s="5">
        <f>Final_Table[[#This Row],[Net Revenue]]-Final_Table[[#This Row],[Total Cost (COGS)]]</f>
        <v>-2944.7999999999993</v>
      </c>
      <c r="T1087">
        <f>Final_Table[[#This Row],[Gross Profit]]*Final_Table[[#This Row],[Tax Rate]]</f>
        <v>-883.43999999999971</v>
      </c>
      <c r="U1087" s="5">
        <f>Final_Table[[#This Row],[Gross Profit]]-Final_Table[[#This Row],[Tax]]</f>
        <v>-2061.3599999999997</v>
      </c>
      <c r="V1087" s="12">
        <f>Final_Table[[#This Row],[Net Profit]]/Final_Table[[#This Row],[Gross Revenue]]</f>
        <v>-0.10104705882352939</v>
      </c>
    </row>
    <row r="1088" spans="1:22">
      <c r="A1088" s="18" t="s">
        <v>75</v>
      </c>
      <c r="B1088">
        <v>2014</v>
      </c>
      <c r="C1088" t="s">
        <v>126</v>
      </c>
      <c r="D1088">
        <v>1</v>
      </c>
      <c r="E1088" s="18" t="s">
        <v>16</v>
      </c>
      <c r="F1088" s="18" t="s">
        <v>112</v>
      </c>
      <c r="G1088" s="18" t="s">
        <v>23</v>
      </c>
      <c r="H1088" s="18" t="str">
        <f>Assumptions!$B$2</f>
        <v>Worst</v>
      </c>
      <c r="I1088" s="18">
        <f>_xlfn.XLOOKUP(Assumptions!$B$2,Assumptions!$F$4:$H$4,Assumptions!$F$5:$H$5)</f>
        <v>1200</v>
      </c>
      <c r="J1088" s="18">
        <f>_xlfn.XLOOKUP(Assumptions!$B$2,Assumptions!$F$4:$H$4,Assumptions!$F$6:$H$6)</f>
        <v>17</v>
      </c>
      <c r="K1088" s="12">
        <f>_xlfn.XLOOKUP(Assumptions!$B$2,Assumptions!$F$4:$H$4,Assumptions!$F$8:$H$8)</f>
        <v>0.1</v>
      </c>
      <c r="L1088" s="12">
        <f>_xlfn.XLOOKUP(Assumptions!$B$2,Assumptions!$F$4:$H$4,Assumptions!$F$9:$H$9)</f>
        <v>0.18</v>
      </c>
      <c r="M1088" s="18">
        <f>_xlfn.XLOOKUP(Assumptions!$B$2,Assumptions!$F$4:$H$4,Assumptions!$F$10:$H$10)</f>
        <v>18000</v>
      </c>
      <c r="N1088" s="12">
        <f>_xlfn.XLOOKUP(Assumptions!$B$2,Assumptions!$F$4:$H$4,Assumptions!$F$11:$H$11)</f>
        <v>0.3</v>
      </c>
      <c r="O1088" s="14">
        <f>Final_Table[[#This Row],[Units Sold]]*Final_Table[[#This Row],[Sale Price]]</f>
        <v>20400</v>
      </c>
      <c r="P1088" s="14">
        <f>Final_Table[[#This Row],[Gross Revenue]]*(1-Final_Table[[#This Row],[Discount %]])</f>
        <v>18360</v>
      </c>
      <c r="Q1088">
        <f>Final_Table[[#This Row],[Net Revenue]]*Final_Table[[#This Row],[Variable Cost %]]</f>
        <v>3304.7999999999997</v>
      </c>
      <c r="R1088">
        <f>Final_Table[[#This Row],[Variable Cost]]+Final_Table[[#This Row],[Fixed Monthly Cost]]</f>
        <v>21304.799999999999</v>
      </c>
      <c r="S1088" s="5">
        <f>Final_Table[[#This Row],[Net Revenue]]-Final_Table[[#This Row],[Total Cost (COGS)]]</f>
        <v>-2944.7999999999993</v>
      </c>
      <c r="T1088">
        <f>Final_Table[[#This Row],[Gross Profit]]*Final_Table[[#This Row],[Tax Rate]]</f>
        <v>-883.43999999999971</v>
      </c>
      <c r="U1088" s="5">
        <f>Final_Table[[#This Row],[Gross Profit]]-Final_Table[[#This Row],[Tax]]</f>
        <v>-2061.3599999999997</v>
      </c>
      <c r="V1088" s="12">
        <f>Final_Table[[#This Row],[Net Profit]]/Final_Table[[#This Row],[Gross Revenue]]</f>
        <v>-0.10104705882352939</v>
      </c>
    </row>
    <row r="1089" spans="1:22">
      <c r="A1089" s="18" t="s">
        <v>75</v>
      </c>
      <c r="B1089">
        <v>2014</v>
      </c>
      <c r="C1089" t="s">
        <v>126</v>
      </c>
      <c r="D1089">
        <v>1</v>
      </c>
      <c r="E1089" s="18" t="s">
        <v>16</v>
      </c>
      <c r="F1089" s="18" t="s">
        <v>112</v>
      </c>
      <c r="G1089" s="18" t="s">
        <v>21</v>
      </c>
      <c r="H1089" s="18" t="str">
        <f>Assumptions!$B$2</f>
        <v>Worst</v>
      </c>
      <c r="I1089" s="18">
        <f>_xlfn.XLOOKUP(Assumptions!$B$2,Assumptions!$F$4:$H$4,Assumptions!$F$5:$H$5)</f>
        <v>1200</v>
      </c>
      <c r="J1089" s="18">
        <f>_xlfn.XLOOKUP(Assumptions!$B$2,Assumptions!$F$4:$H$4,Assumptions!$F$6:$H$6)</f>
        <v>17</v>
      </c>
      <c r="K1089" s="12">
        <f>_xlfn.XLOOKUP(Assumptions!$B$2,Assumptions!$F$4:$H$4,Assumptions!$F$8:$H$8)</f>
        <v>0.1</v>
      </c>
      <c r="L1089" s="12">
        <f>_xlfn.XLOOKUP(Assumptions!$B$2,Assumptions!$F$4:$H$4,Assumptions!$F$9:$H$9)</f>
        <v>0.18</v>
      </c>
      <c r="M1089" s="18">
        <f>_xlfn.XLOOKUP(Assumptions!$B$2,Assumptions!$F$4:$H$4,Assumptions!$F$10:$H$10)</f>
        <v>18000</v>
      </c>
      <c r="N1089" s="12">
        <f>_xlfn.XLOOKUP(Assumptions!$B$2,Assumptions!$F$4:$H$4,Assumptions!$F$11:$H$11)</f>
        <v>0.3</v>
      </c>
      <c r="O1089" s="14">
        <f>Final_Table[[#This Row],[Units Sold]]*Final_Table[[#This Row],[Sale Price]]</f>
        <v>20400</v>
      </c>
      <c r="P1089" s="14">
        <f>Final_Table[[#This Row],[Gross Revenue]]*(1-Final_Table[[#This Row],[Discount %]])</f>
        <v>18360</v>
      </c>
      <c r="Q1089">
        <f>Final_Table[[#This Row],[Net Revenue]]*Final_Table[[#This Row],[Variable Cost %]]</f>
        <v>3304.7999999999997</v>
      </c>
      <c r="R1089">
        <f>Final_Table[[#This Row],[Variable Cost]]+Final_Table[[#This Row],[Fixed Monthly Cost]]</f>
        <v>21304.799999999999</v>
      </c>
      <c r="S1089" s="5">
        <f>Final_Table[[#This Row],[Net Revenue]]-Final_Table[[#This Row],[Total Cost (COGS)]]</f>
        <v>-2944.7999999999993</v>
      </c>
      <c r="T1089">
        <f>Final_Table[[#This Row],[Gross Profit]]*Final_Table[[#This Row],[Tax Rate]]</f>
        <v>-883.43999999999971</v>
      </c>
      <c r="U1089" s="5">
        <f>Final_Table[[#This Row],[Gross Profit]]-Final_Table[[#This Row],[Tax]]</f>
        <v>-2061.3599999999997</v>
      </c>
      <c r="V1089" s="12">
        <f>Final_Table[[#This Row],[Net Profit]]/Final_Table[[#This Row],[Gross Revenue]]</f>
        <v>-0.10104705882352939</v>
      </c>
    </row>
    <row r="1090" spans="1:22">
      <c r="A1090" s="18" t="s">
        <v>75</v>
      </c>
      <c r="B1090">
        <v>2014</v>
      </c>
      <c r="C1090" t="s">
        <v>126</v>
      </c>
      <c r="D1090">
        <v>1</v>
      </c>
      <c r="E1090" s="18" t="s">
        <v>16</v>
      </c>
      <c r="F1090" s="18" t="s">
        <v>112</v>
      </c>
      <c r="G1090" s="18" t="s">
        <v>25</v>
      </c>
      <c r="H1090" s="18" t="str">
        <f>Assumptions!$B$2</f>
        <v>Worst</v>
      </c>
      <c r="I1090" s="18">
        <f>_xlfn.XLOOKUP(Assumptions!$B$2,Assumptions!$F$4:$H$4,Assumptions!$F$5:$H$5)</f>
        <v>1200</v>
      </c>
      <c r="J1090" s="18">
        <f>_xlfn.XLOOKUP(Assumptions!$B$2,Assumptions!$F$4:$H$4,Assumptions!$F$6:$H$6)</f>
        <v>17</v>
      </c>
      <c r="K1090" s="12">
        <f>_xlfn.XLOOKUP(Assumptions!$B$2,Assumptions!$F$4:$H$4,Assumptions!$F$8:$H$8)</f>
        <v>0.1</v>
      </c>
      <c r="L1090" s="12">
        <f>_xlfn.XLOOKUP(Assumptions!$B$2,Assumptions!$F$4:$H$4,Assumptions!$F$9:$H$9)</f>
        <v>0.18</v>
      </c>
      <c r="M1090" s="18">
        <f>_xlfn.XLOOKUP(Assumptions!$B$2,Assumptions!$F$4:$H$4,Assumptions!$F$10:$H$10)</f>
        <v>18000</v>
      </c>
      <c r="N1090" s="12">
        <f>_xlfn.XLOOKUP(Assumptions!$B$2,Assumptions!$F$4:$H$4,Assumptions!$F$11:$H$11)</f>
        <v>0.3</v>
      </c>
      <c r="O1090" s="14">
        <f>Final_Table[[#This Row],[Units Sold]]*Final_Table[[#This Row],[Sale Price]]</f>
        <v>20400</v>
      </c>
      <c r="P1090" s="14">
        <f>Final_Table[[#This Row],[Gross Revenue]]*(1-Final_Table[[#This Row],[Discount %]])</f>
        <v>18360</v>
      </c>
      <c r="Q1090">
        <f>Final_Table[[#This Row],[Net Revenue]]*Final_Table[[#This Row],[Variable Cost %]]</f>
        <v>3304.7999999999997</v>
      </c>
      <c r="R1090">
        <f>Final_Table[[#This Row],[Variable Cost]]+Final_Table[[#This Row],[Fixed Monthly Cost]]</f>
        <v>21304.799999999999</v>
      </c>
      <c r="S1090" s="5">
        <f>Final_Table[[#This Row],[Net Revenue]]-Final_Table[[#This Row],[Total Cost (COGS)]]</f>
        <v>-2944.7999999999993</v>
      </c>
      <c r="T1090">
        <f>Final_Table[[#This Row],[Gross Profit]]*Final_Table[[#This Row],[Tax Rate]]</f>
        <v>-883.43999999999971</v>
      </c>
      <c r="U1090" s="5">
        <f>Final_Table[[#This Row],[Gross Profit]]-Final_Table[[#This Row],[Tax]]</f>
        <v>-2061.3599999999997</v>
      </c>
      <c r="V1090" s="12">
        <f>Final_Table[[#This Row],[Net Profit]]/Final_Table[[#This Row],[Gross Revenue]]</f>
        <v>-0.10104705882352939</v>
      </c>
    </row>
    <row r="1091" spans="1:22">
      <c r="A1091" s="18" t="s">
        <v>75</v>
      </c>
      <c r="B1091">
        <v>2014</v>
      </c>
      <c r="C1091" t="s">
        <v>126</v>
      </c>
      <c r="D1091">
        <v>1</v>
      </c>
      <c r="E1091" s="18" t="s">
        <v>16</v>
      </c>
      <c r="F1091" s="18" t="s">
        <v>112</v>
      </c>
      <c r="G1091" s="18" t="s">
        <v>17</v>
      </c>
      <c r="H1091" s="18" t="str">
        <f>Assumptions!$B$2</f>
        <v>Worst</v>
      </c>
      <c r="I1091" s="18">
        <f>_xlfn.XLOOKUP(Assumptions!$B$2,Assumptions!$F$4:$H$4,Assumptions!$F$5:$H$5)</f>
        <v>1200</v>
      </c>
      <c r="J1091" s="18">
        <f>_xlfn.XLOOKUP(Assumptions!$B$2,Assumptions!$F$4:$H$4,Assumptions!$F$6:$H$6)</f>
        <v>17</v>
      </c>
      <c r="K1091" s="12">
        <f>_xlfn.XLOOKUP(Assumptions!$B$2,Assumptions!$F$4:$H$4,Assumptions!$F$8:$H$8)</f>
        <v>0.1</v>
      </c>
      <c r="L1091" s="12">
        <f>_xlfn.XLOOKUP(Assumptions!$B$2,Assumptions!$F$4:$H$4,Assumptions!$F$9:$H$9)</f>
        <v>0.18</v>
      </c>
      <c r="M1091" s="18">
        <f>_xlfn.XLOOKUP(Assumptions!$B$2,Assumptions!$F$4:$H$4,Assumptions!$F$10:$H$10)</f>
        <v>18000</v>
      </c>
      <c r="N1091" s="12">
        <f>_xlfn.XLOOKUP(Assumptions!$B$2,Assumptions!$F$4:$H$4,Assumptions!$F$11:$H$11)</f>
        <v>0.3</v>
      </c>
      <c r="O1091" s="14">
        <f>Final_Table[[#This Row],[Units Sold]]*Final_Table[[#This Row],[Sale Price]]</f>
        <v>20400</v>
      </c>
      <c r="P1091" s="14">
        <f>Final_Table[[#This Row],[Gross Revenue]]*(1-Final_Table[[#This Row],[Discount %]])</f>
        <v>18360</v>
      </c>
      <c r="Q1091">
        <f>Final_Table[[#This Row],[Net Revenue]]*Final_Table[[#This Row],[Variable Cost %]]</f>
        <v>3304.7999999999997</v>
      </c>
      <c r="R1091">
        <f>Final_Table[[#This Row],[Variable Cost]]+Final_Table[[#This Row],[Fixed Monthly Cost]]</f>
        <v>21304.799999999999</v>
      </c>
      <c r="S1091" s="5">
        <f>Final_Table[[#This Row],[Net Revenue]]-Final_Table[[#This Row],[Total Cost (COGS)]]</f>
        <v>-2944.7999999999993</v>
      </c>
      <c r="T1091">
        <f>Final_Table[[#This Row],[Gross Profit]]*Final_Table[[#This Row],[Tax Rate]]</f>
        <v>-883.43999999999971</v>
      </c>
      <c r="U1091" s="5">
        <f>Final_Table[[#This Row],[Gross Profit]]-Final_Table[[#This Row],[Tax]]</f>
        <v>-2061.3599999999997</v>
      </c>
      <c r="V1091" s="12">
        <f>Final_Table[[#This Row],[Net Profit]]/Final_Table[[#This Row],[Gross Revenue]]</f>
        <v>-0.10104705882352939</v>
      </c>
    </row>
    <row r="1092" spans="1:22">
      <c r="A1092" s="18" t="s">
        <v>75</v>
      </c>
      <c r="B1092">
        <v>2014</v>
      </c>
      <c r="C1092" t="s">
        <v>126</v>
      </c>
      <c r="D1092">
        <v>1</v>
      </c>
      <c r="E1092" s="18" t="s">
        <v>16</v>
      </c>
      <c r="F1092" s="18" t="s">
        <v>113</v>
      </c>
      <c r="G1092" s="18" t="s">
        <v>36</v>
      </c>
      <c r="H1092" s="18" t="str">
        <f>Assumptions!$B$2</f>
        <v>Worst</v>
      </c>
      <c r="I1092" s="18">
        <f>_xlfn.XLOOKUP(Assumptions!$B$2,Assumptions!$F$4:$H$4,Assumptions!$F$5:$H$5)</f>
        <v>1200</v>
      </c>
      <c r="J1092" s="18">
        <f>_xlfn.XLOOKUP(Assumptions!$B$2,Assumptions!$F$4:$H$4,Assumptions!$F$6:$H$6)</f>
        <v>17</v>
      </c>
      <c r="K1092" s="12">
        <f>_xlfn.XLOOKUP(Assumptions!$B$2,Assumptions!$F$4:$H$4,Assumptions!$F$8:$H$8)</f>
        <v>0.1</v>
      </c>
      <c r="L1092" s="12">
        <f>_xlfn.XLOOKUP(Assumptions!$B$2,Assumptions!$F$4:$H$4,Assumptions!$F$9:$H$9)</f>
        <v>0.18</v>
      </c>
      <c r="M1092" s="18">
        <f>_xlfn.XLOOKUP(Assumptions!$B$2,Assumptions!$F$4:$H$4,Assumptions!$F$10:$H$10)</f>
        <v>18000</v>
      </c>
      <c r="N1092" s="12">
        <f>_xlfn.XLOOKUP(Assumptions!$B$2,Assumptions!$F$4:$H$4,Assumptions!$F$11:$H$11)</f>
        <v>0.3</v>
      </c>
      <c r="O1092" s="14">
        <f>Final_Table[[#This Row],[Units Sold]]*Final_Table[[#This Row],[Sale Price]]</f>
        <v>20400</v>
      </c>
      <c r="P1092" s="14">
        <f>Final_Table[[#This Row],[Gross Revenue]]*(1-Final_Table[[#This Row],[Discount %]])</f>
        <v>18360</v>
      </c>
      <c r="Q1092">
        <f>Final_Table[[#This Row],[Net Revenue]]*Final_Table[[#This Row],[Variable Cost %]]</f>
        <v>3304.7999999999997</v>
      </c>
      <c r="R1092">
        <f>Final_Table[[#This Row],[Variable Cost]]+Final_Table[[#This Row],[Fixed Monthly Cost]]</f>
        <v>21304.799999999999</v>
      </c>
      <c r="S1092" s="5">
        <f>Final_Table[[#This Row],[Net Revenue]]-Final_Table[[#This Row],[Total Cost (COGS)]]</f>
        <v>-2944.7999999999993</v>
      </c>
      <c r="T1092">
        <f>Final_Table[[#This Row],[Gross Profit]]*Final_Table[[#This Row],[Tax Rate]]</f>
        <v>-883.43999999999971</v>
      </c>
      <c r="U1092" s="5">
        <f>Final_Table[[#This Row],[Gross Profit]]-Final_Table[[#This Row],[Tax]]</f>
        <v>-2061.3599999999997</v>
      </c>
      <c r="V1092" s="12">
        <f>Final_Table[[#This Row],[Net Profit]]/Final_Table[[#This Row],[Gross Revenue]]</f>
        <v>-0.10104705882352939</v>
      </c>
    </row>
    <row r="1093" spans="1:22">
      <c r="A1093" s="18" t="s">
        <v>75</v>
      </c>
      <c r="B1093">
        <v>2014</v>
      </c>
      <c r="C1093" t="s">
        <v>126</v>
      </c>
      <c r="D1093">
        <v>1</v>
      </c>
      <c r="E1093" s="18" t="s">
        <v>16</v>
      </c>
      <c r="F1093" s="18" t="s">
        <v>113</v>
      </c>
      <c r="G1093" s="18" t="s">
        <v>23</v>
      </c>
      <c r="H1093" s="18" t="str">
        <f>Assumptions!$B$2</f>
        <v>Worst</v>
      </c>
      <c r="I1093" s="18">
        <f>_xlfn.XLOOKUP(Assumptions!$B$2,Assumptions!$F$4:$H$4,Assumptions!$F$5:$H$5)</f>
        <v>1200</v>
      </c>
      <c r="J1093" s="18">
        <f>_xlfn.XLOOKUP(Assumptions!$B$2,Assumptions!$F$4:$H$4,Assumptions!$F$6:$H$6)</f>
        <v>17</v>
      </c>
      <c r="K1093" s="12">
        <f>_xlfn.XLOOKUP(Assumptions!$B$2,Assumptions!$F$4:$H$4,Assumptions!$F$8:$H$8)</f>
        <v>0.1</v>
      </c>
      <c r="L1093" s="12">
        <f>_xlfn.XLOOKUP(Assumptions!$B$2,Assumptions!$F$4:$H$4,Assumptions!$F$9:$H$9)</f>
        <v>0.18</v>
      </c>
      <c r="M1093" s="18">
        <f>_xlfn.XLOOKUP(Assumptions!$B$2,Assumptions!$F$4:$H$4,Assumptions!$F$10:$H$10)</f>
        <v>18000</v>
      </c>
      <c r="N1093" s="12">
        <f>_xlfn.XLOOKUP(Assumptions!$B$2,Assumptions!$F$4:$H$4,Assumptions!$F$11:$H$11)</f>
        <v>0.3</v>
      </c>
      <c r="O1093" s="14">
        <f>Final_Table[[#This Row],[Units Sold]]*Final_Table[[#This Row],[Sale Price]]</f>
        <v>20400</v>
      </c>
      <c r="P1093" s="14">
        <f>Final_Table[[#This Row],[Gross Revenue]]*(1-Final_Table[[#This Row],[Discount %]])</f>
        <v>18360</v>
      </c>
      <c r="Q1093">
        <f>Final_Table[[#This Row],[Net Revenue]]*Final_Table[[#This Row],[Variable Cost %]]</f>
        <v>3304.7999999999997</v>
      </c>
      <c r="R1093">
        <f>Final_Table[[#This Row],[Variable Cost]]+Final_Table[[#This Row],[Fixed Monthly Cost]]</f>
        <v>21304.799999999999</v>
      </c>
      <c r="S1093" s="5">
        <f>Final_Table[[#This Row],[Net Revenue]]-Final_Table[[#This Row],[Total Cost (COGS)]]</f>
        <v>-2944.7999999999993</v>
      </c>
      <c r="T1093">
        <f>Final_Table[[#This Row],[Gross Profit]]*Final_Table[[#This Row],[Tax Rate]]</f>
        <v>-883.43999999999971</v>
      </c>
      <c r="U1093" s="5">
        <f>Final_Table[[#This Row],[Gross Profit]]-Final_Table[[#This Row],[Tax]]</f>
        <v>-2061.3599999999997</v>
      </c>
      <c r="V1093" s="12">
        <f>Final_Table[[#This Row],[Net Profit]]/Final_Table[[#This Row],[Gross Revenue]]</f>
        <v>-0.10104705882352939</v>
      </c>
    </row>
    <row r="1094" spans="1:22">
      <c r="A1094" s="18" t="s">
        <v>75</v>
      </c>
      <c r="B1094">
        <v>2014</v>
      </c>
      <c r="C1094" t="s">
        <v>126</v>
      </c>
      <c r="D1094">
        <v>1</v>
      </c>
      <c r="E1094" s="18" t="s">
        <v>16</v>
      </c>
      <c r="F1094" s="18" t="s">
        <v>113</v>
      </c>
      <c r="G1094" s="18" t="s">
        <v>21</v>
      </c>
      <c r="H1094" s="18" t="str">
        <f>Assumptions!$B$2</f>
        <v>Worst</v>
      </c>
      <c r="I1094" s="18">
        <f>_xlfn.XLOOKUP(Assumptions!$B$2,Assumptions!$F$4:$H$4,Assumptions!$F$5:$H$5)</f>
        <v>1200</v>
      </c>
      <c r="J1094" s="18">
        <f>_xlfn.XLOOKUP(Assumptions!$B$2,Assumptions!$F$4:$H$4,Assumptions!$F$6:$H$6)</f>
        <v>17</v>
      </c>
      <c r="K1094" s="12">
        <f>_xlfn.XLOOKUP(Assumptions!$B$2,Assumptions!$F$4:$H$4,Assumptions!$F$8:$H$8)</f>
        <v>0.1</v>
      </c>
      <c r="L1094" s="12">
        <f>_xlfn.XLOOKUP(Assumptions!$B$2,Assumptions!$F$4:$H$4,Assumptions!$F$9:$H$9)</f>
        <v>0.18</v>
      </c>
      <c r="M1094" s="18">
        <f>_xlfn.XLOOKUP(Assumptions!$B$2,Assumptions!$F$4:$H$4,Assumptions!$F$10:$H$10)</f>
        <v>18000</v>
      </c>
      <c r="N1094" s="12">
        <f>_xlfn.XLOOKUP(Assumptions!$B$2,Assumptions!$F$4:$H$4,Assumptions!$F$11:$H$11)</f>
        <v>0.3</v>
      </c>
      <c r="O1094" s="14">
        <f>Final_Table[[#This Row],[Units Sold]]*Final_Table[[#This Row],[Sale Price]]</f>
        <v>20400</v>
      </c>
      <c r="P1094" s="14">
        <f>Final_Table[[#This Row],[Gross Revenue]]*(1-Final_Table[[#This Row],[Discount %]])</f>
        <v>18360</v>
      </c>
      <c r="Q1094">
        <f>Final_Table[[#This Row],[Net Revenue]]*Final_Table[[#This Row],[Variable Cost %]]</f>
        <v>3304.7999999999997</v>
      </c>
      <c r="R1094">
        <f>Final_Table[[#This Row],[Variable Cost]]+Final_Table[[#This Row],[Fixed Monthly Cost]]</f>
        <v>21304.799999999999</v>
      </c>
      <c r="S1094" s="5">
        <f>Final_Table[[#This Row],[Net Revenue]]-Final_Table[[#This Row],[Total Cost (COGS)]]</f>
        <v>-2944.7999999999993</v>
      </c>
      <c r="T1094">
        <f>Final_Table[[#This Row],[Gross Profit]]*Final_Table[[#This Row],[Tax Rate]]</f>
        <v>-883.43999999999971</v>
      </c>
      <c r="U1094" s="5">
        <f>Final_Table[[#This Row],[Gross Profit]]-Final_Table[[#This Row],[Tax]]</f>
        <v>-2061.3599999999997</v>
      </c>
      <c r="V1094" s="12">
        <f>Final_Table[[#This Row],[Net Profit]]/Final_Table[[#This Row],[Gross Revenue]]</f>
        <v>-0.10104705882352939</v>
      </c>
    </row>
    <row r="1095" spans="1:22">
      <c r="A1095" s="18" t="s">
        <v>75</v>
      </c>
      <c r="B1095">
        <v>2014</v>
      </c>
      <c r="C1095" t="s">
        <v>126</v>
      </c>
      <c r="D1095">
        <v>1</v>
      </c>
      <c r="E1095" s="18" t="s">
        <v>16</v>
      </c>
      <c r="F1095" s="18" t="s">
        <v>113</v>
      </c>
      <c r="G1095" s="18" t="s">
        <v>25</v>
      </c>
      <c r="H1095" s="18" t="str">
        <f>Assumptions!$B$2</f>
        <v>Worst</v>
      </c>
      <c r="I1095" s="18">
        <f>_xlfn.XLOOKUP(Assumptions!$B$2,Assumptions!$F$4:$H$4,Assumptions!$F$5:$H$5)</f>
        <v>1200</v>
      </c>
      <c r="J1095" s="18">
        <f>_xlfn.XLOOKUP(Assumptions!$B$2,Assumptions!$F$4:$H$4,Assumptions!$F$6:$H$6)</f>
        <v>17</v>
      </c>
      <c r="K1095" s="12">
        <f>_xlfn.XLOOKUP(Assumptions!$B$2,Assumptions!$F$4:$H$4,Assumptions!$F$8:$H$8)</f>
        <v>0.1</v>
      </c>
      <c r="L1095" s="12">
        <f>_xlfn.XLOOKUP(Assumptions!$B$2,Assumptions!$F$4:$H$4,Assumptions!$F$9:$H$9)</f>
        <v>0.18</v>
      </c>
      <c r="M1095" s="18">
        <f>_xlfn.XLOOKUP(Assumptions!$B$2,Assumptions!$F$4:$H$4,Assumptions!$F$10:$H$10)</f>
        <v>18000</v>
      </c>
      <c r="N1095" s="12">
        <f>_xlfn.XLOOKUP(Assumptions!$B$2,Assumptions!$F$4:$H$4,Assumptions!$F$11:$H$11)</f>
        <v>0.3</v>
      </c>
      <c r="O1095" s="14">
        <f>Final_Table[[#This Row],[Units Sold]]*Final_Table[[#This Row],[Sale Price]]</f>
        <v>20400</v>
      </c>
      <c r="P1095" s="14">
        <f>Final_Table[[#This Row],[Gross Revenue]]*(1-Final_Table[[#This Row],[Discount %]])</f>
        <v>18360</v>
      </c>
      <c r="Q1095">
        <f>Final_Table[[#This Row],[Net Revenue]]*Final_Table[[#This Row],[Variable Cost %]]</f>
        <v>3304.7999999999997</v>
      </c>
      <c r="R1095">
        <f>Final_Table[[#This Row],[Variable Cost]]+Final_Table[[#This Row],[Fixed Monthly Cost]]</f>
        <v>21304.799999999999</v>
      </c>
      <c r="S1095" s="5">
        <f>Final_Table[[#This Row],[Net Revenue]]-Final_Table[[#This Row],[Total Cost (COGS)]]</f>
        <v>-2944.7999999999993</v>
      </c>
      <c r="T1095">
        <f>Final_Table[[#This Row],[Gross Profit]]*Final_Table[[#This Row],[Tax Rate]]</f>
        <v>-883.43999999999971</v>
      </c>
      <c r="U1095" s="5">
        <f>Final_Table[[#This Row],[Gross Profit]]-Final_Table[[#This Row],[Tax]]</f>
        <v>-2061.3599999999997</v>
      </c>
      <c r="V1095" s="12">
        <f>Final_Table[[#This Row],[Net Profit]]/Final_Table[[#This Row],[Gross Revenue]]</f>
        <v>-0.10104705882352939</v>
      </c>
    </row>
    <row r="1096" spans="1:22">
      <c r="A1096" s="18" t="s">
        <v>75</v>
      </c>
      <c r="B1096">
        <v>2014</v>
      </c>
      <c r="C1096" t="s">
        <v>126</v>
      </c>
      <c r="D1096">
        <v>1</v>
      </c>
      <c r="E1096" s="18" t="s">
        <v>16</v>
      </c>
      <c r="F1096" s="18" t="s">
        <v>113</v>
      </c>
      <c r="G1096" s="18" t="s">
        <v>17</v>
      </c>
      <c r="H1096" s="18" t="str">
        <f>Assumptions!$B$2</f>
        <v>Worst</v>
      </c>
      <c r="I1096" s="18">
        <f>_xlfn.XLOOKUP(Assumptions!$B$2,Assumptions!$F$4:$H$4,Assumptions!$F$5:$H$5)</f>
        <v>1200</v>
      </c>
      <c r="J1096" s="18">
        <f>_xlfn.XLOOKUP(Assumptions!$B$2,Assumptions!$F$4:$H$4,Assumptions!$F$6:$H$6)</f>
        <v>17</v>
      </c>
      <c r="K1096" s="12">
        <f>_xlfn.XLOOKUP(Assumptions!$B$2,Assumptions!$F$4:$H$4,Assumptions!$F$8:$H$8)</f>
        <v>0.1</v>
      </c>
      <c r="L1096" s="12">
        <f>_xlfn.XLOOKUP(Assumptions!$B$2,Assumptions!$F$4:$H$4,Assumptions!$F$9:$H$9)</f>
        <v>0.18</v>
      </c>
      <c r="M1096" s="18">
        <f>_xlfn.XLOOKUP(Assumptions!$B$2,Assumptions!$F$4:$H$4,Assumptions!$F$10:$H$10)</f>
        <v>18000</v>
      </c>
      <c r="N1096" s="12">
        <f>_xlfn.XLOOKUP(Assumptions!$B$2,Assumptions!$F$4:$H$4,Assumptions!$F$11:$H$11)</f>
        <v>0.3</v>
      </c>
      <c r="O1096" s="14">
        <f>Final_Table[[#This Row],[Units Sold]]*Final_Table[[#This Row],[Sale Price]]</f>
        <v>20400</v>
      </c>
      <c r="P1096" s="14">
        <f>Final_Table[[#This Row],[Gross Revenue]]*(1-Final_Table[[#This Row],[Discount %]])</f>
        <v>18360</v>
      </c>
      <c r="Q1096">
        <f>Final_Table[[#This Row],[Net Revenue]]*Final_Table[[#This Row],[Variable Cost %]]</f>
        <v>3304.7999999999997</v>
      </c>
      <c r="R1096">
        <f>Final_Table[[#This Row],[Variable Cost]]+Final_Table[[#This Row],[Fixed Monthly Cost]]</f>
        <v>21304.799999999999</v>
      </c>
      <c r="S1096" s="5">
        <f>Final_Table[[#This Row],[Net Revenue]]-Final_Table[[#This Row],[Total Cost (COGS)]]</f>
        <v>-2944.7999999999993</v>
      </c>
      <c r="T1096">
        <f>Final_Table[[#This Row],[Gross Profit]]*Final_Table[[#This Row],[Tax Rate]]</f>
        <v>-883.43999999999971</v>
      </c>
      <c r="U1096" s="5">
        <f>Final_Table[[#This Row],[Gross Profit]]-Final_Table[[#This Row],[Tax]]</f>
        <v>-2061.3599999999997</v>
      </c>
      <c r="V1096" s="12">
        <f>Final_Table[[#This Row],[Net Profit]]/Final_Table[[#This Row],[Gross Revenue]]</f>
        <v>-0.10104705882352939</v>
      </c>
    </row>
    <row r="1097" spans="1:22">
      <c r="A1097" s="18" t="s">
        <v>75</v>
      </c>
      <c r="B1097">
        <v>2014</v>
      </c>
      <c r="C1097" t="s">
        <v>126</v>
      </c>
      <c r="D1097">
        <v>1</v>
      </c>
      <c r="E1097" s="18" t="s">
        <v>16</v>
      </c>
      <c r="F1097" s="18" t="s">
        <v>114</v>
      </c>
      <c r="G1097" s="18" t="s">
        <v>36</v>
      </c>
      <c r="H1097" s="18" t="str">
        <f>Assumptions!$B$2</f>
        <v>Worst</v>
      </c>
      <c r="I1097" s="18">
        <f>_xlfn.XLOOKUP(Assumptions!$B$2,Assumptions!$F$4:$H$4,Assumptions!$F$5:$H$5)</f>
        <v>1200</v>
      </c>
      <c r="J1097" s="18">
        <f>_xlfn.XLOOKUP(Assumptions!$B$2,Assumptions!$F$4:$H$4,Assumptions!$F$6:$H$6)</f>
        <v>17</v>
      </c>
      <c r="K1097" s="12">
        <f>_xlfn.XLOOKUP(Assumptions!$B$2,Assumptions!$F$4:$H$4,Assumptions!$F$8:$H$8)</f>
        <v>0.1</v>
      </c>
      <c r="L1097" s="12">
        <f>_xlfn.XLOOKUP(Assumptions!$B$2,Assumptions!$F$4:$H$4,Assumptions!$F$9:$H$9)</f>
        <v>0.18</v>
      </c>
      <c r="M1097" s="18">
        <f>_xlfn.XLOOKUP(Assumptions!$B$2,Assumptions!$F$4:$H$4,Assumptions!$F$10:$H$10)</f>
        <v>18000</v>
      </c>
      <c r="N1097" s="12">
        <f>_xlfn.XLOOKUP(Assumptions!$B$2,Assumptions!$F$4:$H$4,Assumptions!$F$11:$H$11)</f>
        <v>0.3</v>
      </c>
      <c r="O1097" s="14">
        <f>Final_Table[[#This Row],[Units Sold]]*Final_Table[[#This Row],[Sale Price]]</f>
        <v>20400</v>
      </c>
      <c r="P1097" s="14">
        <f>Final_Table[[#This Row],[Gross Revenue]]*(1-Final_Table[[#This Row],[Discount %]])</f>
        <v>18360</v>
      </c>
      <c r="Q1097">
        <f>Final_Table[[#This Row],[Net Revenue]]*Final_Table[[#This Row],[Variable Cost %]]</f>
        <v>3304.7999999999997</v>
      </c>
      <c r="R1097">
        <f>Final_Table[[#This Row],[Variable Cost]]+Final_Table[[#This Row],[Fixed Monthly Cost]]</f>
        <v>21304.799999999999</v>
      </c>
      <c r="S1097" s="5">
        <f>Final_Table[[#This Row],[Net Revenue]]-Final_Table[[#This Row],[Total Cost (COGS)]]</f>
        <v>-2944.7999999999993</v>
      </c>
      <c r="T1097">
        <f>Final_Table[[#This Row],[Gross Profit]]*Final_Table[[#This Row],[Tax Rate]]</f>
        <v>-883.43999999999971</v>
      </c>
      <c r="U1097" s="5">
        <f>Final_Table[[#This Row],[Gross Profit]]-Final_Table[[#This Row],[Tax]]</f>
        <v>-2061.3599999999997</v>
      </c>
      <c r="V1097" s="12">
        <f>Final_Table[[#This Row],[Net Profit]]/Final_Table[[#This Row],[Gross Revenue]]</f>
        <v>-0.10104705882352939</v>
      </c>
    </row>
    <row r="1098" spans="1:22">
      <c r="A1098" s="18" t="s">
        <v>75</v>
      </c>
      <c r="B1098">
        <v>2014</v>
      </c>
      <c r="C1098" t="s">
        <v>126</v>
      </c>
      <c r="D1098">
        <v>1</v>
      </c>
      <c r="E1098" s="18" t="s">
        <v>16</v>
      </c>
      <c r="F1098" s="18" t="s">
        <v>114</v>
      </c>
      <c r="G1098" s="18" t="s">
        <v>23</v>
      </c>
      <c r="H1098" s="18" t="str">
        <f>Assumptions!$B$2</f>
        <v>Worst</v>
      </c>
      <c r="I1098" s="18">
        <f>_xlfn.XLOOKUP(Assumptions!$B$2,Assumptions!$F$4:$H$4,Assumptions!$F$5:$H$5)</f>
        <v>1200</v>
      </c>
      <c r="J1098" s="18">
        <f>_xlfn.XLOOKUP(Assumptions!$B$2,Assumptions!$F$4:$H$4,Assumptions!$F$6:$H$6)</f>
        <v>17</v>
      </c>
      <c r="K1098" s="12">
        <f>_xlfn.XLOOKUP(Assumptions!$B$2,Assumptions!$F$4:$H$4,Assumptions!$F$8:$H$8)</f>
        <v>0.1</v>
      </c>
      <c r="L1098" s="12">
        <f>_xlfn.XLOOKUP(Assumptions!$B$2,Assumptions!$F$4:$H$4,Assumptions!$F$9:$H$9)</f>
        <v>0.18</v>
      </c>
      <c r="M1098" s="18">
        <f>_xlfn.XLOOKUP(Assumptions!$B$2,Assumptions!$F$4:$H$4,Assumptions!$F$10:$H$10)</f>
        <v>18000</v>
      </c>
      <c r="N1098" s="12">
        <f>_xlfn.XLOOKUP(Assumptions!$B$2,Assumptions!$F$4:$H$4,Assumptions!$F$11:$H$11)</f>
        <v>0.3</v>
      </c>
      <c r="O1098" s="14">
        <f>Final_Table[[#This Row],[Units Sold]]*Final_Table[[#This Row],[Sale Price]]</f>
        <v>20400</v>
      </c>
      <c r="P1098" s="14">
        <f>Final_Table[[#This Row],[Gross Revenue]]*(1-Final_Table[[#This Row],[Discount %]])</f>
        <v>18360</v>
      </c>
      <c r="Q1098">
        <f>Final_Table[[#This Row],[Net Revenue]]*Final_Table[[#This Row],[Variable Cost %]]</f>
        <v>3304.7999999999997</v>
      </c>
      <c r="R1098">
        <f>Final_Table[[#This Row],[Variable Cost]]+Final_Table[[#This Row],[Fixed Monthly Cost]]</f>
        <v>21304.799999999999</v>
      </c>
      <c r="S1098" s="5">
        <f>Final_Table[[#This Row],[Net Revenue]]-Final_Table[[#This Row],[Total Cost (COGS)]]</f>
        <v>-2944.7999999999993</v>
      </c>
      <c r="T1098">
        <f>Final_Table[[#This Row],[Gross Profit]]*Final_Table[[#This Row],[Tax Rate]]</f>
        <v>-883.43999999999971</v>
      </c>
      <c r="U1098" s="5">
        <f>Final_Table[[#This Row],[Gross Profit]]-Final_Table[[#This Row],[Tax]]</f>
        <v>-2061.3599999999997</v>
      </c>
      <c r="V1098" s="12">
        <f>Final_Table[[#This Row],[Net Profit]]/Final_Table[[#This Row],[Gross Revenue]]</f>
        <v>-0.10104705882352939</v>
      </c>
    </row>
    <row r="1099" spans="1:22">
      <c r="A1099" s="18" t="s">
        <v>75</v>
      </c>
      <c r="B1099">
        <v>2014</v>
      </c>
      <c r="C1099" t="s">
        <v>126</v>
      </c>
      <c r="D1099">
        <v>1</v>
      </c>
      <c r="E1099" s="18" t="s">
        <v>16</v>
      </c>
      <c r="F1099" s="18" t="s">
        <v>114</v>
      </c>
      <c r="G1099" s="18" t="s">
        <v>21</v>
      </c>
      <c r="H1099" s="18" t="str">
        <f>Assumptions!$B$2</f>
        <v>Worst</v>
      </c>
      <c r="I1099" s="18">
        <f>_xlfn.XLOOKUP(Assumptions!$B$2,Assumptions!$F$4:$H$4,Assumptions!$F$5:$H$5)</f>
        <v>1200</v>
      </c>
      <c r="J1099" s="18">
        <f>_xlfn.XLOOKUP(Assumptions!$B$2,Assumptions!$F$4:$H$4,Assumptions!$F$6:$H$6)</f>
        <v>17</v>
      </c>
      <c r="K1099" s="12">
        <f>_xlfn.XLOOKUP(Assumptions!$B$2,Assumptions!$F$4:$H$4,Assumptions!$F$8:$H$8)</f>
        <v>0.1</v>
      </c>
      <c r="L1099" s="12">
        <f>_xlfn.XLOOKUP(Assumptions!$B$2,Assumptions!$F$4:$H$4,Assumptions!$F$9:$H$9)</f>
        <v>0.18</v>
      </c>
      <c r="M1099" s="18">
        <f>_xlfn.XLOOKUP(Assumptions!$B$2,Assumptions!$F$4:$H$4,Assumptions!$F$10:$H$10)</f>
        <v>18000</v>
      </c>
      <c r="N1099" s="12">
        <f>_xlfn.XLOOKUP(Assumptions!$B$2,Assumptions!$F$4:$H$4,Assumptions!$F$11:$H$11)</f>
        <v>0.3</v>
      </c>
      <c r="O1099" s="14">
        <f>Final_Table[[#This Row],[Units Sold]]*Final_Table[[#This Row],[Sale Price]]</f>
        <v>20400</v>
      </c>
      <c r="P1099" s="14">
        <f>Final_Table[[#This Row],[Gross Revenue]]*(1-Final_Table[[#This Row],[Discount %]])</f>
        <v>18360</v>
      </c>
      <c r="Q1099">
        <f>Final_Table[[#This Row],[Net Revenue]]*Final_Table[[#This Row],[Variable Cost %]]</f>
        <v>3304.7999999999997</v>
      </c>
      <c r="R1099">
        <f>Final_Table[[#This Row],[Variable Cost]]+Final_Table[[#This Row],[Fixed Monthly Cost]]</f>
        <v>21304.799999999999</v>
      </c>
      <c r="S1099" s="5">
        <f>Final_Table[[#This Row],[Net Revenue]]-Final_Table[[#This Row],[Total Cost (COGS)]]</f>
        <v>-2944.7999999999993</v>
      </c>
      <c r="T1099">
        <f>Final_Table[[#This Row],[Gross Profit]]*Final_Table[[#This Row],[Tax Rate]]</f>
        <v>-883.43999999999971</v>
      </c>
      <c r="U1099" s="5">
        <f>Final_Table[[#This Row],[Gross Profit]]-Final_Table[[#This Row],[Tax]]</f>
        <v>-2061.3599999999997</v>
      </c>
      <c r="V1099" s="12">
        <f>Final_Table[[#This Row],[Net Profit]]/Final_Table[[#This Row],[Gross Revenue]]</f>
        <v>-0.10104705882352939</v>
      </c>
    </row>
    <row r="1100" spans="1:22">
      <c r="A1100" s="18" t="s">
        <v>75</v>
      </c>
      <c r="B1100">
        <v>2014</v>
      </c>
      <c r="C1100" t="s">
        <v>126</v>
      </c>
      <c r="D1100">
        <v>1</v>
      </c>
      <c r="E1100" s="18" t="s">
        <v>16</v>
      </c>
      <c r="F1100" s="18" t="s">
        <v>114</v>
      </c>
      <c r="G1100" s="18" t="s">
        <v>25</v>
      </c>
      <c r="H1100" s="18" t="str">
        <f>Assumptions!$B$2</f>
        <v>Worst</v>
      </c>
      <c r="I1100" s="18">
        <f>_xlfn.XLOOKUP(Assumptions!$B$2,Assumptions!$F$4:$H$4,Assumptions!$F$5:$H$5)</f>
        <v>1200</v>
      </c>
      <c r="J1100" s="18">
        <f>_xlfn.XLOOKUP(Assumptions!$B$2,Assumptions!$F$4:$H$4,Assumptions!$F$6:$H$6)</f>
        <v>17</v>
      </c>
      <c r="K1100" s="12">
        <f>_xlfn.XLOOKUP(Assumptions!$B$2,Assumptions!$F$4:$H$4,Assumptions!$F$8:$H$8)</f>
        <v>0.1</v>
      </c>
      <c r="L1100" s="12">
        <f>_xlfn.XLOOKUP(Assumptions!$B$2,Assumptions!$F$4:$H$4,Assumptions!$F$9:$H$9)</f>
        <v>0.18</v>
      </c>
      <c r="M1100" s="18">
        <f>_xlfn.XLOOKUP(Assumptions!$B$2,Assumptions!$F$4:$H$4,Assumptions!$F$10:$H$10)</f>
        <v>18000</v>
      </c>
      <c r="N1100" s="12">
        <f>_xlfn.XLOOKUP(Assumptions!$B$2,Assumptions!$F$4:$H$4,Assumptions!$F$11:$H$11)</f>
        <v>0.3</v>
      </c>
      <c r="O1100" s="14">
        <f>Final_Table[[#This Row],[Units Sold]]*Final_Table[[#This Row],[Sale Price]]</f>
        <v>20400</v>
      </c>
      <c r="P1100" s="14">
        <f>Final_Table[[#This Row],[Gross Revenue]]*(1-Final_Table[[#This Row],[Discount %]])</f>
        <v>18360</v>
      </c>
      <c r="Q1100">
        <f>Final_Table[[#This Row],[Net Revenue]]*Final_Table[[#This Row],[Variable Cost %]]</f>
        <v>3304.7999999999997</v>
      </c>
      <c r="R1100">
        <f>Final_Table[[#This Row],[Variable Cost]]+Final_Table[[#This Row],[Fixed Monthly Cost]]</f>
        <v>21304.799999999999</v>
      </c>
      <c r="S1100" s="5">
        <f>Final_Table[[#This Row],[Net Revenue]]-Final_Table[[#This Row],[Total Cost (COGS)]]</f>
        <v>-2944.7999999999993</v>
      </c>
      <c r="T1100">
        <f>Final_Table[[#This Row],[Gross Profit]]*Final_Table[[#This Row],[Tax Rate]]</f>
        <v>-883.43999999999971</v>
      </c>
      <c r="U1100" s="5">
        <f>Final_Table[[#This Row],[Gross Profit]]-Final_Table[[#This Row],[Tax]]</f>
        <v>-2061.3599999999997</v>
      </c>
      <c r="V1100" s="12">
        <f>Final_Table[[#This Row],[Net Profit]]/Final_Table[[#This Row],[Gross Revenue]]</f>
        <v>-0.10104705882352939</v>
      </c>
    </row>
    <row r="1101" spans="1:22">
      <c r="A1101" s="18" t="s">
        <v>75</v>
      </c>
      <c r="B1101">
        <v>2014</v>
      </c>
      <c r="C1101" t="s">
        <v>126</v>
      </c>
      <c r="D1101">
        <v>1</v>
      </c>
      <c r="E1101" s="18" t="s">
        <v>16</v>
      </c>
      <c r="F1101" s="18" t="s">
        <v>114</v>
      </c>
      <c r="G1101" s="18" t="s">
        <v>17</v>
      </c>
      <c r="H1101" s="18" t="str">
        <f>Assumptions!$B$2</f>
        <v>Worst</v>
      </c>
      <c r="I1101" s="18">
        <f>_xlfn.XLOOKUP(Assumptions!$B$2,Assumptions!$F$4:$H$4,Assumptions!$F$5:$H$5)</f>
        <v>1200</v>
      </c>
      <c r="J1101" s="18">
        <f>_xlfn.XLOOKUP(Assumptions!$B$2,Assumptions!$F$4:$H$4,Assumptions!$F$6:$H$6)</f>
        <v>17</v>
      </c>
      <c r="K1101" s="12">
        <f>_xlfn.XLOOKUP(Assumptions!$B$2,Assumptions!$F$4:$H$4,Assumptions!$F$8:$H$8)</f>
        <v>0.1</v>
      </c>
      <c r="L1101" s="12">
        <f>_xlfn.XLOOKUP(Assumptions!$B$2,Assumptions!$F$4:$H$4,Assumptions!$F$9:$H$9)</f>
        <v>0.18</v>
      </c>
      <c r="M1101" s="18">
        <f>_xlfn.XLOOKUP(Assumptions!$B$2,Assumptions!$F$4:$H$4,Assumptions!$F$10:$H$10)</f>
        <v>18000</v>
      </c>
      <c r="N1101" s="12">
        <f>_xlfn.XLOOKUP(Assumptions!$B$2,Assumptions!$F$4:$H$4,Assumptions!$F$11:$H$11)</f>
        <v>0.3</v>
      </c>
      <c r="O1101" s="14">
        <f>Final_Table[[#This Row],[Units Sold]]*Final_Table[[#This Row],[Sale Price]]</f>
        <v>20400</v>
      </c>
      <c r="P1101" s="14">
        <f>Final_Table[[#This Row],[Gross Revenue]]*(1-Final_Table[[#This Row],[Discount %]])</f>
        <v>18360</v>
      </c>
      <c r="Q1101">
        <f>Final_Table[[#This Row],[Net Revenue]]*Final_Table[[#This Row],[Variable Cost %]]</f>
        <v>3304.7999999999997</v>
      </c>
      <c r="R1101">
        <f>Final_Table[[#This Row],[Variable Cost]]+Final_Table[[#This Row],[Fixed Monthly Cost]]</f>
        <v>21304.799999999999</v>
      </c>
      <c r="S1101" s="5">
        <f>Final_Table[[#This Row],[Net Revenue]]-Final_Table[[#This Row],[Total Cost (COGS)]]</f>
        <v>-2944.7999999999993</v>
      </c>
      <c r="T1101">
        <f>Final_Table[[#This Row],[Gross Profit]]*Final_Table[[#This Row],[Tax Rate]]</f>
        <v>-883.43999999999971</v>
      </c>
      <c r="U1101" s="5">
        <f>Final_Table[[#This Row],[Gross Profit]]-Final_Table[[#This Row],[Tax]]</f>
        <v>-2061.3599999999997</v>
      </c>
      <c r="V1101" s="12">
        <f>Final_Table[[#This Row],[Net Profit]]/Final_Table[[#This Row],[Gross Revenue]]</f>
        <v>-0.10104705882352939</v>
      </c>
    </row>
    <row r="1102" spans="1:22">
      <c r="A1102" s="18" t="s">
        <v>75</v>
      </c>
      <c r="B1102">
        <v>2014</v>
      </c>
      <c r="C1102" t="s">
        <v>126</v>
      </c>
      <c r="D1102">
        <v>1</v>
      </c>
      <c r="E1102" s="18" t="s">
        <v>32</v>
      </c>
      <c r="F1102" s="18" t="s">
        <v>80</v>
      </c>
      <c r="G1102" s="18" t="s">
        <v>36</v>
      </c>
      <c r="H1102" s="18" t="str">
        <f>Assumptions!$B$2</f>
        <v>Worst</v>
      </c>
      <c r="I1102" s="18">
        <f>_xlfn.XLOOKUP(Assumptions!$B$2,Assumptions!$F$4:$H$4,Assumptions!$F$5:$H$5)</f>
        <v>1200</v>
      </c>
      <c r="J1102" s="18">
        <f>_xlfn.XLOOKUP(Assumptions!$B$2,Assumptions!$F$4:$H$4,Assumptions!$F$6:$H$6)</f>
        <v>17</v>
      </c>
      <c r="K1102" s="12">
        <f>_xlfn.XLOOKUP(Assumptions!$B$2,Assumptions!$F$4:$H$4,Assumptions!$F$8:$H$8)</f>
        <v>0.1</v>
      </c>
      <c r="L1102" s="12">
        <f>_xlfn.XLOOKUP(Assumptions!$B$2,Assumptions!$F$4:$H$4,Assumptions!$F$9:$H$9)</f>
        <v>0.18</v>
      </c>
      <c r="M1102" s="18">
        <f>_xlfn.XLOOKUP(Assumptions!$B$2,Assumptions!$F$4:$H$4,Assumptions!$F$10:$H$10)</f>
        <v>18000</v>
      </c>
      <c r="N1102" s="12">
        <f>_xlfn.XLOOKUP(Assumptions!$B$2,Assumptions!$F$4:$H$4,Assumptions!$F$11:$H$11)</f>
        <v>0.3</v>
      </c>
      <c r="O1102" s="14">
        <f>Final_Table[[#This Row],[Units Sold]]*Final_Table[[#This Row],[Sale Price]]</f>
        <v>20400</v>
      </c>
      <c r="P1102" s="14">
        <f>Final_Table[[#This Row],[Gross Revenue]]*(1-Final_Table[[#This Row],[Discount %]])</f>
        <v>18360</v>
      </c>
      <c r="Q1102">
        <f>Final_Table[[#This Row],[Net Revenue]]*Final_Table[[#This Row],[Variable Cost %]]</f>
        <v>3304.7999999999997</v>
      </c>
      <c r="R1102">
        <f>Final_Table[[#This Row],[Variable Cost]]+Final_Table[[#This Row],[Fixed Monthly Cost]]</f>
        <v>21304.799999999999</v>
      </c>
      <c r="S1102" s="5">
        <f>Final_Table[[#This Row],[Net Revenue]]-Final_Table[[#This Row],[Total Cost (COGS)]]</f>
        <v>-2944.7999999999993</v>
      </c>
      <c r="T1102">
        <f>Final_Table[[#This Row],[Gross Profit]]*Final_Table[[#This Row],[Tax Rate]]</f>
        <v>-883.43999999999971</v>
      </c>
      <c r="U1102" s="5">
        <f>Final_Table[[#This Row],[Gross Profit]]-Final_Table[[#This Row],[Tax]]</f>
        <v>-2061.3599999999997</v>
      </c>
      <c r="V1102" s="12">
        <f>Final_Table[[#This Row],[Net Profit]]/Final_Table[[#This Row],[Gross Revenue]]</f>
        <v>-0.10104705882352939</v>
      </c>
    </row>
    <row r="1103" spans="1:22">
      <c r="A1103" s="18" t="s">
        <v>75</v>
      </c>
      <c r="B1103">
        <v>2014</v>
      </c>
      <c r="C1103" t="s">
        <v>126</v>
      </c>
      <c r="D1103">
        <v>1</v>
      </c>
      <c r="E1103" s="18" t="s">
        <v>32</v>
      </c>
      <c r="F1103" s="18" t="s">
        <v>80</v>
      </c>
      <c r="G1103" s="18" t="s">
        <v>23</v>
      </c>
      <c r="H1103" s="18" t="str">
        <f>Assumptions!$B$2</f>
        <v>Worst</v>
      </c>
      <c r="I1103" s="18">
        <f>_xlfn.XLOOKUP(Assumptions!$B$2,Assumptions!$F$4:$H$4,Assumptions!$F$5:$H$5)</f>
        <v>1200</v>
      </c>
      <c r="J1103" s="18">
        <f>_xlfn.XLOOKUP(Assumptions!$B$2,Assumptions!$F$4:$H$4,Assumptions!$F$6:$H$6)</f>
        <v>17</v>
      </c>
      <c r="K1103" s="12">
        <f>_xlfn.XLOOKUP(Assumptions!$B$2,Assumptions!$F$4:$H$4,Assumptions!$F$8:$H$8)</f>
        <v>0.1</v>
      </c>
      <c r="L1103" s="12">
        <f>_xlfn.XLOOKUP(Assumptions!$B$2,Assumptions!$F$4:$H$4,Assumptions!$F$9:$H$9)</f>
        <v>0.18</v>
      </c>
      <c r="M1103" s="18">
        <f>_xlfn.XLOOKUP(Assumptions!$B$2,Assumptions!$F$4:$H$4,Assumptions!$F$10:$H$10)</f>
        <v>18000</v>
      </c>
      <c r="N1103" s="12">
        <f>_xlfn.XLOOKUP(Assumptions!$B$2,Assumptions!$F$4:$H$4,Assumptions!$F$11:$H$11)</f>
        <v>0.3</v>
      </c>
      <c r="O1103" s="14">
        <f>Final_Table[[#This Row],[Units Sold]]*Final_Table[[#This Row],[Sale Price]]</f>
        <v>20400</v>
      </c>
      <c r="P1103" s="14">
        <f>Final_Table[[#This Row],[Gross Revenue]]*(1-Final_Table[[#This Row],[Discount %]])</f>
        <v>18360</v>
      </c>
      <c r="Q1103">
        <f>Final_Table[[#This Row],[Net Revenue]]*Final_Table[[#This Row],[Variable Cost %]]</f>
        <v>3304.7999999999997</v>
      </c>
      <c r="R1103">
        <f>Final_Table[[#This Row],[Variable Cost]]+Final_Table[[#This Row],[Fixed Monthly Cost]]</f>
        <v>21304.799999999999</v>
      </c>
      <c r="S1103" s="5">
        <f>Final_Table[[#This Row],[Net Revenue]]-Final_Table[[#This Row],[Total Cost (COGS)]]</f>
        <v>-2944.7999999999993</v>
      </c>
      <c r="T1103">
        <f>Final_Table[[#This Row],[Gross Profit]]*Final_Table[[#This Row],[Tax Rate]]</f>
        <v>-883.43999999999971</v>
      </c>
      <c r="U1103" s="5">
        <f>Final_Table[[#This Row],[Gross Profit]]-Final_Table[[#This Row],[Tax]]</f>
        <v>-2061.3599999999997</v>
      </c>
      <c r="V1103" s="12">
        <f>Final_Table[[#This Row],[Net Profit]]/Final_Table[[#This Row],[Gross Revenue]]</f>
        <v>-0.10104705882352939</v>
      </c>
    </row>
    <row r="1104" spans="1:22">
      <c r="A1104" s="18" t="s">
        <v>75</v>
      </c>
      <c r="B1104">
        <v>2014</v>
      </c>
      <c r="C1104" t="s">
        <v>126</v>
      </c>
      <c r="D1104">
        <v>1</v>
      </c>
      <c r="E1104" s="18" t="s">
        <v>32</v>
      </c>
      <c r="F1104" s="18" t="s">
        <v>80</v>
      </c>
      <c r="G1104" s="18" t="s">
        <v>21</v>
      </c>
      <c r="H1104" s="18" t="str">
        <f>Assumptions!$B$2</f>
        <v>Worst</v>
      </c>
      <c r="I1104" s="18">
        <f>_xlfn.XLOOKUP(Assumptions!$B$2,Assumptions!$F$4:$H$4,Assumptions!$F$5:$H$5)</f>
        <v>1200</v>
      </c>
      <c r="J1104" s="18">
        <f>_xlfn.XLOOKUP(Assumptions!$B$2,Assumptions!$F$4:$H$4,Assumptions!$F$6:$H$6)</f>
        <v>17</v>
      </c>
      <c r="K1104" s="12">
        <f>_xlfn.XLOOKUP(Assumptions!$B$2,Assumptions!$F$4:$H$4,Assumptions!$F$8:$H$8)</f>
        <v>0.1</v>
      </c>
      <c r="L1104" s="12">
        <f>_xlfn.XLOOKUP(Assumptions!$B$2,Assumptions!$F$4:$H$4,Assumptions!$F$9:$H$9)</f>
        <v>0.18</v>
      </c>
      <c r="M1104" s="18">
        <f>_xlfn.XLOOKUP(Assumptions!$B$2,Assumptions!$F$4:$H$4,Assumptions!$F$10:$H$10)</f>
        <v>18000</v>
      </c>
      <c r="N1104" s="12">
        <f>_xlfn.XLOOKUP(Assumptions!$B$2,Assumptions!$F$4:$H$4,Assumptions!$F$11:$H$11)</f>
        <v>0.3</v>
      </c>
      <c r="O1104" s="14">
        <f>Final_Table[[#This Row],[Units Sold]]*Final_Table[[#This Row],[Sale Price]]</f>
        <v>20400</v>
      </c>
      <c r="P1104" s="14">
        <f>Final_Table[[#This Row],[Gross Revenue]]*(1-Final_Table[[#This Row],[Discount %]])</f>
        <v>18360</v>
      </c>
      <c r="Q1104">
        <f>Final_Table[[#This Row],[Net Revenue]]*Final_Table[[#This Row],[Variable Cost %]]</f>
        <v>3304.7999999999997</v>
      </c>
      <c r="R1104">
        <f>Final_Table[[#This Row],[Variable Cost]]+Final_Table[[#This Row],[Fixed Monthly Cost]]</f>
        <v>21304.799999999999</v>
      </c>
      <c r="S1104" s="5">
        <f>Final_Table[[#This Row],[Net Revenue]]-Final_Table[[#This Row],[Total Cost (COGS)]]</f>
        <v>-2944.7999999999993</v>
      </c>
      <c r="T1104">
        <f>Final_Table[[#This Row],[Gross Profit]]*Final_Table[[#This Row],[Tax Rate]]</f>
        <v>-883.43999999999971</v>
      </c>
      <c r="U1104" s="5">
        <f>Final_Table[[#This Row],[Gross Profit]]-Final_Table[[#This Row],[Tax]]</f>
        <v>-2061.3599999999997</v>
      </c>
      <c r="V1104" s="12">
        <f>Final_Table[[#This Row],[Net Profit]]/Final_Table[[#This Row],[Gross Revenue]]</f>
        <v>-0.10104705882352939</v>
      </c>
    </row>
    <row r="1105" spans="1:22">
      <c r="A1105" s="18" t="s">
        <v>75</v>
      </c>
      <c r="B1105">
        <v>2014</v>
      </c>
      <c r="C1105" t="s">
        <v>126</v>
      </c>
      <c r="D1105">
        <v>1</v>
      </c>
      <c r="E1105" s="18" t="s">
        <v>32</v>
      </c>
      <c r="F1105" s="18" t="s">
        <v>80</v>
      </c>
      <c r="G1105" s="18" t="s">
        <v>25</v>
      </c>
      <c r="H1105" s="18" t="str">
        <f>Assumptions!$B$2</f>
        <v>Worst</v>
      </c>
      <c r="I1105" s="18">
        <f>_xlfn.XLOOKUP(Assumptions!$B$2,Assumptions!$F$4:$H$4,Assumptions!$F$5:$H$5)</f>
        <v>1200</v>
      </c>
      <c r="J1105" s="18">
        <f>_xlfn.XLOOKUP(Assumptions!$B$2,Assumptions!$F$4:$H$4,Assumptions!$F$6:$H$6)</f>
        <v>17</v>
      </c>
      <c r="K1105" s="12">
        <f>_xlfn.XLOOKUP(Assumptions!$B$2,Assumptions!$F$4:$H$4,Assumptions!$F$8:$H$8)</f>
        <v>0.1</v>
      </c>
      <c r="L1105" s="12">
        <f>_xlfn.XLOOKUP(Assumptions!$B$2,Assumptions!$F$4:$H$4,Assumptions!$F$9:$H$9)</f>
        <v>0.18</v>
      </c>
      <c r="M1105" s="18">
        <f>_xlfn.XLOOKUP(Assumptions!$B$2,Assumptions!$F$4:$H$4,Assumptions!$F$10:$H$10)</f>
        <v>18000</v>
      </c>
      <c r="N1105" s="12">
        <f>_xlfn.XLOOKUP(Assumptions!$B$2,Assumptions!$F$4:$H$4,Assumptions!$F$11:$H$11)</f>
        <v>0.3</v>
      </c>
      <c r="O1105" s="14">
        <f>Final_Table[[#This Row],[Units Sold]]*Final_Table[[#This Row],[Sale Price]]</f>
        <v>20400</v>
      </c>
      <c r="P1105" s="14">
        <f>Final_Table[[#This Row],[Gross Revenue]]*(1-Final_Table[[#This Row],[Discount %]])</f>
        <v>18360</v>
      </c>
      <c r="Q1105">
        <f>Final_Table[[#This Row],[Net Revenue]]*Final_Table[[#This Row],[Variable Cost %]]</f>
        <v>3304.7999999999997</v>
      </c>
      <c r="R1105">
        <f>Final_Table[[#This Row],[Variable Cost]]+Final_Table[[#This Row],[Fixed Monthly Cost]]</f>
        <v>21304.799999999999</v>
      </c>
      <c r="S1105" s="5">
        <f>Final_Table[[#This Row],[Net Revenue]]-Final_Table[[#This Row],[Total Cost (COGS)]]</f>
        <v>-2944.7999999999993</v>
      </c>
      <c r="T1105">
        <f>Final_Table[[#This Row],[Gross Profit]]*Final_Table[[#This Row],[Tax Rate]]</f>
        <v>-883.43999999999971</v>
      </c>
      <c r="U1105" s="5">
        <f>Final_Table[[#This Row],[Gross Profit]]-Final_Table[[#This Row],[Tax]]</f>
        <v>-2061.3599999999997</v>
      </c>
      <c r="V1105" s="12">
        <f>Final_Table[[#This Row],[Net Profit]]/Final_Table[[#This Row],[Gross Revenue]]</f>
        <v>-0.10104705882352939</v>
      </c>
    </row>
    <row r="1106" spans="1:22">
      <c r="A1106" s="18" t="s">
        <v>75</v>
      </c>
      <c r="B1106">
        <v>2014</v>
      </c>
      <c r="C1106" t="s">
        <v>126</v>
      </c>
      <c r="D1106">
        <v>1</v>
      </c>
      <c r="E1106" s="18" t="s">
        <v>32</v>
      </c>
      <c r="F1106" s="18" t="s">
        <v>80</v>
      </c>
      <c r="G1106" s="18" t="s">
        <v>17</v>
      </c>
      <c r="H1106" s="18" t="str">
        <f>Assumptions!$B$2</f>
        <v>Worst</v>
      </c>
      <c r="I1106" s="18">
        <f>_xlfn.XLOOKUP(Assumptions!$B$2,Assumptions!$F$4:$H$4,Assumptions!$F$5:$H$5)</f>
        <v>1200</v>
      </c>
      <c r="J1106" s="18">
        <f>_xlfn.XLOOKUP(Assumptions!$B$2,Assumptions!$F$4:$H$4,Assumptions!$F$6:$H$6)</f>
        <v>17</v>
      </c>
      <c r="K1106" s="12">
        <f>_xlfn.XLOOKUP(Assumptions!$B$2,Assumptions!$F$4:$H$4,Assumptions!$F$8:$H$8)</f>
        <v>0.1</v>
      </c>
      <c r="L1106" s="12">
        <f>_xlfn.XLOOKUP(Assumptions!$B$2,Assumptions!$F$4:$H$4,Assumptions!$F$9:$H$9)</f>
        <v>0.18</v>
      </c>
      <c r="M1106" s="18">
        <f>_xlfn.XLOOKUP(Assumptions!$B$2,Assumptions!$F$4:$H$4,Assumptions!$F$10:$H$10)</f>
        <v>18000</v>
      </c>
      <c r="N1106" s="12">
        <f>_xlfn.XLOOKUP(Assumptions!$B$2,Assumptions!$F$4:$H$4,Assumptions!$F$11:$H$11)</f>
        <v>0.3</v>
      </c>
      <c r="O1106" s="14">
        <f>Final_Table[[#This Row],[Units Sold]]*Final_Table[[#This Row],[Sale Price]]</f>
        <v>20400</v>
      </c>
      <c r="P1106" s="14">
        <f>Final_Table[[#This Row],[Gross Revenue]]*(1-Final_Table[[#This Row],[Discount %]])</f>
        <v>18360</v>
      </c>
      <c r="Q1106">
        <f>Final_Table[[#This Row],[Net Revenue]]*Final_Table[[#This Row],[Variable Cost %]]</f>
        <v>3304.7999999999997</v>
      </c>
      <c r="R1106">
        <f>Final_Table[[#This Row],[Variable Cost]]+Final_Table[[#This Row],[Fixed Monthly Cost]]</f>
        <v>21304.799999999999</v>
      </c>
      <c r="S1106" s="5">
        <f>Final_Table[[#This Row],[Net Revenue]]-Final_Table[[#This Row],[Total Cost (COGS)]]</f>
        <v>-2944.7999999999993</v>
      </c>
      <c r="T1106">
        <f>Final_Table[[#This Row],[Gross Profit]]*Final_Table[[#This Row],[Tax Rate]]</f>
        <v>-883.43999999999971</v>
      </c>
      <c r="U1106" s="5">
        <f>Final_Table[[#This Row],[Gross Profit]]-Final_Table[[#This Row],[Tax]]</f>
        <v>-2061.3599999999997</v>
      </c>
      <c r="V1106" s="12">
        <f>Final_Table[[#This Row],[Net Profit]]/Final_Table[[#This Row],[Gross Revenue]]</f>
        <v>-0.10104705882352939</v>
      </c>
    </row>
    <row r="1107" spans="1:22">
      <c r="A1107" s="18" t="s">
        <v>75</v>
      </c>
      <c r="B1107">
        <v>2014</v>
      </c>
      <c r="C1107" t="s">
        <v>126</v>
      </c>
      <c r="D1107">
        <v>1</v>
      </c>
      <c r="E1107" s="18" t="s">
        <v>32</v>
      </c>
      <c r="F1107" s="18" t="s">
        <v>108</v>
      </c>
      <c r="G1107" s="18" t="s">
        <v>36</v>
      </c>
      <c r="H1107" s="18" t="str">
        <f>Assumptions!$B$2</f>
        <v>Worst</v>
      </c>
      <c r="I1107" s="18">
        <f>_xlfn.XLOOKUP(Assumptions!$B$2,Assumptions!$F$4:$H$4,Assumptions!$F$5:$H$5)</f>
        <v>1200</v>
      </c>
      <c r="J1107" s="18">
        <f>_xlfn.XLOOKUP(Assumptions!$B$2,Assumptions!$F$4:$H$4,Assumptions!$F$6:$H$6)</f>
        <v>17</v>
      </c>
      <c r="K1107" s="12">
        <f>_xlfn.XLOOKUP(Assumptions!$B$2,Assumptions!$F$4:$H$4,Assumptions!$F$8:$H$8)</f>
        <v>0.1</v>
      </c>
      <c r="L1107" s="12">
        <f>_xlfn.XLOOKUP(Assumptions!$B$2,Assumptions!$F$4:$H$4,Assumptions!$F$9:$H$9)</f>
        <v>0.18</v>
      </c>
      <c r="M1107" s="18">
        <f>_xlfn.XLOOKUP(Assumptions!$B$2,Assumptions!$F$4:$H$4,Assumptions!$F$10:$H$10)</f>
        <v>18000</v>
      </c>
      <c r="N1107" s="12">
        <f>_xlfn.XLOOKUP(Assumptions!$B$2,Assumptions!$F$4:$H$4,Assumptions!$F$11:$H$11)</f>
        <v>0.3</v>
      </c>
      <c r="O1107" s="14">
        <f>Final_Table[[#This Row],[Units Sold]]*Final_Table[[#This Row],[Sale Price]]</f>
        <v>20400</v>
      </c>
      <c r="P1107" s="14">
        <f>Final_Table[[#This Row],[Gross Revenue]]*(1-Final_Table[[#This Row],[Discount %]])</f>
        <v>18360</v>
      </c>
      <c r="Q1107">
        <f>Final_Table[[#This Row],[Net Revenue]]*Final_Table[[#This Row],[Variable Cost %]]</f>
        <v>3304.7999999999997</v>
      </c>
      <c r="R1107">
        <f>Final_Table[[#This Row],[Variable Cost]]+Final_Table[[#This Row],[Fixed Monthly Cost]]</f>
        <v>21304.799999999999</v>
      </c>
      <c r="S1107" s="5">
        <f>Final_Table[[#This Row],[Net Revenue]]-Final_Table[[#This Row],[Total Cost (COGS)]]</f>
        <v>-2944.7999999999993</v>
      </c>
      <c r="T1107">
        <f>Final_Table[[#This Row],[Gross Profit]]*Final_Table[[#This Row],[Tax Rate]]</f>
        <v>-883.43999999999971</v>
      </c>
      <c r="U1107" s="5">
        <f>Final_Table[[#This Row],[Gross Profit]]-Final_Table[[#This Row],[Tax]]</f>
        <v>-2061.3599999999997</v>
      </c>
      <c r="V1107" s="12">
        <f>Final_Table[[#This Row],[Net Profit]]/Final_Table[[#This Row],[Gross Revenue]]</f>
        <v>-0.10104705882352939</v>
      </c>
    </row>
    <row r="1108" spans="1:22">
      <c r="A1108" s="18" t="s">
        <v>75</v>
      </c>
      <c r="B1108">
        <v>2014</v>
      </c>
      <c r="C1108" t="s">
        <v>126</v>
      </c>
      <c r="D1108">
        <v>1</v>
      </c>
      <c r="E1108" s="18" t="s">
        <v>32</v>
      </c>
      <c r="F1108" s="18" t="s">
        <v>108</v>
      </c>
      <c r="G1108" s="18" t="s">
        <v>23</v>
      </c>
      <c r="H1108" s="18" t="str">
        <f>Assumptions!$B$2</f>
        <v>Worst</v>
      </c>
      <c r="I1108" s="18">
        <f>_xlfn.XLOOKUP(Assumptions!$B$2,Assumptions!$F$4:$H$4,Assumptions!$F$5:$H$5)</f>
        <v>1200</v>
      </c>
      <c r="J1108" s="18">
        <f>_xlfn.XLOOKUP(Assumptions!$B$2,Assumptions!$F$4:$H$4,Assumptions!$F$6:$H$6)</f>
        <v>17</v>
      </c>
      <c r="K1108" s="12">
        <f>_xlfn.XLOOKUP(Assumptions!$B$2,Assumptions!$F$4:$H$4,Assumptions!$F$8:$H$8)</f>
        <v>0.1</v>
      </c>
      <c r="L1108" s="12">
        <f>_xlfn.XLOOKUP(Assumptions!$B$2,Assumptions!$F$4:$H$4,Assumptions!$F$9:$H$9)</f>
        <v>0.18</v>
      </c>
      <c r="M1108" s="18">
        <f>_xlfn.XLOOKUP(Assumptions!$B$2,Assumptions!$F$4:$H$4,Assumptions!$F$10:$H$10)</f>
        <v>18000</v>
      </c>
      <c r="N1108" s="12">
        <f>_xlfn.XLOOKUP(Assumptions!$B$2,Assumptions!$F$4:$H$4,Assumptions!$F$11:$H$11)</f>
        <v>0.3</v>
      </c>
      <c r="O1108" s="14">
        <f>Final_Table[[#This Row],[Units Sold]]*Final_Table[[#This Row],[Sale Price]]</f>
        <v>20400</v>
      </c>
      <c r="P1108" s="14">
        <f>Final_Table[[#This Row],[Gross Revenue]]*(1-Final_Table[[#This Row],[Discount %]])</f>
        <v>18360</v>
      </c>
      <c r="Q1108">
        <f>Final_Table[[#This Row],[Net Revenue]]*Final_Table[[#This Row],[Variable Cost %]]</f>
        <v>3304.7999999999997</v>
      </c>
      <c r="R1108">
        <f>Final_Table[[#This Row],[Variable Cost]]+Final_Table[[#This Row],[Fixed Monthly Cost]]</f>
        <v>21304.799999999999</v>
      </c>
      <c r="S1108" s="5">
        <f>Final_Table[[#This Row],[Net Revenue]]-Final_Table[[#This Row],[Total Cost (COGS)]]</f>
        <v>-2944.7999999999993</v>
      </c>
      <c r="T1108">
        <f>Final_Table[[#This Row],[Gross Profit]]*Final_Table[[#This Row],[Tax Rate]]</f>
        <v>-883.43999999999971</v>
      </c>
      <c r="U1108" s="5">
        <f>Final_Table[[#This Row],[Gross Profit]]-Final_Table[[#This Row],[Tax]]</f>
        <v>-2061.3599999999997</v>
      </c>
      <c r="V1108" s="12">
        <f>Final_Table[[#This Row],[Net Profit]]/Final_Table[[#This Row],[Gross Revenue]]</f>
        <v>-0.10104705882352939</v>
      </c>
    </row>
    <row r="1109" spans="1:22">
      <c r="A1109" s="18" t="s">
        <v>75</v>
      </c>
      <c r="B1109">
        <v>2014</v>
      </c>
      <c r="C1109" t="s">
        <v>126</v>
      </c>
      <c r="D1109">
        <v>1</v>
      </c>
      <c r="E1109" s="18" t="s">
        <v>32</v>
      </c>
      <c r="F1109" s="18" t="s">
        <v>108</v>
      </c>
      <c r="G1109" s="18" t="s">
        <v>21</v>
      </c>
      <c r="H1109" s="18" t="str">
        <f>Assumptions!$B$2</f>
        <v>Worst</v>
      </c>
      <c r="I1109" s="18">
        <f>_xlfn.XLOOKUP(Assumptions!$B$2,Assumptions!$F$4:$H$4,Assumptions!$F$5:$H$5)</f>
        <v>1200</v>
      </c>
      <c r="J1109" s="18">
        <f>_xlfn.XLOOKUP(Assumptions!$B$2,Assumptions!$F$4:$H$4,Assumptions!$F$6:$H$6)</f>
        <v>17</v>
      </c>
      <c r="K1109" s="12">
        <f>_xlfn.XLOOKUP(Assumptions!$B$2,Assumptions!$F$4:$H$4,Assumptions!$F$8:$H$8)</f>
        <v>0.1</v>
      </c>
      <c r="L1109" s="12">
        <f>_xlfn.XLOOKUP(Assumptions!$B$2,Assumptions!$F$4:$H$4,Assumptions!$F$9:$H$9)</f>
        <v>0.18</v>
      </c>
      <c r="M1109" s="18">
        <f>_xlfn.XLOOKUP(Assumptions!$B$2,Assumptions!$F$4:$H$4,Assumptions!$F$10:$H$10)</f>
        <v>18000</v>
      </c>
      <c r="N1109" s="12">
        <f>_xlfn.XLOOKUP(Assumptions!$B$2,Assumptions!$F$4:$H$4,Assumptions!$F$11:$H$11)</f>
        <v>0.3</v>
      </c>
      <c r="O1109" s="14">
        <f>Final_Table[[#This Row],[Units Sold]]*Final_Table[[#This Row],[Sale Price]]</f>
        <v>20400</v>
      </c>
      <c r="P1109" s="14">
        <f>Final_Table[[#This Row],[Gross Revenue]]*(1-Final_Table[[#This Row],[Discount %]])</f>
        <v>18360</v>
      </c>
      <c r="Q1109">
        <f>Final_Table[[#This Row],[Net Revenue]]*Final_Table[[#This Row],[Variable Cost %]]</f>
        <v>3304.7999999999997</v>
      </c>
      <c r="R1109">
        <f>Final_Table[[#This Row],[Variable Cost]]+Final_Table[[#This Row],[Fixed Monthly Cost]]</f>
        <v>21304.799999999999</v>
      </c>
      <c r="S1109" s="5">
        <f>Final_Table[[#This Row],[Net Revenue]]-Final_Table[[#This Row],[Total Cost (COGS)]]</f>
        <v>-2944.7999999999993</v>
      </c>
      <c r="T1109">
        <f>Final_Table[[#This Row],[Gross Profit]]*Final_Table[[#This Row],[Tax Rate]]</f>
        <v>-883.43999999999971</v>
      </c>
      <c r="U1109" s="5">
        <f>Final_Table[[#This Row],[Gross Profit]]-Final_Table[[#This Row],[Tax]]</f>
        <v>-2061.3599999999997</v>
      </c>
      <c r="V1109" s="12">
        <f>Final_Table[[#This Row],[Net Profit]]/Final_Table[[#This Row],[Gross Revenue]]</f>
        <v>-0.10104705882352939</v>
      </c>
    </row>
    <row r="1110" spans="1:22">
      <c r="A1110" s="18" t="s">
        <v>75</v>
      </c>
      <c r="B1110">
        <v>2014</v>
      </c>
      <c r="C1110" t="s">
        <v>126</v>
      </c>
      <c r="D1110">
        <v>1</v>
      </c>
      <c r="E1110" s="18" t="s">
        <v>32</v>
      </c>
      <c r="F1110" s="18" t="s">
        <v>108</v>
      </c>
      <c r="G1110" s="18" t="s">
        <v>25</v>
      </c>
      <c r="H1110" s="18" t="str">
        <f>Assumptions!$B$2</f>
        <v>Worst</v>
      </c>
      <c r="I1110" s="18">
        <f>_xlfn.XLOOKUP(Assumptions!$B$2,Assumptions!$F$4:$H$4,Assumptions!$F$5:$H$5)</f>
        <v>1200</v>
      </c>
      <c r="J1110" s="18">
        <f>_xlfn.XLOOKUP(Assumptions!$B$2,Assumptions!$F$4:$H$4,Assumptions!$F$6:$H$6)</f>
        <v>17</v>
      </c>
      <c r="K1110" s="12">
        <f>_xlfn.XLOOKUP(Assumptions!$B$2,Assumptions!$F$4:$H$4,Assumptions!$F$8:$H$8)</f>
        <v>0.1</v>
      </c>
      <c r="L1110" s="12">
        <f>_xlfn.XLOOKUP(Assumptions!$B$2,Assumptions!$F$4:$H$4,Assumptions!$F$9:$H$9)</f>
        <v>0.18</v>
      </c>
      <c r="M1110" s="18">
        <f>_xlfn.XLOOKUP(Assumptions!$B$2,Assumptions!$F$4:$H$4,Assumptions!$F$10:$H$10)</f>
        <v>18000</v>
      </c>
      <c r="N1110" s="12">
        <f>_xlfn.XLOOKUP(Assumptions!$B$2,Assumptions!$F$4:$H$4,Assumptions!$F$11:$H$11)</f>
        <v>0.3</v>
      </c>
      <c r="O1110" s="14">
        <f>Final_Table[[#This Row],[Units Sold]]*Final_Table[[#This Row],[Sale Price]]</f>
        <v>20400</v>
      </c>
      <c r="P1110" s="14">
        <f>Final_Table[[#This Row],[Gross Revenue]]*(1-Final_Table[[#This Row],[Discount %]])</f>
        <v>18360</v>
      </c>
      <c r="Q1110">
        <f>Final_Table[[#This Row],[Net Revenue]]*Final_Table[[#This Row],[Variable Cost %]]</f>
        <v>3304.7999999999997</v>
      </c>
      <c r="R1110">
        <f>Final_Table[[#This Row],[Variable Cost]]+Final_Table[[#This Row],[Fixed Monthly Cost]]</f>
        <v>21304.799999999999</v>
      </c>
      <c r="S1110" s="5">
        <f>Final_Table[[#This Row],[Net Revenue]]-Final_Table[[#This Row],[Total Cost (COGS)]]</f>
        <v>-2944.7999999999993</v>
      </c>
      <c r="T1110">
        <f>Final_Table[[#This Row],[Gross Profit]]*Final_Table[[#This Row],[Tax Rate]]</f>
        <v>-883.43999999999971</v>
      </c>
      <c r="U1110" s="5">
        <f>Final_Table[[#This Row],[Gross Profit]]-Final_Table[[#This Row],[Tax]]</f>
        <v>-2061.3599999999997</v>
      </c>
      <c r="V1110" s="12">
        <f>Final_Table[[#This Row],[Net Profit]]/Final_Table[[#This Row],[Gross Revenue]]</f>
        <v>-0.10104705882352939</v>
      </c>
    </row>
    <row r="1111" spans="1:22">
      <c r="A1111" s="18" t="s">
        <v>75</v>
      </c>
      <c r="B1111">
        <v>2014</v>
      </c>
      <c r="C1111" t="s">
        <v>126</v>
      </c>
      <c r="D1111">
        <v>1</v>
      </c>
      <c r="E1111" s="18" t="s">
        <v>32</v>
      </c>
      <c r="F1111" s="18" t="s">
        <v>108</v>
      </c>
      <c r="G1111" s="18" t="s">
        <v>17</v>
      </c>
      <c r="H1111" s="18" t="str">
        <f>Assumptions!$B$2</f>
        <v>Worst</v>
      </c>
      <c r="I1111" s="18">
        <f>_xlfn.XLOOKUP(Assumptions!$B$2,Assumptions!$F$4:$H$4,Assumptions!$F$5:$H$5)</f>
        <v>1200</v>
      </c>
      <c r="J1111" s="18">
        <f>_xlfn.XLOOKUP(Assumptions!$B$2,Assumptions!$F$4:$H$4,Assumptions!$F$6:$H$6)</f>
        <v>17</v>
      </c>
      <c r="K1111" s="12">
        <f>_xlfn.XLOOKUP(Assumptions!$B$2,Assumptions!$F$4:$H$4,Assumptions!$F$8:$H$8)</f>
        <v>0.1</v>
      </c>
      <c r="L1111" s="12">
        <f>_xlfn.XLOOKUP(Assumptions!$B$2,Assumptions!$F$4:$H$4,Assumptions!$F$9:$H$9)</f>
        <v>0.18</v>
      </c>
      <c r="M1111" s="18">
        <f>_xlfn.XLOOKUP(Assumptions!$B$2,Assumptions!$F$4:$H$4,Assumptions!$F$10:$H$10)</f>
        <v>18000</v>
      </c>
      <c r="N1111" s="12">
        <f>_xlfn.XLOOKUP(Assumptions!$B$2,Assumptions!$F$4:$H$4,Assumptions!$F$11:$H$11)</f>
        <v>0.3</v>
      </c>
      <c r="O1111" s="14">
        <f>Final_Table[[#This Row],[Units Sold]]*Final_Table[[#This Row],[Sale Price]]</f>
        <v>20400</v>
      </c>
      <c r="P1111" s="14">
        <f>Final_Table[[#This Row],[Gross Revenue]]*(1-Final_Table[[#This Row],[Discount %]])</f>
        <v>18360</v>
      </c>
      <c r="Q1111">
        <f>Final_Table[[#This Row],[Net Revenue]]*Final_Table[[#This Row],[Variable Cost %]]</f>
        <v>3304.7999999999997</v>
      </c>
      <c r="R1111">
        <f>Final_Table[[#This Row],[Variable Cost]]+Final_Table[[#This Row],[Fixed Monthly Cost]]</f>
        <v>21304.799999999999</v>
      </c>
      <c r="S1111" s="5">
        <f>Final_Table[[#This Row],[Net Revenue]]-Final_Table[[#This Row],[Total Cost (COGS)]]</f>
        <v>-2944.7999999999993</v>
      </c>
      <c r="T1111">
        <f>Final_Table[[#This Row],[Gross Profit]]*Final_Table[[#This Row],[Tax Rate]]</f>
        <v>-883.43999999999971</v>
      </c>
      <c r="U1111" s="5">
        <f>Final_Table[[#This Row],[Gross Profit]]-Final_Table[[#This Row],[Tax]]</f>
        <v>-2061.3599999999997</v>
      </c>
      <c r="V1111" s="12">
        <f>Final_Table[[#This Row],[Net Profit]]/Final_Table[[#This Row],[Gross Revenue]]</f>
        <v>-0.10104705882352939</v>
      </c>
    </row>
    <row r="1112" spans="1:22">
      <c r="A1112" s="18" t="s">
        <v>75</v>
      </c>
      <c r="B1112">
        <v>2014</v>
      </c>
      <c r="C1112" t="s">
        <v>126</v>
      </c>
      <c r="D1112">
        <v>1</v>
      </c>
      <c r="E1112" s="18" t="s">
        <v>32</v>
      </c>
      <c r="F1112" s="18" t="s">
        <v>112</v>
      </c>
      <c r="G1112" s="18" t="s">
        <v>36</v>
      </c>
      <c r="H1112" s="18" t="str">
        <f>Assumptions!$B$2</f>
        <v>Worst</v>
      </c>
      <c r="I1112" s="18">
        <f>_xlfn.XLOOKUP(Assumptions!$B$2,Assumptions!$F$4:$H$4,Assumptions!$F$5:$H$5)</f>
        <v>1200</v>
      </c>
      <c r="J1112" s="18">
        <f>_xlfn.XLOOKUP(Assumptions!$B$2,Assumptions!$F$4:$H$4,Assumptions!$F$6:$H$6)</f>
        <v>17</v>
      </c>
      <c r="K1112" s="12">
        <f>_xlfn.XLOOKUP(Assumptions!$B$2,Assumptions!$F$4:$H$4,Assumptions!$F$8:$H$8)</f>
        <v>0.1</v>
      </c>
      <c r="L1112" s="12">
        <f>_xlfn.XLOOKUP(Assumptions!$B$2,Assumptions!$F$4:$H$4,Assumptions!$F$9:$H$9)</f>
        <v>0.18</v>
      </c>
      <c r="M1112" s="18">
        <f>_xlfn.XLOOKUP(Assumptions!$B$2,Assumptions!$F$4:$H$4,Assumptions!$F$10:$H$10)</f>
        <v>18000</v>
      </c>
      <c r="N1112" s="12">
        <f>_xlfn.XLOOKUP(Assumptions!$B$2,Assumptions!$F$4:$H$4,Assumptions!$F$11:$H$11)</f>
        <v>0.3</v>
      </c>
      <c r="O1112" s="14">
        <f>Final_Table[[#This Row],[Units Sold]]*Final_Table[[#This Row],[Sale Price]]</f>
        <v>20400</v>
      </c>
      <c r="P1112" s="14">
        <f>Final_Table[[#This Row],[Gross Revenue]]*(1-Final_Table[[#This Row],[Discount %]])</f>
        <v>18360</v>
      </c>
      <c r="Q1112">
        <f>Final_Table[[#This Row],[Net Revenue]]*Final_Table[[#This Row],[Variable Cost %]]</f>
        <v>3304.7999999999997</v>
      </c>
      <c r="R1112">
        <f>Final_Table[[#This Row],[Variable Cost]]+Final_Table[[#This Row],[Fixed Monthly Cost]]</f>
        <v>21304.799999999999</v>
      </c>
      <c r="S1112" s="5">
        <f>Final_Table[[#This Row],[Net Revenue]]-Final_Table[[#This Row],[Total Cost (COGS)]]</f>
        <v>-2944.7999999999993</v>
      </c>
      <c r="T1112">
        <f>Final_Table[[#This Row],[Gross Profit]]*Final_Table[[#This Row],[Tax Rate]]</f>
        <v>-883.43999999999971</v>
      </c>
      <c r="U1112" s="5">
        <f>Final_Table[[#This Row],[Gross Profit]]-Final_Table[[#This Row],[Tax]]</f>
        <v>-2061.3599999999997</v>
      </c>
      <c r="V1112" s="12">
        <f>Final_Table[[#This Row],[Net Profit]]/Final_Table[[#This Row],[Gross Revenue]]</f>
        <v>-0.10104705882352939</v>
      </c>
    </row>
    <row r="1113" spans="1:22">
      <c r="A1113" s="18" t="s">
        <v>75</v>
      </c>
      <c r="B1113">
        <v>2014</v>
      </c>
      <c r="C1113" t="s">
        <v>126</v>
      </c>
      <c r="D1113">
        <v>1</v>
      </c>
      <c r="E1113" s="18" t="s">
        <v>32</v>
      </c>
      <c r="F1113" s="18" t="s">
        <v>112</v>
      </c>
      <c r="G1113" s="18" t="s">
        <v>23</v>
      </c>
      <c r="H1113" s="18" t="str">
        <f>Assumptions!$B$2</f>
        <v>Worst</v>
      </c>
      <c r="I1113" s="18">
        <f>_xlfn.XLOOKUP(Assumptions!$B$2,Assumptions!$F$4:$H$4,Assumptions!$F$5:$H$5)</f>
        <v>1200</v>
      </c>
      <c r="J1113" s="18">
        <f>_xlfn.XLOOKUP(Assumptions!$B$2,Assumptions!$F$4:$H$4,Assumptions!$F$6:$H$6)</f>
        <v>17</v>
      </c>
      <c r="K1113" s="12">
        <f>_xlfn.XLOOKUP(Assumptions!$B$2,Assumptions!$F$4:$H$4,Assumptions!$F$8:$H$8)</f>
        <v>0.1</v>
      </c>
      <c r="L1113" s="12">
        <f>_xlfn.XLOOKUP(Assumptions!$B$2,Assumptions!$F$4:$H$4,Assumptions!$F$9:$H$9)</f>
        <v>0.18</v>
      </c>
      <c r="M1113" s="18">
        <f>_xlfn.XLOOKUP(Assumptions!$B$2,Assumptions!$F$4:$H$4,Assumptions!$F$10:$H$10)</f>
        <v>18000</v>
      </c>
      <c r="N1113" s="12">
        <f>_xlfn.XLOOKUP(Assumptions!$B$2,Assumptions!$F$4:$H$4,Assumptions!$F$11:$H$11)</f>
        <v>0.3</v>
      </c>
      <c r="O1113" s="14">
        <f>Final_Table[[#This Row],[Units Sold]]*Final_Table[[#This Row],[Sale Price]]</f>
        <v>20400</v>
      </c>
      <c r="P1113" s="14">
        <f>Final_Table[[#This Row],[Gross Revenue]]*(1-Final_Table[[#This Row],[Discount %]])</f>
        <v>18360</v>
      </c>
      <c r="Q1113">
        <f>Final_Table[[#This Row],[Net Revenue]]*Final_Table[[#This Row],[Variable Cost %]]</f>
        <v>3304.7999999999997</v>
      </c>
      <c r="R1113">
        <f>Final_Table[[#This Row],[Variable Cost]]+Final_Table[[#This Row],[Fixed Monthly Cost]]</f>
        <v>21304.799999999999</v>
      </c>
      <c r="S1113" s="5">
        <f>Final_Table[[#This Row],[Net Revenue]]-Final_Table[[#This Row],[Total Cost (COGS)]]</f>
        <v>-2944.7999999999993</v>
      </c>
      <c r="T1113">
        <f>Final_Table[[#This Row],[Gross Profit]]*Final_Table[[#This Row],[Tax Rate]]</f>
        <v>-883.43999999999971</v>
      </c>
      <c r="U1113" s="5">
        <f>Final_Table[[#This Row],[Gross Profit]]-Final_Table[[#This Row],[Tax]]</f>
        <v>-2061.3599999999997</v>
      </c>
      <c r="V1113" s="12">
        <f>Final_Table[[#This Row],[Net Profit]]/Final_Table[[#This Row],[Gross Revenue]]</f>
        <v>-0.10104705882352939</v>
      </c>
    </row>
    <row r="1114" spans="1:22">
      <c r="A1114" s="18" t="s">
        <v>75</v>
      </c>
      <c r="B1114">
        <v>2014</v>
      </c>
      <c r="C1114" t="s">
        <v>126</v>
      </c>
      <c r="D1114">
        <v>1</v>
      </c>
      <c r="E1114" s="18" t="s">
        <v>32</v>
      </c>
      <c r="F1114" s="18" t="s">
        <v>112</v>
      </c>
      <c r="G1114" s="18" t="s">
        <v>21</v>
      </c>
      <c r="H1114" s="18" t="str">
        <f>Assumptions!$B$2</f>
        <v>Worst</v>
      </c>
      <c r="I1114" s="18">
        <f>_xlfn.XLOOKUP(Assumptions!$B$2,Assumptions!$F$4:$H$4,Assumptions!$F$5:$H$5)</f>
        <v>1200</v>
      </c>
      <c r="J1114" s="18">
        <f>_xlfn.XLOOKUP(Assumptions!$B$2,Assumptions!$F$4:$H$4,Assumptions!$F$6:$H$6)</f>
        <v>17</v>
      </c>
      <c r="K1114" s="12">
        <f>_xlfn.XLOOKUP(Assumptions!$B$2,Assumptions!$F$4:$H$4,Assumptions!$F$8:$H$8)</f>
        <v>0.1</v>
      </c>
      <c r="L1114" s="12">
        <f>_xlfn.XLOOKUP(Assumptions!$B$2,Assumptions!$F$4:$H$4,Assumptions!$F$9:$H$9)</f>
        <v>0.18</v>
      </c>
      <c r="M1114" s="18">
        <f>_xlfn.XLOOKUP(Assumptions!$B$2,Assumptions!$F$4:$H$4,Assumptions!$F$10:$H$10)</f>
        <v>18000</v>
      </c>
      <c r="N1114" s="12">
        <f>_xlfn.XLOOKUP(Assumptions!$B$2,Assumptions!$F$4:$H$4,Assumptions!$F$11:$H$11)</f>
        <v>0.3</v>
      </c>
      <c r="O1114" s="14">
        <f>Final_Table[[#This Row],[Units Sold]]*Final_Table[[#This Row],[Sale Price]]</f>
        <v>20400</v>
      </c>
      <c r="P1114" s="14">
        <f>Final_Table[[#This Row],[Gross Revenue]]*(1-Final_Table[[#This Row],[Discount %]])</f>
        <v>18360</v>
      </c>
      <c r="Q1114">
        <f>Final_Table[[#This Row],[Net Revenue]]*Final_Table[[#This Row],[Variable Cost %]]</f>
        <v>3304.7999999999997</v>
      </c>
      <c r="R1114">
        <f>Final_Table[[#This Row],[Variable Cost]]+Final_Table[[#This Row],[Fixed Monthly Cost]]</f>
        <v>21304.799999999999</v>
      </c>
      <c r="S1114" s="5">
        <f>Final_Table[[#This Row],[Net Revenue]]-Final_Table[[#This Row],[Total Cost (COGS)]]</f>
        <v>-2944.7999999999993</v>
      </c>
      <c r="T1114">
        <f>Final_Table[[#This Row],[Gross Profit]]*Final_Table[[#This Row],[Tax Rate]]</f>
        <v>-883.43999999999971</v>
      </c>
      <c r="U1114" s="5">
        <f>Final_Table[[#This Row],[Gross Profit]]-Final_Table[[#This Row],[Tax]]</f>
        <v>-2061.3599999999997</v>
      </c>
      <c r="V1114" s="12">
        <f>Final_Table[[#This Row],[Net Profit]]/Final_Table[[#This Row],[Gross Revenue]]</f>
        <v>-0.10104705882352939</v>
      </c>
    </row>
    <row r="1115" spans="1:22">
      <c r="A1115" s="18" t="s">
        <v>75</v>
      </c>
      <c r="B1115">
        <v>2014</v>
      </c>
      <c r="C1115" t="s">
        <v>126</v>
      </c>
      <c r="D1115">
        <v>1</v>
      </c>
      <c r="E1115" s="18" t="s">
        <v>32</v>
      </c>
      <c r="F1115" s="18" t="s">
        <v>112</v>
      </c>
      <c r="G1115" s="18" t="s">
        <v>25</v>
      </c>
      <c r="H1115" s="18" t="str">
        <f>Assumptions!$B$2</f>
        <v>Worst</v>
      </c>
      <c r="I1115" s="18">
        <f>_xlfn.XLOOKUP(Assumptions!$B$2,Assumptions!$F$4:$H$4,Assumptions!$F$5:$H$5)</f>
        <v>1200</v>
      </c>
      <c r="J1115" s="18">
        <f>_xlfn.XLOOKUP(Assumptions!$B$2,Assumptions!$F$4:$H$4,Assumptions!$F$6:$H$6)</f>
        <v>17</v>
      </c>
      <c r="K1115" s="12">
        <f>_xlfn.XLOOKUP(Assumptions!$B$2,Assumptions!$F$4:$H$4,Assumptions!$F$8:$H$8)</f>
        <v>0.1</v>
      </c>
      <c r="L1115" s="12">
        <f>_xlfn.XLOOKUP(Assumptions!$B$2,Assumptions!$F$4:$H$4,Assumptions!$F$9:$H$9)</f>
        <v>0.18</v>
      </c>
      <c r="M1115" s="18">
        <f>_xlfn.XLOOKUP(Assumptions!$B$2,Assumptions!$F$4:$H$4,Assumptions!$F$10:$H$10)</f>
        <v>18000</v>
      </c>
      <c r="N1115" s="12">
        <f>_xlfn.XLOOKUP(Assumptions!$B$2,Assumptions!$F$4:$H$4,Assumptions!$F$11:$H$11)</f>
        <v>0.3</v>
      </c>
      <c r="O1115" s="14">
        <f>Final_Table[[#This Row],[Units Sold]]*Final_Table[[#This Row],[Sale Price]]</f>
        <v>20400</v>
      </c>
      <c r="P1115" s="14">
        <f>Final_Table[[#This Row],[Gross Revenue]]*(1-Final_Table[[#This Row],[Discount %]])</f>
        <v>18360</v>
      </c>
      <c r="Q1115">
        <f>Final_Table[[#This Row],[Net Revenue]]*Final_Table[[#This Row],[Variable Cost %]]</f>
        <v>3304.7999999999997</v>
      </c>
      <c r="R1115">
        <f>Final_Table[[#This Row],[Variable Cost]]+Final_Table[[#This Row],[Fixed Monthly Cost]]</f>
        <v>21304.799999999999</v>
      </c>
      <c r="S1115" s="5">
        <f>Final_Table[[#This Row],[Net Revenue]]-Final_Table[[#This Row],[Total Cost (COGS)]]</f>
        <v>-2944.7999999999993</v>
      </c>
      <c r="T1115">
        <f>Final_Table[[#This Row],[Gross Profit]]*Final_Table[[#This Row],[Tax Rate]]</f>
        <v>-883.43999999999971</v>
      </c>
      <c r="U1115" s="5">
        <f>Final_Table[[#This Row],[Gross Profit]]-Final_Table[[#This Row],[Tax]]</f>
        <v>-2061.3599999999997</v>
      </c>
      <c r="V1115" s="12">
        <f>Final_Table[[#This Row],[Net Profit]]/Final_Table[[#This Row],[Gross Revenue]]</f>
        <v>-0.10104705882352939</v>
      </c>
    </row>
    <row r="1116" spans="1:22">
      <c r="A1116" s="18" t="s">
        <v>75</v>
      </c>
      <c r="B1116">
        <v>2014</v>
      </c>
      <c r="C1116" t="s">
        <v>126</v>
      </c>
      <c r="D1116">
        <v>1</v>
      </c>
      <c r="E1116" s="18" t="s">
        <v>32</v>
      </c>
      <c r="F1116" s="18" t="s">
        <v>112</v>
      </c>
      <c r="G1116" s="18" t="s">
        <v>17</v>
      </c>
      <c r="H1116" s="18" t="str">
        <f>Assumptions!$B$2</f>
        <v>Worst</v>
      </c>
      <c r="I1116" s="18">
        <f>_xlfn.XLOOKUP(Assumptions!$B$2,Assumptions!$F$4:$H$4,Assumptions!$F$5:$H$5)</f>
        <v>1200</v>
      </c>
      <c r="J1116" s="18">
        <f>_xlfn.XLOOKUP(Assumptions!$B$2,Assumptions!$F$4:$H$4,Assumptions!$F$6:$H$6)</f>
        <v>17</v>
      </c>
      <c r="K1116" s="12">
        <f>_xlfn.XLOOKUP(Assumptions!$B$2,Assumptions!$F$4:$H$4,Assumptions!$F$8:$H$8)</f>
        <v>0.1</v>
      </c>
      <c r="L1116" s="12">
        <f>_xlfn.XLOOKUP(Assumptions!$B$2,Assumptions!$F$4:$H$4,Assumptions!$F$9:$H$9)</f>
        <v>0.18</v>
      </c>
      <c r="M1116" s="18">
        <f>_xlfn.XLOOKUP(Assumptions!$B$2,Assumptions!$F$4:$H$4,Assumptions!$F$10:$H$10)</f>
        <v>18000</v>
      </c>
      <c r="N1116" s="12">
        <f>_xlfn.XLOOKUP(Assumptions!$B$2,Assumptions!$F$4:$H$4,Assumptions!$F$11:$H$11)</f>
        <v>0.3</v>
      </c>
      <c r="O1116" s="14">
        <f>Final_Table[[#This Row],[Units Sold]]*Final_Table[[#This Row],[Sale Price]]</f>
        <v>20400</v>
      </c>
      <c r="P1116" s="14">
        <f>Final_Table[[#This Row],[Gross Revenue]]*(1-Final_Table[[#This Row],[Discount %]])</f>
        <v>18360</v>
      </c>
      <c r="Q1116">
        <f>Final_Table[[#This Row],[Net Revenue]]*Final_Table[[#This Row],[Variable Cost %]]</f>
        <v>3304.7999999999997</v>
      </c>
      <c r="R1116">
        <f>Final_Table[[#This Row],[Variable Cost]]+Final_Table[[#This Row],[Fixed Monthly Cost]]</f>
        <v>21304.799999999999</v>
      </c>
      <c r="S1116" s="5">
        <f>Final_Table[[#This Row],[Net Revenue]]-Final_Table[[#This Row],[Total Cost (COGS)]]</f>
        <v>-2944.7999999999993</v>
      </c>
      <c r="T1116">
        <f>Final_Table[[#This Row],[Gross Profit]]*Final_Table[[#This Row],[Tax Rate]]</f>
        <v>-883.43999999999971</v>
      </c>
      <c r="U1116" s="5">
        <f>Final_Table[[#This Row],[Gross Profit]]-Final_Table[[#This Row],[Tax]]</f>
        <v>-2061.3599999999997</v>
      </c>
      <c r="V1116" s="12">
        <f>Final_Table[[#This Row],[Net Profit]]/Final_Table[[#This Row],[Gross Revenue]]</f>
        <v>-0.10104705882352939</v>
      </c>
    </row>
    <row r="1117" spans="1:22">
      <c r="A1117" s="18" t="s">
        <v>75</v>
      </c>
      <c r="B1117">
        <v>2014</v>
      </c>
      <c r="C1117" t="s">
        <v>126</v>
      </c>
      <c r="D1117">
        <v>1</v>
      </c>
      <c r="E1117" s="18" t="s">
        <v>32</v>
      </c>
      <c r="F1117" s="18" t="s">
        <v>113</v>
      </c>
      <c r="G1117" s="18" t="s">
        <v>36</v>
      </c>
      <c r="H1117" s="18" t="str">
        <f>Assumptions!$B$2</f>
        <v>Worst</v>
      </c>
      <c r="I1117" s="18">
        <f>_xlfn.XLOOKUP(Assumptions!$B$2,Assumptions!$F$4:$H$4,Assumptions!$F$5:$H$5)</f>
        <v>1200</v>
      </c>
      <c r="J1117" s="18">
        <f>_xlfn.XLOOKUP(Assumptions!$B$2,Assumptions!$F$4:$H$4,Assumptions!$F$6:$H$6)</f>
        <v>17</v>
      </c>
      <c r="K1117" s="12">
        <f>_xlfn.XLOOKUP(Assumptions!$B$2,Assumptions!$F$4:$H$4,Assumptions!$F$8:$H$8)</f>
        <v>0.1</v>
      </c>
      <c r="L1117" s="12">
        <f>_xlfn.XLOOKUP(Assumptions!$B$2,Assumptions!$F$4:$H$4,Assumptions!$F$9:$H$9)</f>
        <v>0.18</v>
      </c>
      <c r="M1117" s="18">
        <f>_xlfn.XLOOKUP(Assumptions!$B$2,Assumptions!$F$4:$H$4,Assumptions!$F$10:$H$10)</f>
        <v>18000</v>
      </c>
      <c r="N1117" s="12">
        <f>_xlfn.XLOOKUP(Assumptions!$B$2,Assumptions!$F$4:$H$4,Assumptions!$F$11:$H$11)</f>
        <v>0.3</v>
      </c>
      <c r="O1117" s="14">
        <f>Final_Table[[#This Row],[Units Sold]]*Final_Table[[#This Row],[Sale Price]]</f>
        <v>20400</v>
      </c>
      <c r="P1117" s="14">
        <f>Final_Table[[#This Row],[Gross Revenue]]*(1-Final_Table[[#This Row],[Discount %]])</f>
        <v>18360</v>
      </c>
      <c r="Q1117">
        <f>Final_Table[[#This Row],[Net Revenue]]*Final_Table[[#This Row],[Variable Cost %]]</f>
        <v>3304.7999999999997</v>
      </c>
      <c r="R1117">
        <f>Final_Table[[#This Row],[Variable Cost]]+Final_Table[[#This Row],[Fixed Monthly Cost]]</f>
        <v>21304.799999999999</v>
      </c>
      <c r="S1117" s="5">
        <f>Final_Table[[#This Row],[Net Revenue]]-Final_Table[[#This Row],[Total Cost (COGS)]]</f>
        <v>-2944.7999999999993</v>
      </c>
      <c r="T1117">
        <f>Final_Table[[#This Row],[Gross Profit]]*Final_Table[[#This Row],[Tax Rate]]</f>
        <v>-883.43999999999971</v>
      </c>
      <c r="U1117" s="5">
        <f>Final_Table[[#This Row],[Gross Profit]]-Final_Table[[#This Row],[Tax]]</f>
        <v>-2061.3599999999997</v>
      </c>
      <c r="V1117" s="12">
        <f>Final_Table[[#This Row],[Net Profit]]/Final_Table[[#This Row],[Gross Revenue]]</f>
        <v>-0.10104705882352939</v>
      </c>
    </row>
    <row r="1118" spans="1:22">
      <c r="A1118" s="18" t="s">
        <v>75</v>
      </c>
      <c r="B1118">
        <v>2014</v>
      </c>
      <c r="C1118" t="s">
        <v>126</v>
      </c>
      <c r="D1118">
        <v>1</v>
      </c>
      <c r="E1118" s="18" t="s">
        <v>32</v>
      </c>
      <c r="F1118" s="18" t="s">
        <v>113</v>
      </c>
      <c r="G1118" s="18" t="s">
        <v>23</v>
      </c>
      <c r="H1118" s="18" t="str">
        <f>Assumptions!$B$2</f>
        <v>Worst</v>
      </c>
      <c r="I1118" s="18">
        <f>_xlfn.XLOOKUP(Assumptions!$B$2,Assumptions!$F$4:$H$4,Assumptions!$F$5:$H$5)</f>
        <v>1200</v>
      </c>
      <c r="J1118" s="18">
        <f>_xlfn.XLOOKUP(Assumptions!$B$2,Assumptions!$F$4:$H$4,Assumptions!$F$6:$H$6)</f>
        <v>17</v>
      </c>
      <c r="K1118" s="12">
        <f>_xlfn.XLOOKUP(Assumptions!$B$2,Assumptions!$F$4:$H$4,Assumptions!$F$8:$H$8)</f>
        <v>0.1</v>
      </c>
      <c r="L1118" s="12">
        <f>_xlfn.XLOOKUP(Assumptions!$B$2,Assumptions!$F$4:$H$4,Assumptions!$F$9:$H$9)</f>
        <v>0.18</v>
      </c>
      <c r="M1118" s="18">
        <f>_xlfn.XLOOKUP(Assumptions!$B$2,Assumptions!$F$4:$H$4,Assumptions!$F$10:$H$10)</f>
        <v>18000</v>
      </c>
      <c r="N1118" s="12">
        <f>_xlfn.XLOOKUP(Assumptions!$B$2,Assumptions!$F$4:$H$4,Assumptions!$F$11:$H$11)</f>
        <v>0.3</v>
      </c>
      <c r="O1118" s="14">
        <f>Final_Table[[#This Row],[Units Sold]]*Final_Table[[#This Row],[Sale Price]]</f>
        <v>20400</v>
      </c>
      <c r="P1118" s="14">
        <f>Final_Table[[#This Row],[Gross Revenue]]*(1-Final_Table[[#This Row],[Discount %]])</f>
        <v>18360</v>
      </c>
      <c r="Q1118">
        <f>Final_Table[[#This Row],[Net Revenue]]*Final_Table[[#This Row],[Variable Cost %]]</f>
        <v>3304.7999999999997</v>
      </c>
      <c r="R1118">
        <f>Final_Table[[#This Row],[Variable Cost]]+Final_Table[[#This Row],[Fixed Monthly Cost]]</f>
        <v>21304.799999999999</v>
      </c>
      <c r="S1118" s="5">
        <f>Final_Table[[#This Row],[Net Revenue]]-Final_Table[[#This Row],[Total Cost (COGS)]]</f>
        <v>-2944.7999999999993</v>
      </c>
      <c r="T1118">
        <f>Final_Table[[#This Row],[Gross Profit]]*Final_Table[[#This Row],[Tax Rate]]</f>
        <v>-883.43999999999971</v>
      </c>
      <c r="U1118" s="5">
        <f>Final_Table[[#This Row],[Gross Profit]]-Final_Table[[#This Row],[Tax]]</f>
        <v>-2061.3599999999997</v>
      </c>
      <c r="V1118" s="12">
        <f>Final_Table[[#This Row],[Net Profit]]/Final_Table[[#This Row],[Gross Revenue]]</f>
        <v>-0.10104705882352939</v>
      </c>
    </row>
    <row r="1119" spans="1:22">
      <c r="A1119" s="18" t="s">
        <v>75</v>
      </c>
      <c r="B1119">
        <v>2014</v>
      </c>
      <c r="C1119" t="s">
        <v>126</v>
      </c>
      <c r="D1119">
        <v>1</v>
      </c>
      <c r="E1119" s="18" t="s">
        <v>32</v>
      </c>
      <c r="F1119" s="18" t="s">
        <v>113</v>
      </c>
      <c r="G1119" s="18" t="s">
        <v>21</v>
      </c>
      <c r="H1119" s="18" t="str">
        <f>Assumptions!$B$2</f>
        <v>Worst</v>
      </c>
      <c r="I1119" s="18">
        <f>_xlfn.XLOOKUP(Assumptions!$B$2,Assumptions!$F$4:$H$4,Assumptions!$F$5:$H$5)</f>
        <v>1200</v>
      </c>
      <c r="J1119" s="18">
        <f>_xlfn.XLOOKUP(Assumptions!$B$2,Assumptions!$F$4:$H$4,Assumptions!$F$6:$H$6)</f>
        <v>17</v>
      </c>
      <c r="K1119" s="12">
        <f>_xlfn.XLOOKUP(Assumptions!$B$2,Assumptions!$F$4:$H$4,Assumptions!$F$8:$H$8)</f>
        <v>0.1</v>
      </c>
      <c r="L1119" s="12">
        <f>_xlfn.XLOOKUP(Assumptions!$B$2,Assumptions!$F$4:$H$4,Assumptions!$F$9:$H$9)</f>
        <v>0.18</v>
      </c>
      <c r="M1119" s="18">
        <f>_xlfn.XLOOKUP(Assumptions!$B$2,Assumptions!$F$4:$H$4,Assumptions!$F$10:$H$10)</f>
        <v>18000</v>
      </c>
      <c r="N1119" s="12">
        <f>_xlfn.XLOOKUP(Assumptions!$B$2,Assumptions!$F$4:$H$4,Assumptions!$F$11:$H$11)</f>
        <v>0.3</v>
      </c>
      <c r="O1119" s="14">
        <f>Final_Table[[#This Row],[Units Sold]]*Final_Table[[#This Row],[Sale Price]]</f>
        <v>20400</v>
      </c>
      <c r="P1119" s="14">
        <f>Final_Table[[#This Row],[Gross Revenue]]*(1-Final_Table[[#This Row],[Discount %]])</f>
        <v>18360</v>
      </c>
      <c r="Q1119">
        <f>Final_Table[[#This Row],[Net Revenue]]*Final_Table[[#This Row],[Variable Cost %]]</f>
        <v>3304.7999999999997</v>
      </c>
      <c r="R1119">
        <f>Final_Table[[#This Row],[Variable Cost]]+Final_Table[[#This Row],[Fixed Monthly Cost]]</f>
        <v>21304.799999999999</v>
      </c>
      <c r="S1119" s="5">
        <f>Final_Table[[#This Row],[Net Revenue]]-Final_Table[[#This Row],[Total Cost (COGS)]]</f>
        <v>-2944.7999999999993</v>
      </c>
      <c r="T1119">
        <f>Final_Table[[#This Row],[Gross Profit]]*Final_Table[[#This Row],[Tax Rate]]</f>
        <v>-883.43999999999971</v>
      </c>
      <c r="U1119" s="5">
        <f>Final_Table[[#This Row],[Gross Profit]]-Final_Table[[#This Row],[Tax]]</f>
        <v>-2061.3599999999997</v>
      </c>
      <c r="V1119" s="12">
        <f>Final_Table[[#This Row],[Net Profit]]/Final_Table[[#This Row],[Gross Revenue]]</f>
        <v>-0.10104705882352939</v>
      </c>
    </row>
    <row r="1120" spans="1:22">
      <c r="A1120" s="18" t="s">
        <v>75</v>
      </c>
      <c r="B1120">
        <v>2014</v>
      </c>
      <c r="C1120" t="s">
        <v>126</v>
      </c>
      <c r="D1120">
        <v>1</v>
      </c>
      <c r="E1120" s="18" t="s">
        <v>32</v>
      </c>
      <c r="F1120" s="18" t="s">
        <v>113</v>
      </c>
      <c r="G1120" s="18" t="s">
        <v>25</v>
      </c>
      <c r="H1120" s="18" t="str">
        <f>Assumptions!$B$2</f>
        <v>Worst</v>
      </c>
      <c r="I1120" s="18">
        <f>_xlfn.XLOOKUP(Assumptions!$B$2,Assumptions!$F$4:$H$4,Assumptions!$F$5:$H$5)</f>
        <v>1200</v>
      </c>
      <c r="J1120" s="18">
        <f>_xlfn.XLOOKUP(Assumptions!$B$2,Assumptions!$F$4:$H$4,Assumptions!$F$6:$H$6)</f>
        <v>17</v>
      </c>
      <c r="K1120" s="12">
        <f>_xlfn.XLOOKUP(Assumptions!$B$2,Assumptions!$F$4:$H$4,Assumptions!$F$8:$H$8)</f>
        <v>0.1</v>
      </c>
      <c r="L1120" s="12">
        <f>_xlfn.XLOOKUP(Assumptions!$B$2,Assumptions!$F$4:$H$4,Assumptions!$F$9:$H$9)</f>
        <v>0.18</v>
      </c>
      <c r="M1120" s="18">
        <f>_xlfn.XLOOKUP(Assumptions!$B$2,Assumptions!$F$4:$H$4,Assumptions!$F$10:$H$10)</f>
        <v>18000</v>
      </c>
      <c r="N1120" s="12">
        <f>_xlfn.XLOOKUP(Assumptions!$B$2,Assumptions!$F$4:$H$4,Assumptions!$F$11:$H$11)</f>
        <v>0.3</v>
      </c>
      <c r="O1120" s="14">
        <f>Final_Table[[#This Row],[Units Sold]]*Final_Table[[#This Row],[Sale Price]]</f>
        <v>20400</v>
      </c>
      <c r="P1120" s="14">
        <f>Final_Table[[#This Row],[Gross Revenue]]*(1-Final_Table[[#This Row],[Discount %]])</f>
        <v>18360</v>
      </c>
      <c r="Q1120">
        <f>Final_Table[[#This Row],[Net Revenue]]*Final_Table[[#This Row],[Variable Cost %]]</f>
        <v>3304.7999999999997</v>
      </c>
      <c r="R1120">
        <f>Final_Table[[#This Row],[Variable Cost]]+Final_Table[[#This Row],[Fixed Monthly Cost]]</f>
        <v>21304.799999999999</v>
      </c>
      <c r="S1120" s="5">
        <f>Final_Table[[#This Row],[Net Revenue]]-Final_Table[[#This Row],[Total Cost (COGS)]]</f>
        <v>-2944.7999999999993</v>
      </c>
      <c r="T1120">
        <f>Final_Table[[#This Row],[Gross Profit]]*Final_Table[[#This Row],[Tax Rate]]</f>
        <v>-883.43999999999971</v>
      </c>
      <c r="U1120" s="5">
        <f>Final_Table[[#This Row],[Gross Profit]]-Final_Table[[#This Row],[Tax]]</f>
        <v>-2061.3599999999997</v>
      </c>
      <c r="V1120" s="12">
        <f>Final_Table[[#This Row],[Net Profit]]/Final_Table[[#This Row],[Gross Revenue]]</f>
        <v>-0.10104705882352939</v>
      </c>
    </row>
    <row r="1121" spans="1:22">
      <c r="A1121" s="18" t="s">
        <v>75</v>
      </c>
      <c r="B1121">
        <v>2014</v>
      </c>
      <c r="C1121" t="s">
        <v>126</v>
      </c>
      <c r="D1121">
        <v>1</v>
      </c>
      <c r="E1121" s="18" t="s">
        <v>32</v>
      </c>
      <c r="F1121" s="18" t="s">
        <v>113</v>
      </c>
      <c r="G1121" s="18" t="s">
        <v>17</v>
      </c>
      <c r="H1121" s="18" t="str">
        <f>Assumptions!$B$2</f>
        <v>Worst</v>
      </c>
      <c r="I1121" s="18">
        <f>_xlfn.XLOOKUP(Assumptions!$B$2,Assumptions!$F$4:$H$4,Assumptions!$F$5:$H$5)</f>
        <v>1200</v>
      </c>
      <c r="J1121" s="18">
        <f>_xlfn.XLOOKUP(Assumptions!$B$2,Assumptions!$F$4:$H$4,Assumptions!$F$6:$H$6)</f>
        <v>17</v>
      </c>
      <c r="K1121" s="12">
        <f>_xlfn.XLOOKUP(Assumptions!$B$2,Assumptions!$F$4:$H$4,Assumptions!$F$8:$H$8)</f>
        <v>0.1</v>
      </c>
      <c r="L1121" s="12">
        <f>_xlfn.XLOOKUP(Assumptions!$B$2,Assumptions!$F$4:$H$4,Assumptions!$F$9:$H$9)</f>
        <v>0.18</v>
      </c>
      <c r="M1121" s="18">
        <f>_xlfn.XLOOKUP(Assumptions!$B$2,Assumptions!$F$4:$H$4,Assumptions!$F$10:$H$10)</f>
        <v>18000</v>
      </c>
      <c r="N1121" s="12">
        <f>_xlfn.XLOOKUP(Assumptions!$B$2,Assumptions!$F$4:$H$4,Assumptions!$F$11:$H$11)</f>
        <v>0.3</v>
      </c>
      <c r="O1121" s="14">
        <f>Final_Table[[#This Row],[Units Sold]]*Final_Table[[#This Row],[Sale Price]]</f>
        <v>20400</v>
      </c>
      <c r="P1121" s="14">
        <f>Final_Table[[#This Row],[Gross Revenue]]*(1-Final_Table[[#This Row],[Discount %]])</f>
        <v>18360</v>
      </c>
      <c r="Q1121">
        <f>Final_Table[[#This Row],[Net Revenue]]*Final_Table[[#This Row],[Variable Cost %]]</f>
        <v>3304.7999999999997</v>
      </c>
      <c r="R1121">
        <f>Final_Table[[#This Row],[Variable Cost]]+Final_Table[[#This Row],[Fixed Monthly Cost]]</f>
        <v>21304.799999999999</v>
      </c>
      <c r="S1121" s="5">
        <f>Final_Table[[#This Row],[Net Revenue]]-Final_Table[[#This Row],[Total Cost (COGS)]]</f>
        <v>-2944.7999999999993</v>
      </c>
      <c r="T1121">
        <f>Final_Table[[#This Row],[Gross Profit]]*Final_Table[[#This Row],[Tax Rate]]</f>
        <v>-883.43999999999971</v>
      </c>
      <c r="U1121" s="5">
        <f>Final_Table[[#This Row],[Gross Profit]]-Final_Table[[#This Row],[Tax]]</f>
        <v>-2061.3599999999997</v>
      </c>
      <c r="V1121" s="12">
        <f>Final_Table[[#This Row],[Net Profit]]/Final_Table[[#This Row],[Gross Revenue]]</f>
        <v>-0.10104705882352939</v>
      </c>
    </row>
    <row r="1122" spans="1:22">
      <c r="A1122" s="18" t="s">
        <v>75</v>
      </c>
      <c r="B1122">
        <v>2014</v>
      </c>
      <c r="C1122" t="s">
        <v>126</v>
      </c>
      <c r="D1122">
        <v>1</v>
      </c>
      <c r="E1122" s="18" t="s">
        <v>32</v>
      </c>
      <c r="F1122" s="18" t="s">
        <v>114</v>
      </c>
      <c r="G1122" s="18" t="s">
        <v>36</v>
      </c>
      <c r="H1122" s="18" t="str">
        <f>Assumptions!$B$2</f>
        <v>Worst</v>
      </c>
      <c r="I1122" s="18">
        <f>_xlfn.XLOOKUP(Assumptions!$B$2,Assumptions!$F$4:$H$4,Assumptions!$F$5:$H$5)</f>
        <v>1200</v>
      </c>
      <c r="J1122" s="18">
        <f>_xlfn.XLOOKUP(Assumptions!$B$2,Assumptions!$F$4:$H$4,Assumptions!$F$6:$H$6)</f>
        <v>17</v>
      </c>
      <c r="K1122" s="12">
        <f>_xlfn.XLOOKUP(Assumptions!$B$2,Assumptions!$F$4:$H$4,Assumptions!$F$8:$H$8)</f>
        <v>0.1</v>
      </c>
      <c r="L1122" s="12">
        <f>_xlfn.XLOOKUP(Assumptions!$B$2,Assumptions!$F$4:$H$4,Assumptions!$F$9:$H$9)</f>
        <v>0.18</v>
      </c>
      <c r="M1122" s="18">
        <f>_xlfn.XLOOKUP(Assumptions!$B$2,Assumptions!$F$4:$H$4,Assumptions!$F$10:$H$10)</f>
        <v>18000</v>
      </c>
      <c r="N1122" s="12">
        <f>_xlfn.XLOOKUP(Assumptions!$B$2,Assumptions!$F$4:$H$4,Assumptions!$F$11:$H$11)</f>
        <v>0.3</v>
      </c>
      <c r="O1122" s="14">
        <f>Final_Table[[#This Row],[Units Sold]]*Final_Table[[#This Row],[Sale Price]]</f>
        <v>20400</v>
      </c>
      <c r="P1122" s="14">
        <f>Final_Table[[#This Row],[Gross Revenue]]*(1-Final_Table[[#This Row],[Discount %]])</f>
        <v>18360</v>
      </c>
      <c r="Q1122">
        <f>Final_Table[[#This Row],[Net Revenue]]*Final_Table[[#This Row],[Variable Cost %]]</f>
        <v>3304.7999999999997</v>
      </c>
      <c r="R1122">
        <f>Final_Table[[#This Row],[Variable Cost]]+Final_Table[[#This Row],[Fixed Monthly Cost]]</f>
        <v>21304.799999999999</v>
      </c>
      <c r="S1122" s="5">
        <f>Final_Table[[#This Row],[Net Revenue]]-Final_Table[[#This Row],[Total Cost (COGS)]]</f>
        <v>-2944.7999999999993</v>
      </c>
      <c r="T1122">
        <f>Final_Table[[#This Row],[Gross Profit]]*Final_Table[[#This Row],[Tax Rate]]</f>
        <v>-883.43999999999971</v>
      </c>
      <c r="U1122" s="5">
        <f>Final_Table[[#This Row],[Gross Profit]]-Final_Table[[#This Row],[Tax]]</f>
        <v>-2061.3599999999997</v>
      </c>
      <c r="V1122" s="12">
        <f>Final_Table[[#This Row],[Net Profit]]/Final_Table[[#This Row],[Gross Revenue]]</f>
        <v>-0.10104705882352939</v>
      </c>
    </row>
    <row r="1123" spans="1:22">
      <c r="A1123" s="18" t="s">
        <v>75</v>
      </c>
      <c r="B1123">
        <v>2014</v>
      </c>
      <c r="C1123" t="s">
        <v>126</v>
      </c>
      <c r="D1123">
        <v>1</v>
      </c>
      <c r="E1123" s="18" t="s">
        <v>32</v>
      </c>
      <c r="F1123" s="18" t="s">
        <v>114</v>
      </c>
      <c r="G1123" s="18" t="s">
        <v>23</v>
      </c>
      <c r="H1123" s="18" t="str">
        <f>Assumptions!$B$2</f>
        <v>Worst</v>
      </c>
      <c r="I1123" s="18">
        <f>_xlfn.XLOOKUP(Assumptions!$B$2,Assumptions!$F$4:$H$4,Assumptions!$F$5:$H$5)</f>
        <v>1200</v>
      </c>
      <c r="J1123" s="18">
        <f>_xlfn.XLOOKUP(Assumptions!$B$2,Assumptions!$F$4:$H$4,Assumptions!$F$6:$H$6)</f>
        <v>17</v>
      </c>
      <c r="K1123" s="12">
        <f>_xlfn.XLOOKUP(Assumptions!$B$2,Assumptions!$F$4:$H$4,Assumptions!$F$8:$H$8)</f>
        <v>0.1</v>
      </c>
      <c r="L1123" s="12">
        <f>_xlfn.XLOOKUP(Assumptions!$B$2,Assumptions!$F$4:$H$4,Assumptions!$F$9:$H$9)</f>
        <v>0.18</v>
      </c>
      <c r="M1123" s="18">
        <f>_xlfn.XLOOKUP(Assumptions!$B$2,Assumptions!$F$4:$H$4,Assumptions!$F$10:$H$10)</f>
        <v>18000</v>
      </c>
      <c r="N1123" s="12">
        <f>_xlfn.XLOOKUP(Assumptions!$B$2,Assumptions!$F$4:$H$4,Assumptions!$F$11:$H$11)</f>
        <v>0.3</v>
      </c>
      <c r="O1123" s="14">
        <f>Final_Table[[#This Row],[Units Sold]]*Final_Table[[#This Row],[Sale Price]]</f>
        <v>20400</v>
      </c>
      <c r="P1123" s="14">
        <f>Final_Table[[#This Row],[Gross Revenue]]*(1-Final_Table[[#This Row],[Discount %]])</f>
        <v>18360</v>
      </c>
      <c r="Q1123">
        <f>Final_Table[[#This Row],[Net Revenue]]*Final_Table[[#This Row],[Variable Cost %]]</f>
        <v>3304.7999999999997</v>
      </c>
      <c r="R1123">
        <f>Final_Table[[#This Row],[Variable Cost]]+Final_Table[[#This Row],[Fixed Monthly Cost]]</f>
        <v>21304.799999999999</v>
      </c>
      <c r="S1123" s="5">
        <f>Final_Table[[#This Row],[Net Revenue]]-Final_Table[[#This Row],[Total Cost (COGS)]]</f>
        <v>-2944.7999999999993</v>
      </c>
      <c r="T1123">
        <f>Final_Table[[#This Row],[Gross Profit]]*Final_Table[[#This Row],[Tax Rate]]</f>
        <v>-883.43999999999971</v>
      </c>
      <c r="U1123" s="5">
        <f>Final_Table[[#This Row],[Gross Profit]]-Final_Table[[#This Row],[Tax]]</f>
        <v>-2061.3599999999997</v>
      </c>
      <c r="V1123" s="12">
        <f>Final_Table[[#This Row],[Net Profit]]/Final_Table[[#This Row],[Gross Revenue]]</f>
        <v>-0.10104705882352939</v>
      </c>
    </row>
    <row r="1124" spans="1:22">
      <c r="A1124" s="18" t="s">
        <v>75</v>
      </c>
      <c r="B1124">
        <v>2014</v>
      </c>
      <c r="C1124" t="s">
        <v>126</v>
      </c>
      <c r="D1124">
        <v>1</v>
      </c>
      <c r="E1124" s="18" t="s">
        <v>32</v>
      </c>
      <c r="F1124" s="18" t="s">
        <v>114</v>
      </c>
      <c r="G1124" s="18" t="s">
        <v>21</v>
      </c>
      <c r="H1124" s="18" t="str">
        <f>Assumptions!$B$2</f>
        <v>Worst</v>
      </c>
      <c r="I1124" s="18">
        <f>_xlfn.XLOOKUP(Assumptions!$B$2,Assumptions!$F$4:$H$4,Assumptions!$F$5:$H$5)</f>
        <v>1200</v>
      </c>
      <c r="J1124" s="18">
        <f>_xlfn.XLOOKUP(Assumptions!$B$2,Assumptions!$F$4:$H$4,Assumptions!$F$6:$H$6)</f>
        <v>17</v>
      </c>
      <c r="K1124" s="12">
        <f>_xlfn.XLOOKUP(Assumptions!$B$2,Assumptions!$F$4:$H$4,Assumptions!$F$8:$H$8)</f>
        <v>0.1</v>
      </c>
      <c r="L1124" s="12">
        <f>_xlfn.XLOOKUP(Assumptions!$B$2,Assumptions!$F$4:$H$4,Assumptions!$F$9:$H$9)</f>
        <v>0.18</v>
      </c>
      <c r="M1124" s="18">
        <f>_xlfn.XLOOKUP(Assumptions!$B$2,Assumptions!$F$4:$H$4,Assumptions!$F$10:$H$10)</f>
        <v>18000</v>
      </c>
      <c r="N1124" s="12">
        <f>_xlfn.XLOOKUP(Assumptions!$B$2,Assumptions!$F$4:$H$4,Assumptions!$F$11:$H$11)</f>
        <v>0.3</v>
      </c>
      <c r="O1124" s="14">
        <f>Final_Table[[#This Row],[Units Sold]]*Final_Table[[#This Row],[Sale Price]]</f>
        <v>20400</v>
      </c>
      <c r="P1124" s="14">
        <f>Final_Table[[#This Row],[Gross Revenue]]*(1-Final_Table[[#This Row],[Discount %]])</f>
        <v>18360</v>
      </c>
      <c r="Q1124">
        <f>Final_Table[[#This Row],[Net Revenue]]*Final_Table[[#This Row],[Variable Cost %]]</f>
        <v>3304.7999999999997</v>
      </c>
      <c r="R1124">
        <f>Final_Table[[#This Row],[Variable Cost]]+Final_Table[[#This Row],[Fixed Monthly Cost]]</f>
        <v>21304.799999999999</v>
      </c>
      <c r="S1124" s="5">
        <f>Final_Table[[#This Row],[Net Revenue]]-Final_Table[[#This Row],[Total Cost (COGS)]]</f>
        <v>-2944.7999999999993</v>
      </c>
      <c r="T1124">
        <f>Final_Table[[#This Row],[Gross Profit]]*Final_Table[[#This Row],[Tax Rate]]</f>
        <v>-883.43999999999971</v>
      </c>
      <c r="U1124" s="5">
        <f>Final_Table[[#This Row],[Gross Profit]]-Final_Table[[#This Row],[Tax]]</f>
        <v>-2061.3599999999997</v>
      </c>
      <c r="V1124" s="12">
        <f>Final_Table[[#This Row],[Net Profit]]/Final_Table[[#This Row],[Gross Revenue]]</f>
        <v>-0.10104705882352939</v>
      </c>
    </row>
    <row r="1125" spans="1:22">
      <c r="A1125" s="18" t="s">
        <v>75</v>
      </c>
      <c r="B1125">
        <v>2014</v>
      </c>
      <c r="C1125" t="s">
        <v>126</v>
      </c>
      <c r="D1125">
        <v>1</v>
      </c>
      <c r="E1125" s="18" t="s">
        <v>32</v>
      </c>
      <c r="F1125" s="18" t="s">
        <v>114</v>
      </c>
      <c r="G1125" s="18" t="s">
        <v>25</v>
      </c>
      <c r="H1125" s="18" t="str">
        <f>Assumptions!$B$2</f>
        <v>Worst</v>
      </c>
      <c r="I1125" s="18">
        <f>_xlfn.XLOOKUP(Assumptions!$B$2,Assumptions!$F$4:$H$4,Assumptions!$F$5:$H$5)</f>
        <v>1200</v>
      </c>
      <c r="J1125" s="18">
        <f>_xlfn.XLOOKUP(Assumptions!$B$2,Assumptions!$F$4:$H$4,Assumptions!$F$6:$H$6)</f>
        <v>17</v>
      </c>
      <c r="K1125" s="12">
        <f>_xlfn.XLOOKUP(Assumptions!$B$2,Assumptions!$F$4:$H$4,Assumptions!$F$8:$H$8)</f>
        <v>0.1</v>
      </c>
      <c r="L1125" s="12">
        <f>_xlfn.XLOOKUP(Assumptions!$B$2,Assumptions!$F$4:$H$4,Assumptions!$F$9:$H$9)</f>
        <v>0.18</v>
      </c>
      <c r="M1125" s="18">
        <f>_xlfn.XLOOKUP(Assumptions!$B$2,Assumptions!$F$4:$H$4,Assumptions!$F$10:$H$10)</f>
        <v>18000</v>
      </c>
      <c r="N1125" s="12">
        <f>_xlfn.XLOOKUP(Assumptions!$B$2,Assumptions!$F$4:$H$4,Assumptions!$F$11:$H$11)</f>
        <v>0.3</v>
      </c>
      <c r="O1125" s="14">
        <f>Final_Table[[#This Row],[Units Sold]]*Final_Table[[#This Row],[Sale Price]]</f>
        <v>20400</v>
      </c>
      <c r="P1125" s="14">
        <f>Final_Table[[#This Row],[Gross Revenue]]*(1-Final_Table[[#This Row],[Discount %]])</f>
        <v>18360</v>
      </c>
      <c r="Q1125">
        <f>Final_Table[[#This Row],[Net Revenue]]*Final_Table[[#This Row],[Variable Cost %]]</f>
        <v>3304.7999999999997</v>
      </c>
      <c r="R1125">
        <f>Final_Table[[#This Row],[Variable Cost]]+Final_Table[[#This Row],[Fixed Monthly Cost]]</f>
        <v>21304.799999999999</v>
      </c>
      <c r="S1125" s="5">
        <f>Final_Table[[#This Row],[Net Revenue]]-Final_Table[[#This Row],[Total Cost (COGS)]]</f>
        <v>-2944.7999999999993</v>
      </c>
      <c r="T1125">
        <f>Final_Table[[#This Row],[Gross Profit]]*Final_Table[[#This Row],[Tax Rate]]</f>
        <v>-883.43999999999971</v>
      </c>
      <c r="U1125" s="5">
        <f>Final_Table[[#This Row],[Gross Profit]]-Final_Table[[#This Row],[Tax]]</f>
        <v>-2061.3599999999997</v>
      </c>
      <c r="V1125" s="12">
        <f>Final_Table[[#This Row],[Net Profit]]/Final_Table[[#This Row],[Gross Revenue]]</f>
        <v>-0.10104705882352939</v>
      </c>
    </row>
    <row r="1126" spans="1:22">
      <c r="A1126" s="18" t="s">
        <v>75</v>
      </c>
      <c r="B1126">
        <v>2014</v>
      </c>
      <c r="C1126" t="s">
        <v>126</v>
      </c>
      <c r="D1126">
        <v>1</v>
      </c>
      <c r="E1126" s="18" t="s">
        <v>32</v>
      </c>
      <c r="F1126" s="18" t="s">
        <v>114</v>
      </c>
      <c r="G1126" s="18" t="s">
        <v>17</v>
      </c>
      <c r="H1126" s="18" t="str">
        <f>Assumptions!$B$2</f>
        <v>Worst</v>
      </c>
      <c r="I1126" s="18">
        <f>_xlfn.XLOOKUP(Assumptions!$B$2,Assumptions!$F$4:$H$4,Assumptions!$F$5:$H$5)</f>
        <v>1200</v>
      </c>
      <c r="J1126" s="18">
        <f>_xlfn.XLOOKUP(Assumptions!$B$2,Assumptions!$F$4:$H$4,Assumptions!$F$6:$H$6)</f>
        <v>17</v>
      </c>
      <c r="K1126" s="12">
        <f>_xlfn.XLOOKUP(Assumptions!$B$2,Assumptions!$F$4:$H$4,Assumptions!$F$8:$H$8)</f>
        <v>0.1</v>
      </c>
      <c r="L1126" s="12">
        <f>_xlfn.XLOOKUP(Assumptions!$B$2,Assumptions!$F$4:$H$4,Assumptions!$F$9:$H$9)</f>
        <v>0.18</v>
      </c>
      <c r="M1126" s="18">
        <f>_xlfn.XLOOKUP(Assumptions!$B$2,Assumptions!$F$4:$H$4,Assumptions!$F$10:$H$10)</f>
        <v>18000</v>
      </c>
      <c r="N1126" s="12">
        <f>_xlfn.XLOOKUP(Assumptions!$B$2,Assumptions!$F$4:$H$4,Assumptions!$F$11:$H$11)</f>
        <v>0.3</v>
      </c>
      <c r="O1126" s="14">
        <f>Final_Table[[#This Row],[Units Sold]]*Final_Table[[#This Row],[Sale Price]]</f>
        <v>20400</v>
      </c>
      <c r="P1126" s="14">
        <f>Final_Table[[#This Row],[Gross Revenue]]*(1-Final_Table[[#This Row],[Discount %]])</f>
        <v>18360</v>
      </c>
      <c r="Q1126">
        <f>Final_Table[[#This Row],[Net Revenue]]*Final_Table[[#This Row],[Variable Cost %]]</f>
        <v>3304.7999999999997</v>
      </c>
      <c r="R1126">
        <f>Final_Table[[#This Row],[Variable Cost]]+Final_Table[[#This Row],[Fixed Monthly Cost]]</f>
        <v>21304.799999999999</v>
      </c>
      <c r="S1126" s="5">
        <f>Final_Table[[#This Row],[Net Revenue]]-Final_Table[[#This Row],[Total Cost (COGS)]]</f>
        <v>-2944.7999999999993</v>
      </c>
      <c r="T1126">
        <f>Final_Table[[#This Row],[Gross Profit]]*Final_Table[[#This Row],[Tax Rate]]</f>
        <v>-883.43999999999971</v>
      </c>
      <c r="U1126" s="5">
        <f>Final_Table[[#This Row],[Gross Profit]]-Final_Table[[#This Row],[Tax]]</f>
        <v>-2061.3599999999997</v>
      </c>
      <c r="V1126" s="12">
        <f>Final_Table[[#This Row],[Net Profit]]/Final_Table[[#This Row],[Gross Revenue]]</f>
        <v>-0.10104705882352939</v>
      </c>
    </row>
    <row r="1127" spans="1:22">
      <c r="A1127" s="18" t="s">
        <v>76</v>
      </c>
      <c r="B1127">
        <v>2014</v>
      </c>
      <c r="C1127" t="s">
        <v>127</v>
      </c>
      <c r="D1127">
        <v>1</v>
      </c>
      <c r="E1127" s="18" t="s">
        <v>30</v>
      </c>
      <c r="F1127" s="18" t="s">
        <v>80</v>
      </c>
      <c r="G1127" s="18" t="s">
        <v>36</v>
      </c>
      <c r="H1127" s="18" t="str">
        <f>Assumptions!$B$2</f>
        <v>Worst</v>
      </c>
      <c r="I1127" s="18">
        <f>_xlfn.XLOOKUP(Assumptions!$B$2,Assumptions!$F$4:$H$4,Assumptions!$F$5:$H$5)</f>
        <v>1200</v>
      </c>
      <c r="J1127" s="18">
        <f>_xlfn.XLOOKUP(Assumptions!$B$2,Assumptions!$F$4:$H$4,Assumptions!$F$6:$H$6)</f>
        <v>17</v>
      </c>
      <c r="K1127" s="12">
        <f>_xlfn.XLOOKUP(Assumptions!$B$2,Assumptions!$F$4:$H$4,Assumptions!$F$8:$H$8)</f>
        <v>0.1</v>
      </c>
      <c r="L1127" s="12">
        <f>_xlfn.XLOOKUP(Assumptions!$B$2,Assumptions!$F$4:$H$4,Assumptions!$F$9:$H$9)</f>
        <v>0.18</v>
      </c>
      <c r="M1127" s="18">
        <f>_xlfn.XLOOKUP(Assumptions!$B$2,Assumptions!$F$4:$H$4,Assumptions!$F$10:$H$10)</f>
        <v>18000</v>
      </c>
      <c r="N1127" s="12">
        <f>_xlfn.XLOOKUP(Assumptions!$B$2,Assumptions!$F$4:$H$4,Assumptions!$F$11:$H$11)</f>
        <v>0.3</v>
      </c>
      <c r="O1127" s="14">
        <f>Final_Table[[#This Row],[Units Sold]]*Final_Table[[#This Row],[Sale Price]]</f>
        <v>20400</v>
      </c>
      <c r="P1127" s="14">
        <f>Final_Table[[#This Row],[Gross Revenue]]*(1-Final_Table[[#This Row],[Discount %]])</f>
        <v>18360</v>
      </c>
      <c r="Q1127">
        <f>Final_Table[[#This Row],[Net Revenue]]*Final_Table[[#This Row],[Variable Cost %]]</f>
        <v>3304.7999999999997</v>
      </c>
      <c r="R1127">
        <f>Final_Table[[#This Row],[Variable Cost]]+Final_Table[[#This Row],[Fixed Monthly Cost]]</f>
        <v>21304.799999999999</v>
      </c>
      <c r="S1127" s="5">
        <f>Final_Table[[#This Row],[Net Revenue]]-Final_Table[[#This Row],[Total Cost (COGS)]]</f>
        <v>-2944.7999999999993</v>
      </c>
      <c r="T1127">
        <f>Final_Table[[#This Row],[Gross Profit]]*Final_Table[[#This Row],[Tax Rate]]</f>
        <v>-883.43999999999971</v>
      </c>
      <c r="U1127" s="5">
        <f>Final_Table[[#This Row],[Gross Profit]]-Final_Table[[#This Row],[Tax]]</f>
        <v>-2061.3599999999997</v>
      </c>
      <c r="V1127" s="12">
        <f>Final_Table[[#This Row],[Net Profit]]/Final_Table[[#This Row],[Gross Revenue]]</f>
        <v>-0.10104705882352939</v>
      </c>
    </row>
    <row r="1128" spans="1:22">
      <c r="A1128" s="18" t="s">
        <v>76</v>
      </c>
      <c r="B1128">
        <v>2014</v>
      </c>
      <c r="C1128" t="s">
        <v>127</v>
      </c>
      <c r="D1128">
        <v>1</v>
      </c>
      <c r="E1128" s="18" t="s">
        <v>30</v>
      </c>
      <c r="F1128" s="18" t="s">
        <v>80</v>
      </c>
      <c r="G1128" s="18" t="s">
        <v>23</v>
      </c>
      <c r="H1128" s="18" t="str">
        <f>Assumptions!$B$2</f>
        <v>Worst</v>
      </c>
      <c r="I1128" s="18">
        <f>_xlfn.XLOOKUP(Assumptions!$B$2,Assumptions!$F$4:$H$4,Assumptions!$F$5:$H$5)</f>
        <v>1200</v>
      </c>
      <c r="J1128" s="18">
        <f>_xlfn.XLOOKUP(Assumptions!$B$2,Assumptions!$F$4:$H$4,Assumptions!$F$6:$H$6)</f>
        <v>17</v>
      </c>
      <c r="K1128" s="12">
        <f>_xlfn.XLOOKUP(Assumptions!$B$2,Assumptions!$F$4:$H$4,Assumptions!$F$8:$H$8)</f>
        <v>0.1</v>
      </c>
      <c r="L1128" s="12">
        <f>_xlfn.XLOOKUP(Assumptions!$B$2,Assumptions!$F$4:$H$4,Assumptions!$F$9:$H$9)</f>
        <v>0.18</v>
      </c>
      <c r="M1128" s="18">
        <f>_xlfn.XLOOKUP(Assumptions!$B$2,Assumptions!$F$4:$H$4,Assumptions!$F$10:$H$10)</f>
        <v>18000</v>
      </c>
      <c r="N1128" s="12">
        <f>_xlfn.XLOOKUP(Assumptions!$B$2,Assumptions!$F$4:$H$4,Assumptions!$F$11:$H$11)</f>
        <v>0.3</v>
      </c>
      <c r="O1128" s="14">
        <f>Final_Table[[#This Row],[Units Sold]]*Final_Table[[#This Row],[Sale Price]]</f>
        <v>20400</v>
      </c>
      <c r="P1128" s="14">
        <f>Final_Table[[#This Row],[Gross Revenue]]*(1-Final_Table[[#This Row],[Discount %]])</f>
        <v>18360</v>
      </c>
      <c r="Q1128">
        <f>Final_Table[[#This Row],[Net Revenue]]*Final_Table[[#This Row],[Variable Cost %]]</f>
        <v>3304.7999999999997</v>
      </c>
      <c r="R1128">
        <f>Final_Table[[#This Row],[Variable Cost]]+Final_Table[[#This Row],[Fixed Monthly Cost]]</f>
        <v>21304.799999999999</v>
      </c>
      <c r="S1128" s="5">
        <f>Final_Table[[#This Row],[Net Revenue]]-Final_Table[[#This Row],[Total Cost (COGS)]]</f>
        <v>-2944.7999999999993</v>
      </c>
      <c r="T1128">
        <f>Final_Table[[#This Row],[Gross Profit]]*Final_Table[[#This Row],[Tax Rate]]</f>
        <v>-883.43999999999971</v>
      </c>
      <c r="U1128" s="5">
        <f>Final_Table[[#This Row],[Gross Profit]]-Final_Table[[#This Row],[Tax]]</f>
        <v>-2061.3599999999997</v>
      </c>
      <c r="V1128" s="12">
        <f>Final_Table[[#This Row],[Net Profit]]/Final_Table[[#This Row],[Gross Revenue]]</f>
        <v>-0.10104705882352939</v>
      </c>
    </row>
    <row r="1129" spans="1:22">
      <c r="A1129" s="18" t="s">
        <v>76</v>
      </c>
      <c r="B1129">
        <v>2014</v>
      </c>
      <c r="C1129" t="s">
        <v>127</v>
      </c>
      <c r="D1129">
        <v>1</v>
      </c>
      <c r="E1129" s="18" t="s">
        <v>30</v>
      </c>
      <c r="F1129" s="18" t="s">
        <v>80</v>
      </c>
      <c r="G1129" s="18" t="s">
        <v>21</v>
      </c>
      <c r="H1129" s="18" t="str">
        <f>Assumptions!$B$2</f>
        <v>Worst</v>
      </c>
      <c r="I1129" s="18">
        <f>_xlfn.XLOOKUP(Assumptions!$B$2,Assumptions!$F$4:$H$4,Assumptions!$F$5:$H$5)</f>
        <v>1200</v>
      </c>
      <c r="J1129" s="18">
        <f>_xlfn.XLOOKUP(Assumptions!$B$2,Assumptions!$F$4:$H$4,Assumptions!$F$6:$H$6)</f>
        <v>17</v>
      </c>
      <c r="K1129" s="12">
        <f>_xlfn.XLOOKUP(Assumptions!$B$2,Assumptions!$F$4:$H$4,Assumptions!$F$8:$H$8)</f>
        <v>0.1</v>
      </c>
      <c r="L1129" s="12">
        <f>_xlfn.XLOOKUP(Assumptions!$B$2,Assumptions!$F$4:$H$4,Assumptions!$F$9:$H$9)</f>
        <v>0.18</v>
      </c>
      <c r="M1129" s="18">
        <f>_xlfn.XLOOKUP(Assumptions!$B$2,Assumptions!$F$4:$H$4,Assumptions!$F$10:$H$10)</f>
        <v>18000</v>
      </c>
      <c r="N1129" s="12">
        <f>_xlfn.XLOOKUP(Assumptions!$B$2,Assumptions!$F$4:$H$4,Assumptions!$F$11:$H$11)</f>
        <v>0.3</v>
      </c>
      <c r="O1129" s="14">
        <f>Final_Table[[#This Row],[Units Sold]]*Final_Table[[#This Row],[Sale Price]]</f>
        <v>20400</v>
      </c>
      <c r="P1129" s="14">
        <f>Final_Table[[#This Row],[Gross Revenue]]*(1-Final_Table[[#This Row],[Discount %]])</f>
        <v>18360</v>
      </c>
      <c r="Q1129">
        <f>Final_Table[[#This Row],[Net Revenue]]*Final_Table[[#This Row],[Variable Cost %]]</f>
        <v>3304.7999999999997</v>
      </c>
      <c r="R1129">
        <f>Final_Table[[#This Row],[Variable Cost]]+Final_Table[[#This Row],[Fixed Monthly Cost]]</f>
        <v>21304.799999999999</v>
      </c>
      <c r="S1129" s="5">
        <f>Final_Table[[#This Row],[Net Revenue]]-Final_Table[[#This Row],[Total Cost (COGS)]]</f>
        <v>-2944.7999999999993</v>
      </c>
      <c r="T1129">
        <f>Final_Table[[#This Row],[Gross Profit]]*Final_Table[[#This Row],[Tax Rate]]</f>
        <v>-883.43999999999971</v>
      </c>
      <c r="U1129" s="5">
        <f>Final_Table[[#This Row],[Gross Profit]]-Final_Table[[#This Row],[Tax]]</f>
        <v>-2061.3599999999997</v>
      </c>
      <c r="V1129" s="12">
        <f>Final_Table[[#This Row],[Net Profit]]/Final_Table[[#This Row],[Gross Revenue]]</f>
        <v>-0.10104705882352939</v>
      </c>
    </row>
    <row r="1130" spans="1:22">
      <c r="A1130" s="18" t="s">
        <v>76</v>
      </c>
      <c r="B1130">
        <v>2014</v>
      </c>
      <c r="C1130" t="s">
        <v>127</v>
      </c>
      <c r="D1130">
        <v>1</v>
      </c>
      <c r="E1130" s="18" t="s">
        <v>30</v>
      </c>
      <c r="F1130" s="18" t="s">
        <v>80</v>
      </c>
      <c r="G1130" s="18" t="s">
        <v>25</v>
      </c>
      <c r="H1130" s="18" t="str">
        <f>Assumptions!$B$2</f>
        <v>Worst</v>
      </c>
      <c r="I1130" s="18">
        <f>_xlfn.XLOOKUP(Assumptions!$B$2,Assumptions!$F$4:$H$4,Assumptions!$F$5:$H$5)</f>
        <v>1200</v>
      </c>
      <c r="J1130" s="18">
        <f>_xlfn.XLOOKUP(Assumptions!$B$2,Assumptions!$F$4:$H$4,Assumptions!$F$6:$H$6)</f>
        <v>17</v>
      </c>
      <c r="K1130" s="12">
        <f>_xlfn.XLOOKUP(Assumptions!$B$2,Assumptions!$F$4:$H$4,Assumptions!$F$8:$H$8)</f>
        <v>0.1</v>
      </c>
      <c r="L1130" s="12">
        <f>_xlfn.XLOOKUP(Assumptions!$B$2,Assumptions!$F$4:$H$4,Assumptions!$F$9:$H$9)</f>
        <v>0.18</v>
      </c>
      <c r="M1130" s="18">
        <f>_xlfn.XLOOKUP(Assumptions!$B$2,Assumptions!$F$4:$H$4,Assumptions!$F$10:$H$10)</f>
        <v>18000</v>
      </c>
      <c r="N1130" s="12">
        <f>_xlfn.XLOOKUP(Assumptions!$B$2,Assumptions!$F$4:$H$4,Assumptions!$F$11:$H$11)</f>
        <v>0.3</v>
      </c>
      <c r="O1130" s="14">
        <f>Final_Table[[#This Row],[Units Sold]]*Final_Table[[#This Row],[Sale Price]]</f>
        <v>20400</v>
      </c>
      <c r="P1130" s="14">
        <f>Final_Table[[#This Row],[Gross Revenue]]*(1-Final_Table[[#This Row],[Discount %]])</f>
        <v>18360</v>
      </c>
      <c r="Q1130">
        <f>Final_Table[[#This Row],[Net Revenue]]*Final_Table[[#This Row],[Variable Cost %]]</f>
        <v>3304.7999999999997</v>
      </c>
      <c r="R1130">
        <f>Final_Table[[#This Row],[Variable Cost]]+Final_Table[[#This Row],[Fixed Monthly Cost]]</f>
        <v>21304.799999999999</v>
      </c>
      <c r="S1130" s="5">
        <f>Final_Table[[#This Row],[Net Revenue]]-Final_Table[[#This Row],[Total Cost (COGS)]]</f>
        <v>-2944.7999999999993</v>
      </c>
      <c r="T1130">
        <f>Final_Table[[#This Row],[Gross Profit]]*Final_Table[[#This Row],[Tax Rate]]</f>
        <v>-883.43999999999971</v>
      </c>
      <c r="U1130" s="5">
        <f>Final_Table[[#This Row],[Gross Profit]]-Final_Table[[#This Row],[Tax]]</f>
        <v>-2061.3599999999997</v>
      </c>
      <c r="V1130" s="12">
        <f>Final_Table[[#This Row],[Net Profit]]/Final_Table[[#This Row],[Gross Revenue]]</f>
        <v>-0.10104705882352939</v>
      </c>
    </row>
    <row r="1131" spans="1:22">
      <c r="A1131" s="18" t="s">
        <v>76</v>
      </c>
      <c r="B1131">
        <v>2014</v>
      </c>
      <c r="C1131" t="s">
        <v>127</v>
      </c>
      <c r="D1131">
        <v>1</v>
      </c>
      <c r="E1131" s="18" t="s">
        <v>30</v>
      </c>
      <c r="F1131" s="18" t="s">
        <v>80</v>
      </c>
      <c r="G1131" s="18" t="s">
        <v>17</v>
      </c>
      <c r="H1131" s="18" t="str">
        <f>Assumptions!$B$2</f>
        <v>Worst</v>
      </c>
      <c r="I1131" s="18">
        <f>_xlfn.XLOOKUP(Assumptions!$B$2,Assumptions!$F$4:$H$4,Assumptions!$F$5:$H$5)</f>
        <v>1200</v>
      </c>
      <c r="J1131" s="18">
        <f>_xlfn.XLOOKUP(Assumptions!$B$2,Assumptions!$F$4:$H$4,Assumptions!$F$6:$H$6)</f>
        <v>17</v>
      </c>
      <c r="K1131" s="12">
        <f>_xlfn.XLOOKUP(Assumptions!$B$2,Assumptions!$F$4:$H$4,Assumptions!$F$8:$H$8)</f>
        <v>0.1</v>
      </c>
      <c r="L1131" s="12">
        <f>_xlfn.XLOOKUP(Assumptions!$B$2,Assumptions!$F$4:$H$4,Assumptions!$F$9:$H$9)</f>
        <v>0.18</v>
      </c>
      <c r="M1131" s="18">
        <f>_xlfn.XLOOKUP(Assumptions!$B$2,Assumptions!$F$4:$H$4,Assumptions!$F$10:$H$10)</f>
        <v>18000</v>
      </c>
      <c r="N1131" s="12">
        <f>_xlfn.XLOOKUP(Assumptions!$B$2,Assumptions!$F$4:$H$4,Assumptions!$F$11:$H$11)</f>
        <v>0.3</v>
      </c>
      <c r="O1131" s="14">
        <f>Final_Table[[#This Row],[Units Sold]]*Final_Table[[#This Row],[Sale Price]]</f>
        <v>20400</v>
      </c>
      <c r="P1131" s="14">
        <f>Final_Table[[#This Row],[Gross Revenue]]*(1-Final_Table[[#This Row],[Discount %]])</f>
        <v>18360</v>
      </c>
      <c r="Q1131">
        <f>Final_Table[[#This Row],[Net Revenue]]*Final_Table[[#This Row],[Variable Cost %]]</f>
        <v>3304.7999999999997</v>
      </c>
      <c r="R1131">
        <f>Final_Table[[#This Row],[Variable Cost]]+Final_Table[[#This Row],[Fixed Monthly Cost]]</f>
        <v>21304.799999999999</v>
      </c>
      <c r="S1131" s="5">
        <f>Final_Table[[#This Row],[Net Revenue]]-Final_Table[[#This Row],[Total Cost (COGS)]]</f>
        <v>-2944.7999999999993</v>
      </c>
      <c r="T1131">
        <f>Final_Table[[#This Row],[Gross Profit]]*Final_Table[[#This Row],[Tax Rate]]</f>
        <v>-883.43999999999971</v>
      </c>
      <c r="U1131" s="5">
        <f>Final_Table[[#This Row],[Gross Profit]]-Final_Table[[#This Row],[Tax]]</f>
        <v>-2061.3599999999997</v>
      </c>
      <c r="V1131" s="12">
        <f>Final_Table[[#This Row],[Net Profit]]/Final_Table[[#This Row],[Gross Revenue]]</f>
        <v>-0.10104705882352939</v>
      </c>
    </row>
    <row r="1132" spans="1:22">
      <c r="A1132" s="18" t="s">
        <v>76</v>
      </c>
      <c r="B1132">
        <v>2014</v>
      </c>
      <c r="C1132" t="s">
        <v>127</v>
      </c>
      <c r="D1132">
        <v>1</v>
      </c>
      <c r="E1132" s="18" t="s">
        <v>30</v>
      </c>
      <c r="F1132" s="18" t="s">
        <v>108</v>
      </c>
      <c r="G1132" s="18" t="s">
        <v>36</v>
      </c>
      <c r="H1132" s="18" t="str">
        <f>Assumptions!$B$2</f>
        <v>Worst</v>
      </c>
      <c r="I1132" s="18">
        <f>_xlfn.XLOOKUP(Assumptions!$B$2,Assumptions!$F$4:$H$4,Assumptions!$F$5:$H$5)</f>
        <v>1200</v>
      </c>
      <c r="J1132" s="18">
        <f>_xlfn.XLOOKUP(Assumptions!$B$2,Assumptions!$F$4:$H$4,Assumptions!$F$6:$H$6)</f>
        <v>17</v>
      </c>
      <c r="K1132" s="12">
        <f>_xlfn.XLOOKUP(Assumptions!$B$2,Assumptions!$F$4:$H$4,Assumptions!$F$8:$H$8)</f>
        <v>0.1</v>
      </c>
      <c r="L1132" s="12">
        <f>_xlfn.XLOOKUP(Assumptions!$B$2,Assumptions!$F$4:$H$4,Assumptions!$F$9:$H$9)</f>
        <v>0.18</v>
      </c>
      <c r="M1132" s="18">
        <f>_xlfn.XLOOKUP(Assumptions!$B$2,Assumptions!$F$4:$H$4,Assumptions!$F$10:$H$10)</f>
        <v>18000</v>
      </c>
      <c r="N1132" s="12">
        <f>_xlfn.XLOOKUP(Assumptions!$B$2,Assumptions!$F$4:$H$4,Assumptions!$F$11:$H$11)</f>
        <v>0.3</v>
      </c>
      <c r="O1132" s="14">
        <f>Final_Table[[#This Row],[Units Sold]]*Final_Table[[#This Row],[Sale Price]]</f>
        <v>20400</v>
      </c>
      <c r="P1132" s="14">
        <f>Final_Table[[#This Row],[Gross Revenue]]*(1-Final_Table[[#This Row],[Discount %]])</f>
        <v>18360</v>
      </c>
      <c r="Q1132">
        <f>Final_Table[[#This Row],[Net Revenue]]*Final_Table[[#This Row],[Variable Cost %]]</f>
        <v>3304.7999999999997</v>
      </c>
      <c r="R1132">
        <f>Final_Table[[#This Row],[Variable Cost]]+Final_Table[[#This Row],[Fixed Monthly Cost]]</f>
        <v>21304.799999999999</v>
      </c>
      <c r="S1132" s="5">
        <f>Final_Table[[#This Row],[Net Revenue]]-Final_Table[[#This Row],[Total Cost (COGS)]]</f>
        <v>-2944.7999999999993</v>
      </c>
      <c r="T1132">
        <f>Final_Table[[#This Row],[Gross Profit]]*Final_Table[[#This Row],[Tax Rate]]</f>
        <v>-883.43999999999971</v>
      </c>
      <c r="U1132" s="5">
        <f>Final_Table[[#This Row],[Gross Profit]]-Final_Table[[#This Row],[Tax]]</f>
        <v>-2061.3599999999997</v>
      </c>
      <c r="V1132" s="12">
        <f>Final_Table[[#This Row],[Net Profit]]/Final_Table[[#This Row],[Gross Revenue]]</f>
        <v>-0.10104705882352939</v>
      </c>
    </row>
    <row r="1133" spans="1:22">
      <c r="A1133" s="18" t="s">
        <v>76</v>
      </c>
      <c r="B1133">
        <v>2014</v>
      </c>
      <c r="C1133" t="s">
        <v>127</v>
      </c>
      <c r="D1133">
        <v>1</v>
      </c>
      <c r="E1133" s="18" t="s">
        <v>30</v>
      </c>
      <c r="F1133" s="18" t="s">
        <v>108</v>
      </c>
      <c r="G1133" s="18" t="s">
        <v>23</v>
      </c>
      <c r="H1133" s="18" t="str">
        <f>Assumptions!$B$2</f>
        <v>Worst</v>
      </c>
      <c r="I1133" s="18">
        <f>_xlfn.XLOOKUP(Assumptions!$B$2,Assumptions!$F$4:$H$4,Assumptions!$F$5:$H$5)</f>
        <v>1200</v>
      </c>
      <c r="J1133" s="18">
        <f>_xlfn.XLOOKUP(Assumptions!$B$2,Assumptions!$F$4:$H$4,Assumptions!$F$6:$H$6)</f>
        <v>17</v>
      </c>
      <c r="K1133" s="12">
        <f>_xlfn.XLOOKUP(Assumptions!$B$2,Assumptions!$F$4:$H$4,Assumptions!$F$8:$H$8)</f>
        <v>0.1</v>
      </c>
      <c r="L1133" s="12">
        <f>_xlfn.XLOOKUP(Assumptions!$B$2,Assumptions!$F$4:$H$4,Assumptions!$F$9:$H$9)</f>
        <v>0.18</v>
      </c>
      <c r="M1133" s="18">
        <f>_xlfn.XLOOKUP(Assumptions!$B$2,Assumptions!$F$4:$H$4,Assumptions!$F$10:$H$10)</f>
        <v>18000</v>
      </c>
      <c r="N1133" s="12">
        <f>_xlfn.XLOOKUP(Assumptions!$B$2,Assumptions!$F$4:$H$4,Assumptions!$F$11:$H$11)</f>
        <v>0.3</v>
      </c>
      <c r="O1133" s="14">
        <f>Final_Table[[#This Row],[Units Sold]]*Final_Table[[#This Row],[Sale Price]]</f>
        <v>20400</v>
      </c>
      <c r="P1133" s="14">
        <f>Final_Table[[#This Row],[Gross Revenue]]*(1-Final_Table[[#This Row],[Discount %]])</f>
        <v>18360</v>
      </c>
      <c r="Q1133">
        <f>Final_Table[[#This Row],[Net Revenue]]*Final_Table[[#This Row],[Variable Cost %]]</f>
        <v>3304.7999999999997</v>
      </c>
      <c r="R1133">
        <f>Final_Table[[#This Row],[Variable Cost]]+Final_Table[[#This Row],[Fixed Monthly Cost]]</f>
        <v>21304.799999999999</v>
      </c>
      <c r="S1133" s="5">
        <f>Final_Table[[#This Row],[Net Revenue]]-Final_Table[[#This Row],[Total Cost (COGS)]]</f>
        <v>-2944.7999999999993</v>
      </c>
      <c r="T1133">
        <f>Final_Table[[#This Row],[Gross Profit]]*Final_Table[[#This Row],[Tax Rate]]</f>
        <v>-883.43999999999971</v>
      </c>
      <c r="U1133" s="5">
        <f>Final_Table[[#This Row],[Gross Profit]]-Final_Table[[#This Row],[Tax]]</f>
        <v>-2061.3599999999997</v>
      </c>
      <c r="V1133" s="12">
        <f>Final_Table[[#This Row],[Net Profit]]/Final_Table[[#This Row],[Gross Revenue]]</f>
        <v>-0.10104705882352939</v>
      </c>
    </row>
    <row r="1134" spans="1:22">
      <c r="A1134" s="18" t="s">
        <v>76</v>
      </c>
      <c r="B1134">
        <v>2014</v>
      </c>
      <c r="C1134" t="s">
        <v>127</v>
      </c>
      <c r="D1134">
        <v>1</v>
      </c>
      <c r="E1134" s="18" t="s">
        <v>30</v>
      </c>
      <c r="F1134" s="18" t="s">
        <v>108</v>
      </c>
      <c r="G1134" s="18" t="s">
        <v>21</v>
      </c>
      <c r="H1134" s="18" t="str">
        <f>Assumptions!$B$2</f>
        <v>Worst</v>
      </c>
      <c r="I1134" s="18">
        <f>_xlfn.XLOOKUP(Assumptions!$B$2,Assumptions!$F$4:$H$4,Assumptions!$F$5:$H$5)</f>
        <v>1200</v>
      </c>
      <c r="J1134" s="18">
        <f>_xlfn.XLOOKUP(Assumptions!$B$2,Assumptions!$F$4:$H$4,Assumptions!$F$6:$H$6)</f>
        <v>17</v>
      </c>
      <c r="K1134" s="12">
        <f>_xlfn.XLOOKUP(Assumptions!$B$2,Assumptions!$F$4:$H$4,Assumptions!$F$8:$H$8)</f>
        <v>0.1</v>
      </c>
      <c r="L1134" s="12">
        <f>_xlfn.XLOOKUP(Assumptions!$B$2,Assumptions!$F$4:$H$4,Assumptions!$F$9:$H$9)</f>
        <v>0.18</v>
      </c>
      <c r="M1134" s="18">
        <f>_xlfn.XLOOKUP(Assumptions!$B$2,Assumptions!$F$4:$H$4,Assumptions!$F$10:$H$10)</f>
        <v>18000</v>
      </c>
      <c r="N1134" s="12">
        <f>_xlfn.XLOOKUP(Assumptions!$B$2,Assumptions!$F$4:$H$4,Assumptions!$F$11:$H$11)</f>
        <v>0.3</v>
      </c>
      <c r="O1134" s="14">
        <f>Final_Table[[#This Row],[Units Sold]]*Final_Table[[#This Row],[Sale Price]]</f>
        <v>20400</v>
      </c>
      <c r="P1134" s="14">
        <f>Final_Table[[#This Row],[Gross Revenue]]*(1-Final_Table[[#This Row],[Discount %]])</f>
        <v>18360</v>
      </c>
      <c r="Q1134">
        <f>Final_Table[[#This Row],[Net Revenue]]*Final_Table[[#This Row],[Variable Cost %]]</f>
        <v>3304.7999999999997</v>
      </c>
      <c r="R1134">
        <f>Final_Table[[#This Row],[Variable Cost]]+Final_Table[[#This Row],[Fixed Monthly Cost]]</f>
        <v>21304.799999999999</v>
      </c>
      <c r="S1134" s="5">
        <f>Final_Table[[#This Row],[Net Revenue]]-Final_Table[[#This Row],[Total Cost (COGS)]]</f>
        <v>-2944.7999999999993</v>
      </c>
      <c r="T1134">
        <f>Final_Table[[#This Row],[Gross Profit]]*Final_Table[[#This Row],[Tax Rate]]</f>
        <v>-883.43999999999971</v>
      </c>
      <c r="U1134" s="5">
        <f>Final_Table[[#This Row],[Gross Profit]]-Final_Table[[#This Row],[Tax]]</f>
        <v>-2061.3599999999997</v>
      </c>
      <c r="V1134" s="12">
        <f>Final_Table[[#This Row],[Net Profit]]/Final_Table[[#This Row],[Gross Revenue]]</f>
        <v>-0.10104705882352939</v>
      </c>
    </row>
    <row r="1135" spans="1:22">
      <c r="A1135" s="18" t="s">
        <v>76</v>
      </c>
      <c r="B1135">
        <v>2014</v>
      </c>
      <c r="C1135" t="s">
        <v>127</v>
      </c>
      <c r="D1135">
        <v>1</v>
      </c>
      <c r="E1135" s="18" t="s">
        <v>30</v>
      </c>
      <c r="F1135" s="18" t="s">
        <v>108</v>
      </c>
      <c r="G1135" s="18" t="s">
        <v>25</v>
      </c>
      <c r="H1135" s="18" t="str">
        <f>Assumptions!$B$2</f>
        <v>Worst</v>
      </c>
      <c r="I1135" s="18">
        <f>_xlfn.XLOOKUP(Assumptions!$B$2,Assumptions!$F$4:$H$4,Assumptions!$F$5:$H$5)</f>
        <v>1200</v>
      </c>
      <c r="J1135" s="18">
        <f>_xlfn.XLOOKUP(Assumptions!$B$2,Assumptions!$F$4:$H$4,Assumptions!$F$6:$H$6)</f>
        <v>17</v>
      </c>
      <c r="K1135" s="12">
        <f>_xlfn.XLOOKUP(Assumptions!$B$2,Assumptions!$F$4:$H$4,Assumptions!$F$8:$H$8)</f>
        <v>0.1</v>
      </c>
      <c r="L1135" s="12">
        <f>_xlfn.XLOOKUP(Assumptions!$B$2,Assumptions!$F$4:$H$4,Assumptions!$F$9:$H$9)</f>
        <v>0.18</v>
      </c>
      <c r="M1135" s="18">
        <f>_xlfn.XLOOKUP(Assumptions!$B$2,Assumptions!$F$4:$H$4,Assumptions!$F$10:$H$10)</f>
        <v>18000</v>
      </c>
      <c r="N1135" s="12">
        <f>_xlfn.XLOOKUP(Assumptions!$B$2,Assumptions!$F$4:$H$4,Assumptions!$F$11:$H$11)</f>
        <v>0.3</v>
      </c>
      <c r="O1135" s="14">
        <f>Final_Table[[#This Row],[Units Sold]]*Final_Table[[#This Row],[Sale Price]]</f>
        <v>20400</v>
      </c>
      <c r="P1135" s="14">
        <f>Final_Table[[#This Row],[Gross Revenue]]*(1-Final_Table[[#This Row],[Discount %]])</f>
        <v>18360</v>
      </c>
      <c r="Q1135">
        <f>Final_Table[[#This Row],[Net Revenue]]*Final_Table[[#This Row],[Variable Cost %]]</f>
        <v>3304.7999999999997</v>
      </c>
      <c r="R1135">
        <f>Final_Table[[#This Row],[Variable Cost]]+Final_Table[[#This Row],[Fixed Monthly Cost]]</f>
        <v>21304.799999999999</v>
      </c>
      <c r="S1135" s="5">
        <f>Final_Table[[#This Row],[Net Revenue]]-Final_Table[[#This Row],[Total Cost (COGS)]]</f>
        <v>-2944.7999999999993</v>
      </c>
      <c r="T1135">
        <f>Final_Table[[#This Row],[Gross Profit]]*Final_Table[[#This Row],[Tax Rate]]</f>
        <v>-883.43999999999971</v>
      </c>
      <c r="U1135" s="5">
        <f>Final_Table[[#This Row],[Gross Profit]]-Final_Table[[#This Row],[Tax]]</f>
        <v>-2061.3599999999997</v>
      </c>
      <c r="V1135" s="12">
        <f>Final_Table[[#This Row],[Net Profit]]/Final_Table[[#This Row],[Gross Revenue]]</f>
        <v>-0.10104705882352939</v>
      </c>
    </row>
    <row r="1136" spans="1:22">
      <c r="A1136" s="18" t="s">
        <v>76</v>
      </c>
      <c r="B1136">
        <v>2014</v>
      </c>
      <c r="C1136" t="s">
        <v>127</v>
      </c>
      <c r="D1136">
        <v>1</v>
      </c>
      <c r="E1136" s="18" t="s">
        <v>30</v>
      </c>
      <c r="F1136" s="18" t="s">
        <v>108</v>
      </c>
      <c r="G1136" s="18" t="s">
        <v>17</v>
      </c>
      <c r="H1136" s="18" t="str">
        <f>Assumptions!$B$2</f>
        <v>Worst</v>
      </c>
      <c r="I1136" s="18">
        <f>_xlfn.XLOOKUP(Assumptions!$B$2,Assumptions!$F$4:$H$4,Assumptions!$F$5:$H$5)</f>
        <v>1200</v>
      </c>
      <c r="J1136" s="18">
        <f>_xlfn.XLOOKUP(Assumptions!$B$2,Assumptions!$F$4:$H$4,Assumptions!$F$6:$H$6)</f>
        <v>17</v>
      </c>
      <c r="K1136" s="12">
        <f>_xlfn.XLOOKUP(Assumptions!$B$2,Assumptions!$F$4:$H$4,Assumptions!$F$8:$H$8)</f>
        <v>0.1</v>
      </c>
      <c r="L1136" s="12">
        <f>_xlfn.XLOOKUP(Assumptions!$B$2,Assumptions!$F$4:$H$4,Assumptions!$F$9:$H$9)</f>
        <v>0.18</v>
      </c>
      <c r="M1136" s="18">
        <f>_xlfn.XLOOKUP(Assumptions!$B$2,Assumptions!$F$4:$H$4,Assumptions!$F$10:$H$10)</f>
        <v>18000</v>
      </c>
      <c r="N1136" s="12">
        <f>_xlfn.XLOOKUP(Assumptions!$B$2,Assumptions!$F$4:$H$4,Assumptions!$F$11:$H$11)</f>
        <v>0.3</v>
      </c>
      <c r="O1136" s="14">
        <f>Final_Table[[#This Row],[Units Sold]]*Final_Table[[#This Row],[Sale Price]]</f>
        <v>20400</v>
      </c>
      <c r="P1136" s="14">
        <f>Final_Table[[#This Row],[Gross Revenue]]*(1-Final_Table[[#This Row],[Discount %]])</f>
        <v>18360</v>
      </c>
      <c r="Q1136">
        <f>Final_Table[[#This Row],[Net Revenue]]*Final_Table[[#This Row],[Variable Cost %]]</f>
        <v>3304.7999999999997</v>
      </c>
      <c r="R1136">
        <f>Final_Table[[#This Row],[Variable Cost]]+Final_Table[[#This Row],[Fixed Monthly Cost]]</f>
        <v>21304.799999999999</v>
      </c>
      <c r="S1136" s="5">
        <f>Final_Table[[#This Row],[Net Revenue]]-Final_Table[[#This Row],[Total Cost (COGS)]]</f>
        <v>-2944.7999999999993</v>
      </c>
      <c r="T1136">
        <f>Final_Table[[#This Row],[Gross Profit]]*Final_Table[[#This Row],[Tax Rate]]</f>
        <v>-883.43999999999971</v>
      </c>
      <c r="U1136" s="5">
        <f>Final_Table[[#This Row],[Gross Profit]]-Final_Table[[#This Row],[Tax]]</f>
        <v>-2061.3599999999997</v>
      </c>
      <c r="V1136" s="12">
        <f>Final_Table[[#This Row],[Net Profit]]/Final_Table[[#This Row],[Gross Revenue]]</f>
        <v>-0.10104705882352939</v>
      </c>
    </row>
    <row r="1137" spans="1:22">
      <c r="A1137" s="18" t="s">
        <v>76</v>
      </c>
      <c r="B1137">
        <v>2014</v>
      </c>
      <c r="C1137" t="s">
        <v>127</v>
      </c>
      <c r="D1137">
        <v>1</v>
      </c>
      <c r="E1137" s="18" t="s">
        <v>30</v>
      </c>
      <c r="F1137" s="18" t="s">
        <v>112</v>
      </c>
      <c r="G1137" s="18" t="s">
        <v>36</v>
      </c>
      <c r="H1137" s="18" t="str">
        <f>Assumptions!$B$2</f>
        <v>Worst</v>
      </c>
      <c r="I1137" s="18">
        <f>_xlfn.XLOOKUP(Assumptions!$B$2,Assumptions!$F$4:$H$4,Assumptions!$F$5:$H$5)</f>
        <v>1200</v>
      </c>
      <c r="J1137" s="18">
        <f>_xlfn.XLOOKUP(Assumptions!$B$2,Assumptions!$F$4:$H$4,Assumptions!$F$6:$H$6)</f>
        <v>17</v>
      </c>
      <c r="K1137" s="12">
        <f>_xlfn.XLOOKUP(Assumptions!$B$2,Assumptions!$F$4:$H$4,Assumptions!$F$8:$H$8)</f>
        <v>0.1</v>
      </c>
      <c r="L1137" s="12">
        <f>_xlfn.XLOOKUP(Assumptions!$B$2,Assumptions!$F$4:$H$4,Assumptions!$F$9:$H$9)</f>
        <v>0.18</v>
      </c>
      <c r="M1137" s="18">
        <f>_xlfn.XLOOKUP(Assumptions!$B$2,Assumptions!$F$4:$H$4,Assumptions!$F$10:$H$10)</f>
        <v>18000</v>
      </c>
      <c r="N1137" s="12">
        <f>_xlfn.XLOOKUP(Assumptions!$B$2,Assumptions!$F$4:$H$4,Assumptions!$F$11:$H$11)</f>
        <v>0.3</v>
      </c>
      <c r="O1137" s="14">
        <f>Final_Table[[#This Row],[Units Sold]]*Final_Table[[#This Row],[Sale Price]]</f>
        <v>20400</v>
      </c>
      <c r="P1137" s="14">
        <f>Final_Table[[#This Row],[Gross Revenue]]*(1-Final_Table[[#This Row],[Discount %]])</f>
        <v>18360</v>
      </c>
      <c r="Q1137">
        <f>Final_Table[[#This Row],[Net Revenue]]*Final_Table[[#This Row],[Variable Cost %]]</f>
        <v>3304.7999999999997</v>
      </c>
      <c r="R1137">
        <f>Final_Table[[#This Row],[Variable Cost]]+Final_Table[[#This Row],[Fixed Monthly Cost]]</f>
        <v>21304.799999999999</v>
      </c>
      <c r="S1137" s="5">
        <f>Final_Table[[#This Row],[Net Revenue]]-Final_Table[[#This Row],[Total Cost (COGS)]]</f>
        <v>-2944.7999999999993</v>
      </c>
      <c r="T1137">
        <f>Final_Table[[#This Row],[Gross Profit]]*Final_Table[[#This Row],[Tax Rate]]</f>
        <v>-883.43999999999971</v>
      </c>
      <c r="U1137" s="5">
        <f>Final_Table[[#This Row],[Gross Profit]]-Final_Table[[#This Row],[Tax]]</f>
        <v>-2061.3599999999997</v>
      </c>
      <c r="V1137" s="12">
        <f>Final_Table[[#This Row],[Net Profit]]/Final_Table[[#This Row],[Gross Revenue]]</f>
        <v>-0.10104705882352939</v>
      </c>
    </row>
    <row r="1138" spans="1:22">
      <c r="A1138" s="18" t="s">
        <v>76</v>
      </c>
      <c r="B1138">
        <v>2014</v>
      </c>
      <c r="C1138" t="s">
        <v>127</v>
      </c>
      <c r="D1138">
        <v>1</v>
      </c>
      <c r="E1138" s="18" t="s">
        <v>30</v>
      </c>
      <c r="F1138" s="18" t="s">
        <v>112</v>
      </c>
      <c r="G1138" s="18" t="s">
        <v>23</v>
      </c>
      <c r="H1138" s="18" t="str">
        <f>Assumptions!$B$2</f>
        <v>Worst</v>
      </c>
      <c r="I1138" s="18">
        <f>_xlfn.XLOOKUP(Assumptions!$B$2,Assumptions!$F$4:$H$4,Assumptions!$F$5:$H$5)</f>
        <v>1200</v>
      </c>
      <c r="J1138" s="18">
        <f>_xlfn.XLOOKUP(Assumptions!$B$2,Assumptions!$F$4:$H$4,Assumptions!$F$6:$H$6)</f>
        <v>17</v>
      </c>
      <c r="K1138" s="12">
        <f>_xlfn.XLOOKUP(Assumptions!$B$2,Assumptions!$F$4:$H$4,Assumptions!$F$8:$H$8)</f>
        <v>0.1</v>
      </c>
      <c r="L1138" s="12">
        <f>_xlfn.XLOOKUP(Assumptions!$B$2,Assumptions!$F$4:$H$4,Assumptions!$F$9:$H$9)</f>
        <v>0.18</v>
      </c>
      <c r="M1138" s="18">
        <f>_xlfn.XLOOKUP(Assumptions!$B$2,Assumptions!$F$4:$H$4,Assumptions!$F$10:$H$10)</f>
        <v>18000</v>
      </c>
      <c r="N1138" s="12">
        <f>_xlfn.XLOOKUP(Assumptions!$B$2,Assumptions!$F$4:$H$4,Assumptions!$F$11:$H$11)</f>
        <v>0.3</v>
      </c>
      <c r="O1138" s="14">
        <f>Final_Table[[#This Row],[Units Sold]]*Final_Table[[#This Row],[Sale Price]]</f>
        <v>20400</v>
      </c>
      <c r="P1138" s="14">
        <f>Final_Table[[#This Row],[Gross Revenue]]*(1-Final_Table[[#This Row],[Discount %]])</f>
        <v>18360</v>
      </c>
      <c r="Q1138">
        <f>Final_Table[[#This Row],[Net Revenue]]*Final_Table[[#This Row],[Variable Cost %]]</f>
        <v>3304.7999999999997</v>
      </c>
      <c r="R1138">
        <f>Final_Table[[#This Row],[Variable Cost]]+Final_Table[[#This Row],[Fixed Monthly Cost]]</f>
        <v>21304.799999999999</v>
      </c>
      <c r="S1138" s="5">
        <f>Final_Table[[#This Row],[Net Revenue]]-Final_Table[[#This Row],[Total Cost (COGS)]]</f>
        <v>-2944.7999999999993</v>
      </c>
      <c r="T1138">
        <f>Final_Table[[#This Row],[Gross Profit]]*Final_Table[[#This Row],[Tax Rate]]</f>
        <v>-883.43999999999971</v>
      </c>
      <c r="U1138" s="5">
        <f>Final_Table[[#This Row],[Gross Profit]]-Final_Table[[#This Row],[Tax]]</f>
        <v>-2061.3599999999997</v>
      </c>
      <c r="V1138" s="12">
        <f>Final_Table[[#This Row],[Net Profit]]/Final_Table[[#This Row],[Gross Revenue]]</f>
        <v>-0.10104705882352939</v>
      </c>
    </row>
    <row r="1139" spans="1:22">
      <c r="A1139" s="18" t="s">
        <v>76</v>
      </c>
      <c r="B1139">
        <v>2014</v>
      </c>
      <c r="C1139" t="s">
        <v>127</v>
      </c>
      <c r="D1139">
        <v>1</v>
      </c>
      <c r="E1139" s="18" t="s">
        <v>30</v>
      </c>
      <c r="F1139" s="18" t="s">
        <v>112</v>
      </c>
      <c r="G1139" s="18" t="s">
        <v>21</v>
      </c>
      <c r="H1139" s="18" t="str">
        <f>Assumptions!$B$2</f>
        <v>Worst</v>
      </c>
      <c r="I1139" s="18">
        <f>_xlfn.XLOOKUP(Assumptions!$B$2,Assumptions!$F$4:$H$4,Assumptions!$F$5:$H$5)</f>
        <v>1200</v>
      </c>
      <c r="J1139" s="18">
        <f>_xlfn.XLOOKUP(Assumptions!$B$2,Assumptions!$F$4:$H$4,Assumptions!$F$6:$H$6)</f>
        <v>17</v>
      </c>
      <c r="K1139" s="12">
        <f>_xlfn.XLOOKUP(Assumptions!$B$2,Assumptions!$F$4:$H$4,Assumptions!$F$8:$H$8)</f>
        <v>0.1</v>
      </c>
      <c r="L1139" s="12">
        <f>_xlfn.XLOOKUP(Assumptions!$B$2,Assumptions!$F$4:$H$4,Assumptions!$F$9:$H$9)</f>
        <v>0.18</v>
      </c>
      <c r="M1139" s="18">
        <f>_xlfn.XLOOKUP(Assumptions!$B$2,Assumptions!$F$4:$H$4,Assumptions!$F$10:$H$10)</f>
        <v>18000</v>
      </c>
      <c r="N1139" s="12">
        <f>_xlfn.XLOOKUP(Assumptions!$B$2,Assumptions!$F$4:$H$4,Assumptions!$F$11:$H$11)</f>
        <v>0.3</v>
      </c>
      <c r="O1139" s="14">
        <f>Final_Table[[#This Row],[Units Sold]]*Final_Table[[#This Row],[Sale Price]]</f>
        <v>20400</v>
      </c>
      <c r="P1139" s="14">
        <f>Final_Table[[#This Row],[Gross Revenue]]*(1-Final_Table[[#This Row],[Discount %]])</f>
        <v>18360</v>
      </c>
      <c r="Q1139">
        <f>Final_Table[[#This Row],[Net Revenue]]*Final_Table[[#This Row],[Variable Cost %]]</f>
        <v>3304.7999999999997</v>
      </c>
      <c r="R1139">
        <f>Final_Table[[#This Row],[Variable Cost]]+Final_Table[[#This Row],[Fixed Monthly Cost]]</f>
        <v>21304.799999999999</v>
      </c>
      <c r="S1139" s="5">
        <f>Final_Table[[#This Row],[Net Revenue]]-Final_Table[[#This Row],[Total Cost (COGS)]]</f>
        <v>-2944.7999999999993</v>
      </c>
      <c r="T1139">
        <f>Final_Table[[#This Row],[Gross Profit]]*Final_Table[[#This Row],[Tax Rate]]</f>
        <v>-883.43999999999971</v>
      </c>
      <c r="U1139" s="5">
        <f>Final_Table[[#This Row],[Gross Profit]]-Final_Table[[#This Row],[Tax]]</f>
        <v>-2061.3599999999997</v>
      </c>
      <c r="V1139" s="12">
        <f>Final_Table[[#This Row],[Net Profit]]/Final_Table[[#This Row],[Gross Revenue]]</f>
        <v>-0.10104705882352939</v>
      </c>
    </row>
    <row r="1140" spans="1:22">
      <c r="A1140" s="18" t="s">
        <v>76</v>
      </c>
      <c r="B1140">
        <v>2014</v>
      </c>
      <c r="C1140" t="s">
        <v>127</v>
      </c>
      <c r="D1140">
        <v>1</v>
      </c>
      <c r="E1140" s="18" t="s">
        <v>30</v>
      </c>
      <c r="F1140" s="18" t="s">
        <v>112</v>
      </c>
      <c r="G1140" s="18" t="s">
        <v>25</v>
      </c>
      <c r="H1140" s="18" t="str">
        <f>Assumptions!$B$2</f>
        <v>Worst</v>
      </c>
      <c r="I1140" s="18">
        <f>_xlfn.XLOOKUP(Assumptions!$B$2,Assumptions!$F$4:$H$4,Assumptions!$F$5:$H$5)</f>
        <v>1200</v>
      </c>
      <c r="J1140" s="18">
        <f>_xlfn.XLOOKUP(Assumptions!$B$2,Assumptions!$F$4:$H$4,Assumptions!$F$6:$H$6)</f>
        <v>17</v>
      </c>
      <c r="K1140" s="12">
        <f>_xlfn.XLOOKUP(Assumptions!$B$2,Assumptions!$F$4:$H$4,Assumptions!$F$8:$H$8)</f>
        <v>0.1</v>
      </c>
      <c r="L1140" s="12">
        <f>_xlfn.XLOOKUP(Assumptions!$B$2,Assumptions!$F$4:$H$4,Assumptions!$F$9:$H$9)</f>
        <v>0.18</v>
      </c>
      <c r="M1140" s="18">
        <f>_xlfn.XLOOKUP(Assumptions!$B$2,Assumptions!$F$4:$H$4,Assumptions!$F$10:$H$10)</f>
        <v>18000</v>
      </c>
      <c r="N1140" s="12">
        <f>_xlfn.XLOOKUP(Assumptions!$B$2,Assumptions!$F$4:$H$4,Assumptions!$F$11:$H$11)</f>
        <v>0.3</v>
      </c>
      <c r="O1140" s="14">
        <f>Final_Table[[#This Row],[Units Sold]]*Final_Table[[#This Row],[Sale Price]]</f>
        <v>20400</v>
      </c>
      <c r="P1140" s="14">
        <f>Final_Table[[#This Row],[Gross Revenue]]*(1-Final_Table[[#This Row],[Discount %]])</f>
        <v>18360</v>
      </c>
      <c r="Q1140">
        <f>Final_Table[[#This Row],[Net Revenue]]*Final_Table[[#This Row],[Variable Cost %]]</f>
        <v>3304.7999999999997</v>
      </c>
      <c r="R1140">
        <f>Final_Table[[#This Row],[Variable Cost]]+Final_Table[[#This Row],[Fixed Monthly Cost]]</f>
        <v>21304.799999999999</v>
      </c>
      <c r="S1140" s="5">
        <f>Final_Table[[#This Row],[Net Revenue]]-Final_Table[[#This Row],[Total Cost (COGS)]]</f>
        <v>-2944.7999999999993</v>
      </c>
      <c r="T1140">
        <f>Final_Table[[#This Row],[Gross Profit]]*Final_Table[[#This Row],[Tax Rate]]</f>
        <v>-883.43999999999971</v>
      </c>
      <c r="U1140" s="5">
        <f>Final_Table[[#This Row],[Gross Profit]]-Final_Table[[#This Row],[Tax]]</f>
        <v>-2061.3599999999997</v>
      </c>
      <c r="V1140" s="12">
        <f>Final_Table[[#This Row],[Net Profit]]/Final_Table[[#This Row],[Gross Revenue]]</f>
        <v>-0.10104705882352939</v>
      </c>
    </row>
    <row r="1141" spans="1:22">
      <c r="A1141" s="18" t="s">
        <v>76</v>
      </c>
      <c r="B1141">
        <v>2014</v>
      </c>
      <c r="C1141" t="s">
        <v>127</v>
      </c>
      <c r="D1141">
        <v>1</v>
      </c>
      <c r="E1141" s="18" t="s">
        <v>30</v>
      </c>
      <c r="F1141" s="18" t="s">
        <v>112</v>
      </c>
      <c r="G1141" s="18" t="s">
        <v>17</v>
      </c>
      <c r="H1141" s="18" t="str">
        <f>Assumptions!$B$2</f>
        <v>Worst</v>
      </c>
      <c r="I1141" s="18">
        <f>_xlfn.XLOOKUP(Assumptions!$B$2,Assumptions!$F$4:$H$4,Assumptions!$F$5:$H$5)</f>
        <v>1200</v>
      </c>
      <c r="J1141" s="18">
        <f>_xlfn.XLOOKUP(Assumptions!$B$2,Assumptions!$F$4:$H$4,Assumptions!$F$6:$H$6)</f>
        <v>17</v>
      </c>
      <c r="K1141" s="12">
        <f>_xlfn.XLOOKUP(Assumptions!$B$2,Assumptions!$F$4:$H$4,Assumptions!$F$8:$H$8)</f>
        <v>0.1</v>
      </c>
      <c r="L1141" s="12">
        <f>_xlfn.XLOOKUP(Assumptions!$B$2,Assumptions!$F$4:$H$4,Assumptions!$F$9:$H$9)</f>
        <v>0.18</v>
      </c>
      <c r="M1141" s="18">
        <f>_xlfn.XLOOKUP(Assumptions!$B$2,Assumptions!$F$4:$H$4,Assumptions!$F$10:$H$10)</f>
        <v>18000</v>
      </c>
      <c r="N1141" s="12">
        <f>_xlfn.XLOOKUP(Assumptions!$B$2,Assumptions!$F$4:$H$4,Assumptions!$F$11:$H$11)</f>
        <v>0.3</v>
      </c>
      <c r="O1141" s="14">
        <f>Final_Table[[#This Row],[Units Sold]]*Final_Table[[#This Row],[Sale Price]]</f>
        <v>20400</v>
      </c>
      <c r="P1141" s="14">
        <f>Final_Table[[#This Row],[Gross Revenue]]*(1-Final_Table[[#This Row],[Discount %]])</f>
        <v>18360</v>
      </c>
      <c r="Q1141">
        <f>Final_Table[[#This Row],[Net Revenue]]*Final_Table[[#This Row],[Variable Cost %]]</f>
        <v>3304.7999999999997</v>
      </c>
      <c r="R1141">
        <f>Final_Table[[#This Row],[Variable Cost]]+Final_Table[[#This Row],[Fixed Monthly Cost]]</f>
        <v>21304.799999999999</v>
      </c>
      <c r="S1141" s="5">
        <f>Final_Table[[#This Row],[Net Revenue]]-Final_Table[[#This Row],[Total Cost (COGS)]]</f>
        <v>-2944.7999999999993</v>
      </c>
      <c r="T1141">
        <f>Final_Table[[#This Row],[Gross Profit]]*Final_Table[[#This Row],[Tax Rate]]</f>
        <v>-883.43999999999971</v>
      </c>
      <c r="U1141" s="5">
        <f>Final_Table[[#This Row],[Gross Profit]]-Final_Table[[#This Row],[Tax]]</f>
        <v>-2061.3599999999997</v>
      </c>
      <c r="V1141" s="12">
        <f>Final_Table[[#This Row],[Net Profit]]/Final_Table[[#This Row],[Gross Revenue]]</f>
        <v>-0.10104705882352939</v>
      </c>
    </row>
    <row r="1142" spans="1:22">
      <c r="A1142" s="18" t="s">
        <v>76</v>
      </c>
      <c r="B1142">
        <v>2014</v>
      </c>
      <c r="C1142" t="s">
        <v>127</v>
      </c>
      <c r="D1142">
        <v>1</v>
      </c>
      <c r="E1142" s="18" t="s">
        <v>30</v>
      </c>
      <c r="F1142" s="18" t="s">
        <v>113</v>
      </c>
      <c r="G1142" s="18" t="s">
        <v>36</v>
      </c>
      <c r="H1142" s="18" t="str">
        <f>Assumptions!$B$2</f>
        <v>Worst</v>
      </c>
      <c r="I1142" s="18">
        <f>_xlfn.XLOOKUP(Assumptions!$B$2,Assumptions!$F$4:$H$4,Assumptions!$F$5:$H$5)</f>
        <v>1200</v>
      </c>
      <c r="J1142" s="18">
        <f>_xlfn.XLOOKUP(Assumptions!$B$2,Assumptions!$F$4:$H$4,Assumptions!$F$6:$H$6)</f>
        <v>17</v>
      </c>
      <c r="K1142" s="12">
        <f>_xlfn.XLOOKUP(Assumptions!$B$2,Assumptions!$F$4:$H$4,Assumptions!$F$8:$H$8)</f>
        <v>0.1</v>
      </c>
      <c r="L1142" s="12">
        <f>_xlfn.XLOOKUP(Assumptions!$B$2,Assumptions!$F$4:$H$4,Assumptions!$F$9:$H$9)</f>
        <v>0.18</v>
      </c>
      <c r="M1142" s="18">
        <f>_xlfn.XLOOKUP(Assumptions!$B$2,Assumptions!$F$4:$H$4,Assumptions!$F$10:$H$10)</f>
        <v>18000</v>
      </c>
      <c r="N1142" s="12">
        <f>_xlfn.XLOOKUP(Assumptions!$B$2,Assumptions!$F$4:$H$4,Assumptions!$F$11:$H$11)</f>
        <v>0.3</v>
      </c>
      <c r="O1142" s="14">
        <f>Final_Table[[#This Row],[Units Sold]]*Final_Table[[#This Row],[Sale Price]]</f>
        <v>20400</v>
      </c>
      <c r="P1142" s="14">
        <f>Final_Table[[#This Row],[Gross Revenue]]*(1-Final_Table[[#This Row],[Discount %]])</f>
        <v>18360</v>
      </c>
      <c r="Q1142">
        <f>Final_Table[[#This Row],[Net Revenue]]*Final_Table[[#This Row],[Variable Cost %]]</f>
        <v>3304.7999999999997</v>
      </c>
      <c r="R1142">
        <f>Final_Table[[#This Row],[Variable Cost]]+Final_Table[[#This Row],[Fixed Monthly Cost]]</f>
        <v>21304.799999999999</v>
      </c>
      <c r="S1142" s="5">
        <f>Final_Table[[#This Row],[Net Revenue]]-Final_Table[[#This Row],[Total Cost (COGS)]]</f>
        <v>-2944.7999999999993</v>
      </c>
      <c r="T1142">
        <f>Final_Table[[#This Row],[Gross Profit]]*Final_Table[[#This Row],[Tax Rate]]</f>
        <v>-883.43999999999971</v>
      </c>
      <c r="U1142" s="5">
        <f>Final_Table[[#This Row],[Gross Profit]]-Final_Table[[#This Row],[Tax]]</f>
        <v>-2061.3599999999997</v>
      </c>
      <c r="V1142" s="12">
        <f>Final_Table[[#This Row],[Net Profit]]/Final_Table[[#This Row],[Gross Revenue]]</f>
        <v>-0.10104705882352939</v>
      </c>
    </row>
    <row r="1143" spans="1:22">
      <c r="A1143" s="18" t="s">
        <v>76</v>
      </c>
      <c r="B1143">
        <v>2014</v>
      </c>
      <c r="C1143" t="s">
        <v>127</v>
      </c>
      <c r="D1143">
        <v>1</v>
      </c>
      <c r="E1143" s="18" t="s">
        <v>30</v>
      </c>
      <c r="F1143" s="18" t="s">
        <v>113</v>
      </c>
      <c r="G1143" s="18" t="s">
        <v>23</v>
      </c>
      <c r="H1143" s="18" t="str">
        <f>Assumptions!$B$2</f>
        <v>Worst</v>
      </c>
      <c r="I1143" s="18">
        <f>_xlfn.XLOOKUP(Assumptions!$B$2,Assumptions!$F$4:$H$4,Assumptions!$F$5:$H$5)</f>
        <v>1200</v>
      </c>
      <c r="J1143" s="18">
        <f>_xlfn.XLOOKUP(Assumptions!$B$2,Assumptions!$F$4:$H$4,Assumptions!$F$6:$H$6)</f>
        <v>17</v>
      </c>
      <c r="K1143" s="12">
        <f>_xlfn.XLOOKUP(Assumptions!$B$2,Assumptions!$F$4:$H$4,Assumptions!$F$8:$H$8)</f>
        <v>0.1</v>
      </c>
      <c r="L1143" s="12">
        <f>_xlfn.XLOOKUP(Assumptions!$B$2,Assumptions!$F$4:$H$4,Assumptions!$F$9:$H$9)</f>
        <v>0.18</v>
      </c>
      <c r="M1143" s="18">
        <f>_xlfn.XLOOKUP(Assumptions!$B$2,Assumptions!$F$4:$H$4,Assumptions!$F$10:$H$10)</f>
        <v>18000</v>
      </c>
      <c r="N1143" s="12">
        <f>_xlfn.XLOOKUP(Assumptions!$B$2,Assumptions!$F$4:$H$4,Assumptions!$F$11:$H$11)</f>
        <v>0.3</v>
      </c>
      <c r="O1143" s="14">
        <f>Final_Table[[#This Row],[Units Sold]]*Final_Table[[#This Row],[Sale Price]]</f>
        <v>20400</v>
      </c>
      <c r="P1143" s="14">
        <f>Final_Table[[#This Row],[Gross Revenue]]*(1-Final_Table[[#This Row],[Discount %]])</f>
        <v>18360</v>
      </c>
      <c r="Q1143">
        <f>Final_Table[[#This Row],[Net Revenue]]*Final_Table[[#This Row],[Variable Cost %]]</f>
        <v>3304.7999999999997</v>
      </c>
      <c r="R1143">
        <f>Final_Table[[#This Row],[Variable Cost]]+Final_Table[[#This Row],[Fixed Monthly Cost]]</f>
        <v>21304.799999999999</v>
      </c>
      <c r="S1143" s="5">
        <f>Final_Table[[#This Row],[Net Revenue]]-Final_Table[[#This Row],[Total Cost (COGS)]]</f>
        <v>-2944.7999999999993</v>
      </c>
      <c r="T1143">
        <f>Final_Table[[#This Row],[Gross Profit]]*Final_Table[[#This Row],[Tax Rate]]</f>
        <v>-883.43999999999971</v>
      </c>
      <c r="U1143" s="5">
        <f>Final_Table[[#This Row],[Gross Profit]]-Final_Table[[#This Row],[Tax]]</f>
        <v>-2061.3599999999997</v>
      </c>
      <c r="V1143" s="12">
        <f>Final_Table[[#This Row],[Net Profit]]/Final_Table[[#This Row],[Gross Revenue]]</f>
        <v>-0.10104705882352939</v>
      </c>
    </row>
    <row r="1144" spans="1:22">
      <c r="A1144" s="18" t="s">
        <v>76</v>
      </c>
      <c r="B1144">
        <v>2014</v>
      </c>
      <c r="C1144" t="s">
        <v>127</v>
      </c>
      <c r="D1144">
        <v>1</v>
      </c>
      <c r="E1144" s="18" t="s">
        <v>30</v>
      </c>
      <c r="F1144" s="18" t="s">
        <v>113</v>
      </c>
      <c r="G1144" s="18" t="s">
        <v>21</v>
      </c>
      <c r="H1144" s="18" t="str">
        <f>Assumptions!$B$2</f>
        <v>Worst</v>
      </c>
      <c r="I1144" s="18">
        <f>_xlfn.XLOOKUP(Assumptions!$B$2,Assumptions!$F$4:$H$4,Assumptions!$F$5:$H$5)</f>
        <v>1200</v>
      </c>
      <c r="J1144" s="18">
        <f>_xlfn.XLOOKUP(Assumptions!$B$2,Assumptions!$F$4:$H$4,Assumptions!$F$6:$H$6)</f>
        <v>17</v>
      </c>
      <c r="K1144" s="12">
        <f>_xlfn.XLOOKUP(Assumptions!$B$2,Assumptions!$F$4:$H$4,Assumptions!$F$8:$H$8)</f>
        <v>0.1</v>
      </c>
      <c r="L1144" s="12">
        <f>_xlfn.XLOOKUP(Assumptions!$B$2,Assumptions!$F$4:$H$4,Assumptions!$F$9:$H$9)</f>
        <v>0.18</v>
      </c>
      <c r="M1144" s="18">
        <f>_xlfn.XLOOKUP(Assumptions!$B$2,Assumptions!$F$4:$H$4,Assumptions!$F$10:$H$10)</f>
        <v>18000</v>
      </c>
      <c r="N1144" s="12">
        <f>_xlfn.XLOOKUP(Assumptions!$B$2,Assumptions!$F$4:$H$4,Assumptions!$F$11:$H$11)</f>
        <v>0.3</v>
      </c>
      <c r="O1144" s="14">
        <f>Final_Table[[#This Row],[Units Sold]]*Final_Table[[#This Row],[Sale Price]]</f>
        <v>20400</v>
      </c>
      <c r="P1144" s="14">
        <f>Final_Table[[#This Row],[Gross Revenue]]*(1-Final_Table[[#This Row],[Discount %]])</f>
        <v>18360</v>
      </c>
      <c r="Q1144">
        <f>Final_Table[[#This Row],[Net Revenue]]*Final_Table[[#This Row],[Variable Cost %]]</f>
        <v>3304.7999999999997</v>
      </c>
      <c r="R1144">
        <f>Final_Table[[#This Row],[Variable Cost]]+Final_Table[[#This Row],[Fixed Monthly Cost]]</f>
        <v>21304.799999999999</v>
      </c>
      <c r="S1144" s="5">
        <f>Final_Table[[#This Row],[Net Revenue]]-Final_Table[[#This Row],[Total Cost (COGS)]]</f>
        <v>-2944.7999999999993</v>
      </c>
      <c r="T1144">
        <f>Final_Table[[#This Row],[Gross Profit]]*Final_Table[[#This Row],[Tax Rate]]</f>
        <v>-883.43999999999971</v>
      </c>
      <c r="U1144" s="5">
        <f>Final_Table[[#This Row],[Gross Profit]]-Final_Table[[#This Row],[Tax]]</f>
        <v>-2061.3599999999997</v>
      </c>
      <c r="V1144" s="12">
        <f>Final_Table[[#This Row],[Net Profit]]/Final_Table[[#This Row],[Gross Revenue]]</f>
        <v>-0.10104705882352939</v>
      </c>
    </row>
    <row r="1145" spans="1:22">
      <c r="A1145" s="18" t="s">
        <v>76</v>
      </c>
      <c r="B1145">
        <v>2014</v>
      </c>
      <c r="C1145" t="s">
        <v>127</v>
      </c>
      <c r="D1145">
        <v>1</v>
      </c>
      <c r="E1145" s="18" t="s">
        <v>30</v>
      </c>
      <c r="F1145" s="18" t="s">
        <v>113</v>
      </c>
      <c r="G1145" s="18" t="s">
        <v>25</v>
      </c>
      <c r="H1145" s="18" t="str">
        <f>Assumptions!$B$2</f>
        <v>Worst</v>
      </c>
      <c r="I1145" s="18">
        <f>_xlfn.XLOOKUP(Assumptions!$B$2,Assumptions!$F$4:$H$4,Assumptions!$F$5:$H$5)</f>
        <v>1200</v>
      </c>
      <c r="J1145" s="18">
        <f>_xlfn.XLOOKUP(Assumptions!$B$2,Assumptions!$F$4:$H$4,Assumptions!$F$6:$H$6)</f>
        <v>17</v>
      </c>
      <c r="K1145" s="12">
        <f>_xlfn.XLOOKUP(Assumptions!$B$2,Assumptions!$F$4:$H$4,Assumptions!$F$8:$H$8)</f>
        <v>0.1</v>
      </c>
      <c r="L1145" s="12">
        <f>_xlfn.XLOOKUP(Assumptions!$B$2,Assumptions!$F$4:$H$4,Assumptions!$F$9:$H$9)</f>
        <v>0.18</v>
      </c>
      <c r="M1145" s="18">
        <f>_xlfn.XLOOKUP(Assumptions!$B$2,Assumptions!$F$4:$H$4,Assumptions!$F$10:$H$10)</f>
        <v>18000</v>
      </c>
      <c r="N1145" s="12">
        <f>_xlfn.XLOOKUP(Assumptions!$B$2,Assumptions!$F$4:$H$4,Assumptions!$F$11:$H$11)</f>
        <v>0.3</v>
      </c>
      <c r="O1145" s="14">
        <f>Final_Table[[#This Row],[Units Sold]]*Final_Table[[#This Row],[Sale Price]]</f>
        <v>20400</v>
      </c>
      <c r="P1145" s="14">
        <f>Final_Table[[#This Row],[Gross Revenue]]*(1-Final_Table[[#This Row],[Discount %]])</f>
        <v>18360</v>
      </c>
      <c r="Q1145">
        <f>Final_Table[[#This Row],[Net Revenue]]*Final_Table[[#This Row],[Variable Cost %]]</f>
        <v>3304.7999999999997</v>
      </c>
      <c r="R1145">
        <f>Final_Table[[#This Row],[Variable Cost]]+Final_Table[[#This Row],[Fixed Monthly Cost]]</f>
        <v>21304.799999999999</v>
      </c>
      <c r="S1145" s="5">
        <f>Final_Table[[#This Row],[Net Revenue]]-Final_Table[[#This Row],[Total Cost (COGS)]]</f>
        <v>-2944.7999999999993</v>
      </c>
      <c r="T1145">
        <f>Final_Table[[#This Row],[Gross Profit]]*Final_Table[[#This Row],[Tax Rate]]</f>
        <v>-883.43999999999971</v>
      </c>
      <c r="U1145" s="5">
        <f>Final_Table[[#This Row],[Gross Profit]]-Final_Table[[#This Row],[Tax]]</f>
        <v>-2061.3599999999997</v>
      </c>
      <c r="V1145" s="12">
        <f>Final_Table[[#This Row],[Net Profit]]/Final_Table[[#This Row],[Gross Revenue]]</f>
        <v>-0.10104705882352939</v>
      </c>
    </row>
    <row r="1146" spans="1:22">
      <c r="A1146" s="18" t="s">
        <v>76</v>
      </c>
      <c r="B1146">
        <v>2014</v>
      </c>
      <c r="C1146" t="s">
        <v>127</v>
      </c>
      <c r="D1146">
        <v>1</v>
      </c>
      <c r="E1146" s="18" t="s">
        <v>30</v>
      </c>
      <c r="F1146" s="18" t="s">
        <v>113</v>
      </c>
      <c r="G1146" s="18" t="s">
        <v>17</v>
      </c>
      <c r="H1146" s="18" t="str">
        <f>Assumptions!$B$2</f>
        <v>Worst</v>
      </c>
      <c r="I1146" s="18">
        <f>_xlfn.XLOOKUP(Assumptions!$B$2,Assumptions!$F$4:$H$4,Assumptions!$F$5:$H$5)</f>
        <v>1200</v>
      </c>
      <c r="J1146" s="18">
        <f>_xlfn.XLOOKUP(Assumptions!$B$2,Assumptions!$F$4:$H$4,Assumptions!$F$6:$H$6)</f>
        <v>17</v>
      </c>
      <c r="K1146" s="12">
        <f>_xlfn.XLOOKUP(Assumptions!$B$2,Assumptions!$F$4:$H$4,Assumptions!$F$8:$H$8)</f>
        <v>0.1</v>
      </c>
      <c r="L1146" s="12">
        <f>_xlfn.XLOOKUP(Assumptions!$B$2,Assumptions!$F$4:$H$4,Assumptions!$F$9:$H$9)</f>
        <v>0.18</v>
      </c>
      <c r="M1146" s="18">
        <f>_xlfn.XLOOKUP(Assumptions!$B$2,Assumptions!$F$4:$H$4,Assumptions!$F$10:$H$10)</f>
        <v>18000</v>
      </c>
      <c r="N1146" s="12">
        <f>_xlfn.XLOOKUP(Assumptions!$B$2,Assumptions!$F$4:$H$4,Assumptions!$F$11:$H$11)</f>
        <v>0.3</v>
      </c>
      <c r="O1146" s="14">
        <f>Final_Table[[#This Row],[Units Sold]]*Final_Table[[#This Row],[Sale Price]]</f>
        <v>20400</v>
      </c>
      <c r="P1146" s="14">
        <f>Final_Table[[#This Row],[Gross Revenue]]*(1-Final_Table[[#This Row],[Discount %]])</f>
        <v>18360</v>
      </c>
      <c r="Q1146">
        <f>Final_Table[[#This Row],[Net Revenue]]*Final_Table[[#This Row],[Variable Cost %]]</f>
        <v>3304.7999999999997</v>
      </c>
      <c r="R1146">
        <f>Final_Table[[#This Row],[Variable Cost]]+Final_Table[[#This Row],[Fixed Monthly Cost]]</f>
        <v>21304.799999999999</v>
      </c>
      <c r="S1146" s="5">
        <f>Final_Table[[#This Row],[Net Revenue]]-Final_Table[[#This Row],[Total Cost (COGS)]]</f>
        <v>-2944.7999999999993</v>
      </c>
      <c r="T1146">
        <f>Final_Table[[#This Row],[Gross Profit]]*Final_Table[[#This Row],[Tax Rate]]</f>
        <v>-883.43999999999971</v>
      </c>
      <c r="U1146" s="5">
        <f>Final_Table[[#This Row],[Gross Profit]]-Final_Table[[#This Row],[Tax]]</f>
        <v>-2061.3599999999997</v>
      </c>
      <c r="V1146" s="12">
        <f>Final_Table[[#This Row],[Net Profit]]/Final_Table[[#This Row],[Gross Revenue]]</f>
        <v>-0.10104705882352939</v>
      </c>
    </row>
    <row r="1147" spans="1:22">
      <c r="A1147" s="18" t="s">
        <v>76</v>
      </c>
      <c r="B1147">
        <v>2014</v>
      </c>
      <c r="C1147" t="s">
        <v>127</v>
      </c>
      <c r="D1147">
        <v>1</v>
      </c>
      <c r="E1147" s="18" t="s">
        <v>30</v>
      </c>
      <c r="F1147" s="18" t="s">
        <v>114</v>
      </c>
      <c r="G1147" s="18" t="s">
        <v>36</v>
      </c>
      <c r="H1147" s="18" t="str">
        <f>Assumptions!$B$2</f>
        <v>Worst</v>
      </c>
      <c r="I1147" s="18">
        <f>_xlfn.XLOOKUP(Assumptions!$B$2,Assumptions!$F$4:$H$4,Assumptions!$F$5:$H$5)</f>
        <v>1200</v>
      </c>
      <c r="J1147" s="18">
        <f>_xlfn.XLOOKUP(Assumptions!$B$2,Assumptions!$F$4:$H$4,Assumptions!$F$6:$H$6)</f>
        <v>17</v>
      </c>
      <c r="K1147" s="12">
        <f>_xlfn.XLOOKUP(Assumptions!$B$2,Assumptions!$F$4:$H$4,Assumptions!$F$8:$H$8)</f>
        <v>0.1</v>
      </c>
      <c r="L1147" s="12">
        <f>_xlfn.XLOOKUP(Assumptions!$B$2,Assumptions!$F$4:$H$4,Assumptions!$F$9:$H$9)</f>
        <v>0.18</v>
      </c>
      <c r="M1147" s="18">
        <f>_xlfn.XLOOKUP(Assumptions!$B$2,Assumptions!$F$4:$H$4,Assumptions!$F$10:$H$10)</f>
        <v>18000</v>
      </c>
      <c r="N1147" s="12">
        <f>_xlfn.XLOOKUP(Assumptions!$B$2,Assumptions!$F$4:$H$4,Assumptions!$F$11:$H$11)</f>
        <v>0.3</v>
      </c>
      <c r="O1147" s="14">
        <f>Final_Table[[#This Row],[Units Sold]]*Final_Table[[#This Row],[Sale Price]]</f>
        <v>20400</v>
      </c>
      <c r="P1147" s="14">
        <f>Final_Table[[#This Row],[Gross Revenue]]*(1-Final_Table[[#This Row],[Discount %]])</f>
        <v>18360</v>
      </c>
      <c r="Q1147">
        <f>Final_Table[[#This Row],[Net Revenue]]*Final_Table[[#This Row],[Variable Cost %]]</f>
        <v>3304.7999999999997</v>
      </c>
      <c r="R1147">
        <f>Final_Table[[#This Row],[Variable Cost]]+Final_Table[[#This Row],[Fixed Monthly Cost]]</f>
        <v>21304.799999999999</v>
      </c>
      <c r="S1147" s="5">
        <f>Final_Table[[#This Row],[Net Revenue]]-Final_Table[[#This Row],[Total Cost (COGS)]]</f>
        <v>-2944.7999999999993</v>
      </c>
      <c r="T1147">
        <f>Final_Table[[#This Row],[Gross Profit]]*Final_Table[[#This Row],[Tax Rate]]</f>
        <v>-883.43999999999971</v>
      </c>
      <c r="U1147" s="5">
        <f>Final_Table[[#This Row],[Gross Profit]]-Final_Table[[#This Row],[Tax]]</f>
        <v>-2061.3599999999997</v>
      </c>
      <c r="V1147" s="12">
        <f>Final_Table[[#This Row],[Net Profit]]/Final_Table[[#This Row],[Gross Revenue]]</f>
        <v>-0.10104705882352939</v>
      </c>
    </row>
    <row r="1148" spans="1:22">
      <c r="A1148" s="18" t="s">
        <v>76</v>
      </c>
      <c r="B1148">
        <v>2014</v>
      </c>
      <c r="C1148" t="s">
        <v>127</v>
      </c>
      <c r="D1148">
        <v>1</v>
      </c>
      <c r="E1148" s="18" t="s">
        <v>30</v>
      </c>
      <c r="F1148" s="18" t="s">
        <v>114</v>
      </c>
      <c r="G1148" s="18" t="s">
        <v>23</v>
      </c>
      <c r="H1148" s="18" t="str">
        <f>Assumptions!$B$2</f>
        <v>Worst</v>
      </c>
      <c r="I1148" s="18">
        <f>_xlfn.XLOOKUP(Assumptions!$B$2,Assumptions!$F$4:$H$4,Assumptions!$F$5:$H$5)</f>
        <v>1200</v>
      </c>
      <c r="J1148" s="18">
        <f>_xlfn.XLOOKUP(Assumptions!$B$2,Assumptions!$F$4:$H$4,Assumptions!$F$6:$H$6)</f>
        <v>17</v>
      </c>
      <c r="K1148" s="12">
        <f>_xlfn.XLOOKUP(Assumptions!$B$2,Assumptions!$F$4:$H$4,Assumptions!$F$8:$H$8)</f>
        <v>0.1</v>
      </c>
      <c r="L1148" s="12">
        <f>_xlfn.XLOOKUP(Assumptions!$B$2,Assumptions!$F$4:$H$4,Assumptions!$F$9:$H$9)</f>
        <v>0.18</v>
      </c>
      <c r="M1148" s="18">
        <f>_xlfn.XLOOKUP(Assumptions!$B$2,Assumptions!$F$4:$H$4,Assumptions!$F$10:$H$10)</f>
        <v>18000</v>
      </c>
      <c r="N1148" s="12">
        <f>_xlfn.XLOOKUP(Assumptions!$B$2,Assumptions!$F$4:$H$4,Assumptions!$F$11:$H$11)</f>
        <v>0.3</v>
      </c>
      <c r="O1148" s="14">
        <f>Final_Table[[#This Row],[Units Sold]]*Final_Table[[#This Row],[Sale Price]]</f>
        <v>20400</v>
      </c>
      <c r="P1148" s="14">
        <f>Final_Table[[#This Row],[Gross Revenue]]*(1-Final_Table[[#This Row],[Discount %]])</f>
        <v>18360</v>
      </c>
      <c r="Q1148">
        <f>Final_Table[[#This Row],[Net Revenue]]*Final_Table[[#This Row],[Variable Cost %]]</f>
        <v>3304.7999999999997</v>
      </c>
      <c r="R1148">
        <f>Final_Table[[#This Row],[Variable Cost]]+Final_Table[[#This Row],[Fixed Monthly Cost]]</f>
        <v>21304.799999999999</v>
      </c>
      <c r="S1148" s="5">
        <f>Final_Table[[#This Row],[Net Revenue]]-Final_Table[[#This Row],[Total Cost (COGS)]]</f>
        <v>-2944.7999999999993</v>
      </c>
      <c r="T1148">
        <f>Final_Table[[#This Row],[Gross Profit]]*Final_Table[[#This Row],[Tax Rate]]</f>
        <v>-883.43999999999971</v>
      </c>
      <c r="U1148" s="5">
        <f>Final_Table[[#This Row],[Gross Profit]]-Final_Table[[#This Row],[Tax]]</f>
        <v>-2061.3599999999997</v>
      </c>
      <c r="V1148" s="12">
        <f>Final_Table[[#This Row],[Net Profit]]/Final_Table[[#This Row],[Gross Revenue]]</f>
        <v>-0.10104705882352939</v>
      </c>
    </row>
    <row r="1149" spans="1:22">
      <c r="A1149" s="18" t="s">
        <v>76</v>
      </c>
      <c r="B1149">
        <v>2014</v>
      </c>
      <c r="C1149" t="s">
        <v>127</v>
      </c>
      <c r="D1149">
        <v>1</v>
      </c>
      <c r="E1149" s="18" t="s">
        <v>30</v>
      </c>
      <c r="F1149" s="18" t="s">
        <v>114</v>
      </c>
      <c r="G1149" s="18" t="s">
        <v>21</v>
      </c>
      <c r="H1149" s="18" t="str">
        <f>Assumptions!$B$2</f>
        <v>Worst</v>
      </c>
      <c r="I1149" s="18">
        <f>_xlfn.XLOOKUP(Assumptions!$B$2,Assumptions!$F$4:$H$4,Assumptions!$F$5:$H$5)</f>
        <v>1200</v>
      </c>
      <c r="J1149" s="18">
        <f>_xlfn.XLOOKUP(Assumptions!$B$2,Assumptions!$F$4:$H$4,Assumptions!$F$6:$H$6)</f>
        <v>17</v>
      </c>
      <c r="K1149" s="12">
        <f>_xlfn.XLOOKUP(Assumptions!$B$2,Assumptions!$F$4:$H$4,Assumptions!$F$8:$H$8)</f>
        <v>0.1</v>
      </c>
      <c r="L1149" s="12">
        <f>_xlfn.XLOOKUP(Assumptions!$B$2,Assumptions!$F$4:$H$4,Assumptions!$F$9:$H$9)</f>
        <v>0.18</v>
      </c>
      <c r="M1149" s="18">
        <f>_xlfn.XLOOKUP(Assumptions!$B$2,Assumptions!$F$4:$H$4,Assumptions!$F$10:$H$10)</f>
        <v>18000</v>
      </c>
      <c r="N1149" s="12">
        <f>_xlfn.XLOOKUP(Assumptions!$B$2,Assumptions!$F$4:$H$4,Assumptions!$F$11:$H$11)</f>
        <v>0.3</v>
      </c>
      <c r="O1149" s="14">
        <f>Final_Table[[#This Row],[Units Sold]]*Final_Table[[#This Row],[Sale Price]]</f>
        <v>20400</v>
      </c>
      <c r="P1149" s="14">
        <f>Final_Table[[#This Row],[Gross Revenue]]*(1-Final_Table[[#This Row],[Discount %]])</f>
        <v>18360</v>
      </c>
      <c r="Q1149">
        <f>Final_Table[[#This Row],[Net Revenue]]*Final_Table[[#This Row],[Variable Cost %]]</f>
        <v>3304.7999999999997</v>
      </c>
      <c r="R1149">
        <f>Final_Table[[#This Row],[Variable Cost]]+Final_Table[[#This Row],[Fixed Monthly Cost]]</f>
        <v>21304.799999999999</v>
      </c>
      <c r="S1149" s="5">
        <f>Final_Table[[#This Row],[Net Revenue]]-Final_Table[[#This Row],[Total Cost (COGS)]]</f>
        <v>-2944.7999999999993</v>
      </c>
      <c r="T1149">
        <f>Final_Table[[#This Row],[Gross Profit]]*Final_Table[[#This Row],[Tax Rate]]</f>
        <v>-883.43999999999971</v>
      </c>
      <c r="U1149" s="5">
        <f>Final_Table[[#This Row],[Gross Profit]]-Final_Table[[#This Row],[Tax]]</f>
        <v>-2061.3599999999997</v>
      </c>
      <c r="V1149" s="12">
        <f>Final_Table[[#This Row],[Net Profit]]/Final_Table[[#This Row],[Gross Revenue]]</f>
        <v>-0.10104705882352939</v>
      </c>
    </row>
    <row r="1150" spans="1:22">
      <c r="A1150" s="18" t="s">
        <v>76</v>
      </c>
      <c r="B1150">
        <v>2014</v>
      </c>
      <c r="C1150" t="s">
        <v>127</v>
      </c>
      <c r="D1150">
        <v>1</v>
      </c>
      <c r="E1150" s="18" t="s">
        <v>30</v>
      </c>
      <c r="F1150" s="18" t="s">
        <v>114</v>
      </c>
      <c r="G1150" s="18" t="s">
        <v>25</v>
      </c>
      <c r="H1150" s="18" t="str">
        <f>Assumptions!$B$2</f>
        <v>Worst</v>
      </c>
      <c r="I1150" s="18">
        <f>_xlfn.XLOOKUP(Assumptions!$B$2,Assumptions!$F$4:$H$4,Assumptions!$F$5:$H$5)</f>
        <v>1200</v>
      </c>
      <c r="J1150" s="18">
        <f>_xlfn.XLOOKUP(Assumptions!$B$2,Assumptions!$F$4:$H$4,Assumptions!$F$6:$H$6)</f>
        <v>17</v>
      </c>
      <c r="K1150" s="12">
        <f>_xlfn.XLOOKUP(Assumptions!$B$2,Assumptions!$F$4:$H$4,Assumptions!$F$8:$H$8)</f>
        <v>0.1</v>
      </c>
      <c r="L1150" s="12">
        <f>_xlfn.XLOOKUP(Assumptions!$B$2,Assumptions!$F$4:$H$4,Assumptions!$F$9:$H$9)</f>
        <v>0.18</v>
      </c>
      <c r="M1150" s="18">
        <f>_xlfn.XLOOKUP(Assumptions!$B$2,Assumptions!$F$4:$H$4,Assumptions!$F$10:$H$10)</f>
        <v>18000</v>
      </c>
      <c r="N1150" s="12">
        <f>_xlfn.XLOOKUP(Assumptions!$B$2,Assumptions!$F$4:$H$4,Assumptions!$F$11:$H$11)</f>
        <v>0.3</v>
      </c>
      <c r="O1150" s="14">
        <f>Final_Table[[#This Row],[Units Sold]]*Final_Table[[#This Row],[Sale Price]]</f>
        <v>20400</v>
      </c>
      <c r="P1150" s="14">
        <f>Final_Table[[#This Row],[Gross Revenue]]*(1-Final_Table[[#This Row],[Discount %]])</f>
        <v>18360</v>
      </c>
      <c r="Q1150">
        <f>Final_Table[[#This Row],[Net Revenue]]*Final_Table[[#This Row],[Variable Cost %]]</f>
        <v>3304.7999999999997</v>
      </c>
      <c r="R1150">
        <f>Final_Table[[#This Row],[Variable Cost]]+Final_Table[[#This Row],[Fixed Monthly Cost]]</f>
        <v>21304.799999999999</v>
      </c>
      <c r="S1150" s="5">
        <f>Final_Table[[#This Row],[Net Revenue]]-Final_Table[[#This Row],[Total Cost (COGS)]]</f>
        <v>-2944.7999999999993</v>
      </c>
      <c r="T1150">
        <f>Final_Table[[#This Row],[Gross Profit]]*Final_Table[[#This Row],[Tax Rate]]</f>
        <v>-883.43999999999971</v>
      </c>
      <c r="U1150" s="5">
        <f>Final_Table[[#This Row],[Gross Profit]]-Final_Table[[#This Row],[Tax]]</f>
        <v>-2061.3599999999997</v>
      </c>
      <c r="V1150" s="12">
        <f>Final_Table[[#This Row],[Net Profit]]/Final_Table[[#This Row],[Gross Revenue]]</f>
        <v>-0.10104705882352939</v>
      </c>
    </row>
    <row r="1151" spans="1:22">
      <c r="A1151" s="18" t="s">
        <v>76</v>
      </c>
      <c r="B1151">
        <v>2014</v>
      </c>
      <c r="C1151" t="s">
        <v>127</v>
      </c>
      <c r="D1151">
        <v>1</v>
      </c>
      <c r="E1151" s="18" t="s">
        <v>30</v>
      </c>
      <c r="F1151" s="18" t="s">
        <v>114</v>
      </c>
      <c r="G1151" s="18" t="s">
        <v>17</v>
      </c>
      <c r="H1151" s="18" t="str">
        <f>Assumptions!$B$2</f>
        <v>Worst</v>
      </c>
      <c r="I1151" s="18">
        <f>_xlfn.XLOOKUP(Assumptions!$B$2,Assumptions!$F$4:$H$4,Assumptions!$F$5:$H$5)</f>
        <v>1200</v>
      </c>
      <c r="J1151" s="18">
        <f>_xlfn.XLOOKUP(Assumptions!$B$2,Assumptions!$F$4:$H$4,Assumptions!$F$6:$H$6)</f>
        <v>17</v>
      </c>
      <c r="K1151" s="12">
        <f>_xlfn.XLOOKUP(Assumptions!$B$2,Assumptions!$F$4:$H$4,Assumptions!$F$8:$H$8)</f>
        <v>0.1</v>
      </c>
      <c r="L1151" s="12">
        <f>_xlfn.XLOOKUP(Assumptions!$B$2,Assumptions!$F$4:$H$4,Assumptions!$F$9:$H$9)</f>
        <v>0.18</v>
      </c>
      <c r="M1151" s="18">
        <f>_xlfn.XLOOKUP(Assumptions!$B$2,Assumptions!$F$4:$H$4,Assumptions!$F$10:$H$10)</f>
        <v>18000</v>
      </c>
      <c r="N1151" s="12">
        <f>_xlfn.XLOOKUP(Assumptions!$B$2,Assumptions!$F$4:$H$4,Assumptions!$F$11:$H$11)</f>
        <v>0.3</v>
      </c>
      <c r="O1151" s="14">
        <f>Final_Table[[#This Row],[Units Sold]]*Final_Table[[#This Row],[Sale Price]]</f>
        <v>20400</v>
      </c>
      <c r="P1151" s="14">
        <f>Final_Table[[#This Row],[Gross Revenue]]*(1-Final_Table[[#This Row],[Discount %]])</f>
        <v>18360</v>
      </c>
      <c r="Q1151">
        <f>Final_Table[[#This Row],[Net Revenue]]*Final_Table[[#This Row],[Variable Cost %]]</f>
        <v>3304.7999999999997</v>
      </c>
      <c r="R1151">
        <f>Final_Table[[#This Row],[Variable Cost]]+Final_Table[[#This Row],[Fixed Monthly Cost]]</f>
        <v>21304.799999999999</v>
      </c>
      <c r="S1151" s="5">
        <f>Final_Table[[#This Row],[Net Revenue]]-Final_Table[[#This Row],[Total Cost (COGS)]]</f>
        <v>-2944.7999999999993</v>
      </c>
      <c r="T1151">
        <f>Final_Table[[#This Row],[Gross Profit]]*Final_Table[[#This Row],[Tax Rate]]</f>
        <v>-883.43999999999971</v>
      </c>
      <c r="U1151" s="5">
        <f>Final_Table[[#This Row],[Gross Profit]]-Final_Table[[#This Row],[Tax]]</f>
        <v>-2061.3599999999997</v>
      </c>
      <c r="V1151" s="12">
        <f>Final_Table[[#This Row],[Net Profit]]/Final_Table[[#This Row],[Gross Revenue]]</f>
        <v>-0.10104705882352939</v>
      </c>
    </row>
    <row r="1152" spans="1:22">
      <c r="A1152" s="18" t="s">
        <v>76</v>
      </c>
      <c r="B1152">
        <v>2014</v>
      </c>
      <c r="C1152" t="s">
        <v>127</v>
      </c>
      <c r="D1152">
        <v>1</v>
      </c>
      <c r="E1152" s="18" t="s">
        <v>29</v>
      </c>
      <c r="F1152" s="18" t="s">
        <v>80</v>
      </c>
      <c r="G1152" s="18" t="s">
        <v>36</v>
      </c>
      <c r="H1152" s="18" t="str">
        <f>Assumptions!$B$2</f>
        <v>Worst</v>
      </c>
      <c r="I1152" s="18">
        <f>_xlfn.XLOOKUP(Assumptions!$B$2,Assumptions!$F$4:$H$4,Assumptions!$F$5:$H$5)</f>
        <v>1200</v>
      </c>
      <c r="J1152" s="18">
        <f>_xlfn.XLOOKUP(Assumptions!$B$2,Assumptions!$F$4:$H$4,Assumptions!$F$6:$H$6)</f>
        <v>17</v>
      </c>
      <c r="K1152" s="12">
        <f>_xlfn.XLOOKUP(Assumptions!$B$2,Assumptions!$F$4:$H$4,Assumptions!$F$8:$H$8)</f>
        <v>0.1</v>
      </c>
      <c r="L1152" s="12">
        <f>_xlfn.XLOOKUP(Assumptions!$B$2,Assumptions!$F$4:$H$4,Assumptions!$F$9:$H$9)</f>
        <v>0.18</v>
      </c>
      <c r="M1152" s="18">
        <f>_xlfn.XLOOKUP(Assumptions!$B$2,Assumptions!$F$4:$H$4,Assumptions!$F$10:$H$10)</f>
        <v>18000</v>
      </c>
      <c r="N1152" s="12">
        <f>_xlfn.XLOOKUP(Assumptions!$B$2,Assumptions!$F$4:$H$4,Assumptions!$F$11:$H$11)</f>
        <v>0.3</v>
      </c>
      <c r="O1152" s="14">
        <f>Final_Table[[#This Row],[Units Sold]]*Final_Table[[#This Row],[Sale Price]]</f>
        <v>20400</v>
      </c>
      <c r="P1152" s="14">
        <f>Final_Table[[#This Row],[Gross Revenue]]*(1-Final_Table[[#This Row],[Discount %]])</f>
        <v>18360</v>
      </c>
      <c r="Q1152">
        <f>Final_Table[[#This Row],[Net Revenue]]*Final_Table[[#This Row],[Variable Cost %]]</f>
        <v>3304.7999999999997</v>
      </c>
      <c r="R1152">
        <f>Final_Table[[#This Row],[Variable Cost]]+Final_Table[[#This Row],[Fixed Monthly Cost]]</f>
        <v>21304.799999999999</v>
      </c>
      <c r="S1152" s="5">
        <f>Final_Table[[#This Row],[Net Revenue]]-Final_Table[[#This Row],[Total Cost (COGS)]]</f>
        <v>-2944.7999999999993</v>
      </c>
      <c r="T1152">
        <f>Final_Table[[#This Row],[Gross Profit]]*Final_Table[[#This Row],[Tax Rate]]</f>
        <v>-883.43999999999971</v>
      </c>
      <c r="U1152" s="5">
        <f>Final_Table[[#This Row],[Gross Profit]]-Final_Table[[#This Row],[Tax]]</f>
        <v>-2061.3599999999997</v>
      </c>
      <c r="V1152" s="12">
        <f>Final_Table[[#This Row],[Net Profit]]/Final_Table[[#This Row],[Gross Revenue]]</f>
        <v>-0.10104705882352939</v>
      </c>
    </row>
    <row r="1153" spans="1:22">
      <c r="A1153" s="18" t="s">
        <v>76</v>
      </c>
      <c r="B1153">
        <v>2014</v>
      </c>
      <c r="C1153" t="s">
        <v>127</v>
      </c>
      <c r="D1153">
        <v>1</v>
      </c>
      <c r="E1153" s="18" t="s">
        <v>29</v>
      </c>
      <c r="F1153" s="18" t="s">
        <v>80</v>
      </c>
      <c r="G1153" s="18" t="s">
        <v>23</v>
      </c>
      <c r="H1153" s="18" t="str">
        <f>Assumptions!$B$2</f>
        <v>Worst</v>
      </c>
      <c r="I1153" s="18">
        <f>_xlfn.XLOOKUP(Assumptions!$B$2,Assumptions!$F$4:$H$4,Assumptions!$F$5:$H$5)</f>
        <v>1200</v>
      </c>
      <c r="J1153" s="18">
        <f>_xlfn.XLOOKUP(Assumptions!$B$2,Assumptions!$F$4:$H$4,Assumptions!$F$6:$H$6)</f>
        <v>17</v>
      </c>
      <c r="K1153" s="12">
        <f>_xlfn.XLOOKUP(Assumptions!$B$2,Assumptions!$F$4:$H$4,Assumptions!$F$8:$H$8)</f>
        <v>0.1</v>
      </c>
      <c r="L1153" s="12">
        <f>_xlfn.XLOOKUP(Assumptions!$B$2,Assumptions!$F$4:$H$4,Assumptions!$F$9:$H$9)</f>
        <v>0.18</v>
      </c>
      <c r="M1153" s="18">
        <f>_xlfn.XLOOKUP(Assumptions!$B$2,Assumptions!$F$4:$H$4,Assumptions!$F$10:$H$10)</f>
        <v>18000</v>
      </c>
      <c r="N1153" s="12">
        <f>_xlfn.XLOOKUP(Assumptions!$B$2,Assumptions!$F$4:$H$4,Assumptions!$F$11:$H$11)</f>
        <v>0.3</v>
      </c>
      <c r="O1153" s="14">
        <f>Final_Table[[#This Row],[Units Sold]]*Final_Table[[#This Row],[Sale Price]]</f>
        <v>20400</v>
      </c>
      <c r="P1153" s="14">
        <f>Final_Table[[#This Row],[Gross Revenue]]*(1-Final_Table[[#This Row],[Discount %]])</f>
        <v>18360</v>
      </c>
      <c r="Q1153">
        <f>Final_Table[[#This Row],[Net Revenue]]*Final_Table[[#This Row],[Variable Cost %]]</f>
        <v>3304.7999999999997</v>
      </c>
      <c r="R1153">
        <f>Final_Table[[#This Row],[Variable Cost]]+Final_Table[[#This Row],[Fixed Monthly Cost]]</f>
        <v>21304.799999999999</v>
      </c>
      <c r="S1153" s="5">
        <f>Final_Table[[#This Row],[Net Revenue]]-Final_Table[[#This Row],[Total Cost (COGS)]]</f>
        <v>-2944.7999999999993</v>
      </c>
      <c r="T1153">
        <f>Final_Table[[#This Row],[Gross Profit]]*Final_Table[[#This Row],[Tax Rate]]</f>
        <v>-883.43999999999971</v>
      </c>
      <c r="U1153" s="5">
        <f>Final_Table[[#This Row],[Gross Profit]]-Final_Table[[#This Row],[Tax]]</f>
        <v>-2061.3599999999997</v>
      </c>
      <c r="V1153" s="12">
        <f>Final_Table[[#This Row],[Net Profit]]/Final_Table[[#This Row],[Gross Revenue]]</f>
        <v>-0.10104705882352939</v>
      </c>
    </row>
    <row r="1154" spans="1:22">
      <c r="A1154" s="18" t="s">
        <v>76</v>
      </c>
      <c r="B1154">
        <v>2014</v>
      </c>
      <c r="C1154" t="s">
        <v>127</v>
      </c>
      <c r="D1154">
        <v>1</v>
      </c>
      <c r="E1154" s="18" t="s">
        <v>29</v>
      </c>
      <c r="F1154" s="18" t="s">
        <v>80</v>
      </c>
      <c r="G1154" s="18" t="s">
        <v>21</v>
      </c>
      <c r="H1154" s="18" t="str">
        <f>Assumptions!$B$2</f>
        <v>Worst</v>
      </c>
      <c r="I1154" s="18">
        <f>_xlfn.XLOOKUP(Assumptions!$B$2,Assumptions!$F$4:$H$4,Assumptions!$F$5:$H$5)</f>
        <v>1200</v>
      </c>
      <c r="J1154" s="18">
        <f>_xlfn.XLOOKUP(Assumptions!$B$2,Assumptions!$F$4:$H$4,Assumptions!$F$6:$H$6)</f>
        <v>17</v>
      </c>
      <c r="K1154" s="12">
        <f>_xlfn.XLOOKUP(Assumptions!$B$2,Assumptions!$F$4:$H$4,Assumptions!$F$8:$H$8)</f>
        <v>0.1</v>
      </c>
      <c r="L1154" s="12">
        <f>_xlfn.XLOOKUP(Assumptions!$B$2,Assumptions!$F$4:$H$4,Assumptions!$F$9:$H$9)</f>
        <v>0.18</v>
      </c>
      <c r="M1154" s="18">
        <f>_xlfn.XLOOKUP(Assumptions!$B$2,Assumptions!$F$4:$H$4,Assumptions!$F$10:$H$10)</f>
        <v>18000</v>
      </c>
      <c r="N1154" s="12">
        <f>_xlfn.XLOOKUP(Assumptions!$B$2,Assumptions!$F$4:$H$4,Assumptions!$F$11:$H$11)</f>
        <v>0.3</v>
      </c>
      <c r="O1154" s="14">
        <f>Final_Table[[#This Row],[Units Sold]]*Final_Table[[#This Row],[Sale Price]]</f>
        <v>20400</v>
      </c>
      <c r="P1154" s="14">
        <f>Final_Table[[#This Row],[Gross Revenue]]*(1-Final_Table[[#This Row],[Discount %]])</f>
        <v>18360</v>
      </c>
      <c r="Q1154">
        <f>Final_Table[[#This Row],[Net Revenue]]*Final_Table[[#This Row],[Variable Cost %]]</f>
        <v>3304.7999999999997</v>
      </c>
      <c r="R1154">
        <f>Final_Table[[#This Row],[Variable Cost]]+Final_Table[[#This Row],[Fixed Monthly Cost]]</f>
        <v>21304.799999999999</v>
      </c>
      <c r="S1154" s="5">
        <f>Final_Table[[#This Row],[Net Revenue]]-Final_Table[[#This Row],[Total Cost (COGS)]]</f>
        <v>-2944.7999999999993</v>
      </c>
      <c r="T1154">
        <f>Final_Table[[#This Row],[Gross Profit]]*Final_Table[[#This Row],[Tax Rate]]</f>
        <v>-883.43999999999971</v>
      </c>
      <c r="U1154" s="5">
        <f>Final_Table[[#This Row],[Gross Profit]]-Final_Table[[#This Row],[Tax]]</f>
        <v>-2061.3599999999997</v>
      </c>
      <c r="V1154" s="12">
        <f>Final_Table[[#This Row],[Net Profit]]/Final_Table[[#This Row],[Gross Revenue]]</f>
        <v>-0.10104705882352939</v>
      </c>
    </row>
    <row r="1155" spans="1:22">
      <c r="A1155" s="18" t="s">
        <v>76</v>
      </c>
      <c r="B1155">
        <v>2014</v>
      </c>
      <c r="C1155" t="s">
        <v>127</v>
      </c>
      <c r="D1155">
        <v>1</v>
      </c>
      <c r="E1155" s="18" t="s">
        <v>29</v>
      </c>
      <c r="F1155" s="18" t="s">
        <v>80</v>
      </c>
      <c r="G1155" s="18" t="s">
        <v>25</v>
      </c>
      <c r="H1155" s="18" t="str">
        <f>Assumptions!$B$2</f>
        <v>Worst</v>
      </c>
      <c r="I1155" s="18">
        <f>_xlfn.XLOOKUP(Assumptions!$B$2,Assumptions!$F$4:$H$4,Assumptions!$F$5:$H$5)</f>
        <v>1200</v>
      </c>
      <c r="J1155" s="18">
        <f>_xlfn.XLOOKUP(Assumptions!$B$2,Assumptions!$F$4:$H$4,Assumptions!$F$6:$H$6)</f>
        <v>17</v>
      </c>
      <c r="K1155" s="12">
        <f>_xlfn.XLOOKUP(Assumptions!$B$2,Assumptions!$F$4:$H$4,Assumptions!$F$8:$H$8)</f>
        <v>0.1</v>
      </c>
      <c r="L1155" s="12">
        <f>_xlfn.XLOOKUP(Assumptions!$B$2,Assumptions!$F$4:$H$4,Assumptions!$F$9:$H$9)</f>
        <v>0.18</v>
      </c>
      <c r="M1155" s="18">
        <f>_xlfn.XLOOKUP(Assumptions!$B$2,Assumptions!$F$4:$H$4,Assumptions!$F$10:$H$10)</f>
        <v>18000</v>
      </c>
      <c r="N1155" s="12">
        <f>_xlfn.XLOOKUP(Assumptions!$B$2,Assumptions!$F$4:$H$4,Assumptions!$F$11:$H$11)</f>
        <v>0.3</v>
      </c>
      <c r="O1155" s="14">
        <f>Final_Table[[#This Row],[Units Sold]]*Final_Table[[#This Row],[Sale Price]]</f>
        <v>20400</v>
      </c>
      <c r="P1155" s="14">
        <f>Final_Table[[#This Row],[Gross Revenue]]*(1-Final_Table[[#This Row],[Discount %]])</f>
        <v>18360</v>
      </c>
      <c r="Q1155">
        <f>Final_Table[[#This Row],[Net Revenue]]*Final_Table[[#This Row],[Variable Cost %]]</f>
        <v>3304.7999999999997</v>
      </c>
      <c r="R1155">
        <f>Final_Table[[#This Row],[Variable Cost]]+Final_Table[[#This Row],[Fixed Monthly Cost]]</f>
        <v>21304.799999999999</v>
      </c>
      <c r="S1155" s="5">
        <f>Final_Table[[#This Row],[Net Revenue]]-Final_Table[[#This Row],[Total Cost (COGS)]]</f>
        <v>-2944.7999999999993</v>
      </c>
      <c r="T1155">
        <f>Final_Table[[#This Row],[Gross Profit]]*Final_Table[[#This Row],[Tax Rate]]</f>
        <v>-883.43999999999971</v>
      </c>
      <c r="U1155" s="5">
        <f>Final_Table[[#This Row],[Gross Profit]]-Final_Table[[#This Row],[Tax]]</f>
        <v>-2061.3599999999997</v>
      </c>
      <c r="V1155" s="12">
        <f>Final_Table[[#This Row],[Net Profit]]/Final_Table[[#This Row],[Gross Revenue]]</f>
        <v>-0.10104705882352939</v>
      </c>
    </row>
    <row r="1156" spans="1:22">
      <c r="A1156" s="18" t="s">
        <v>76</v>
      </c>
      <c r="B1156">
        <v>2014</v>
      </c>
      <c r="C1156" t="s">
        <v>127</v>
      </c>
      <c r="D1156">
        <v>1</v>
      </c>
      <c r="E1156" s="18" t="s">
        <v>29</v>
      </c>
      <c r="F1156" s="18" t="s">
        <v>80</v>
      </c>
      <c r="G1156" s="18" t="s">
        <v>17</v>
      </c>
      <c r="H1156" s="18" t="str">
        <f>Assumptions!$B$2</f>
        <v>Worst</v>
      </c>
      <c r="I1156" s="18">
        <f>_xlfn.XLOOKUP(Assumptions!$B$2,Assumptions!$F$4:$H$4,Assumptions!$F$5:$H$5)</f>
        <v>1200</v>
      </c>
      <c r="J1156" s="18">
        <f>_xlfn.XLOOKUP(Assumptions!$B$2,Assumptions!$F$4:$H$4,Assumptions!$F$6:$H$6)</f>
        <v>17</v>
      </c>
      <c r="K1156" s="12">
        <f>_xlfn.XLOOKUP(Assumptions!$B$2,Assumptions!$F$4:$H$4,Assumptions!$F$8:$H$8)</f>
        <v>0.1</v>
      </c>
      <c r="L1156" s="12">
        <f>_xlfn.XLOOKUP(Assumptions!$B$2,Assumptions!$F$4:$H$4,Assumptions!$F$9:$H$9)</f>
        <v>0.18</v>
      </c>
      <c r="M1156" s="18">
        <f>_xlfn.XLOOKUP(Assumptions!$B$2,Assumptions!$F$4:$H$4,Assumptions!$F$10:$H$10)</f>
        <v>18000</v>
      </c>
      <c r="N1156" s="12">
        <f>_xlfn.XLOOKUP(Assumptions!$B$2,Assumptions!$F$4:$H$4,Assumptions!$F$11:$H$11)</f>
        <v>0.3</v>
      </c>
      <c r="O1156" s="14">
        <f>Final_Table[[#This Row],[Units Sold]]*Final_Table[[#This Row],[Sale Price]]</f>
        <v>20400</v>
      </c>
      <c r="P1156" s="14">
        <f>Final_Table[[#This Row],[Gross Revenue]]*(1-Final_Table[[#This Row],[Discount %]])</f>
        <v>18360</v>
      </c>
      <c r="Q1156">
        <f>Final_Table[[#This Row],[Net Revenue]]*Final_Table[[#This Row],[Variable Cost %]]</f>
        <v>3304.7999999999997</v>
      </c>
      <c r="R1156">
        <f>Final_Table[[#This Row],[Variable Cost]]+Final_Table[[#This Row],[Fixed Monthly Cost]]</f>
        <v>21304.799999999999</v>
      </c>
      <c r="S1156" s="5">
        <f>Final_Table[[#This Row],[Net Revenue]]-Final_Table[[#This Row],[Total Cost (COGS)]]</f>
        <v>-2944.7999999999993</v>
      </c>
      <c r="T1156">
        <f>Final_Table[[#This Row],[Gross Profit]]*Final_Table[[#This Row],[Tax Rate]]</f>
        <v>-883.43999999999971</v>
      </c>
      <c r="U1156" s="5">
        <f>Final_Table[[#This Row],[Gross Profit]]-Final_Table[[#This Row],[Tax]]</f>
        <v>-2061.3599999999997</v>
      </c>
      <c r="V1156" s="12">
        <f>Final_Table[[#This Row],[Net Profit]]/Final_Table[[#This Row],[Gross Revenue]]</f>
        <v>-0.10104705882352939</v>
      </c>
    </row>
    <row r="1157" spans="1:22">
      <c r="A1157" s="18" t="s">
        <v>76</v>
      </c>
      <c r="B1157">
        <v>2014</v>
      </c>
      <c r="C1157" t="s">
        <v>127</v>
      </c>
      <c r="D1157">
        <v>1</v>
      </c>
      <c r="E1157" s="18" t="s">
        <v>29</v>
      </c>
      <c r="F1157" s="18" t="s">
        <v>108</v>
      </c>
      <c r="G1157" s="18" t="s">
        <v>36</v>
      </c>
      <c r="H1157" s="18" t="str">
        <f>Assumptions!$B$2</f>
        <v>Worst</v>
      </c>
      <c r="I1157" s="18">
        <f>_xlfn.XLOOKUP(Assumptions!$B$2,Assumptions!$F$4:$H$4,Assumptions!$F$5:$H$5)</f>
        <v>1200</v>
      </c>
      <c r="J1157" s="18">
        <f>_xlfn.XLOOKUP(Assumptions!$B$2,Assumptions!$F$4:$H$4,Assumptions!$F$6:$H$6)</f>
        <v>17</v>
      </c>
      <c r="K1157" s="12">
        <f>_xlfn.XLOOKUP(Assumptions!$B$2,Assumptions!$F$4:$H$4,Assumptions!$F$8:$H$8)</f>
        <v>0.1</v>
      </c>
      <c r="L1157" s="12">
        <f>_xlfn.XLOOKUP(Assumptions!$B$2,Assumptions!$F$4:$H$4,Assumptions!$F$9:$H$9)</f>
        <v>0.18</v>
      </c>
      <c r="M1157" s="18">
        <f>_xlfn.XLOOKUP(Assumptions!$B$2,Assumptions!$F$4:$H$4,Assumptions!$F$10:$H$10)</f>
        <v>18000</v>
      </c>
      <c r="N1157" s="12">
        <f>_xlfn.XLOOKUP(Assumptions!$B$2,Assumptions!$F$4:$H$4,Assumptions!$F$11:$H$11)</f>
        <v>0.3</v>
      </c>
      <c r="O1157" s="14">
        <f>Final_Table[[#This Row],[Units Sold]]*Final_Table[[#This Row],[Sale Price]]</f>
        <v>20400</v>
      </c>
      <c r="P1157" s="14">
        <f>Final_Table[[#This Row],[Gross Revenue]]*(1-Final_Table[[#This Row],[Discount %]])</f>
        <v>18360</v>
      </c>
      <c r="Q1157">
        <f>Final_Table[[#This Row],[Net Revenue]]*Final_Table[[#This Row],[Variable Cost %]]</f>
        <v>3304.7999999999997</v>
      </c>
      <c r="R1157">
        <f>Final_Table[[#This Row],[Variable Cost]]+Final_Table[[#This Row],[Fixed Monthly Cost]]</f>
        <v>21304.799999999999</v>
      </c>
      <c r="S1157" s="5">
        <f>Final_Table[[#This Row],[Net Revenue]]-Final_Table[[#This Row],[Total Cost (COGS)]]</f>
        <v>-2944.7999999999993</v>
      </c>
      <c r="T1157">
        <f>Final_Table[[#This Row],[Gross Profit]]*Final_Table[[#This Row],[Tax Rate]]</f>
        <v>-883.43999999999971</v>
      </c>
      <c r="U1157" s="5">
        <f>Final_Table[[#This Row],[Gross Profit]]-Final_Table[[#This Row],[Tax]]</f>
        <v>-2061.3599999999997</v>
      </c>
      <c r="V1157" s="12">
        <f>Final_Table[[#This Row],[Net Profit]]/Final_Table[[#This Row],[Gross Revenue]]</f>
        <v>-0.10104705882352939</v>
      </c>
    </row>
    <row r="1158" spans="1:22">
      <c r="A1158" s="18" t="s">
        <v>76</v>
      </c>
      <c r="B1158">
        <v>2014</v>
      </c>
      <c r="C1158" t="s">
        <v>127</v>
      </c>
      <c r="D1158">
        <v>1</v>
      </c>
      <c r="E1158" s="18" t="s">
        <v>29</v>
      </c>
      <c r="F1158" s="18" t="s">
        <v>108</v>
      </c>
      <c r="G1158" s="18" t="s">
        <v>23</v>
      </c>
      <c r="H1158" s="18" t="str">
        <f>Assumptions!$B$2</f>
        <v>Worst</v>
      </c>
      <c r="I1158" s="18">
        <f>_xlfn.XLOOKUP(Assumptions!$B$2,Assumptions!$F$4:$H$4,Assumptions!$F$5:$H$5)</f>
        <v>1200</v>
      </c>
      <c r="J1158" s="18">
        <f>_xlfn.XLOOKUP(Assumptions!$B$2,Assumptions!$F$4:$H$4,Assumptions!$F$6:$H$6)</f>
        <v>17</v>
      </c>
      <c r="K1158" s="12">
        <f>_xlfn.XLOOKUP(Assumptions!$B$2,Assumptions!$F$4:$H$4,Assumptions!$F$8:$H$8)</f>
        <v>0.1</v>
      </c>
      <c r="L1158" s="12">
        <f>_xlfn.XLOOKUP(Assumptions!$B$2,Assumptions!$F$4:$H$4,Assumptions!$F$9:$H$9)</f>
        <v>0.18</v>
      </c>
      <c r="M1158" s="18">
        <f>_xlfn.XLOOKUP(Assumptions!$B$2,Assumptions!$F$4:$H$4,Assumptions!$F$10:$H$10)</f>
        <v>18000</v>
      </c>
      <c r="N1158" s="12">
        <f>_xlfn.XLOOKUP(Assumptions!$B$2,Assumptions!$F$4:$H$4,Assumptions!$F$11:$H$11)</f>
        <v>0.3</v>
      </c>
      <c r="O1158" s="14">
        <f>Final_Table[[#This Row],[Units Sold]]*Final_Table[[#This Row],[Sale Price]]</f>
        <v>20400</v>
      </c>
      <c r="P1158" s="14">
        <f>Final_Table[[#This Row],[Gross Revenue]]*(1-Final_Table[[#This Row],[Discount %]])</f>
        <v>18360</v>
      </c>
      <c r="Q1158">
        <f>Final_Table[[#This Row],[Net Revenue]]*Final_Table[[#This Row],[Variable Cost %]]</f>
        <v>3304.7999999999997</v>
      </c>
      <c r="R1158">
        <f>Final_Table[[#This Row],[Variable Cost]]+Final_Table[[#This Row],[Fixed Monthly Cost]]</f>
        <v>21304.799999999999</v>
      </c>
      <c r="S1158" s="5">
        <f>Final_Table[[#This Row],[Net Revenue]]-Final_Table[[#This Row],[Total Cost (COGS)]]</f>
        <v>-2944.7999999999993</v>
      </c>
      <c r="T1158">
        <f>Final_Table[[#This Row],[Gross Profit]]*Final_Table[[#This Row],[Tax Rate]]</f>
        <v>-883.43999999999971</v>
      </c>
      <c r="U1158" s="5">
        <f>Final_Table[[#This Row],[Gross Profit]]-Final_Table[[#This Row],[Tax]]</f>
        <v>-2061.3599999999997</v>
      </c>
      <c r="V1158" s="12">
        <f>Final_Table[[#This Row],[Net Profit]]/Final_Table[[#This Row],[Gross Revenue]]</f>
        <v>-0.10104705882352939</v>
      </c>
    </row>
    <row r="1159" spans="1:22">
      <c r="A1159" s="18" t="s">
        <v>76</v>
      </c>
      <c r="B1159">
        <v>2014</v>
      </c>
      <c r="C1159" t="s">
        <v>127</v>
      </c>
      <c r="D1159">
        <v>1</v>
      </c>
      <c r="E1159" s="18" t="s">
        <v>29</v>
      </c>
      <c r="F1159" s="18" t="s">
        <v>108</v>
      </c>
      <c r="G1159" s="18" t="s">
        <v>21</v>
      </c>
      <c r="H1159" s="18" t="str">
        <f>Assumptions!$B$2</f>
        <v>Worst</v>
      </c>
      <c r="I1159" s="18">
        <f>_xlfn.XLOOKUP(Assumptions!$B$2,Assumptions!$F$4:$H$4,Assumptions!$F$5:$H$5)</f>
        <v>1200</v>
      </c>
      <c r="J1159" s="18">
        <f>_xlfn.XLOOKUP(Assumptions!$B$2,Assumptions!$F$4:$H$4,Assumptions!$F$6:$H$6)</f>
        <v>17</v>
      </c>
      <c r="K1159" s="12">
        <f>_xlfn.XLOOKUP(Assumptions!$B$2,Assumptions!$F$4:$H$4,Assumptions!$F$8:$H$8)</f>
        <v>0.1</v>
      </c>
      <c r="L1159" s="12">
        <f>_xlfn.XLOOKUP(Assumptions!$B$2,Assumptions!$F$4:$H$4,Assumptions!$F$9:$H$9)</f>
        <v>0.18</v>
      </c>
      <c r="M1159" s="18">
        <f>_xlfn.XLOOKUP(Assumptions!$B$2,Assumptions!$F$4:$H$4,Assumptions!$F$10:$H$10)</f>
        <v>18000</v>
      </c>
      <c r="N1159" s="12">
        <f>_xlfn.XLOOKUP(Assumptions!$B$2,Assumptions!$F$4:$H$4,Assumptions!$F$11:$H$11)</f>
        <v>0.3</v>
      </c>
      <c r="O1159" s="14">
        <f>Final_Table[[#This Row],[Units Sold]]*Final_Table[[#This Row],[Sale Price]]</f>
        <v>20400</v>
      </c>
      <c r="P1159" s="14">
        <f>Final_Table[[#This Row],[Gross Revenue]]*(1-Final_Table[[#This Row],[Discount %]])</f>
        <v>18360</v>
      </c>
      <c r="Q1159">
        <f>Final_Table[[#This Row],[Net Revenue]]*Final_Table[[#This Row],[Variable Cost %]]</f>
        <v>3304.7999999999997</v>
      </c>
      <c r="R1159">
        <f>Final_Table[[#This Row],[Variable Cost]]+Final_Table[[#This Row],[Fixed Monthly Cost]]</f>
        <v>21304.799999999999</v>
      </c>
      <c r="S1159" s="5">
        <f>Final_Table[[#This Row],[Net Revenue]]-Final_Table[[#This Row],[Total Cost (COGS)]]</f>
        <v>-2944.7999999999993</v>
      </c>
      <c r="T1159">
        <f>Final_Table[[#This Row],[Gross Profit]]*Final_Table[[#This Row],[Tax Rate]]</f>
        <v>-883.43999999999971</v>
      </c>
      <c r="U1159" s="5">
        <f>Final_Table[[#This Row],[Gross Profit]]-Final_Table[[#This Row],[Tax]]</f>
        <v>-2061.3599999999997</v>
      </c>
      <c r="V1159" s="12">
        <f>Final_Table[[#This Row],[Net Profit]]/Final_Table[[#This Row],[Gross Revenue]]</f>
        <v>-0.10104705882352939</v>
      </c>
    </row>
    <row r="1160" spans="1:22">
      <c r="A1160" s="18" t="s">
        <v>76</v>
      </c>
      <c r="B1160">
        <v>2014</v>
      </c>
      <c r="C1160" t="s">
        <v>127</v>
      </c>
      <c r="D1160">
        <v>1</v>
      </c>
      <c r="E1160" s="18" t="s">
        <v>29</v>
      </c>
      <c r="F1160" s="18" t="s">
        <v>108</v>
      </c>
      <c r="G1160" s="18" t="s">
        <v>25</v>
      </c>
      <c r="H1160" s="18" t="str">
        <f>Assumptions!$B$2</f>
        <v>Worst</v>
      </c>
      <c r="I1160" s="18">
        <f>_xlfn.XLOOKUP(Assumptions!$B$2,Assumptions!$F$4:$H$4,Assumptions!$F$5:$H$5)</f>
        <v>1200</v>
      </c>
      <c r="J1160" s="18">
        <f>_xlfn.XLOOKUP(Assumptions!$B$2,Assumptions!$F$4:$H$4,Assumptions!$F$6:$H$6)</f>
        <v>17</v>
      </c>
      <c r="K1160" s="12">
        <f>_xlfn.XLOOKUP(Assumptions!$B$2,Assumptions!$F$4:$H$4,Assumptions!$F$8:$H$8)</f>
        <v>0.1</v>
      </c>
      <c r="L1160" s="12">
        <f>_xlfn.XLOOKUP(Assumptions!$B$2,Assumptions!$F$4:$H$4,Assumptions!$F$9:$H$9)</f>
        <v>0.18</v>
      </c>
      <c r="M1160" s="18">
        <f>_xlfn.XLOOKUP(Assumptions!$B$2,Assumptions!$F$4:$H$4,Assumptions!$F$10:$H$10)</f>
        <v>18000</v>
      </c>
      <c r="N1160" s="12">
        <f>_xlfn.XLOOKUP(Assumptions!$B$2,Assumptions!$F$4:$H$4,Assumptions!$F$11:$H$11)</f>
        <v>0.3</v>
      </c>
      <c r="O1160" s="14">
        <f>Final_Table[[#This Row],[Units Sold]]*Final_Table[[#This Row],[Sale Price]]</f>
        <v>20400</v>
      </c>
      <c r="P1160" s="14">
        <f>Final_Table[[#This Row],[Gross Revenue]]*(1-Final_Table[[#This Row],[Discount %]])</f>
        <v>18360</v>
      </c>
      <c r="Q1160">
        <f>Final_Table[[#This Row],[Net Revenue]]*Final_Table[[#This Row],[Variable Cost %]]</f>
        <v>3304.7999999999997</v>
      </c>
      <c r="R1160">
        <f>Final_Table[[#This Row],[Variable Cost]]+Final_Table[[#This Row],[Fixed Monthly Cost]]</f>
        <v>21304.799999999999</v>
      </c>
      <c r="S1160" s="5">
        <f>Final_Table[[#This Row],[Net Revenue]]-Final_Table[[#This Row],[Total Cost (COGS)]]</f>
        <v>-2944.7999999999993</v>
      </c>
      <c r="T1160">
        <f>Final_Table[[#This Row],[Gross Profit]]*Final_Table[[#This Row],[Tax Rate]]</f>
        <v>-883.43999999999971</v>
      </c>
      <c r="U1160" s="5">
        <f>Final_Table[[#This Row],[Gross Profit]]-Final_Table[[#This Row],[Tax]]</f>
        <v>-2061.3599999999997</v>
      </c>
      <c r="V1160" s="12">
        <f>Final_Table[[#This Row],[Net Profit]]/Final_Table[[#This Row],[Gross Revenue]]</f>
        <v>-0.10104705882352939</v>
      </c>
    </row>
    <row r="1161" spans="1:22">
      <c r="A1161" s="18" t="s">
        <v>76</v>
      </c>
      <c r="B1161">
        <v>2014</v>
      </c>
      <c r="C1161" t="s">
        <v>127</v>
      </c>
      <c r="D1161">
        <v>1</v>
      </c>
      <c r="E1161" s="18" t="s">
        <v>29</v>
      </c>
      <c r="F1161" s="18" t="s">
        <v>108</v>
      </c>
      <c r="G1161" s="18" t="s">
        <v>17</v>
      </c>
      <c r="H1161" s="18" t="str">
        <f>Assumptions!$B$2</f>
        <v>Worst</v>
      </c>
      <c r="I1161" s="18">
        <f>_xlfn.XLOOKUP(Assumptions!$B$2,Assumptions!$F$4:$H$4,Assumptions!$F$5:$H$5)</f>
        <v>1200</v>
      </c>
      <c r="J1161" s="18">
        <f>_xlfn.XLOOKUP(Assumptions!$B$2,Assumptions!$F$4:$H$4,Assumptions!$F$6:$H$6)</f>
        <v>17</v>
      </c>
      <c r="K1161" s="12">
        <f>_xlfn.XLOOKUP(Assumptions!$B$2,Assumptions!$F$4:$H$4,Assumptions!$F$8:$H$8)</f>
        <v>0.1</v>
      </c>
      <c r="L1161" s="12">
        <f>_xlfn.XLOOKUP(Assumptions!$B$2,Assumptions!$F$4:$H$4,Assumptions!$F$9:$H$9)</f>
        <v>0.18</v>
      </c>
      <c r="M1161" s="18">
        <f>_xlfn.XLOOKUP(Assumptions!$B$2,Assumptions!$F$4:$H$4,Assumptions!$F$10:$H$10)</f>
        <v>18000</v>
      </c>
      <c r="N1161" s="12">
        <f>_xlfn.XLOOKUP(Assumptions!$B$2,Assumptions!$F$4:$H$4,Assumptions!$F$11:$H$11)</f>
        <v>0.3</v>
      </c>
      <c r="O1161" s="14">
        <f>Final_Table[[#This Row],[Units Sold]]*Final_Table[[#This Row],[Sale Price]]</f>
        <v>20400</v>
      </c>
      <c r="P1161" s="14">
        <f>Final_Table[[#This Row],[Gross Revenue]]*(1-Final_Table[[#This Row],[Discount %]])</f>
        <v>18360</v>
      </c>
      <c r="Q1161">
        <f>Final_Table[[#This Row],[Net Revenue]]*Final_Table[[#This Row],[Variable Cost %]]</f>
        <v>3304.7999999999997</v>
      </c>
      <c r="R1161">
        <f>Final_Table[[#This Row],[Variable Cost]]+Final_Table[[#This Row],[Fixed Monthly Cost]]</f>
        <v>21304.799999999999</v>
      </c>
      <c r="S1161" s="5">
        <f>Final_Table[[#This Row],[Net Revenue]]-Final_Table[[#This Row],[Total Cost (COGS)]]</f>
        <v>-2944.7999999999993</v>
      </c>
      <c r="T1161">
        <f>Final_Table[[#This Row],[Gross Profit]]*Final_Table[[#This Row],[Tax Rate]]</f>
        <v>-883.43999999999971</v>
      </c>
      <c r="U1161" s="5">
        <f>Final_Table[[#This Row],[Gross Profit]]-Final_Table[[#This Row],[Tax]]</f>
        <v>-2061.3599999999997</v>
      </c>
      <c r="V1161" s="12">
        <f>Final_Table[[#This Row],[Net Profit]]/Final_Table[[#This Row],[Gross Revenue]]</f>
        <v>-0.10104705882352939</v>
      </c>
    </row>
    <row r="1162" spans="1:22">
      <c r="A1162" s="18" t="s">
        <v>76</v>
      </c>
      <c r="B1162">
        <v>2014</v>
      </c>
      <c r="C1162" t="s">
        <v>127</v>
      </c>
      <c r="D1162">
        <v>1</v>
      </c>
      <c r="E1162" s="18" t="s">
        <v>29</v>
      </c>
      <c r="F1162" s="18" t="s">
        <v>112</v>
      </c>
      <c r="G1162" s="18" t="s">
        <v>36</v>
      </c>
      <c r="H1162" s="18" t="str">
        <f>Assumptions!$B$2</f>
        <v>Worst</v>
      </c>
      <c r="I1162" s="18">
        <f>_xlfn.XLOOKUP(Assumptions!$B$2,Assumptions!$F$4:$H$4,Assumptions!$F$5:$H$5)</f>
        <v>1200</v>
      </c>
      <c r="J1162" s="18">
        <f>_xlfn.XLOOKUP(Assumptions!$B$2,Assumptions!$F$4:$H$4,Assumptions!$F$6:$H$6)</f>
        <v>17</v>
      </c>
      <c r="K1162" s="12">
        <f>_xlfn.XLOOKUP(Assumptions!$B$2,Assumptions!$F$4:$H$4,Assumptions!$F$8:$H$8)</f>
        <v>0.1</v>
      </c>
      <c r="L1162" s="12">
        <f>_xlfn.XLOOKUP(Assumptions!$B$2,Assumptions!$F$4:$H$4,Assumptions!$F$9:$H$9)</f>
        <v>0.18</v>
      </c>
      <c r="M1162" s="18">
        <f>_xlfn.XLOOKUP(Assumptions!$B$2,Assumptions!$F$4:$H$4,Assumptions!$F$10:$H$10)</f>
        <v>18000</v>
      </c>
      <c r="N1162" s="12">
        <f>_xlfn.XLOOKUP(Assumptions!$B$2,Assumptions!$F$4:$H$4,Assumptions!$F$11:$H$11)</f>
        <v>0.3</v>
      </c>
      <c r="O1162" s="14">
        <f>Final_Table[[#This Row],[Units Sold]]*Final_Table[[#This Row],[Sale Price]]</f>
        <v>20400</v>
      </c>
      <c r="P1162" s="14">
        <f>Final_Table[[#This Row],[Gross Revenue]]*(1-Final_Table[[#This Row],[Discount %]])</f>
        <v>18360</v>
      </c>
      <c r="Q1162">
        <f>Final_Table[[#This Row],[Net Revenue]]*Final_Table[[#This Row],[Variable Cost %]]</f>
        <v>3304.7999999999997</v>
      </c>
      <c r="R1162">
        <f>Final_Table[[#This Row],[Variable Cost]]+Final_Table[[#This Row],[Fixed Monthly Cost]]</f>
        <v>21304.799999999999</v>
      </c>
      <c r="S1162" s="5">
        <f>Final_Table[[#This Row],[Net Revenue]]-Final_Table[[#This Row],[Total Cost (COGS)]]</f>
        <v>-2944.7999999999993</v>
      </c>
      <c r="T1162">
        <f>Final_Table[[#This Row],[Gross Profit]]*Final_Table[[#This Row],[Tax Rate]]</f>
        <v>-883.43999999999971</v>
      </c>
      <c r="U1162" s="5">
        <f>Final_Table[[#This Row],[Gross Profit]]-Final_Table[[#This Row],[Tax]]</f>
        <v>-2061.3599999999997</v>
      </c>
      <c r="V1162" s="12">
        <f>Final_Table[[#This Row],[Net Profit]]/Final_Table[[#This Row],[Gross Revenue]]</f>
        <v>-0.10104705882352939</v>
      </c>
    </row>
    <row r="1163" spans="1:22">
      <c r="A1163" s="18" t="s">
        <v>76</v>
      </c>
      <c r="B1163">
        <v>2014</v>
      </c>
      <c r="C1163" t="s">
        <v>127</v>
      </c>
      <c r="D1163">
        <v>1</v>
      </c>
      <c r="E1163" s="18" t="s">
        <v>29</v>
      </c>
      <c r="F1163" s="18" t="s">
        <v>112</v>
      </c>
      <c r="G1163" s="18" t="s">
        <v>23</v>
      </c>
      <c r="H1163" s="18" t="str">
        <f>Assumptions!$B$2</f>
        <v>Worst</v>
      </c>
      <c r="I1163" s="18">
        <f>_xlfn.XLOOKUP(Assumptions!$B$2,Assumptions!$F$4:$H$4,Assumptions!$F$5:$H$5)</f>
        <v>1200</v>
      </c>
      <c r="J1163" s="18">
        <f>_xlfn.XLOOKUP(Assumptions!$B$2,Assumptions!$F$4:$H$4,Assumptions!$F$6:$H$6)</f>
        <v>17</v>
      </c>
      <c r="K1163" s="12">
        <f>_xlfn.XLOOKUP(Assumptions!$B$2,Assumptions!$F$4:$H$4,Assumptions!$F$8:$H$8)</f>
        <v>0.1</v>
      </c>
      <c r="L1163" s="12">
        <f>_xlfn.XLOOKUP(Assumptions!$B$2,Assumptions!$F$4:$H$4,Assumptions!$F$9:$H$9)</f>
        <v>0.18</v>
      </c>
      <c r="M1163" s="18">
        <f>_xlfn.XLOOKUP(Assumptions!$B$2,Assumptions!$F$4:$H$4,Assumptions!$F$10:$H$10)</f>
        <v>18000</v>
      </c>
      <c r="N1163" s="12">
        <f>_xlfn.XLOOKUP(Assumptions!$B$2,Assumptions!$F$4:$H$4,Assumptions!$F$11:$H$11)</f>
        <v>0.3</v>
      </c>
      <c r="O1163" s="14">
        <f>Final_Table[[#This Row],[Units Sold]]*Final_Table[[#This Row],[Sale Price]]</f>
        <v>20400</v>
      </c>
      <c r="P1163" s="14">
        <f>Final_Table[[#This Row],[Gross Revenue]]*(1-Final_Table[[#This Row],[Discount %]])</f>
        <v>18360</v>
      </c>
      <c r="Q1163">
        <f>Final_Table[[#This Row],[Net Revenue]]*Final_Table[[#This Row],[Variable Cost %]]</f>
        <v>3304.7999999999997</v>
      </c>
      <c r="R1163">
        <f>Final_Table[[#This Row],[Variable Cost]]+Final_Table[[#This Row],[Fixed Monthly Cost]]</f>
        <v>21304.799999999999</v>
      </c>
      <c r="S1163" s="5">
        <f>Final_Table[[#This Row],[Net Revenue]]-Final_Table[[#This Row],[Total Cost (COGS)]]</f>
        <v>-2944.7999999999993</v>
      </c>
      <c r="T1163">
        <f>Final_Table[[#This Row],[Gross Profit]]*Final_Table[[#This Row],[Tax Rate]]</f>
        <v>-883.43999999999971</v>
      </c>
      <c r="U1163" s="5">
        <f>Final_Table[[#This Row],[Gross Profit]]-Final_Table[[#This Row],[Tax]]</f>
        <v>-2061.3599999999997</v>
      </c>
      <c r="V1163" s="12">
        <f>Final_Table[[#This Row],[Net Profit]]/Final_Table[[#This Row],[Gross Revenue]]</f>
        <v>-0.10104705882352939</v>
      </c>
    </row>
    <row r="1164" spans="1:22">
      <c r="A1164" s="18" t="s">
        <v>76</v>
      </c>
      <c r="B1164">
        <v>2014</v>
      </c>
      <c r="C1164" t="s">
        <v>127</v>
      </c>
      <c r="D1164">
        <v>1</v>
      </c>
      <c r="E1164" s="18" t="s">
        <v>29</v>
      </c>
      <c r="F1164" s="18" t="s">
        <v>112</v>
      </c>
      <c r="G1164" s="18" t="s">
        <v>21</v>
      </c>
      <c r="H1164" s="18" t="str">
        <f>Assumptions!$B$2</f>
        <v>Worst</v>
      </c>
      <c r="I1164" s="18">
        <f>_xlfn.XLOOKUP(Assumptions!$B$2,Assumptions!$F$4:$H$4,Assumptions!$F$5:$H$5)</f>
        <v>1200</v>
      </c>
      <c r="J1164" s="18">
        <f>_xlfn.XLOOKUP(Assumptions!$B$2,Assumptions!$F$4:$H$4,Assumptions!$F$6:$H$6)</f>
        <v>17</v>
      </c>
      <c r="K1164" s="12">
        <f>_xlfn.XLOOKUP(Assumptions!$B$2,Assumptions!$F$4:$H$4,Assumptions!$F$8:$H$8)</f>
        <v>0.1</v>
      </c>
      <c r="L1164" s="12">
        <f>_xlfn.XLOOKUP(Assumptions!$B$2,Assumptions!$F$4:$H$4,Assumptions!$F$9:$H$9)</f>
        <v>0.18</v>
      </c>
      <c r="M1164" s="18">
        <f>_xlfn.XLOOKUP(Assumptions!$B$2,Assumptions!$F$4:$H$4,Assumptions!$F$10:$H$10)</f>
        <v>18000</v>
      </c>
      <c r="N1164" s="12">
        <f>_xlfn.XLOOKUP(Assumptions!$B$2,Assumptions!$F$4:$H$4,Assumptions!$F$11:$H$11)</f>
        <v>0.3</v>
      </c>
      <c r="O1164" s="14">
        <f>Final_Table[[#This Row],[Units Sold]]*Final_Table[[#This Row],[Sale Price]]</f>
        <v>20400</v>
      </c>
      <c r="P1164" s="14">
        <f>Final_Table[[#This Row],[Gross Revenue]]*(1-Final_Table[[#This Row],[Discount %]])</f>
        <v>18360</v>
      </c>
      <c r="Q1164">
        <f>Final_Table[[#This Row],[Net Revenue]]*Final_Table[[#This Row],[Variable Cost %]]</f>
        <v>3304.7999999999997</v>
      </c>
      <c r="R1164">
        <f>Final_Table[[#This Row],[Variable Cost]]+Final_Table[[#This Row],[Fixed Monthly Cost]]</f>
        <v>21304.799999999999</v>
      </c>
      <c r="S1164" s="5">
        <f>Final_Table[[#This Row],[Net Revenue]]-Final_Table[[#This Row],[Total Cost (COGS)]]</f>
        <v>-2944.7999999999993</v>
      </c>
      <c r="T1164">
        <f>Final_Table[[#This Row],[Gross Profit]]*Final_Table[[#This Row],[Tax Rate]]</f>
        <v>-883.43999999999971</v>
      </c>
      <c r="U1164" s="5">
        <f>Final_Table[[#This Row],[Gross Profit]]-Final_Table[[#This Row],[Tax]]</f>
        <v>-2061.3599999999997</v>
      </c>
      <c r="V1164" s="12">
        <f>Final_Table[[#This Row],[Net Profit]]/Final_Table[[#This Row],[Gross Revenue]]</f>
        <v>-0.10104705882352939</v>
      </c>
    </row>
    <row r="1165" spans="1:22">
      <c r="A1165" s="18" t="s">
        <v>76</v>
      </c>
      <c r="B1165">
        <v>2014</v>
      </c>
      <c r="C1165" t="s">
        <v>127</v>
      </c>
      <c r="D1165">
        <v>1</v>
      </c>
      <c r="E1165" s="18" t="s">
        <v>29</v>
      </c>
      <c r="F1165" s="18" t="s">
        <v>112</v>
      </c>
      <c r="G1165" s="18" t="s">
        <v>25</v>
      </c>
      <c r="H1165" s="18" t="str">
        <f>Assumptions!$B$2</f>
        <v>Worst</v>
      </c>
      <c r="I1165" s="18">
        <f>_xlfn.XLOOKUP(Assumptions!$B$2,Assumptions!$F$4:$H$4,Assumptions!$F$5:$H$5)</f>
        <v>1200</v>
      </c>
      <c r="J1165" s="18">
        <f>_xlfn.XLOOKUP(Assumptions!$B$2,Assumptions!$F$4:$H$4,Assumptions!$F$6:$H$6)</f>
        <v>17</v>
      </c>
      <c r="K1165" s="12">
        <f>_xlfn.XLOOKUP(Assumptions!$B$2,Assumptions!$F$4:$H$4,Assumptions!$F$8:$H$8)</f>
        <v>0.1</v>
      </c>
      <c r="L1165" s="12">
        <f>_xlfn.XLOOKUP(Assumptions!$B$2,Assumptions!$F$4:$H$4,Assumptions!$F$9:$H$9)</f>
        <v>0.18</v>
      </c>
      <c r="M1165" s="18">
        <f>_xlfn.XLOOKUP(Assumptions!$B$2,Assumptions!$F$4:$H$4,Assumptions!$F$10:$H$10)</f>
        <v>18000</v>
      </c>
      <c r="N1165" s="12">
        <f>_xlfn.XLOOKUP(Assumptions!$B$2,Assumptions!$F$4:$H$4,Assumptions!$F$11:$H$11)</f>
        <v>0.3</v>
      </c>
      <c r="O1165" s="14">
        <f>Final_Table[[#This Row],[Units Sold]]*Final_Table[[#This Row],[Sale Price]]</f>
        <v>20400</v>
      </c>
      <c r="P1165" s="14">
        <f>Final_Table[[#This Row],[Gross Revenue]]*(1-Final_Table[[#This Row],[Discount %]])</f>
        <v>18360</v>
      </c>
      <c r="Q1165">
        <f>Final_Table[[#This Row],[Net Revenue]]*Final_Table[[#This Row],[Variable Cost %]]</f>
        <v>3304.7999999999997</v>
      </c>
      <c r="R1165">
        <f>Final_Table[[#This Row],[Variable Cost]]+Final_Table[[#This Row],[Fixed Monthly Cost]]</f>
        <v>21304.799999999999</v>
      </c>
      <c r="S1165" s="5">
        <f>Final_Table[[#This Row],[Net Revenue]]-Final_Table[[#This Row],[Total Cost (COGS)]]</f>
        <v>-2944.7999999999993</v>
      </c>
      <c r="T1165">
        <f>Final_Table[[#This Row],[Gross Profit]]*Final_Table[[#This Row],[Tax Rate]]</f>
        <v>-883.43999999999971</v>
      </c>
      <c r="U1165" s="5">
        <f>Final_Table[[#This Row],[Gross Profit]]-Final_Table[[#This Row],[Tax]]</f>
        <v>-2061.3599999999997</v>
      </c>
      <c r="V1165" s="12">
        <f>Final_Table[[#This Row],[Net Profit]]/Final_Table[[#This Row],[Gross Revenue]]</f>
        <v>-0.10104705882352939</v>
      </c>
    </row>
    <row r="1166" spans="1:22">
      <c r="A1166" s="18" t="s">
        <v>76</v>
      </c>
      <c r="B1166">
        <v>2014</v>
      </c>
      <c r="C1166" t="s">
        <v>127</v>
      </c>
      <c r="D1166">
        <v>1</v>
      </c>
      <c r="E1166" s="18" t="s">
        <v>29</v>
      </c>
      <c r="F1166" s="18" t="s">
        <v>112</v>
      </c>
      <c r="G1166" s="18" t="s">
        <v>17</v>
      </c>
      <c r="H1166" s="18" t="str">
        <f>Assumptions!$B$2</f>
        <v>Worst</v>
      </c>
      <c r="I1166" s="18">
        <f>_xlfn.XLOOKUP(Assumptions!$B$2,Assumptions!$F$4:$H$4,Assumptions!$F$5:$H$5)</f>
        <v>1200</v>
      </c>
      <c r="J1166" s="18">
        <f>_xlfn.XLOOKUP(Assumptions!$B$2,Assumptions!$F$4:$H$4,Assumptions!$F$6:$H$6)</f>
        <v>17</v>
      </c>
      <c r="K1166" s="12">
        <f>_xlfn.XLOOKUP(Assumptions!$B$2,Assumptions!$F$4:$H$4,Assumptions!$F$8:$H$8)</f>
        <v>0.1</v>
      </c>
      <c r="L1166" s="12">
        <f>_xlfn.XLOOKUP(Assumptions!$B$2,Assumptions!$F$4:$H$4,Assumptions!$F$9:$H$9)</f>
        <v>0.18</v>
      </c>
      <c r="M1166" s="18">
        <f>_xlfn.XLOOKUP(Assumptions!$B$2,Assumptions!$F$4:$H$4,Assumptions!$F$10:$H$10)</f>
        <v>18000</v>
      </c>
      <c r="N1166" s="12">
        <f>_xlfn.XLOOKUP(Assumptions!$B$2,Assumptions!$F$4:$H$4,Assumptions!$F$11:$H$11)</f>
        <v>0.3</v>
      </c>
      <c r="O1166" s="14">
        <f>Final_Table[[#This Row],[Units Sold]]*Final_Table[[#This Row],[Sale Price]]</f>
        <v>20400</v>
      </c>
      <c r="P1166" s="14">
        <f>Final_Table[[#This Row],[Gross Revenue]]*(1-Final_Table[[#This Row],[Discount %]])</f>
        <v>18360</v>
      </c>
      <c r="Q1166">
        <f>Final_Table[[#This Row],[Net Revenue]]*Final_Table[[#This Row],[Variable Cost %]]</f>
        <v>3304.7999999999997</v>
      </c>
      <c r="R1166">
        <f>Final_Table[[#This Row],[Variable Cost]]+Final_Table[[#This Row],[Fixed Monthly Cost]]</f>
        <v>21304.799999999999</v>
      </c>
      <c r="S1166" s="5">
        <f>Final_Table[[#This Row],[Net Revenue]]-Final_Table[[#This Row],[Total Cost (COGS)]]</f>
        <v>-2944.7999999999993</v>
      </c>
      <c r="T1166">
        <f>Final_Table[[#This Row],[Gross Profit]]*Final_Table[[#This Row],[Tax Rate]]</f>
        <v>-883.43999999999971</v>
      </c>
      <c r="U1166" s="5">
        <f>Final_Table[[#This Row],[Gross Profit]]-Final_Table[[#This Row],[Tax]]</f>
        <v>-2061.3599999999997</v>
      </c>
      <c r="V1166" s="12">
        <f>Final_Table[[#This Row],[Net Profit]]/Final_Table[[#This Row],[Gross Revenue]]</f>
        <v>-0.10104705882352939</v>
      </c>
    </row>
    <row r="1167" spans="1:22">
      <c r="A1167" s="18" t="s">
        <v>76</v>
      </c>
      <c r="B1167">
        <v>2014</v>
      </c>
      <c r="C1167" t="s">
        <v>127</v>
      </c>
      <c r="D1167">
        <v>1</v>
      </c>
      <c r="E1167" s="18" t="s">
        <v>29</v>
      </c>
      <c r="F1167" s="18" t="s">
        <v>113</v>
      </c>
      <c r="G1167" s="18" t="s">
        <v>36</v>
      </c>
      <c r="H1167" s="18" t="str">
        <f>Assumptions!$B$2</f>
        <v>Worst</v>
      </c>
      <c r="I1167" s="18">
        <f>_xlfn.XLOOKUP(Assumptions!$B$2,Assumptions!$F$4:$H$4,Assumptions!$F$5:$H$5)</f>
        <v>1200</v>
      </c>
      <c r="J1167" s="18">
        <f>_xlfn.XLOOKUP(Assumptions!$B$2,Assumptions!$F$4:$H$4,Assumptions!$F$6:$H$6)</f>
        <v>17</v>
      </c>
      <c r="K1167" s="12">
        <f>_xlfn.XLOOKUP(Assumptions!$B$2,Assumptions!$F$4:$H$4,Assumptions!$F$8:$H$8)</f>
        <v>0.1</v>
      </c>
      <c r="L1167" s="12">
        <f>_xlfn.XLOOKUP(Assumptions!$B$2,Assumptions!$F$4:$H$4,Assumptions!$F$9:$H$9)</f>
        <v>0.18</v>
      </c>
      <c r="M1167" s="18">
        <f>_xlfn.XLOOKUP(Assumptions!$B$2,Assumptions!$F$4:$H$4,Assumptions!$F$10:$H$10)</f>
        <v>18000</v>
      </c>
      <c r="N1167" s="12">
        <f>_xlfn.XLOOKUP(Assumptions!$B$2,Assumptions!$F$4:$H$4,Assumptions!$F$11:$H$11)</f>
        <v>0.3</v>
      </c>
      <c r="O1167" s="14">
        <f>Final_Table[[#This Row],[Units Sold]]*Final_Table[[#This Row],[Sale Price]]</f>
        <v>20400</v>
      </c>
      <c r="P1167" s="14">
        <f>Final_Table[[#This Row],[Gross Revenue]]*(1-Final_Table[[#This Row],[Discount %]])</f>
        <v>18360</v>
      </c>
      <c r="Q1167">
        <f>Final_Table[[#This Row],[Net Revenue]]*Final_Table[[#This Row],[Variable Cost %]]</f>
        <v>3304.7999999999997</v>
      </c>
      <c r="R1167">
        <f>Final_Table[[#This Row],[Variable Cost]]+Final_Table[[#This Row],[Fixed Monthly Cost]]</f>
        <v>21304.799999999999</v>
      </c>
      <c r="S1167" s="5">
        <f>Final_Table[[#This Row],[Net Revenue]]-Final_Table[[#This Row],[Total Cost (COGS)]]</f>
        <v>-2944.7999999999993</v>
      </c>
      <c r="T1167">
        <f>Final_Table[[#This Row],[Gross Profit]]*Final_Table[[#This Row],[Tax Rate]]</f>
        <v>-883.43999999999971</v>
      </c>
      <c r="U1167" s="5">
        <f>Final_Table[[#This Row],[Gross Profit]]-Final_Table[[#This Row],[Tax]]</f>
        <v>-2061.3599999999997</v>
      </c>
      <c r="V1167" s="12">
        <f>Final_Table[[#This Row],[Net Profit]]/Final_Table[[#This Row],[Gross Revenue]]</f>
        <v>-0.10104705882352939</v>
      </c>
    </row>
    <row r="1168" spans="1:22">
      <c r="A1168" s="18" t="s">
        <v>76</v>
      </c>
      <c r="B1168">
        <v>2014</v>
      </c>
      <c r="C1168" t="s">
        <v>127</v>
      </c>
      <c r="D1168">
        <v>1</v>
      </c>
      <c r="E1168" s="18" t="s">
        <v>29</v>
      </c>
      <c r="F1168" s="18" t="s">
        <v>113</v>
      </c>
      <c r="G1168" s="18" t="s">
        <v>23</v>
      </c>
      <c r="H1168" s="18" t="str">
        <f>Assumptions!$B$2</f>
        <v>Worst</v>
      </c>
      <c r="I1168" s="18">
        <f>_xlfn.XLOOKUP(Assumptions!$B$2,Assumptions!$F$4:$H$4,Assumptions!$F$5:$H$5)</f>
        <v>1200</v>
      </c>
      <c r="J1168" s="18">
        <f>_xlfn.XLOOKUP(Assumptions!$B$2,Assumptions!$F$4:$H$4,Assumptions!$F$6:$H$6)</f>
        <v>17</v>
      </c>
      <c r="K1168" s="12">
        <f>_xlfn.XLOOKUP(Assumptions!$B$2,Assumptions!$F$4:$H$4,Assumptions!$F$8:$H$8)</f>
        <v>0.1</v>
      </c>
      <c r="L1168" s="12">
        <f>_xlfn.XLOOKUP(Assumptions!$B$2,Assumptions!$F$4:$H$4,Assumptions!$F$9:$H$9)</f>
        <v>0.18</v>
      </c>
      <c r="M1168" s="18">
        <f>_xlfn.XLOOKUP(Assumptions!$B$2,Assumptions!$F$4:$H$4,Assumptions!$F$10:$H$10)</f>
        <v>18000</v>
      </c>
      <c r="N1168" s="12">
        <f>_xlfn.XLOOKUP(Assumptions!$B$2,Assumptions!$F$4:$H$4,Assumptions!$F$11:$H$11)</f>
        <v>0.3</v>
      </c>
      <c r="O1168" s="14">
        <f>Final_Table[[#This Row],[Units Sold]]*Final_Table[[#This Row],[Sale Price]]</f>
        <v>20400</v>
      </c>
      <c r="P1168" s="14">
        <f>Final_Table[[#This Row],[Gross Revenue]]*(1-Final_Table[[#This Row],[Discount %]])</f>
        <v>18360</v>
      </c>
      <c r="Q1168">
        <f>Final_Table[[#This Row],[Net Revenue]]*Final_Table[[#This Row],[Variable Cost %]]</f>
        <v>3304.7999999999997</v>
      </c>
      <c r="R1168">
        <f>Final_Table[[#This Row],[Variable Cost]]+Final_Table[[#This Row],[Fixed Monthly Cost]]</f>
        <v>21304.799999999999</v>
      </c>
      <c r="S1168" s="5">
        <f>Final_Table[[#This Row],[Net Revenue]]-Final_Table[[#This Row],[Total Cost (COGS)]]</f>
        <v>-2944.7999999999993</v>
      </c>
      <c r="T1168">
        <f>Final_Table[[#This Row],[Gross Profit]]*Final_Table[[#This Row],[Tax Rate]]</f>
        <v>-883.43999999999971</v>
      </c>
      <c r="U1168" s="5">
        <f>Final_Table[[#This Row],[Gross Profit]]-Final_Table[[#This Row],[Tax]]</f>
        <v>-2061.3599999999997</v>
      </c>
      <c r="V1168" s="12">
        <f>Final_Table[[#This Row],[Net Profit]]/Final_Table[[#This Row],[Gross Revenue]]</f>
        <v>-0.10104705882352939</v>
      </c>
    </row>
    <row r="1169" spans="1:22">
      <c r="A1169" s="18" t="s">
        <v>76</v>
      </c>
      <c r="B1169">
        <v>2014</v>
      </c>
      <c r="C1169" t="s">
        <v>127</v>
      </c>
      <c r="D1169">
        <v>1</v>
      </c>
      <c r="E1169" s="18" t="s">
        <v>29</v>
      </c>
      <c r="F1169" s="18" t="s">
        <v>113</v>
      </c>
      <c r="G1169" s="18" t="s">
        <v>21</v>
      </c>
      <c r="H1169" s="18" t="str">
        <f>Assumptions!$B$2</f>
        <v>Worst</v>
      </c>
      <c r="I1169" s="18">
        <f>_xlfn.XLOOKUP(Assumptions!$B$2,Assumptions!$F$4:$H$4,Assumptions!$F$5:$H$5)</f>
        <v>1200</v>
      </c>
      <c r="J1169" s="18">
        <f>_xlfn.XLOOKUP(Assumptions!$B$2,Assumptions!$F$4:$H$4,Assumptions!$F$6:$H$6)</f>
        <v>17</v>
      </c>
      <c r="K1169" s="12">
        <f>_xlfn.XLOOKUP(Assumptions!$B$2,Assumptions!$F$4:$H$4,Assumptions!$F$8:$H$8)</f>
        <v>0.1</v>
      </c>
      <c r="L1169" s="12">
        <f>_xlfn.XLOOKUP(Assumptions!$B$2,Assumptions!$F$4:$H$4,Assumptions!$F$9:$H$9)</f>
        <v>0.18</v>
      </c>
      <c r="M1169" s="18">
        <f>_xlfn.XLOOKUP(Assumptions!$B$2,Assumptions!$F$4:$H$4,Assumptions!$F$10:$H$10)</f>
        <v>18000</v>
      </c>
      <c r="N1169" s="12">
        <f>_xlfn.XLOOKUP(Assumptions!$B$2,Assumptions!$F$4:$H$4,Assumptions!$F$11:$H$11)</f>
        <v>0.3</v>
      </c>
      <c r="O1169" s="14">
        <f>Final_Table[[#This Row],[Units Sold]]*Final_Table[[#This Row],[Sale Price]]</f>
        <v>20400</v>
      </c>
      <c r="P1169" s="14">
        <f>Final_Table[[#This Row],[Gross Revenue]]*(1-Final_Table[[#This Row],[Discount %]])</f>
        <v>18360</v>
      </c>
      <c r="Q1169">
        <f>Final_Table[[#This Row],[Net Revenue]]*Final_Table[[#This Row],[Variable Cost %]]</f>
        <v>3304.7999999999997</v>
      </c>
      <c r="R1169">
        <f>Final_Table[[#This Row],[Variable Cost]]+Final_Table[[#This Row],[Fixed Monthly Cost]]</f>
        <v>21304.799999999999</v>
      </c>
      <c r="S1169" s="5">
        <f>Final_Table[[#This Row],[Net Revenue]]-Final_Table[[#This Row],[Total Cost (COGS)]]</f>
        <v>-2944.7999999999993</v>
      </c>
      <c r="T1169">
        <f>Final_Table[[#This Row],[Gross Profit]]*Final_Table[[#This Row],[Tax Rate]]</f>
        <v>-883.43999999999971</v>
      </c>
      <c r="U1169" s="5">
        <f>Final_Table[[#This Row],[Gross Profit]]-Final_Table[[#This Row],[Tax]]</f>
        <v>-2061.3599999999997</v>
      </c>
      <c r="V1169" s="12">
        <f>Final_Table[[#This Row],[Net Profit]]/Final_Table[[#This Row],[Gross Revenue]]</f>
        <v>-0.10104705882352939</v>
      </c>
    </row>
    <row r="1170" spans="1:22">
      <c r="A1170" s="18" t="s">
        <v>76</v>
      </c>
      <c r="B1170">
        <v>2014</v>
      </c>
      <c r="C1170" t="s">
        <v>127</v>
      </c>
      <c r="D1170">
        <v>1</v>
      </c>
      <c r="E1170" s="18" t="s">
        <v>29</v>
      </c>
      <c r="F1170" s="18" t="s">
        <v>113</v>
      </c>
      <c r="G1170" s="18" t="s">
        <v>25</v>
      </c>
      <c r="H1170" s="18" t="str">
        <f>Assumptions!$B$2</f>
        <v>Worst</v>
      </c>
      <c r="I1170" s="18">
        <f>_xlfn.XLOOKUP(Assumptions!$B$2,Assumptions!$F$4:$H$4,Assumptions!$F$5:$H$5)</f>
        <v>1200</v>
      </c>
      <c r="J1170" s="18">
        <f>_xlfn.XLOOKUP(Assumptions!$B$2,Assumptions!$F$4:$H$4,Assumptions!$F$6:$H$6)</f>
        <v>17</v>
      </c>
      <c r="K1170" s="12">
        <f>_xlfn.XLOOKUP(Assumptions!$B$2,Assumptions!$F$4:$H$4,Assumptions!$F$8:$H$8)</f>
        <v>0.1</v>
      </c>
      <c r="L1170" s="12">
        <f>_xlfn.XLOOKUP(Assumptions!$B$2,Assumptions!$F$4:$H$4,Assumptions!$F$9:$H$9)</f>
        <v>0.18</v>
      </c>
      <c r="M1170" s="18">
        <f>_xlfn.XLOOKUP(Assumptions!$B$2,Assumptions!$F$4:$H$4,Assumptions!$F$10:$H$10)</f>
        <v>18000</v>
      </c>
      <c r="N1170" s="12">
        <f>_xlfn.XLOOKUP(Assumptions!$B$2,Assumptions!$F$4:$H$4,Assumptions!$F$11:$H$11)</f>
        <v>0.3</v>
      </c>
      <c r="O1170" s="14">
        <f>Final_Table[[#This Row],[Units Sold]]*Final_Table[[#This Row],[Sale Price]]</f>
        <v>20400</v>
      </c>
      <c r="P1170" s="14">
        <f>Final_Table[[#This Row],[Gross Revenue]]*(1-Final_Table[[#This Row],[Discount %]])</f>
        <v>18360</v>
      </c>
      <c r="Q1170">
        <f>Final_Table[[#This Row],[Net Revenue]]*Final_Table[[#This Row],[Variable Cost %]]</f>
        <v>3304.7999999999997</v>
      </c>
      <c r="R1170">
        <f>Final_Table[[#This Row],[Variable Cost]]+Final_Table[[#This Row],[Fixed Monthly Cost]]</f>
        <v>21304.799999999999</v>
      </c>
      <c r="S1170" s="5">
        <f>Final_Table[[#This Row],[Net Revenue]]-Final_Table[[#This Row],[Total Cost (COGS)]]</f>
        <v>-2944.7999999999993</v>
      </c>
      <c r="T1170">
        <f>Final_Table[[#This Row],[Gross Profit]]*Final_Table[[#This Row],[Tax Rate]]</f>
        <v>-883.43999999999971</v>
      </c>
      <c r="U1170" s="5">
        <f>Final_Table[[#This Row],[Gross Profit]]-Final_Table[[#This Row],[Tax]]</f>
        <v>-2061.3599999999997</v>
      </c>
      <c r="V1170" s="12">
        <f>Final_Table[[#This Row],[Net Profit]]/Final_Table[[#This Row],[Gross Revenue]]</f>
        <v>-0.10104705882352939</v>
      </c>
    </row>
    <row r="1171" spans="1:22">
      <c r="A1171" s="18" t="s">
        <v>76</v>
      </c>
      <c r="B1171">
        <v>2014</v>
      </c>
      <c r="C1171" t="s">
        <v>127</v>
      </c>
      <c r="D1171">
        <v>1</v>
      </c>
      <c r="E1171" s="18" t="s">
        <v>29</v>
      </c>
      <c r="F1171" s="18" t="s">
        <v>113</v>
      </c>
      <c r="G1171" s="18" t="s">
        <v>17</v>
      </c>
      <c r="H1171" s="18" t="str">
        <f>Assumptions!$B$2</f>
        <v>Worst</v>
      </c>
      <c r="I1171" s="18">
        <f>_xlfn.XLOOKUP(Assumptions!$B$2,Assumptions!$F$4:$H$4,Assumptions!$F$5:$H$5)</f>
        <v>1200</v>
      </c>
      <c r="J1171" s="18">
        <f>_xlfn.XLOOKUP(Assumptions!$B$2,Assumptions!$F$4:$H$4,Assumptions!$F$6:$H$6)</f>
        <v>17</v>
      </c>
      <c r="K1171" s="12">
        <f>_xlfn.XLOOKUP(Assumptions!$B$2,Assumptions!$F$4:$H$4,Assumptions!$F$8:$H$8)</f>
        <v>0.1</v>
      </c>
      <c r="L1171" s="12">
        <f>_xlfn.XLOOKUP(Assumptions!$B$2,Assumptions!$F$4:$H$4,Assumptions!$F$9:$H$9)</f>
        <v>0.18</v>
      </c>
      <c r="M1171" s="18">
        <f>_xlfn.XLOOKUP(Assumptions!$B$2,Assumptions!$F$4:$H$4,Assumptions!$F$10:$H$10)</f>
        <v>18000</v>
      </c>
      <c r="N1171" s="12">
        <f>_xlfn.XLOOKUP(Assumptions!$B$2,Assumptions!$F$4:$H$4,Assumptions!$F$11:$H$11)</f>
        <v>0.3</v>
      </c>
      <c r="O1171" s="14">
        <f>Final_Table[[#This Row],[Units Sold]]*Final_Table[[#This Row],[Sale Price]]</f>
        <v>20400</v>
      </c>
      <c r="P1171" s="14">
        <f>Final_Table[[#This Row],[Gross Revenue]]*(1-Final_Table[[#This Row],[Discount %]])</f>
        <v>18360</v>
      </c>
      <c r="Q1171">
        <f>Final_Table[[#This Row],[Net Revenue]]*Final_Table[[#This Row],[Variable Cost %]]</f>
        <v>3304.7999999999997</v>
      </c>
      <c r="R1171">
        <f>Final_Table[[#This Row],[Variable Cost]]+Final_Table[[#This Row],[Fixed Monthly Cost]]</f>
        <v>21304.799999999999</v>
      </c>
      <c r="S1171" s="5">
        <f>Final_Table[[#This Row],[Net Revenue]]-Final_Table[[#This Row],[Total Cost (COGS)]]</f>
        <v>-2944.7999999999993</v>
      </c>
      <c r="T1171">
        <f>Final_Table[[#This Row],[Gross Profit]]*Final_Table[[#This Row],[Tax Rate]]</f>
        <v>-883.43999999999971</v>
      </c>
      <c r="U1171" s="5">
        <f>Final_Table[[#This Row],[Gross Profit]]-Final_Table[[#This Row],[Tax]]</f>
        <v>-2061.3599999999997</v>
      </c>
      <c r="V1171" s="12">
        <f>Final_Table[[#This Row],[Net Profit]]/Final_Table[[#This Row],[Gross Revenue]]</f>
        <v>-0.10104705882352939</v>
      </c>
    </row>
    <row r="1172" spans="1:22">
      <c r="A1172" s="18" t="s">
        <v>76</v>
      </c>
      <c r="B1172">
        <v>2014</v>
      </c>
      <c r="C1172" t="s">
        <v>127</v>
      </c>
      <c r="D1172">
        <v>1</v>
      </c>
      <c r="E1172" s="18" t="s">
        <v>29</v>
      </c>
      <c r="F1172" s="18" t="s">
        <v>114</v>
      </c>
      <c r="G1172" s="18" t="s">
        <v>36</v>
      </c>
      <c r="H1172" s="18" t="str">
        <f>Assumptions!$B$2</f>
        <v>Worst</v>
      </c>
      <c r="I1172" s="18">
        <f>_xlfn.XLOOKUP(Assumptions!$B$2,Assumptions!$F$4:$H$4,Assumptions!$F$5:$H$5)</f>
        <v>1200</v>
      </c>
      <c r="J1172" s="18">
        <f>_xlfn.XLOOKUP(Assumptions!$B$2,Assumptions!$F$4:$H$4,Assumptions!$F$6:$H$6)</f>
        <v>17</v>
      </c>
      <c r="K1172" s="12">
        <f>_xlfn.XLOOKUP(Assumptions!$B$2,Assumptions!$F$4:$H$4,Assumptions!$F$8:$H$8)</f>
        <v>0.1</v>
      </c>
      <c r="L1172" s="12">
        <f>_xlfn.XLOOKUP(Assumptions!$B$2,Assumptions!$F$4:$H$4,Assumptions!$F$9:$H$9)</f>
        <v>0.18</v>
      </c>
      <c r="M1172" s="18">
        <f>_xlfn.XLOOKUP(Assumptions!$B$2,Assumptions!$F$4:$H$4,Assumptions!$F$10:$H$10)</f>
        <v>18000</v>
      </c>
      <c r="N1172" s="12">
        <f>_xlfn.XLOOKUP(Assumptions!$B$2,Assumptions!$F$4:$H$4,Assumptions!$F$11:$H$11)</f>
        <v>0.3</v>
      </c>
      <c r="O1172" s="14">
        <f>Final_Table[[#This Row],[Units Sold]]*Final_Table[[#This Row],[Sale Price]]</f>
        <v>20400</v>
      </c>
      <c r="P1172" s="14">
        <f>Final_Table[[#This Row],[Gross Revenue]]*(1-Final_Table[[#This Row],[Discount %]])</f>
        <v>18360</v>
      </c>
      <c r="Q1172">
        <f>Final_Table[[#This Row],[Net Revenue]]*Final_Table[[#This Row],[Variable Cost %]]</f>
        <v>3304.7999999999997</v>
      </c>
      <c r="R1172">
        <f>Final_Table[[#This Row],[Variable Cost]]+Final_Table[[#This Row],[Fixed Monthly Cost]]</f>
        <v>21304.799999999999</v>
      </c>
      <c r="S1172" s="5">
        <f>Final_Table[[#This Row],[Net Revenue]]-Final_Table[[#This Row],[Total Cost (COGS)]]</f>
        <v>-2944.7999999999993</v>
      </c>
      <c r="T1172">
        <f>Final_Table[[#This Row],[Gross Profit]]*Final_Table[[#This Row],[Tax Rate]]</f>
        <v>-883.43999999999971</v>
      </c>
      <c r="U1172" s="5">
        <f>Final_Table[[#This Row],[Gross Profit]]-Final_Table[[#This Row],[Tax]]</f>
        <v>-2061.3599999999997</v>
      </c>
      <c r="V1172" s="12">
        <f>Final_Table[[#This Row],[Net Profit]]/Final_Table[[#This Row],[Gross Revenue]]</f>
        <v>-0.10104705882352939</v>
      </c>
    </row>
    <row r="1173" spans="1:22">
      <c r="A1173" s="18" t="s">
        <v>76</v>
      </c>
      <c r="B1173">
        <v>2014</v>
      </c>
      <c r="C1173" t="s">
        <v>127</v>
      </c>
      <c r="D1173">
        <v>1</v>
      </c>
      <c r="E1173" s="18" t="s">
        <v>29</v>
      </c>
      <c r="F1173" s="18" t="s">
        <v>114</v>
      </c>
      <c r="G1173" s="18" t="s">
        <v>23</v>
      </c>
      <c r="H1173" s="18" t="str">
        <f>Assumptions!$B$2</f>
        <v>Worst</v>
      </c>
      <c r="I1173" s="18">
        <f>_xlfn.XLOOKUP(Assumptions!$B$2,Assumptions!$F$4:$H$4,Assumptions!$F$5:$H$5)</f>
        <v>1200</v>
      </c>
      <c r="J1173" s="18">
        <f>_xlfn.XLOOKUP(Assumptions!$B$2,Assumptions!$F$4:$H$4,Assumptions!$F$6:$H$6)</f>
        <v>17</v>
      </c>
      <c r="K1173" s="12">
        <f>_xlfn.XLOOKUP(Assumptions!$B$2,Assumptions!$F$4:$H$4,Assumptions!$F$8:$H$8)</f>
        <v>0.1</v>
      </c>
      <c r="L1173" s="12">
        <f>_xlfn.XLOOKUP(Assumptions!$B$2,Assumptions!$F$4:$H$4,Assumptions!$F$9:$H$9)</f>
        <v>0.18</v>
      </c>
      <c r="M1173" s="18">
        <f>_xlfn.XLOOKUP(Assumptions!$B$2,Assumptions!$F$4:$H$4,Assumptions!$F$10:$H$10)</f>
        <v>18000</v>
      </c>
      <c r="N1173" s="12">
        <f>_xlfn.XLOOKUP(Assumptions!$B$2,Assumptions!$F$4:$H$4,Assumptions!$F$11:$H$11)</f>
        <v>0.3</v>
      </c>
      <c r="O1173" s="14">
        <f>Final_Table[[#This Row],[Units Sold]]*Final_Table[[#This Row],[Sale Price]]</f>
        <v>20400</v>
      </c>
      <c r="P1173" s="14">
        <f>Final_Table[[#This Row],[Gross Revenue]]*(1-Final_Table[[#This Row],[Discount %]])</f>
        <v>18360</v>
      </c>
      <c r="Q1173">
        <f>Final_Table[[#This Row],[Net Revenue]]*Final_Table[[#This Row],[Variable Cost %]]</f>
        <v>3304.7999999999997</v>
      </c>
      <c r="R1173">
        <f>Final_Table[[#This Row],[Variable Cost]]+Final_Table[[#This Row],[Fixed Monthly Cost]]</f>
        <v>21304.799999999999</v>
      </c>
      <c r="S1173" s="5">
        <f>Final_Table[[#This Row],[Net Revenue]]-Final_Table[[#This Row],[Total Cost (COGS)]]</f>
        <v>-2944.7999999999993</v>
      </c>
      <c r="T1173">
        <f>Final_Table[[#This Row],[Gross Profit]]*Final_Table[[#This Row],[Tax Rate]]</f>
        <v>-883.43999999999971</v>
      </c>
      <c r="U1173" s="5">
        <f>Final_Table[[#This Row],[Gross Profit]]-Final_Table[[#This Row],[Tax]]</f>
        <v>-2061.3599999999997</v>
      </c>
      <c r="V1173" s="12">
        <f>Final_Table[[#This Row],[Net Profit]]/Final_Table[[#This Row],[Gross Revenue]]</f>
        <v>-0.10104705882352939</v>
      </c>
    </row>
    <row r="1174" spans="1:22">
      <c r="A1174" s="18" t="s">
        <v>76</v>
      </c>
      <c r="B1174">
        <v>2014</v>
      </c>
      <c r="C1174" t="s">
        <v>127</v>
      </c>
      <c r="D1174">
        <v>1</v>
      </c>
      <c r="E1174" s="18" t="s">
        <v>29</v>
      </c>
      <c r="F1174" s="18" t="s">
        <v>114</v>
      </c>
      <c r="G1174" s="18" t="s">
        <v>21</v>
      </c>
      <c r="H1174" s="18" t="str">
        <f>Assumptions!$B$2</f>
        <v>Worst</v>
      </c>
      <c r="I1174" s="18">
        <f>_xlfn.XLOOKUP(Assumptions!$B$2,Assumptions!$F$4:$H$4,Assumptions!$F$5:$H$5)</f>
        <v>1200</v>
      </c>
      <c r="J1174" s="18">
        <f>_xlfn.XLOOKUP(Assumptions!$B$2,Assumptions!$F$4:$H$4,Assumptions!$F$6:$H$6)</f>
        <v>17</v>
      </c>
      <c r="K1174" s="12">
        <f>_xlfn.XLOOKUP(Assumptions!$B$2,Assumptions!$F$4:$H$4,Assumptions!$F$8:$H$8)</f>
        <v>0.1</v>
      </c>
      <c r="L1174" s="12">
        <f>_xlfn.XLOOKUP(Assumptions!$B$2,Assumptions!$F$4:$H$4,Assumptions!$F$9:$H$9)</f>
        <v>0.18</v>
      </c>
      <c r="M1174" s="18">
        <f>_xlfn.XLOOKUP(Assumptions!$B$2,Assumptions!$F$4:$H$4,Assumptions!$F$10:$H$10)</f>
        <v>18000</v>
      </c>
      <c r="N1174" s="12">
        <f>_xlfn.XLOOKUP(Assumptions!$B$2,Assumptions!$F$4:$H$4,Assumptions!$F$11:$H$11)</f>
        <v>0.3</v>
      </c>
      <c r="O1174" s="14">
        <f>Final_Table[[#This Row],[Units Sold]]*Final_Table[[#This Row],[Sale Price]]</f>
        <v>20400</v>
      </c>
      <c r="P1174" s="14">
        <f>Final_Table[[#This Row],[Gross Revenue]]*(1-Final_Table[[#This Row],[Discount %]])</f>
        <v>18360</v>
      </c>
      <c r="Q1174">
        <f>Final_Table[[#This Row],[Net Revenue]]*Final_Table[[#This Row],[Variable Cost %]]</f>
        <v>3304.7999999999997</v>
      </c>
      <c r="R1174">
        <f>Final_Table[[#This Row],[Variable Cost]]+Final_Table[[#This Row],[Fixed Monthly Cost]]</f>
        <v>21304.799999999999</v>
      </c>
      <c r="S1174" s="5">
        <f>Final_Table[[#This Row],[Net Revenue]]-Final_Table[[#This Row],[Total Cost (COGS)]]</f>
        <v>-2944.7999999999993</v>
      </c>
      <c r="T1174">
        <f>Final_Table[[#This Row],[Gross Profit]]*Final_Table[[#This Row],[Tax Rate]]</f>
        <v>-883.43999999999971</v>
      </c>
      <c r="U1174" s="5">
        <f>Final_Table[[#This Row],[Gross Profit]]-Final_Table[[#This Row],[Tax]]</f>
        <v>-2061.3599999999997</v>
      </c>
      <c r="V1174" s="12">
        <f>Final_Table[[#This Row],[Net Profit]]/Final_Table[[#This Row],[Gross Revenue]]</f>
        <v>-0.10104705882352939</v>
      </c>
    </row>
    <row r="1175" spans="1:22">
      <c r="A1175" s="18" t="s">
        <v>76</v>
      </c>
      <c r="B1175">
        <v>2014</v>
      </c>
      <c r="C1175" t="s">
        <v>127</v>
      </c>
      <c r="D1175">
        <v>1</v>
      </c>
      <c r="E1175" s="18" t="s">
        <v>29</v>
      </c>
      <c r="F1175" s="18" t="s">
        <v>114</v>
      </c>
      <c r="G1175" s="18" t="s">
        <v>25</v>
      </c>
      <c r="H1175" s="18" t="str">
        <f>Assumptions!$B$2</f>
        <v>Worst</v>
      </c>
      <c r="I1175" s="18">
        <f>_xlfn.XLOOKUP(Assumptions!$B$2,Assumptions!$F$4:$H$4,Assumptions!$F$5:$H$5)</f>
        <v>1200</v>
      </c>
      <c r="J1175" s="18">
        <f>_xlfn.XLOOKUP(Assumptions!$B$2,Assumptions!$F$4:$H$4,Assumptions!$F$6:$H$6)</f>
        <v>17</v>
      </c>
      <c r="K1175" s="12">
        <f>_xlfn.XLOOKUP(Assumptions!$B$2,Assumptions!$F$4:$H$4,Assumptions!$F$8:$H$8)</f>
        <v>0.1</v>
      </c>
      <c r="L1175" s="12">
        <f>_xlfn.XLOOKUP(Assumptions!$B$2,Assumptions!$F$4:$H$4,Assumptions!$F$9:$H$9)</f>
        <v>0.18</v>
      </c>
      <c r="M1175" s="18">
        <f>_xlfn.XLOOKUP(Assumptions!$B$2,Assumptions!$F$4:$H$4,Assumptions!$F$10:$H$10)</f>
        <v>18000</v>
      </c>
      <c r="N1175" s="12">
        <f>_xlfn.XLOOKUP(Assumptions!$B$2,Assumptions!$F$4:$H$4,Assumptions!$F$11:$H$11)</f>
        <v>0.3</v>
      </c>
      <c r="O1175" s="14">
        <f>Final_Table[[#This Row],[Units Sold]]*Final_Table[[#This Row],[Sale Price]]</f>
        <v>20400</v>
      </c>
      <c r="P1175" s="14">
        <f>Final_Table[[#This Row],[Gross Revenue]]*(1-Final_Table[[#This Row],[Discount %]])</f>
        <v>18360</v>
      </c>
      <c r="Q1175">
        <f>Final_Table[[#This Row],[Net Revenue]]*Final_Table[[#This Row],[Variable Cost %]]</f>
        <v>3304.7999999999997</v>
      </c>
      <c r="R1175">
        <f>Final_Table[[#This Row],[Variable Cost]]+Final_Table[[#This Row],[Fixed Monthly Cost]]</f>
        <v>21304.799999999999</v>
      </c>
      <c r="S1175" s="5">
        <f>Final_Table[[#This Row],[Net Revenue]]-Final_Table[[#This Row],[Total Cost (COGS)]]</f>
        <v>-2944.7999999999993</v>
      </c>
      <c r="T1175">
        <f>Final_Table[[#This Row],[Gross Profit]]*Final_Table[[#This Row],[Tax Rate]]</f>
        <v>-883.43999999999971</v>
      </c>
      <c r="U1175" s="5">
        <f>Final_Table[[#This Row],[Gross Profit]]-Final_Table[[#This Row],[Tax]]</f>
        <v>-2061.3599999999997</v>
      </c>
      <c r="V1175" s="12">
        <f>Final_Table[[#This Row],[Net Profit]]/Final_Table[[#This Row],[Gross Revenue]]</f>
        <v>-0.10104705882352939</v>
      </c>
    </row>
    <row r="1176" spans="1:22">
      <c r="A1176" s="18" t="s">
        <v>76</v>
      </c>
      <c r="B1176">
        <v>2014</v>
      </c>
      <c r="C1176" t="s">
        <v>127</v>
      </c>
      <c r="D1176">
        <v>1</v>
      </c>
      <c r="E1176" s="18" t="s">
        <v>29</v>
      </c>
      <c r="F1176" s="18" t="s">
        <v>114</v>
      </c>
      <c r="G1176" s="18" t="s">
        <v>17</v>
      </c>
      <c r="H1176" s="18" t="str">
        <f>Assumptions!$B$2</f>
        <v>Worst</v>
      </c>
      <c r="I1176" s="18">
        <f>_xlfn.XLOOKUP(Assumptions!$B$2,Assumptions!$F$4:$H$4,Assumptions!$F$5:$H$5)</f>
        <v>1200</v>
      </c>
      <c r="J1176" s="18">
        <f>_xlfn.XLOOKUP(Assumptions!$B$2,Assumptions!$F$4:$H$4,Assumptions!$F$6:$H$6)</f>
        <v>17</v>
      </c>
      <c r="K1176" s="12">
        <f>_xlfn.XLOOKUP(Assumptions!$B$2,Assumptions!$F$4:$H$4,Assumptions!$F$8:$H$8)</f>
        <v>0.1</v>
      </c>
      <c r="L1176" s="12">
        <f>_xlfn.XLOOKUP(Assumptions!$B$2,Assumptions!$F$4:$H$4,Assumptions!$F$9:$H$9)</f>
        <v>0.18</v>
      </c>
      <c r="M1176" s="18">
        <f>_xlfn.XLOOKUP(Assumptions!$B$2,Assumptions!$F$4:$H$4,Assumptions!$F$10:$H$10)</f>
        <v>18000</v>
      </c>
      <c r="N1176" s="12">
        <f>_xlfn.XLOOKUP(Assumptions!$B$2,Assumptions!$F$4:$H$4,Assumptions!$F$11:$H$11)</f>
        <v>0.3</v>
      </c>
      <c r="O1176" s="14">
        <f>Final_Table[[#This Row],[Units Sold]]*Final_Table[[#This Row],[Sale Price]]</f>
        <v>20400</v>
      </c>
      <c r="P1176" s="14">
        <f>Final_Table[[#This Row],[Gross Revenue]]*(1-Final_Table[[#This Row],[Discount %]])</f>
        <v>18360</v>
      </c>
      <c r="Q1176">
        <f>Final_Table[[#This Row],[Net Revenue]]*Final_Table[[#This Row],[Variable Cost %]]</f>
        <v>3304.7999999999997</v>
      </c>
      <c r="R1176">
        <f>Final_Table[[#This Row],[Variable Cost]]+Final_Table[[#This Row],[Fixed Monthly Cost]]</f>
        <v>21304.799999999999</v>
      </c>
      <c r="S1176" s="5">
        <f>Final_Table[[#This Row],[Net Revenue]]-Final_Table[[#This Row],[Total Cost (COGS)]]</f>
        <v>-2944.7999999999993</v>
      </c>
      <c r="T1176">
        <f>Final_Table[[#This Row],[Gross Profit]]*Final_Table[[#This Row],[Tax Rate]]</f>
        <v>-883.43999999999971</v>
      </c>
      <c r="U1176" s="5">
        <f>Final_Table[[#This Row],[Gross Profit]]-Final_Table[[#This Row],[Tax]]</f>
        <v>-2061.3599999999997</v>
      </c>
      <c r="V1176" s="12">
        <f>Final_Table[[#This Row],[Net Profit]]/Final_Table[[#This Row],[Gross Revenue]]</f>
        <v>-0.10104705882352939</v>
      </c>
    </row>
    <row r="1177" spans="1:22">
      <c r="A1177" s="18" t="s">
        <v>76</v>
      </c>
      <c r="B1177">
        <v>2014</v>
      </c>
      <c r="C1177" t="s">
        <v>127</v>
      </c>
      <c r="D1177">
        <v>1</v>
      </c>
      <c r="E1177" s="18" t="s">
        <v>22</v>
      </c>
      <c r="F1177" s="18" t="s">
        <v>80</v>
      </c>
      <c r="G1177" s="18" t="s">
        <v>36</v>
      </c>
      <c r="H1177" s="18" t="str">
        <f>Assumptions!$B$2</f>
        <v>Worst</v>
      </c>
      <c r="I1177" s="18">
        <f>_xlfn.XLOOKUP(Assumptions!$B$2,Assumptions!$F$4:$H$4,Assumptions!$F$5:$H$5)</f>
        <v>1200</v>
      </c>
      <c r="J1177" s="18">
        <f>_xlfn.XLOOKUP(Assumptions!$B$2,Assumptions!$F$4:$H$4,Assumptions!$F$6:$H$6)</f>
        <v>17</v>
      </c>
      <c r="K1177" s="12">
        <f>_xlfn.XLOOKUP(Assumptions!$B$2,Assumptions!$F$4:$H$4,Assumptions!$F$8:$H$8)</f>
        <v>0.1</v>
      </c>
      <c r="L1177" s="12">
        <f>_xlfn.XLOOKUP(Assumptions!$B$2,Assumptions!$F$4:$H$4,Assumptions!$F$9:$H$9)</f>
        <v>0.18</v>
      </c>
      <c r="M1177" s="18">
        <f>_xlfn.XLOOKUP(Assumptions!$B$2,Assumptions!$F$4:$H$4,Assumptions!$F$10:$H$10)</f>
        <v>18000</v>
      </c>
      <c r="N1177" s="12">
        <f>_xlfn.XLOOKUP(Assumptions!$B$2,Assumptions!$F$4:$H$4,Assumptions!$F$11:$H$11)</f>
        <v>0.3</v>
      </c>
      <c r="O1177" s="14">
        <f>Final_Table[[#This Row],[Units Sold]]*Final_Table[[#This Row],[Sale Price]]</f>
        <v>20400</v>
      </c>
      <c r="P1177" s="14">
        <f>Final_Table[[#This Row],[Gross Revenue]]*(1-Final_Table[[#This Row],[Discount %]])</f>
        <v>18360</v>
      </c>
      <c r="Q1177">
        <f>Final_Table[[#This Row],[Net Revenue]]*Final_Table[[#This Row],[Variable Cost %]]</f>
        <v>3304.7999999999997</v>
      </c>
      <c r="R1177">
        <f>Final_Table[[#This Row],[Variable Cost]]+Final_Table[[#This Row],[Fixed Monthly Cost]]</f>
        <v>21304.799999999999</v>
      </c>
      <c r="S1177" s="5">
        <f>Final_Table[[#This Row],[Net Revenue]]-Final_Table[[#This Row],[Total Cost (COGS)]]</f>
        <v>-2944.7999999999993</v>
      </c>
      <c r="T1177">
        <f>Final_Table[[#This Row],[Gross Profit]]*Final_Table[[#This Row],[Tax Rate]]</f>
        <v>-883.43999999999971</v>
      </c>
      <c r="U1177" s="5">
        <f>Final_Table[[#This Row],[Gross Profit]]-Final_Table[[#This Row],[Tax]]</f>
        <v>-2061.3599999999997</v>
      </c>
      <c r="V1177" s="12">
        <f>Final_Table[[#This Row],[Net Profit]]/Final_Table[[#This Row],[Gross Revenue]]</f>
        <v>-0.10104705882352939</v>
      </c>
    </row>
    <row r="1178" spans="1:22">
      <c r="A1178" s="18" t="s">
        <v>76</v>
      </c>
      <c r="B1178">
        <v>2014</v>
      </c>
      <c r="C1178" t="s">
        <v>127</v>
      </c>
      <c r="D1178">
        <v>1</v>
      </c>
      <c r="E1178" s="18" t="s">
        <v>22</v>
      </c>
      <c r="F1178" s="18" t="s">
        <v>80</v>
      </c>
      <c r="G1178" s="18" t="s">
        <v>23</v>
      </c>
      <c r="H1178" s="18" t="str">
        <f>Assumptions!$B$2</f>
        <v>Worst</v>
      </c>
      <c r="I1178" s="18">
        <f>_xlfn.XLOOKUP(Assumptions!$B$2,Assumptions!$F$4:$H$4,Assumptions!$F$5:$H$5)</f>
        <v>1200</v>
      </c>
      <c r="J1178" s="18">
        <f>_xlfn.XLOOKUP(Assumptions!$B$2,Assumptions!$F$4:$H$4,Assumptions!$F$6:$H$6)</f>
        <v>17</v>
      </c>
      <c r="K1178" s="12">
        <f>_xlfn.XLOOKUP(Assumptions!$B$2,Assumptions!$F$4:$H$4,Assumptions!$F$8:$H$8)</f>
        <v>0.1</v>
      </c>
      <c r="L1178" s="12">
        <f>_xlfn.XLOOKUP(Assumptions!$B$2,Assumptions!$F$4:$H$4,Assumptions!$F$9:$H$9)</f>
        <v>0.18</v>
      </c>
      <c r="M1178" s="18">
        <f>_xlfn.XLOOKUP(Assumptions!$B$2,Assumptions!$F$4:$H$4,Assumptions!$F$10:$H$10)</f>
        <v>18000</v>
      </c>
      <c r="N1178" s="12">
        <f>_xlfn.XLOOKUP(Assumptions!$B$2,Assumptions!$F$4:$H$4,Assumptions!$F$11:$H$11)</f>
        <v>0.3</v>
      </c>
      <c r="O1178" s="14">
        <f>Final_Table[[#This Row],[Units Sold]]*Final_Table[[#This Row],[Sale Price]]</f>
        <v>20400</v>
      </c>
      <c r="P1178" s="14">
        <f>Final_Table[[#This Row],[Gross Revenue]]*(1-Final_Table[[#This Row],[Discount %]])</f>
        <v>18360</v>
      </c>
      <c r="Q1178">
        <f>Final_Table[[#This Row],[Net Revenue]]*Final_Table[[#This Row],[Variable Cost %]]</f>
        <v>3304.7999999999997</v>
      </c>
      <c r="R1178">
        <f>Final_Table[[#This Row],[Variable Cost]]+Final_Table[[#This Row],[Fixed Monthly Cost]]</f>
        <v>21304.799999999999</v>
      </c>
      <c r="S1178" s="5">
        <f>Final_Table[[#This Row],[Net Revenue]]-Final_Table[[#This Row],[Total Cost (COGS)]]</f>
        <v>-2944.7999999999993</v>
      </c>
      <c r="T1178">
        <f>Final_Table[[#This Row],[Gross Profit]]*Final_Table[[#This Row],[Tax Rate]]</f>
        <v>-883.43999999999971</v>
      </c>
      <c r="U1178" s="5">
        <f>Final_Table[[#This Row],[Gross Profit]]-Final_Table[[#This Row],[Tax]]</f>
        <v>-2061.3599999999997</v>
      </c>
      <c r="V1178" s="12">
        <f>Final_Table[[#This Row],[Net Profit]]/Final_Table[[#This Row],[Gross Revenue]]</f>
        <v>-0.10104705882352939</v>
      </c>
    </row>
    <row r="1179" spans="1:22">
      <c r="A1179" s="18" t="s">
        <v>76</v>
      </c>
      <c r="B1179">
        <v>2014</v>
      </c>
      <c r="C1179" t="s">
        <v>127</v>
      </c>
      <c r="D1179">
        <v>1</v>
      </c>
      <c r="E1179" s="18" t="s">
        <v>22</v>
      </c>
      <c r="F1179" s="18" t="s">
        <v>80</v>
      </c>
      <c r="G1179" s="18" t="s">
        <v>21</v>
      </c>
      <c r="H1179" s="18" t="str">
        <f>Assumptions!$B$2</f>
        <v>Worst</v>
      </c>
      <c r="I1179" s="18">
        <f>_xlfn.XLOOKUP(Assumptions!$B$2,Assumptions!$F$4:$H$4,Assumptions!$F$5:$H$5)</f>
        <v>1200</v>
      </c>
      <c r="J1179" s="18">
        <f>_xlfn.XLOOKUP(Assumptions!$B$2,Assumptions!$F$4:$H$4,Assumptions!$F$6:$H$6)</f>
        <v>17</v>
      </c>
      <c r="K1179" s="12">
        <f>_xlfn.XLOOKUP(Assumptions!$B$2,Assumptions!$F$4:$H$4,Assumptions!$F$8:$H$8)</f>
        <v>0.1</v>
      </c>
      <c r="L1179" s="12">
        <f>_xlfn.XLOOKUP(Assumptions!$B$2,Assumptions!$F$4:$H$4,Assumptions!$F$9:$H$9)</f>
        <v>0.18</v>
      </c>
      <c r="M1179" s="18">
        <f>_xlfn.XLOOKUP(Assumptions!$B$2,Assumptions!$F$4:$H$4,Assumptions!$F$10:$H$10)</f>
        <v>18000</v>
      </c>
      <c r="N1179" s="12">
        <f>_xlfn.XLOOKUP(Assumptions!$B$2,Assumptions!$F$4:$H$4,Assumptions!$F$11:$H$11)</f>
        <v>0.3</v>
      </c>
      <c r="O1179" s="14">
        <f>Final_Table[[#This Row],[Units Sold]]*Final_Table[[#This Row],[Sale Price]]</f>
        <v>20400</v>
      </c>
      <c r="P1179" s="14">
        <f>Final_Table[[#This Row],[Gross Revenue]]*(1-Final_Table[[#This Row],[Discount %]])</f>
        <v>18360</v>
      </c>
      <c r="Q1179">
        <f>Final_Table[[#This Row],[Net Revenue]]*Final_Table[[#This Row],[Variable Cost %]]</f>
        <v>3304.7999999999997</v>
      </c>
      <c r="R1179">
        <f>Final_Table[[#This Row],[Variable Cost]]+Final_Table[[#This Row],[Fixed Monthly Cost]]</f>
        <v>21304.799999999999</v>
      </c>
      <c r="S1179" s="5">
        <f>Final_Table[[#This Row],[Net Revenue]]-Final_Table[[#This Row],[Total Cost (COGS)]]</f>
        <v>-2944.7999999999993</v>
      </c>
      <c r="T1179">
        <f>Final_Table[[#This Row],[Gross Profit]]*Final_Table[[#This Row],[Tax Rate]]</f>
        <v>-883.43999999999971</v>
      </c>
      <c r="U1179" s="5">
        <f>Final_Table[[#This Row],[Gross Profit]]-Final_Table[[#This Row],[Tax]]</f>
        <v>-2061.3599999999997</v>
      </c>
      <c r="V1179" s="12">
        <f>Final_Table[[#This Row],[Net Profit]]/Final_Table[[#This Row],[Gross Revenue]]</f>
        <v>-0.10104705882352939</v>
      </c>
    </row>
    <row r="1180" spans="1:22">
      <c r="A1180" s="18" t="s">
        <v>76</v>
      </c>
      <c r="B1180">
        <v>2014</v>
      </c>
      <c r="C1180" t="s">
        <v>127</v>
      </c>
      <c r="D1180">
        <v>1</v>
      </c>
      <c r="E1180" s="18" t="s">
        <v>22</v>
      </c>
      <c r="F1180" s="18" t="s">
        <v>80</v>
      </c>
      <c r="G1180" s="18" t="s">
        <v>25</v>
      </c>
      <c r="H1180" s="18" t="str">
        <f>Assumptions!$B$2</f>
        <v>Worst</v>
      </c>
      <c r="I1180" s="18">
        <f>_xlfn.XLOOKUP(Assumptions!$B$2,Assumptions!$F$4:$H$4,Assumptions!$F$5:$H$5)</f>
        <v>1200</v>
      </c>
      <c r="J1180" s="18">
        <f>_xlfn.XLOOKUP(Assumptions!$B$2,Assumptions!$F$4:$H$4,Assumptions!$F$6:$H$6)</f>
        <v>17</v>
      </c>
      <c r="K1180" s="12">
        <f>_xlfn.XLOOKUP(Assumptions!$B$2,Assumptions!$F$4:$H$4,Assumptions!$F$8:$H$8)</f>
        <v>0.1</v>
      </c>
      <c r="L1180" s="12">
        <f>_xlfn.XLOOKUP(Assumptions!$B$2,Assumptions!$F$4:$H$4,Assumptions!$F$9:$H$9)</f>
        <v>0.18</v>
      </c>
      <c r="M1180" s="18">
        <f>_xlfn.XLOOKUP(Assumptions!$B$2,Assumptions!$F$4:$H$4,Assumptions!$F$10:$H$10)</f>
        <v>18000</v>
      </c>
      <c r="N1180" s="12">
        <f>_xlfn.XLOOKUP(Assumptions!$B$2,Assumptions!$F$4:$H$4,Assumptions!$F$11:$H$11)</f>
        <v>0.3</v>
      </c>
      <c r="O1180" s="14">
        <f>Final_Table[[#This Row],[Units Sold]]*Final_Table[[#This Row],[Sale Price]]</f>
        <v>20400</v>
      </c>
      <c r="P1180" s="14">
        <f>Final_Table[[#This Row],[Gross Revenue]]*(1-Final_Table[[#This Row],[Discount %]])</f>
        <v>18360</v>
      </c>
      <c r="Q1180">
        <f>Final_Table[[#This Row],[Net Revenue]]*Final_Table[[#This Row],[Variable Cost %]]</f>
        <v>3304.7999999999997</v>
      </c>
      <c r="R1180">
        <f>Final_Table[[#This Row],[Variable Cost]]+Final_Table[[#This Row],[Fixed Monthly Cost]]</f>
        <v>21304.799999999999</v>
      </c>
      <c r="S1180" s="5">
        <f>Final_Table[[#This Row],[Net Revenue]]-Final_Table[[#This Row],[Total Cost (COGS)]]</f>
        <v>-2944.7999999999993</v>
      </c>
      <c r="T1180">
        <f>Final_Table[[#This Row],[Gross Profit]]*Final_Table[[#This Row],[Tax Rate]]</f>
        <v>-883.43999999999971</v>
      </c>
      <c r="U1180" s="5">
        <f>Final_Table[[#This Row],[Gross Profit]]-Final_Table[[#This Row],[Tax]]</f>
        <v>-2061.3599999999997</v>
      </c>
      <c r="V1180" s="12">
        <f>Final_Table[[#This Row],[Net Profit]]/Final_Table[[#This Row],[Gross Revenue]]</f>
        <v>-0.10104705882352939</v>
      </c>
    </row>
    <row r="1181" spans="1:22">
      <c r="A1181" s="18" t="s">
        <v>76</v>
      </c>
      <c r="B1181">
        <v>2014</v>
      </c>
      <c r="C1181" t="s">
        <v>127</v>
      </c>
      <c r="D1181">
        <v>1</v>
      </c>
      <c r="E1181" s="18" t="s">
        <v>22</v>
      </c>
      <c r="F1181" s="18" t="s">
        <v>80</v>
      </c>
      <c r="G1181" s="18" t="s">
        <v>17</v>
      </c>
      <c r="H1181" s="18" t="str">
        <f>Assumptions!$B$2</f>
        <v>Worst</v>
      </c>
      <c r="I1181" s="18">
        <f>_xlfn.XLOOKUP(Assumptions!$B$2,Assumptions!$F$4:$H$4,Assumptions!$F$5:$H$5)</f>
        <v>1200</v>
      </c>
      <c r="J1181" s="18">
        <f>_xlfn.XLOOKUP(Assumptions!$B$2,Assumptions!$F$4:$H$4,Assumptions!$F$6:$H$6)</f>
        <v>17</v>
      </c>
      <c r="K1181" s="12">
        <f>_xlfn.XLOOKUP(Assumptions!$B$2,Assumptions!$F$4:$H$4,Assumptions!$F$8:$H$8)</f>
        <v>0.1</v>
      </c>
      <c r="L1181" s="12">
        <f>_xlfn.XLOOKUP(Assumptions!$B$2,Assumptions!$F$4:$H$4,Assumptions!$F$9:$H$9)</f>
        <v>0.18</v>
      </c>
      <c r="M1181" s="18">
        <f>_xlfn.XLOOKUP(Assumptions!$B$2,Assumptions!$F$4:$H$4,Assumptions!$F$10:$H$10)</f>
        <v>18000</v>
      </c>
      <c r="N1181" s="12">
        <f>_xlfn.XLOOKUP(Assumptions!$B$2,Assumptions!$F$4:$H$4,Assumptions!$F$11:$H$11)</f>
        <v>0.3</v>
      </c>
      <c r="O1181" s="14">
        <f>Final_Table[[#This Row],[Units Sold]]*Final_Table[[#This Row],[Sale Price]]</f>
        <v>20400</v>
      </c>
      <c r="P1181" s="14">
        <f>Final_Table[[#This Row],[Gross Revenue]]*(1-Final_Table[[#This Row],[Discount %]])</f>
        <v>18360</v>
      </c>
      <c r="Q1181">
        <f>Final_Table[[#This Row],[Net Revenue]]*Final_Table[[#This Row],[Variable Cost %]]</f>
        <v>3304.7999999999997</v>
      </c>
      <c r="R1181">
        <f>Final_Table[[#This Row],[Variable Cost]]+Final_Table[[#This Row],[Fixed Monthly Cost]]</f>
        <v>21304.799999999999</v>
      </c>
      <c r="S1181" s="5">
        <f>Final_Table[[#This Row],[Net Revenue]]-Final_Table[[#This Row],[Total Cost (COGS)]]</f>
        <v>-2944.7999999999993</v>
      </c>
      <c r="T1181">
        <f>Final_Table[[#This Row],[Gross Profit]]*Final_Table[[#This Row],[Tax Rate]]</f>
        <v>-883.43999999999971</v>
      </c>
      <c r="U1181" s="5">
        <f>Final_Table[[#This Row],[Gross Profit]]-Final_Table[[#This Row],[Tax]]</f>
        <v>-2061.3599999999997</v>
      </c>
      <c r="V1181" s="12">
        <f>Final_Table[[#This Row],[Net Profit]]/Final_Table[[#This Row],[Gross Revenue]]</f>
        <v>-0.10104705882352939</v>
      </c>
    </row>
    <row r="1182" spans="1:22">
      <c r="A1182" s="18" t="s">
        <v>76</v>
      </c>
      <c r="B1182">
        <v>2014</v>
      </c>
      <c r="C1182" t="s">
        <v>127</v>
      </c>
      <c r="D1182">
        <v>1</v>
      </c>
      <c r="E1182" s="18" t="s">
        <v>22</v>
      </c>
      <c r="F1182" s="18" t="s">
        <v>108</v>
      </c>
      <c r="G1182" s="18" t="s">
        <v>36</v>
      </c>
      <c r="H1182" s="18" t="str">
        <f>Assumptions!$B$2</f>
        <v>Worst</v>
      </c>
      <c r="I1182" s="18">
        <f>_xlfn.XLOOKUP(Assumptions!$B$2,Assumptions!$F$4:$H$4,Assumptions!$F$5:$H$5)</f>
        <v>1200</v>
      </c>
      <c r="J1182" s="18">
        <f>_xlfn.XLOOKUP(Assumptions!$B$2,Assumptions!$F$4:$H$4,Assumptions!$F$6:$H$6)</f>
        <v>17</v>
      </c>
      <c r="K1182" s="12">
        <f>_xlfn.XLOOKUP(Assumptions!$B$2,Assumptions!$F$4:$H$4,Assumptions!$F$8:$H$8)</f>
        <v>0.1</v>
      </c>
      <c r="L1182" s="12">
        <f>_xlfn.XLOOKUP(Assumptions!$B$2,Assumptions!$F$4:$H$4,Assumptions!$F$9:$H$9)</f>
        <v>0.18</v>
      </c>
      <c r="M1182" s="18">
        <f>_xlfn.XLOOKUP(Assumptions!$B$2,Assumptions!$F$4:$H$4,Assumptions!$F$10:$H$10)</f>
        <v>18000</v>
      </c>
      <c r="N1182" s="12">
        <f>_xlfn.XLOOKUP(Assumptions!$B$2,Assumptions!$F$4:$H$4,Assumptions!$F$11:$H$11)</f>
        <v>0.3</v>
      </c>
      <c r="O1182" s="14">
        <f>Final_Table[[#This Row],[Units Sold]]*Final_Table[[#This Row],[Sale Price]]</f>
        <v>20400</v>
      </c>
      <c r="P1182" s="14">
        <f>Final_Table[[#This Row],[Gross Revenue]]*(1-Final_Table[[#This Row],[Discount %]])</f>
        <v>18360</v>
      </c>
      <c r="Q1182">
        <f>Final_Table[[#This Row],[Net Revenue]]*Final_Table[[#This Row],[Variable Cost %]]</f>
        <v>3304.7999999999997</v>
      </c>
      <c r="R1182">
        <f>Final_Table[[#This Row],[Variable Cost]]+Final_Table[[#This Row],[Fixed Monthly Cost]]</f>
        <v>21304.799999999999</v>
      </c>
      <c r="S1182" s="5">
        <f>Final_Table[[#This Row],[Net Revenue]]-Final_Table[[#This Row],[Total Cost (COGS)]]</f>
        <v>-2944.7999999999993</v>
      </c>
      <c r="T1182">
        <f>Final_Table[[#This Row],[Gross Profit]]*Final_Table[[#This Row],[Tax Rate]]</f>
        <v>-883.43999999999971</v>
      </c>
      <c r="U1182" s="5">
        <f>Final_Table[[#This Row],[Gross Profit]]-Final_Table[[#This Row],[Tax]]</f>
        <v>-2061.3599999999997</v>
      </c>
      <c r="V1182" s="12">
        <f>Final_Table[[#This Row],[Net Profit]]/Final_Table[[#This Row],[Gross Revenue]]</f>
        <v>-0.10104705882352939</v>
      </c>
    </row>
    <row r="1183" spans="1:22">
      <c r="A1183" s="18" t="s">
        <v>76</v>
      </c>
      <c r="B1183">
        <v>2014</v>
      </c>
      <c r="C1183" t="s">
        <v>127</v>
      </c>
      <c r="D1183">
        <v>1</v>
      </c>
      <c r="E1183" s="18" t="s">
        <v>22</v>
      </c>
      <c r="F1183" s="18" t="s">
        <v>108</v>
      </c>
      <c r="G1183" s="18" t="s">
        <v>23</v>
      </c>
      <c r="H1183" s="18" t="str">
        <f>Assumptions!$B$2</f>
        <v>Worst</v>
      </c>
      <c r="I1183" s="18">
        <f>_xlfn.XLOOKUP(Assumptions!$B$2,Assumptions!$F$4:$H$4,Assumptions!$F$5:$H$5)</f>
        <v>1200</v>
      </c>
      <c r="J1183" s="18">
        <f>_xlfn.XLOOKUP(Assumptions!$B$2,Assumptions!$F$4:$H$4,Assumptions!$F$6:$H$6)</f>
        <v>17</v>
      </c>
      <c r="K1183" s="12">
        <f>_xlfn.XLOOKUP(Assumptions!$B$2,Assumptions!$F$4:$H$4,Assumptions!$F$8:$H$8)</f>
        <v>0.1</v>
      </c>
      <c r="L1183" s="12">
        <f>_xlfn.XLOOKUP(Assumptions!$B$2,Assumptions!$F$4:$H$4,Assumptions!$F$9:$H$9)</f>
        <v>0.18</v>
      </c>
      <c r="M1183" s="18">
        <f>_xlfn.XLOOKUP(Assumptions!$B$2,Assumptions!$F$4:$H$4,Assumptions!$F$10:$H$10)</f>
        <v>18000</v>
      </c>
      <c r="N1183" s="12">
        <f>_xlfn.XLOOKUP(Assumptions!$B$2,Assumptions!$F$4:$H$4,Assumptions!$F$11:$H$11)</f>
        <v>0.3</v>
      </c>
      <c r="O1183" s="14">
        <f>Final_Table[[#This Row],[Units Sold]]*Final_Table[[#This Row],[Sale Price]]</f>
        <v>20400</v>
      </c>
      <c r="P1183" s="14">
        <f>Final_Table[[#This Row],[Gross Revenue]]*(1-Final_Table[[#This Row],[Discount %]])</f>
        <v>18360</v>
      </c>
      <c r="Q1183">
        <f>Final_Table[[#This Row],[Net Revenue]]*Final_Table[[#This Row],[Variable Cost %]]</f>
        <v>3304.7999999999997</v>
      </c>
      <c r="R1183">
        <f>Final_Table[[#This Row],[Variable Cost]]+Final_Table[[#This Row],[Fixed Monthly Cost]]</f>
        <v>21304.799999999999</v>
      </c>
      <c r="S1183" s="5">
        <f>Final_Table[[#This Row],[Net Revenue]]-Final_Table[[#This Row],[Total Cost (COGS)]]</f>
        <v>-2944.7999999999993</v>
      </c>
      <c r="T1183">
        <f>Final_Table[[#This Row],[Gross Profit]]*Final_Table[[#This Row],[Tax Rate]]</f>
        <v>-883.43999999999971</v>
      </c>
      <c r="U1183" s="5">
        <f>Final_Table[[#This Row],[Gross Profit]]-Final_Table[[#This Row],[Tax]]</f>
        <v>-2061.3599999999997</v>
      </c>
      <c r="V1183" s="12">
        <f>Final_Table[[#This Row],[Net Profit]]/Final_Table[[#This Row],[Gross Revenue]]</f>
        <v>-0.10104705882352939</v>
      </c>
    </row>
    <row r="1184" spans="1:22">
      <c r="A1184" s="18" t="s">
        <v>76</v>
      </c>
      <c r="B1184">
        <v>2014</v>
      </c>
      <c r="C1184" t="s">
        <v>127</v>
      </c>
      <c r="D1184">
        <v>1</v>
      </c>
      <c r="E1184" s="18" t="s">
        <v>22</v>
      </c>
      <c r="F1184" s="18" t="s">
        <v>108</v>
      </c>
      <c r="G1184" s="18" t="s">
        <v>21</v>
      </c>
      <c r="H1184" s="18" t="str">
        <f>Assumptions!$B$2</f>
        <v>Worst</v>
      </c>
      <c r="I1184" s="18">
        <f>_xlfn.XLOOKUP(Assumptions!$B$2,Assumptions!$F$4:$H$4,Assumptions!$F$5:$H$5)</f>
        <v>1200</v>
      </c>
      <c r="J1184" s="18">
        <f>_xlfn.XLOOKUP(Assumptions!$B$2,Assumptions!$F$4:$H$4,Assumptions!$F$6:$H$6)</f>
        <v>17</v>
      </c>
      <c r="K1184" s="12">
        <f>_xlfn.XLOOKUP(Assumptions!$B$2,Assumptions!$F$4:$H$4,Assumptions!$F$8:$H$8)</f>
        <v>0.1</v>
      </c>
      <c r="L1184" s="12">
        <f>_xlfn.XLOOKUP(Assumptions!$B$2,Assumptions!$F$4:$H$4,Assumptions!$F$9:$H$9)</f>
        <v>0.18</v>
      </c>
      <c r="M1184" s="18">
        <f>_xlfn.XLOOKUP(Assumptions!$B$2,Assumptions!$F$4:$H$4,Assumptions!$F$10:$H$10)</f>
        <v>18000</v>
      </c>
      <c r="N1184" s="12">
        <f>_xlfn.XLOOKUP(Assumptions!$B$2,Assumptions!$F$4:$H$4,Assumptions!$F$11:$H$11)</f>
        <v>0.3</v>
      </c>
      <c r="O1184" s="14">
        <f>Final_Table[[#This Row],[Units Sold]]*Final_Table[[#This Row],[Sale Price]]</f>
        <v>20400</v>
      </c>
      <c r="P1184" s="14">
        <f>Final_Table[[#This Row],[Gross Revenue]]*(1-Final_Table[[#This Row],[Discount %]])</f>
        <v>18360</v>
      </c>
      <c r="Q1184">
        <f>Final_Table[[#This Row],[Net Revenue]]*Final_Table[[#This Row],[Variable Cost %]]</f>
        <v>3304.7999999999997</v>
      </c>
      <c r="R1184">
        <f>Final_Table[[#This Row],[Variable Cost]]+Final_Table[[#This Row],[Fixed Monthly Cost]]</f>
        <v>21304.799999999999</v>
      </c>
      <c r="S1184" s="5">
        <f>Final_Table[[#This Row],[Net Revenue]]-Final_Table[[#This Row],[Total Cost (COGS)]]</f>
        <v>-2944.7999999999993</v>
      </c>
      <c r="T1184">
        <f>Final_Table[[#This Row],[Gross Profit]]*Final_Table[[#This Row],[Tax Rate]]</f>
        <v>-883.43999999999971</v>
      </c>
      <c r="U1184" s="5">
        <f>Final_Table[[#This Row],[Gross Profit]]-Final_Table[[#This Row],[Tax]]</f>
        <v>-2061.3599999999997</v>
      </c>
      <c r="V1184" s="12">
        <f>Final_Table[[#This Row],[Net Profit]]/Final_Table[[#This Row],[Gross Revenue]]</f>
        <v>-0.10104705882352939</v>
      </c>
    </row>
    <row r="1185" spans="1:22">
      <c r="A1185" s="18" t="s">
        <v>76</v>
      </c>
      <c r="B1185">
        <v>2014</v>
      </c>
      <c r="C1185" t="s">
        <v>127</v>
      </c>
      <c r="D1185">
        <v>1</v>
      </c>
      <c r="E1185" s="18" t="s">
        <v>22</v>
      </c>
      <c r="F1185" s="18" t="s">
        <v>108</v>
      </c>
      <c r="G1185" s="18" t="s">
        <v>25</v>
      </c>
      <c r="H1185" s="18" t="str">
        <f>Assumptions!$B$2</f>
        <v>Worst</v>
      </c>
      <c r="I1185" s="18">
        <f>_xlfn.XLOOKUP(Assumptions!$B$2,Assumptions!$F$4:$H$4,Assumptions!$F$5:$H$5)</f>
        <v>1200</v>
      </c>
      <c r="J1185" s="18">
        <f>_xlfn.XLOOKUP(Assumptions!$B$2,Assumptions!$F$4:$H$4,Assumptions!$F$6:$H$6)</f>
        <v>17</v>
      </c>
      <c r="K1185" s="12">
        <f>_xlfn.XLOOKUP(Assumptions!$B$2,Assumptions!$F$4:$H$4,Assumptions!$F$8:$H$8)</f>
        <v>0.1</v>
      </c>
      <c r="L1185" s="12">
        <f>_xlfn.XLOOKUP(Assumptions!$B$2,Assumptions!$F$4:$H$4,Assumptions!$F$9:$H$9)</f>
        <v>0.18</v>
      </c>
      <c r="M1185" s="18">
        <f>_xlfn.XLOOKUP(Assumptions!$B$2,Assumptions!$F$4:$H$4,Assumptions!$F$10:$H$10)</f>
        <v>18000</v>
      </c>
      <c r="N1185" s="12">
        <f>_xlfn.XLOOKUP(Assumptions!$B$2,Assumptions!$F$4:$H$4,Assumptions!$F$11:$H$11)</f>
        <v>0.3</v>
      </c>
      <c r="O1185" s="14">
        <f>Final_Table[[#This Row],[Units Sold]]*Final_Table[[#This Row],[Sale Price]]</f>
        <v>20400</v>
      </c>
      <c r="P1185" s="14">
        <f>Final_Table[[#This Row],[Gross Revenue]]*(1-Final_Table[[#This Row],[Discount %]])</f>
        <v>18360</v>
      </c>
      <c r="Q1185">
        <f>Final_Table[[#This Row],[Net Revenue]]*Final_Table[[#This Row],[Variable Cost %]]</f>
        <v>3304.7999999999997</v>
      </c>
      <c r="R1185">
        <f>Final_Table[[#This Row],[Variable Cost]]+Final_Table[[#This Row],[Fixed Monthly Cost]]</f>
        <v>21304.799999999999</v>
      </c>
      <c r="S1185" s="5">
        <f>Final_Table[[#This Row],[Net Revenue]]-Final_Table[[#This Row],[Total Cost (COGS)]]</f>
        <v>-2944.7999999999993</v>
      </c>
      <c r="T1185">
        <f>Final_Table[[#This Row],[Gross Profit]]*Final_Table[[#This Row],[Tax Rate]]</f>
        <v>-883.43999999999971</v>
      </c>
      <c r="U1185" s="5">
        <f>Final_Table[[#This Row],[Gross Profit]]-Final_Table[[#This Row],[Tax]]</f>
        <v>-2061.3599999999997</v>
      </c>
      <c r="V1185" s="12">
        <f>Final_Table[[#This Row],[Net Profit]]/Final_Table[[#This Row],[Gross Revenue]]</f>
        <v>-0.10104705882352939</v>
      </c>
    </row>
    <row r="1186" spans="1:22">
      <c r="A1186" s="18" t="s">
        <v>76</v>
      </c>
      <c r="B1186">
        <v>2014</v>
      </c>
      <c r="C1186" t="s">
        <v>127</v>
      </c>
      <c r="D1186">
        <v>1</v>
      </c>
      <c r="E1186" s="18" t="s">
        <v>22</v>
      </c>
      <c r="F1186" s="18" t="s">
        <v>108</v>
      </c>
      <c r="G1186" s="18" t="s">
        <v>17</v>
      </c>
      <c r="H1186" s="18" t="str">
        <f>Assumptions!$B$2</f>
        <v>Worst</v>
      </c>
      <c r="I1186" s="18">
        <f>_xlfn.XLOOKUP(Assumptions!$B$2,Assumptions!$F$4:$H$4,Assumptions!$F$5:$H$5)</f>
        <v>1200</v>
      </c>
      <c r="J1186" s="18">
        <f>_xlfn.XLOOKUP(Assumptions!$B$2,Assumptions!$F$4:$H$4,Assumptions!$F$6:$H$6)</f>
        <v>17</v>
      </c>
      <c r="K1186" s="12">
        <f>_xlfn.XLOOKUP(Assumptions!$B$2,Assumptions!$F$4:$H$4,Assumptions!$F$8:$H$8)</f>
        <v>0.1</v>
      </c>
      <c r="L1186" s="12">
        <f>_xlfn.XLOOKUP(Assumptions!$B$2,Assumptions!$F$4:$H$4,Assumptions!$F$9:$H$9)</f>
        <v>0.18</v>
      </c>
      <c r="M1186" s="18">
        <f>_xlfn.XLOOKUP(Assumptions!$B$2,Assumptions!$F$4:$H$4,Assumptions!$F$10:$H$10)</f>
        <v>18000</v>
      </c>
      <c r="N1186" s="12">
        <f>_xlfn.XLOOKUP(Assumptions!$B$2,Assumptions!$F$4:$H$4,Assumptions!$F$11:$H$11)</f>
        <v>0.3</v>
      </c>
      <c r="O1186" s="14">
        <f>Final_Table[[#This Row],[Units Sold]]*Final_Table[[#This Row],[Sale Price]]</f>
        <v>20400</v>
      </c>
      <c r="P1186" s="14">
        <f>Final_Table[[#This Row],[Gross Revenue]]*(1-Final_Table[[#This Row],[Discount %]])</f>
        <v>18360</v>
      </c>
      <c r="Q1186">
        <f>Final_Table[[#This Row],[Net Revenue]]*Final_Table[[#This Row],[Variable Cost %]]</f>
        <v>3304.7999999999997</v>
      </c>
      <c r="R1186">
        <f>Final_Table[[#This Row],[Variable Cost]]+Final_Table[[#This Row],[Fixed Monthly Cost]]</f>
        <v>21304.799999999999</v>
      </c>
      <c r="S1186" s="5">
        <f>Final_Table[[#This Row],[Net Revenue]]-Final_Table[[#This Row],[Total Cost (COGS)]]</f>
        <v>-2944.7999999999993</v>
      </c>
      <c r="T1186">
        <f>Final_Table[[#This Row],[Gross Profit]]*Final_Table[[#This Row],[Tax Rate]]</f>
        <v>-883.43999999999971</v>
      </c>
      <c r="U1186" s="5">
        <f>Final_Table[[#This Row],[Gross Profit]]-Final_Table[[#This Row],[Tax]]</f>
        <v>-2061.3599999999997</v>
      </c>
      <c r="V1186" s="12">
        <f>Final_Table[[#This Row],[Net Profit]]/Final_Table[[#This Row],[Gross Revenue]]</f>
        <v>-0.10104705882352939</v>
      </c>
    </row>
    <row r="1187" spans="1:22">
      <c r="A1187" s="18" t="s">
        <v>76</v>
      </c>
      <c r="B1187">
        <v>2014</v>
      </c>
      <c r="C1187" t="s">
        <v>127</v>
      </c>
      <c r="D1187">
        <v>1</v>
      </c>
      <c r="E1187" s="18" t="s">
        <v>22</v>
      </c>
      <c r="F1187" s="18" t="s">
        <v>112</v>
      </c>
      <c r="G1187" s="18" t="s">
        <v>36</v>
      </c>
      <c r="H1187" s="18" t="str">
        <f>Assumptions!$B$2</f>
        <v>Worst</v>
      </c>
      <c r="I1187" s="18">
        <f>_xlfn.XLOOKUP(Assumptions!$B$2,Assumptions!$F$4:$H$4,Assumptions!$F$5:$H$5)</f>
        <v>1200</v>
      </c>
      <c r="J1187" s="18">
        <f>_xlfn.XLOOKUP(Assumptions!$B$2,Assumptions!$F$4:$H$4,Assumptions!$F$6:$H$6)</f>
        <v>17</v>
      </c>
      <c r="K1187" s="12">
        <f>_xlfn.XLOOKUP(Assumptions!$B$2,Assumptions!$F$4:$H$4,Assumptions!$F$8:$H$8)</f>
        <v>0.1</v>
      </c>
      <c r="L1187" s="12">
        <f>_xlfn.XLOOKUP(Assumptions!$B$2,Assumptions!$F$4:$H$4,Assumptions!$F$9:$H$9)</f>
        <v>0.18</v>
      </c>
      <c r="M1187" s="18">
        <f>_xlfn.XLOOKUP(Assumptions!$B$2,Assumptions!$F$4:$H$4,Assumptions!$F$10:$H$10)</f>
        <v>18000</v>
      </c>
      <c r="N1187" s="12">
        <f>_xlfn.XLOOKUP(Assumptions!$B$2,Assumptions!$F$4:$H$4,Assumptions!$F$11:$H$11)</f>
        <v>0.3</v>
      </c>
      <c r="O1187" s="14">
        <f>Final_Table[[#This Row],[Units Sold]]*Final_Table[[#This Row],[Sale Price]]</f>
        <v>20400</v>
      </c>
      <c r="P1187" s="14">
        <f>Final_Table[[#This Row],[Gross Revenue]]*(1-Final_Table[[#This Row],[Discount %]])</f>
        <v>18360</v>
      </c>
      <c r="Q1187">
        <f>Final_Table[[#This Row],[Net Revenue]]*Final_Table[[#This Row],[Variable Cost %]]</f>
        <v>3304.7999999999997</v>
      </c>
      <c r="R1187">
        <f>Final_Table[[#This Row],[Variable Cost]]+Final_Table[[#This Row],[Fixed Monthly Cost]]</f>
        <v>21304.799999999999</v>
      </c>
      <c r="S1187" s="5">
        <f>Final_Table[[#This Row],[Net Revenue]]-Final_Table[[#This Row],[Total Cost (COGS)]]</f>
        <v>-2944.7999999999993</v>
      </c>
      <c r="T1187">
        <f>Final_Table[[#This Row],[Gross Profit]]*Final_Table[[#This Row],[Tax Rate]]</f>
        <v>-883.43999999999971</v>
      </c>
      <c r="U1187" s="5">
        <f>Final_Table[[#This Row],[Gross Profit]]-Final_Table[[#This Row],[Tax]]</f>
        <v>-2061.3599999999997</v>
      </c>
      <c r="V1187" s="12">
        <f>Final_Table[[#This Row],[Net Profit]]/Final_Table[[#This Row],[Gross Revenue]]</f>
        <v>-0.10104705882352939</v>
      </c>
    </row>
    <row r="1188" spans="1:22">
      <c r="A1188" s="18" t="s">
        <v>76</v>
      </c>
      <c r="B1188">
        <v>2014</v>
      </c>
      <c r="C1188" t="s">
        <v>127</v>
      </c>
      <c r="D1188">
        <v>1</v>
      </c>
      <c r="E1188" s="18" t="s">
        <v>22</v>
      </c>
      <c r="F1188" s="18" t="s">
        <v>112</v>
      </c>
      <c r="G1188" s="18" t="s">
        <v>23</v>
      </c>
      <c r="H1188" s="18" t="str">
        <f>Assumptions!$B$2</f>
        <v>Worst</v>
      </c>
      <c r="I1188" s="18">
        <f>_xlfn.XLOOKUP(Assumptions!$B$2,Assumptions!$F$4:$H$4,Assumptions!$F$5:$H$5)</f>
        <v>1200</v>
      </c>
      <c r="J1188" s="18">
        <f>_xlfn.XLOOKUP(Assumptions!$B$2,Assumptions!$F$4:$H$4,Assumptions!$F$6:$H$6)</f>
        <v>17</v>
      </c>
      <c r="K1188" s="12">
        <f>_xlfn.XLOOKUP(Assumptions!$B$2,Assumptions!$F$4:$H$4,Assumptions!$F$8:$H$8)</f>
        <v>0.1</v>
      </c>
      <c r="L1188" s="12">
        <f>_xlfn.XLOOKUP(Assumptions!$B$2,Assumptions!$F$4:$H$4,Assumptions!$F$9:$H$9)</f>
        <v>0.18</v>
      </c>
      <c r="M1188" s="18">
        <f>_xlfn.XLOOKUP(Assumptions!$B$2,Assumptions!$F$4:$H$4,Assumptions!$F$10:$H$10)</f>
        <v>18000</v>
      </c>
      <c r="N1188" s="12">
        <f>_xlfn.XLOOKUP(Assumptions!$B$2,Assumptions!$F$4:$H$4,Assumptions!$F$11:$H$11)</f>
        <v>0.3</v>
      </c>
      <c r="O1188" s="14">
        <f>Final_Table[[#This Row],[Units Sold]]*Final_Table[[#This Row],[Sale Price]]</f>
        <v>20400</v>
      </c>
      <c r="P1188" s="14">
        <f>Final_Table[[#This Row],[Gross Revenue]]*(1-Final_Table[[#This Row],[Discount %]])</f>
        <v>18360</v>
      </c>
      <c r="Q1188">
        <f>Final_Table[[#This Row],[Net Revenue]]*Final_Table[[#This Row],[Variable Cost %]]</f>
        <v>3304.7999999999997</v>
      </c>
      <c r="R1188">
        <f>Final_Table[[#This Row],[Variable Cost]]+Final_Table[[#This Row],[Fixed Monthly Cost]]</f>
        <v>21304.799999999999</v>
      </c>
      <c r="S1188" s="5">
        <f>Final_Table[[#This Row],[Net Revenue]]-Final_Table[[#This Row],[Total Cost (COGS)]]</f>
        <v>-2944.7999999999993</v>
      </c>
      <c r="T1188">
        <f>Final_Table[[#This Row],[Gross Profit]]*Final_Table[[#This Row],[Tax Rate]]</f>
        <v>-883.43999999999971</v>
      </c>
      <c r="U1188" s="5">
        <f>Final_Table[[#This Row],[Gross Profit]]-Final_Table[[#This Row],[Tax]]</f>
        <v>-2061.3599999999997</v>
      </c>
      <c r="V1188" s="12">
        <f>Final_Table[[#This Row],[Net Profit]]/Final_Table[[#This Row],[Gross Revenue]]</f>
        <v>-0.10104705882352939</v>
      </c>
    </row>
    <row r="1189" spans="1:22">
      <c r="A1189" s="18" t="s">
        <v>76</v>
      </c>
      <c r="B1189">
        <v>2014</v>
      </c>
      <c r="C1189" t="s">
        <v>127</v>
      </c>
      <c r="D1189">
        <v>1</v>
      </c>
      <c r="E1189" s="18" t="s">
        <v>22</v>
      </c>
      <c r="F1189" s="18" t="s">
        <v>112</v>
      </c>
      <c r="G1189" s="18" t="s">
        <v>21</v>
      </c>
      <c r="H1189" s="18" t="str">
        <f>Assumptions!$B$2</f>
        <v>Worst</v>
      </c>
      <c r="I1189" s="18">
        <f>_xlfn.XLOOKUP(Assumptions!$B$2,Assumptions!$F$4:$H$4,Assumptions!$F$5:$H$5)</f>
        <v>1200</v>
      </c>
      <c r="J1189" s="18">
        <f>_xlfn.XLOOKUP(Assumptions!$B$2,Assumptions!$F$4:$H$4,Assumptions!$F$6:$H$6)</f>
        <v>17</v>
      </c>
      <c r="K1189" s="12">
        <f>_xlfn.XLOOKUP(Assumptions!$B$2,Assumptions!$F$4:$H$4,Assumptions!$F$8:$H$8)</f>
        <v>0.1</v>
      </c>
      <c r="L1189" s="12">
        <f>_xlfn.XLOOKUP(Assumptions!$B$2,Assumptions!$F$4:$H$4,Assumptions!$F$9:$H$9)</f>
        <v>0.18</v>
      </c>
      <c r="M1189" s="18">
        <f>_xlfn.XLOOKUP(Assumptions!$B$2,Assumptions!$F$4:$H$4,Assumptions!$F$10:$H$10)</f>
        <v>18000</v>
      </c>
      <c r="N1189" s="12">
        <f>_xlfn.XLOOKUP(Assumptions!$B$2,Assumptions!$F$4:$H$4,Assumptions!$F$11:$H$11)</f>
        <v>0.3</v>
      </c>
      <c r="O1189" s="14">
        <f>Final_Table[[#This Row],[Units Sold]]*Final_Table[[#This Row],[Sale Price]]</f>
        <v>20400</v>
      </c>
      <c r="P1189" s="14">
        <f>Final_Table[[#This Row],[Gross Revenue]]*(1-Final_Table[[#This Row],[Discount %]])</f>
        <v>18360</v>
      </c>
      <c r="Q1189">
        <f>Final_Table[[#This Row],[Net Revenue]]*Final_Table[[#This Row],[Variable Cost %]]</f>
        <v>3304.7999999999997</v>
      </c>
      <c r="R1189">
        <f>Final_Table[[#This Row],[Variable Cost]]+Final_Table[[#This Row],[Fixed Monthly Cost]]</f>
        <v>21304.799999999999</v>
      </c>
      <c r="S1189" s="5">
        <f>Final_Table[[#This Row],[Net Revenue]]-Final_Table[[#This Row],[Total Cost (COGS)]]</f>
        <v>-2944.7999999999993</v>
      </c>
      <c r="T1189">
        <f>Final_Table[[#This Row],[Gross Profit]]*Final_Table[[#This Row],[Tax Rate]]</f>
        <v>-883.43999999999971</v>
      </c>
      <c r="U1189" s="5">
        <f>Final_Table[[#This Row],[Gross Profit]]-Final_Table[[#This Row],[Tax]]</f>
        <v>-2061.3599999999997</v>
      </c>
      <c r="V1189" s="12">
        <f>Final_Table[[#This Row],[Net Profit]]/Final_Table[[#This Row],[Gross Revenue]]</f>
        <v>-0.10104705882352939</v>
      </c>
    </row>
    <row r="1190" spans="1:22">
      <c r="A1190" s="18" t="s">
        <v>76</v>
      </c>
      <c r="B1190">
        <v>2014</v>
      </c>
      <c r="C1190" t="s">
        <v>127</v>
      </c>
      <c r="D1190">
        <v>1</v>
      </c>
      <c r="E1190" s="18" t="s">
        <v>22</v>
      </c>
      <c r="F1190" s="18" t="s">
        <v>112</v>
      </c>
      <c r="G1190" s="18" t="s">
        <v>25</v>
      </c>
      <c r="H1190" s="18" t="str">
        <f>Assumptions!$B$2</f>
        <v>Worst</v>
      </c>
      <c r="I1190" s="18">
        <f>_xlfn.XLOOKUP(Assumptions!$B$2,Assumptions!$F$4:$H$4,Assumptions!$F$5:$H$5)</f>
        <v>1200</v>
      </c>
      <c r="J1190" s="18">
        <f>_xlfn.XLOOKUP(Assumptions!$B$2,Assumptions!$F$4:$H$4,Assumptions!$F$6:$H$6)</f>
        <v>17</v>
      </c>
      <c r="K1190" s="12">
        <f>_xlfn.XLOOKUP(Assumptions!$B$2,Assumptions!$F$4:$H$4,Assumptions!$F$8:$H$8)</f>
        <v>0.1</v>
      </c>
      <c r="L1190" s="12">
        <f>_xlfn.XLOOKUP(Assumptions!$B$2,Assumptions!$F$4:$H$4,Assumptions!$F$9:$H$9)</f>
        <v>0.18</v>
      </c>
      <c r="M1190" s="18">
        <f>_xlfn.XLOOKUP(Assumptions!$B$2,Assumptions!$F$4:$H$4,Assumptions!$F$10:$H$10)</f>
        <v>18000</v>
      </c>
      <c r="N1190" s="12">
        <f>_xlfn.XLOOKUP(Assumptions!$B$2,Assumptions!$F$4:$H$4,Assumptions!$F$11:$H$11)</f>
        <v>0.3</v>
      </c>
      <c r="O1190" s="14">
        <f>Final_Table[[#This Row],[Units Sold]]*Final_Table[[#This Row],[Sale Price]]</f>
        <v>20400</v>
      </c>
      <c r="P1190" s="14">
        <f>Final_Table[[#This Row],[Gross Revenue]]*(1-Final_Table[[#This Row],[Discount %]])</f>
        <v>18360</v>
      </c>
      <c r="Q1190">
        <f>Final_Table[[#This Row],[Net Revenue]]*Final_Table[[#This Row],[Variable Cost %]]</f>
        <v>3304.7999999999997</v>
      </c>
      <c r="R1190">
        <f>Final_Table[[#This Row],[Variable Cost]]+Final_Table[[#This Row],[Fixed Monthly Cost]]</f>
        <v>21304.799999999999</v>
      </c>
      <c r="S1190" s="5">
        <f>Final_Table[[#This Row],[Net Revenue]]-Final_Table[[#This Row],[Total Cost (COGS)]]</f>
        <v>-2944.7999999999993</v>
      </c>
      <c r="T1190">
        <f>Final_Table[[#This Row],[Gross Profit]]*Final_Table[[#This Row],[Tax Rate]]</f>
        <v>-883.43999999999971</v>
      </c>
      <c r="U1190" s="5">
        <f>Final_Table[[#This Row],[Gross Profit]]-Final_Table[[#This Row],[Tax]]</f>
        <v>-2061.3599999999997</v>
      </c>
      <c r="V1190" s="12">
        <f>Final_Table[[#This Row],[Net Profit]]/Final_Table[[#This Row],[Gross Revenue]]</f>
        <v>-0.10104705882352939</v>
      </c>
    </row>
    <row r="1191" spans="1:22">
      <c r="A1191" s="18" t="s">
        <v>76</v>
      </c>
      <c r="B1191">
        <v>2014</v>
      </c>
      <c r="C1191" t="s">
        <v>127</v>
      </c>
      <c r="D1191">
        <v>1</v>
      </c>
      <c r="E1191" s="18" t="s">
        <v>22</v>
      </c>
      <c r="F1191" s="18" t="s">
        <v>112</v>
      </c>
      <c r="G1191" s="18" t="s">
        <v>17</v>
      </c>
      <c r="H1191" s="18" t="str">
        <f>Assumptions!$B$2</f>
        <v>Worst</v>
      </c>
      <c r="I1191" s="18">
        <f>_xlfn.XLOOKUP(Assumptions!$B$2,Assumptions!$F$4:$H$4,Assumptions!$F$5:$H$5)</f>
        <v>1200</v>
      </c>
      <c r="J1191" s="18">
        <f>_xlfn.XLOOKUP(Assumptions!$B$2,Assumptions!$F$4:$H$4,Assumptions!$F$6:$H$6)</f>
        <v>17</v>
      </c>
      <c r="K1191" s="12">
        <f>_xlfn.XLOOKUP(Assumptions!$B$2,Assumptions!$F$4:$H$4,Assumptions!$F$8:$H$8)</f>
        <v>0.1</v>
      </c>
      <c r="L1191" s="12">
        <f>_xlfn.XLOOKUP(Assumptions!$B$2,Assumptions!$F$4:$H$4,Assumptions!$F$9:$H$9)</f>
        <v>0.18</v>
      </c>
      <c r="M1191" s="18">
        <f>_xlfn.XLOOKUP(Assumptions!$B$2,Assumptions!$F$4:$H$4,Assumptions!$F$10:$H$10)</f>
        <v>18000</v>
      </c>
      <c r="N1191" s="12">
        <f>_xlfn.XLOOKUP(Assumptions!$B$2,Assumptions!$F$4:$H$4,Assumptions!$F$11:$H$11)</f>
        <v>0.3</v>
      </c>
      <c r="O1191" s="14">
        <f>Final_Table[[#This Row],[Units Sold]]*Final_Table[[#This Row],[Sale Price]]</f>
        <v>20400</v>
      </c>
      <c r="P1191" s="14">
        <f>Final_Table[[#This Row],[Gross Revenue]]*(1-Final_Table[[#This Row],[Discount %]])</f>
        <v>18360</v>
      </c>
      <c r="Q1191">
        <f>Final_Table[[#This Row],[Net Revenue]]*Final_Table[[#This Row],[Variable Cost %]]</f>
        <v>3304.7999999999997</v>
      </c>
      <c r="R1191">
        <f>Final_Table[[#This Row],[Variable Cost]]+Final_Table[[#This Row],[Fixed Monthly Cost]]</f>
        <v>21304.799999999999</v>
      </c>
      <c r="S1191" s="5">
        <f>Final_Table[[#This Row],[Net Revenue]]-Final_Table[[#This Row],[Total Cost (COGS)]]</f>
        <v>-2944.7999999999993</v>
      </c>
      <c r="T1191">
        <f>Final_Table[[#This Row],[Gross Profit]]*Final_Table[[#This Row],[Tax Rate]]</f>
        <v>-883.43999999999971</v>
      </c>
      <c r="U1191" s="5">
        <f>Final_Table[[#This Row],[Gross Profit]]-Final_Table[[#This Row],[Tax]]</f>
        <v>-2061.3599999999997</v>
      </c>
      <c r="V1191" s="12">
        <f>Final_Table[[#This Row],[Net Profit]]/Final_Table[[#This Row],[Gross Revenue]]</f>
        <v>-0.10104705882352939</v>
      </c>
    </row>
    <row r="1192" spans="1:22">
      <c r="A1192" s="18" t="s">
        <v>76</v>
      </c>
      <c r="B1192">
        <v>2014</v>
      </c>
      <c r="C1192" t="s">
        <v>127</v>
      </c>
      <c r="D1192">
        <v>1</v>
      </c>
      <c r="E1192" s="18" t="s">
        <v>22</v>
      </c>
      <c r="F1192" s="18" t="s">
        <v>113</v>
      </c>
      <c r="G1192" s="18" t="s">
        <v>36</v>
      </c>
      <c r="H1192" s="18" t="str">
        <f>Assumptions!$B$2</f>
        <v>Worst</v>
      </c>
      <c r="I1192" s="18">
        <f>_xlfn.XLOOKUP(Assumptions!$B$2,Assumptions!$F$4:$H$4,Assumptions!$F$5:$H$5)</f>
        <v>1200</v>
      </c>
      <c r="J1192" s="18">
        <f>_xlfn.XLOOKUP(Assumptions!$B$2,Assumptions!$F$4:$H$4,Assumptions!$F$6:$H$6)</f>
        <v>17</v>
      </c>
      <c r="K1192" s="12">
        <f>_xlfn.XLOOKUP(Assumptions!$B$2,Assumptions!$F$4:$H$4,Assumptions!$F$8:$H$8)</f>
        <v>0.1</v>
      </c>
      <c r="L1192" s="12">
        <f>_xlfn.XLOOKUP(Assumptions!$B$2,Assumptions!$F$4:$H$4,Assumptions!$F$9:$H$9)</f>
        <v>0.18</v>
      </c>
      <c r="M1192" s="18">
        <f>_xlfn.XLOOKUP(Assumptions!$B$2,Assumptions!$F$4:$H$4,Assumptions!$F$10:$H$10)</f>
        <v>18000</v>
      </c>
      <c r="N1192" s="12">
        <f>_xlfn.XLOOKUP(Assumptions!$B$2,Assumptions!$F$4:$H$4,Assumptions!$F$11:$H$11)</f>
        <v>0.3</v>
      </c>
      <c r="O1192" s="14">
        <f>Final_Table[[#This Row],[Units Sold]]*Final_Table[[#This Row],[Sale Price]]</f>
        <v>20400</v>
      </c>
      <c r="P1192" s="14">
        <f>Final_Table[[#This Row],[Gross Revenue]]*(1-Final_Table[[#This Row],[Discount %]])</f>
        <v>18360</v>
      </c>
      <c r="Q1192">
        <f>Final_Table[[#This Row],[Net Revenue]]*Final_Table[[#This Row],[Variable Cost %]]</f>
        <v>3304.7999999999997</v>
      </c>
      <c r="R1192">
        <f>Final_Table[[#This Row],[Variable Cost]]+Final_Table[[#This Row],[Fixed Monthly Cost]]</f>
        <v>21304.799999999999</v>
      </c>
      <c r="S1192" s="5">
        <f>Final_Table[[#This Row],[Net Revenue]]-Final_Table[[#This Row],[Total Cost (COGS)]]</f>
        <v>-2944.7999999999993</v>
      </c>
      <c r="T1192">
        <f>Final_Table[[#This Row],[Gross Profit]]*Final_Table[[#This Row],[Tax Rate]]</f>
        <v>-883.43999999999971</v>
      </c>
      <c r="U1192" s="5">
        <f>Final_Table[[#This Row],[Gross Profit]]-Final_Table[[#This Row],[Tax]]</f>
        <v>-2061.3599999999997</v>
      </c>
      <c r="V1192" s="12">
        <f>Final_Table[[#This Row],[Net Profit]]/Final_Table[[#This Row],[Gross Revenue]]</f>
        <v>-0.10104705882352939</v>
      </c>
    </row>
    <row r="1193" spans="1:22">
      <c r="A1193" s="18" t="s">
        <v>76</v>
      </c>
      <c r="B1193">
        <v>2014</v>
      </c>
      <c r="C1193" t="s">
        <v>127</v>
      </c>
      <c r="D1193">
        <v>1</v>
      </c>
      <c r="E1193" s="18" t="s">
        <v>22</v>
      </c>
      <c r="F1193" s="18" t="s">
        <v>113</v>
      </c>
      <c r="G1193" s="18" t="s">
        <v>23</v>
      </c>
      <c r="H1193" s="18" t="str">
        <f>Assumptions!$B$2</f>
        <v>Worst</v>
      </c>
      <c r="I1193" s="18">
        <f>_xlfn.XLOOKUP(Assumptions!$B$2,Assumptions!$F$4:$H$4,Assumptions!$F$5:$H$5)</f>
        <v>1200</v>
      </c>
      <c r="J1193" s="18">
        <f>_xlfn.XLOOKUP(Assumptions!$B$2,Assumptions!$F$4:$H$4,Assumptions!$F$6:$H$6)</f>
        <v>17</v>
      </c>
      <c r="K1193" s="12">
        <f>_xlfn.XLOOKUP(Assumptions!$B$2,Assumptions!$F$4:$H$4,Assumptions!$F$8:$H$8)</f>
        <v>0.1</v>
      </c>
      <c r="L1193" s="12">
        <f>_xlfn.XLOOKUP(Assumptions!$B$2,Assumptions!$F$4:$H$4,Assumptions!$F$9:$H$9)</f>
        <v>0.18</v>
      </c>
      <c r="M1193" s="18">
        <f>_xlfn.XLOOKUP(Assumptions!$B$2,Assumptions!$F$4:$H$4,Assumptions!$F$10:$H$10)</f>
        <v>18000</v>
      </c>
      <c r="N1193" s="12">
        <f>_xlfn.XLOOKUP(Assumptions!$B$2,Assumptions!$F$4:$H$4,Assumptions!$F$11:$H$11)</f>
        <v>0.3</v>
      </c>
      <c r="O1193" s="14">
        <f>Final_Table[[#This Row],[Units Sold]]*Final_Table[[#This Row],[Sale Price]]</f>
        <v>20400</v>
      </c>
      <c r="P1193" s="14">
        <f>Final_Table[[#This Row],[Gross Revenue]]*(1-Final_Table[[#This Row],[Discount %]])</f>
        <v>18360</v>
      </c>
      <c r="Q1193">
        <f>Final_Table[[#This Row],[Net Revenue]]*Final_Table[[#This Row],[Variable Cost %]]</f>
        <v>3304.7999999999997</v>
      </c>
      <c r="R1193">
        <f>Final_Table[[#This Row],[Variable Cost]]+Final_Table[[#This Row],[Fixed Monthly Cost]]</f>
        <v>21304.799999999999</v>
      </c>
      <c r="S1193" s="5">
        <f>Final_Table[[#This Row],[Net Revenue]]-Final_Table[[#This Row],[Total Cost (COGS)]]</f>
        <v>-2944.7999999999993</v>
      </c>
      <c r="T1193">
        <f>Final_Table[[#This Row],[Gross Profit]]*Final_Table[[#This Row],[Tax Rate]]</f>
        <v>-883.43999999999971</v>
      </c>
      <c r="U1193" s="5">
        <f>Final_Table[[#This Row],[Gross Profit]]-Final_Table[[#This Row],[Tax]]</f>
        <v>-2061.3599999999997</v>
      </c>
      <c r="V1193" s="12">
        <f>Final_Table[[#This Row],[Net Profit]]/Final_Table[[#This Row],[Gross Revenue]]</f>
        <v>-0.10104705882352939</v>
      </c>
    </row>
    <row r="1194" spans="1:22">
      <c r="A1194" s="18" t="s">
        <v>76</v>
      </c>
      <c r="B1194">
        <v>2014</v>
      </c>
      <c r="C1194" t="s">
        <v>127</v>
      </c>
      <c r="D1194">
        <v>1</v>
      </c>
      <c r="E1194" s="18" t="s">
        <v>22</v>
      </c>
      <c r="F1194" s="18" t="s">
        <v>113</v>
      </c>
      <c r="G1194" s="18" t="s">
        <v>21</v>
      </c>
      <c r="H1194" s="18" t="str">
        <f>Assumptions!$B$2</f>
        <v>Worst</v>
      </c>
      <c r="I1194" s="18">
        <f>_xlfn.XLOOKUP(Assumptions!$B$2,Assumptions!$F$4:$H$4,Assumptions!$F$5:$H$5)</f>
        <v>1200</v>
      </c>
      <c r="J1194" s="18">
        <f>_xlfn.XLOOKUP(Assumptions!$B$2,Assumptions!$F$4:$H$4,Assumptions!$F$6:$H$6)</f>
        <v>17</v>
      </c>
      <c r="K1194" s="12">
        <f>_xlfn.XLOOKUP(Assumptions!$B$2,Assumptions!$F$4:$H$4,Assumptions!$F$8:$H$8)</f>
        <v>0.1</v>
      </c>
      <c r="L1194" s="12">
        <f>_xlfn.XLOOKUP(Assumptions!$B$2,Assumptions!$F$4:$H$4,Assumptions!$F$9:$H$9)</f>
        <v>0.18</v>
      </c>
      <c r="M1194" s="18">
        <f>_xlfn.XLOOKUP(Assumptions!$B$2,Assumptions!$F$4:$H$4,Assumptions!$F$10:$H$10)</f>
        <v>18000</v>
      </c>
      <c r="N1194" s="12">
        <f>_xlfn.XLOOKUP(Assumptions!$B$2,Assumptions!$F$4:$H$4,Assumptions!$F$11:$H$11)</f>
        <v>0.3</v>
      </c>
      <c r="O1194" s="14">
        <f>Final_Table[[#This Row],[Units Sold]]*Final_Table[[#This Row],[Sale Price]]</f>
        <v>20400</v>
      </c>
      <c r="P1194" s="14">
        <f>Final_Table[[#This Row],[Gross Revenue]]*(1-Final_Table[[#This Row],[Discount %]])</f>
        <v>18360</v>
      </c>
      <c r="Q1194">
        <f>Final_Table[[#This Row],[Net Revenue]]*Final_Table[[#This Row],[Variable Cost %]]</f>
        <v>3304.7999999999997</v>
      </c>
      <c r="R1194">
        <f>Final_Table[[#This Row],[Variable Cost]]+Final_Table[[#This Row],[Fixed Monthly Cost]]</f>
        <v>21304.799999999999</v>
      </c>
      <c r="S1194" s="5">
        <f>Final_Table[[#This Row],[Net Revenue]]-Final_Table[[#This Row],[Total Cost (COGS)]]</f>
        <v>-2944.7999999999993</v>
      </c>
      <c r="T1194">
        <f>Final_Table[[#This Row],[Gross Profit]]*Final_Table[[#This Row],[Tax Rate]]</f>
        <v>-883.43999999999971</v>
      </c>
      <c r="U1194" s="5">
        <f>Final_Table[[#This Row],[Gross Profit]]-Final_Table[[#This Row],[Tax]]</f>
        <v>-2061.3599999999997</v>
      </c>
      <c r="V1194" s="12">
        <f>Final_Table[[#This Row],[Net Profit]]/Final_Table[[#This Row],[Gross Revenue]]</f>
        <v>-0.10104705882352939</v>
      </c>
    </row>
    <row r="1195" spans="1:22">
      <c r="A1195" s="18" t="s">
        <v>76</v>
      </c>
      <c r="B1195">
        <v>2014</v>
      </c>
      <c r="C1195" t="s">
        <v>127</v>
      </c>
      <c r="D1195">
        <v>1</v>
      </c>
      <c r="E1195" s="18" t="s">
        <v>22</v>
      </c>
      <c r="F1195" s="18" t="s">
        <v>113</v>
      </c>
      <c r="G1195" s="18" t="s">
        <v>25</v>
      </c>
      <c r="H1195" s="18" t="str">
        <f>Assumptions!$B$2</f>
        <v>Worst</v>
      </c>
      <c r="I1195" s="18">
        <f>_xlfn.XLOOKUP(Assumptions!$B$2,Assumptions!$F$4:$H$4,Assumptions!$F$5:$H$5)</f>
        <v>1200</v>
      </c>
      <c r="J1195" s="18">
        <f>_xlfn.XLOOKUP(Assumptions!$B$2,Assumptions!$F$4:$H$4,Assumptions!$F$6:$H$6)</f>
        <v>17</v>
      </c>
      <c r="K1195" s="12">
        <f>_xlfn.XLOOKUP(Assumptions!$B$2,Assumptions!$F$4:$H$4,Assumptions!$F$8:$H$8)</f>
        <v>0.1</v>
      </c>
      <c r="L1195" s="12">
        <f>_xlfn.XLOOKUP(Assumptions!$B$2,Assumptions!$F$4:$H$4,Assumptions!$F$9:$H$9)</f>
        <v>0.18</v>
      </c>
      <c r="M1195" s="18">
        <f>_xlfn.XLOOKUP(Assumptions!$B$2,Assumptions!$F$4:$H$4,Assumptions!$F$10:$H$10)</f>
        <v>18000</v>
      </c>
      <c r="N1195" s="12">
        <f>_xlfn.XLOOKUP(Assumptions!$B$2,Assumptions!$F$4:$H$4,Assumptions!$F$11:$H$11)</f>
        <v>0.3</v>
      </c>
      <c r="O1195" s="14">
        <f>Final_Table[[#This Row],[Units Sold]]*Final_Table[[#This Row],[Sale Price]]</f>
        <v>20400</v>
      </c>
      <c r="P1195" s="14">
        <f>Final_Table[[#This Row],[Gross Revenue]]*(1-Final_Table[[#This Row],[Discount %]])</f>
        <v>18360</v>
      </c>
      <c r="Q1195">
        <f>Final_Table[[#This Row],[Net Revenue]]*Final_Table[[#This Row],[Variable Cost %]]</f>
        <v>3304.7999999999997</v>
      </c>
      <c r="R1195">
        <f>Final_Table[[#This Row],[Variable Cost]]+Final_Table[[#This Row],[Fixed Monthly Cost]]</f>
        <v>21304.799999999999</v>
      </c>
      <c r="S1195" s="5">
        <f>Final_Table[[#This Row],[Net Revenue]]-Final_Table[[#This Row],[Total Cost (COGS)]]</f>
        <v>-2944.7999999999993</v>
      </c>
      <c r="T1195">
        <f>Final_Table[[#This Row],[Gross Profit]]*Final_Table[[#This Row],[Tax Rate]]</f>
        <v>-883.43999999999971</v>
      </c>
      <c r="U1195" s="5">
        <f>Final_Table[[#This Row],[Gross Profit]]-Final_Table[[#This Row],[Tax]]</f>
        <v>-2061.3599999999997</v>
      </c>
      <c r="V1195" s="12">
        <f>Final_Table[[#This Row],[Net Profit]]/Final_Table[[#This Row],[Gross Revenue]]</f>
        <v>-0.10104705882352939</v>
      </c>
    </row>
    <row r="1196" spans="1:22">
      <c r="A1196" s="18" t="s">
        <v>76</v>
      </c>
      <c r="B1196">
        <v>2014</v>
      </c>
      <c r="C1196" t="s">
        <v>127</v>
      </c>
      <c r="D1196">
        <v>1</v>
      </c>
      <c r="E1196" s="18" t="s">
        <v>22</v>
      </c>
      <c r="F1196" s="18" t="s">
        <v>113</v>
      </c>
      <c r="G1196" s="18" t="s">
        <v>17</v>
      </c>
      <c r="H1196" s="18" t="str">
        <f>Assumptions!$B$2</f>
        <v>Worst</v>
      </c>
      <c r="I1196" s="18">
        <f>_xlfn.XLOOKUP(Assumptions!$B$2,Assumptions!$F$4:$H$4,Assumptions!$F$5:$H$5)</f>
        <v>1200</v>
      </c>
      <c r="J1196" s="18">
        <f>_xlfn.XLOOKUP(Assumptions!$B$2,Assumptions!$F$4:$H$4,Assumptions!$F$6:$H$6)</f>
        <v>17</v>
      </c>
      <c r="K1196" s="12">
        <f>_xlfn.XLOOKUP(Assumptions!$B$2,Assumptions!$F$4:$H$4,Assumptions!$F$8:$H$8)</f>
        <v>0.1</v>
      </c>
      <c r="L1196" s="12">
        <f>_xlfn.XLOOKUP(Assumptions!$B$2,Assumptions!$F$4:$H$4,Assumptions!$F$9:$H$9)</f>
        <v>0.18</v>
      </c>
      <c r="M1196" s="18">
        <f>_xlfn.XLOOKUP(Assumptions!$B$2,Assumptions!$F$4:$H$4,Assumptions!$F$10:$H$10)</f>
        <v>18000</v>
      </c>
      <c r="N1196" s="12">
        <f>_xlfn.XLOOKUP(Assumptions!$B$2,Assumptions!$F$4:$H$4,Assumptions!$F$11:$H$11)</f>
        <v>0.3</v>
      </c>
      <c r="O1196" s="14">
        <f>Final_Table[[#This Row],[Units Sold]]*Final_Table[[#This Row],[Sale Price]]</f>
        <v>20400</v>
      </c>
      <c r="P1196" s="14">
        <f>Final_Table[[#This Row],[Gross Revenue]]*(1-Final_Table[[#This Row],[Discount %]])</f>
        <v>18360</v>
      </c>
      <c r="Q1196">
        <f>Final_Table[[#This Row],[Net Revenue]]*Final_Table[[#This Row],[Variable Cost %]]</f>
        <v>3304.7999999999997</v>
      </c>
      <c r="R1196">
        <f>Final_Table[[#This Row],[Variable Cost]]+Final_Table[[#This Row],[Fixed Monthly Cost]]</f>
        <v>21304.799999999999</v>
      </c>
      <c r="S1196" s="5">
        <f>Final_Table[[#This Row],[Net Revenue]]-Final_Table[[#This Row],[Total Cost (COGS)]]</f>
        <v>-2944.7999999999993</v>
      </c>
      <c r="T1196">
        <f>Final_Table[[#This Row],[Gross Profit]]*Final_Table[[#This Row],[Tax Rate]]</f>
        <v>-883.43999999999971</v>
      </c>
      <c r="U1196" s="5">
        <f>Final_Table[[#This Row],[Gross Profit]]-Final_Table[[#This Row],[Tax]]</f>
        <v>-2061.3599999999997</v>
      </c>
      <c r="V1196" s="12">
        <f>Final_Table[[#This Row],[Net Profit]]/Final_Table[[#This Row],[Gross Revenue]]</f>
        <v>-0.10104705882352939</v>
      </c>
    </row>
    <row r="1197" spans="1:22">
      <c r="A1197" s="18" t="s">
        <v>76</v>
      </c>
      <c r="B1197">
        <v>2014</v>
      </c>
      <c r="C1197" t="s">
        <v>127</v>
      </c>
      <c r="D1197">
        <v>1</v>
      </c>
      <c r="E1197" s="18" t="s">
        <v>22</v>
      </c>
      <c r="F1197" s="18" t="s">
        <v>114</v>
      </c>
      <c r="G1197" s="18" t="s">
        <v>36</v>
      </c>
      <c r="H1197" s="18" t="str">
        <f>Assumptions!$B$2</f>
        <v>Worst</v>
      </c>
      <c r="I1197" s="18">
        <f>_xlfn.XLOOKUP(Assumptions!$B$2,Assumptions!$F$4:$H$4,Assumptions!$F$5:$H$5)</f>
        <v>1200</v>
      </c>
      <c r="J1197" s="18">
        <f>_xlfn.XLOOKUP(Assumptions!$B$2,Assumptions!$F$4:$H$4,Assumptions!$F$6:$H$6)</f>
        <v>17</v>
      </c>
      <c r="K1197" s="12">
        <f>_xlfn.XLOOKUP(Assumptions!$B$2,Assumptions!$F$4:$H$4,Assumptions!$F$8:$H$8)</f>
        <v>0.1</v>
      </c>
      <c r="L1197" s="12">
        <f>_xlfn.XLOOKUP(Assumptions!$B$2,Assumptions!$F$4:$H$4,Assumptions!$F$9:$H$9)</f>
        <v>0.18</v>
      </c>
      <c r="M1197" s="18">
        <f>_xlfn.XLOOKUP(Assumptions!$B$2,Assumptions!$F$4:$H$4,Assumptions!$F$10:$H$10)</f>
        <v>18000</v>
      </c>
      <c r="N1197" s="12">
        <f>_xlfn.XLOOKUP(Assumptions!$B$2,Assumptions!$F$4:$H$4,Assumptions!$F$11:$H$11)</f>
        <v>0.3</v>
      </c>
      <c r="O1197" s="14">
        <f>Final_Table[[#This Row],[Units Sold]]*Final_Table[[#This Row],[Sale Price]]</f>
        <v>20400</v>
      </c>
      <c r="P1197" s="14">
        <f>Final_Table[[#This Row],[Gross Revenue]]*(1-Final_Table[[#This Row],[Discount %]])</f>
        <v>18360</v>
      </c>
      <c r="Q1197">
        <f>Final_Table[[#This Row],[Net Revenue]]*Final_Table[[#This Row],[Variable Cost %]]</f>
        <v>3304.7999999999997</v>
      </c>
      <c r="R1197">
        <f>Final_Table[[#This Row],[Variable Cost]]+Final_Table[[#This Row],[Fixed Monthly Cost]]</f>
        <v>21304.799999999999</v>
      </c>
      <c r="S1197" s="5">
        <f>Final_Table[[#This Row],[Net Revenue]]-Final_Table[[#This Row],[Total Cost (COGS)]]</f>
        <v>-2944.7999999999993</v>
      </c>
      <c r="T1197">
        <f>Final_Table[[#This Row],[Gross Profit]]*Final_Table[[#This Row],[Tax Rate]]</f>
        <v>-883.43999999999971</v>
      </c>
      <c r="U1197" s="5">
        <f>Final_Table[[#This Row],[Gross Profit]]-Final_Table[[#This Row],[Tax]]</f>
        <v>-2061.3599999999997</v>
      </c>
      <c r="V1197" s="12">
        <f>Final_Table[[#This Row],[Net Profit]]/Final_Table[[#This Row],[Gross Revenue]]</f>
        <v>-0.10104705882352939</v>
      </c>
    </row>
    <row r="1198" spans="1:22">
      <c r="A1198" s="18" t="s">
        <v>76</v>
      </c>
      <c r="B1198">
        <v>2014</v>
      </c>
      <c r="C1198" t="s">
        <v>127</v>
      </c>
      <c r="D1198">
        <v>1</v>
      </c>
      <c r="E1198" s="18" t="s">
        <v>22</v>
      </c>
      <c r="F1198" s="18" t="s">
        <v>114</v>
      </c>
      <c r="G1198" s="18" t="s">
        <v>23</v>
      </c>
      <c r="H1198" s="18" t="str">
        <f>Assumptions!$B$2</f>
        <v>Worst</v>
      </c>
      <c r="I1198" s="18">
        <f>_xlfn.XLOOKUP(Assumptions!$B$2,Assumptions!$F$4:$H$4,Assumptions!$F$5:$H$5)</f>
        <v>1200</v>
      </c>
      <c r="J1198" s="18">
        <f>_xlfn.XLOOKUP(Assumptions!$B$2,Assumptions!$F$4:$H$4,Assumptions!$F$6:$H$6)</f>
        <v>17</v>
      </c>
      <c r="K1198" s="12">
        <f>_xlfn.XLOOKUP(Assumptions!$B$2,Assumptions!$F$4:$H$4,Assumptions!$F$8:$H$8)</f>
        <v>0.1</v>
      </c>
      <c r="L1198" s="12">
        <f>_xlfn.XLOOKUP(Assumptions!$B$2,Assumptions!$F$4:$H$4,Assumptions!$F$9:$H$9)</f>
        <v>0.18</v>
      </c>
      <c r="M1198" s="18">
        <f>_xlfn.XLOOKUP(Assumptions!$B$2,Assumptions!$F$4:$H$4,Assumptions!$F$10:$H$10)</f>
        <v>18000</v>
      </c>
      <c r="N1198" s="12">
        <f>_xlfn.XLOOKUP(Assumptions!$B$2,Assumptions!$F$4:$H$4,Assumptions!$F$11:$H$11)</f>
        <v>0.3</v>
      </c>
      <c r="O1198" s="14">
        <f>Final_Table[[#This Row],[Units Sold]]*Final_Table[[#This Row],[Sale Price]]</f>
        <v>20400</v>
      </c>
      <c r="P1198" s="14">
        <f>Final_Table[[#This Row],[Gross Revenue]]*(1-Final_Table[[#This Row],[Discount %]])</f>
        <v>18360</v>
      </c>
      <c r="Q1198">
        <f>Final_Table[[#This Row],[Net Revenue]]*Final_Table[[#This Row],[Variable Cost %]]</f>
        <v>3304.7999999999997</v>
      </c>
      <c r="R1198">
        <f>Final_Table[[#This Row],[Variable Cost]]+Final_Table[[#This Row],[Fixed Monthly Cost]]</f>
        <v>21304.799999999999</v>
      </c>
      <c r="S1198" s="5">
        <f>Final_Table[[#This Row],[Net Revenue]]-Final_Table[[#This Row],[Total Cost (COGS)]]</f>
        <v>-2944.7999999999993</v>
      </c>
      <c r="T1198">
        <f>Final_Table[[#This Row],[Gross Profit]]*Final_Table[[#This Row],[Tax Rate]]</f>
        <v>-883.43999999999971</v>
      </c>
      <c r="U1198" s="5">
        <f>Final_Table[[#This Row],[Gross Profit]]-Final_Table[[#This Row],[Tax]]</f>
        <v>-2061.3599999999997</v>
      </c>
      <c r="V1198" s="12">
        <f>Final_Table[[#This Row],[Net Profit]]/Final_Table[[#This Row],[Gross Revenue]]</f>
        <v>-0.10104705882352939</v>
      </c>
    </row>
    <row r="1199" spans="1:22">
      <c r="A1199" s="18" t="s">
        <v>76</v>
      </c>
      <c r="B1199">
        <v>2014</v>
      </c>
      <c r="C1199" t="s">
        <v>127</v>
      </c>
      <c r="D1199">
        <v>1</v>
      </c>
      <c r="E1199" s="18" t="s">
        <v>22</v>
      </c>
      <c r="F1199" s="18" t="s">
        <v>114</v>
      </c>
      <c r="G1199" s="18" t="s">
        <v>21</v>
      </c>
      <c r="H1199" s="18" t="str">
        <f>Assumptions!$B$2</f>
        <v>Worst</v>
      </c>
      <c r="I1199" s="18">
        <f>_xlfn.XLOOKUP(Assumptions!$B$2,Assumptions!$F$4:$H$4,Assumptions!$F$5:$H$5)</f>
        <v>1200</v>
      </c>
      <c r="J1199" s="18">
        <f>_xlfn.XLOOKUP(Assumptions!$B$2,Assumptions!$F$4:$H$4,Assumptions!$F$6:$H$6)</f>
        <v>17</v>
      </c>
      <c r="K1199" s="12">
        <f>_xlfn.XLOOKUP(Assumptions!$B$2,Assumptions!$F$4:$H$4,Assumptions!$F$8:$H$8)</f>
        <v>0.1</v>
      </c>
      <c r="L1199" s="12">
        <f>_xlfn.XLOOKUP(Assumptions!$B$2,Assumptions!$F$4:$H$4,Assumptions!$F$9:$H$9)</f>
        <v>0.18</v>
      </c>
      <c r="M1199" s="18">
        <f>_xlfn.XLOOKUP(Assumptions!$B$2,Assumptions!$F$4:$H$4,Assumptions!$F$10:$H$10)</f>
        <v>18000</v>
      </c>
      <c r="N1199" s="12">
        <f>_xlfn.XLOOKUP(Assumptions!$B$2,Assumptions!$F$4:$H$4,Assumptions!$F$11:$H$11)</f>
        <v>0.3</v>
      </c>
      <c r="O1199" s="14">
        <f>Final_Table[[#This Row],[Units Sold]]*Final_Table[[#This Row],[Sale Price]]</f>
        <v>20400</v>
      </c>
      <c r="P1199" s="14">
        <f>Final_Table[[#This Row],[Gross Revenue]]*(1-Final_Table[[#This Row],[Discount %]])</f>
        <v>18360</v>
      </c>
      <c r="Q1199">
        <f>Final_Table[[#This Row],[Net Revenue]]*Final_Table[[#This Row],[Variable Cost %]]</f>
        <v>3304.7999999999997</v>
      </c>
      <c r="R1199">
        <f>Final_Table[[#This Row],[Variable Cost]]+Final_Table[[#This Row],[Fixed Monthly Cost]]</f>
        <v>21304.799999999999</v>
      </c>
      <c r="S1199" s="5">
        <f>Final_Table[[#This Row],[Net Revenue]]-Final_Table[[#This Row],[Total Cost (COGS)]]</f>
        <v>-2944.7999999999993</v>
      </c>
      <c r="T1199">
        <f>Final_Table[[#This Row],[Gross Profit]]*Final_Table[[#This Row],[Tax Rate]]</f>
        <v>-883.43999999999971</v>
      </c>
      <c r="U1199" s="5">
        <f>Final_Table[[#This Row],[Gross Profit]]-Final_Table[[#This Row],[Tax]]</f>
        <v>-2061.3599999999997</v>
      </c>
      <c r="V1199" s="12">
        <f>Final_Table[[#This Row],[Net Profit]]/Final_Table[[#This Row],[Gross Revenue]]</f>
        <v>-0.10104705882352939</v>
      </c>
    </row>
    <row r="1200" spans="1:22">
      <c r="A1200" s="18" t="s">
        <v>76</v>
      </c>
      <c r="B1200">
        <v>2014</v>
      </c>
      <c r="C1200" t="s">
        <v>127</v>
      </c>
      <c r="D1200">
        <v>1</v>
      </c>
      <c r="E1200" s="18" t="s">
        <v>22</v>
      </c>
      <c r="F1200" s="18" t="s">
        <v>114</v>
      </c>
      <c r="G1200" s="18" t="s">
        <v>25</v>
      </c>
      <c r="H1200" s="18" t="str">
        <f>Assumptions!$B$2</f>
        <v>Worst</v>
      </c>
      <c r="I1200" s="18">
        <f>_xlfn.XLOOKUP(Assumptions!$B$2,Assumptions!$F$4:$H$4,Assumptions!$F$5:$H$5)</f>
        <v>1200</v>
      </c>
      <c r="J1200" s="18">
        <f>_xlfn.XLOOKUP(Assumptions!$B$2,Assumptions!$F$4:$H$4,Assumptions!$F$6:$H$6)</f>
        <v>17</v>
      </c>
      <c r="K1200" s="12">
        <f>_xlfn.XLOOKUP(Assumptions!$B$2,Assumptions!$F$4:$H$4,Assumptions!$F$8:$H$8)</f>
        <v>0.1</v>
      </c>
      <c r="L1200" s="12">
        <f>_xlfn.XLOOKUP(Assumptions!$B$2,Assumptions!$F$4:$H$4,Assumptions!$F$9:$H$9)</f>
        <v>0.18</v>
      </c>
      <c r="M1200" s="18">
        <f>_xlfn.XLOOKUP(Assumptions!$B$2,Assumptions!$F$4:$H$4,Assumptions!$F$10:$H$10)</f>
        <v>18000</v>
      </c>
      <c r="N1200" s="12">
        <f>_xlfn.XLOOKUP(Assumptions!$B$2,Assumptions!$F$4:$H$4,Assumptions!$F$11:$H$11)</f>
        <v>0.3</v>
      </c>
      <c r="O1200" s="14">
        <f>Final_Table[[#This Row],[Units Sold]]*Final_Table[[#This Row],[Sale Price]]</f>
        <v>20400</v>
      </c>
      <c r="P1200" s="14">
        <f>Final_Table[[#This Row],[Gross Revenue]]*(1-Final_Table[[#This Row],[Discount %]])</f>
        <v>18360</v>
      </c>
      <c r="Q1200">
        <f>Final_Table[[#This Row],[Net Revenue]]*Final_Table[[#This Row],[Variable Cost %]]</f>
        <v>3304.7999999999997</v>
      </c>
      <c r="R1200">
        <f>Final_Table[[#This Row],[Variable Cost]]+Final_Table[[#This Row],[Fixed Monthly Cost]]</f>
        <v>21304.799999999999</v>
      </c>
      <c r="S1200" s="5">
        <f>Final_Table[[#This Row],[Net Revenue]]-Final_Table[[#This Row],[Total Cost (COGS)]]</f>
        <v>-2944.7999999999993</v>
      </c>
      <c r="T1200">
        <f>Final_Table[[#This Row],[Gross Profit]]*Final_Table[[#This Row],[Tax Rate]]</f>
        <v>-883.43999999999971</v>
      </c>
      <c r="U1200" s="5">
        <f>Final_Table[[#This Row],[Gross Profit]]-Final_Table[[#This Row],[Tax]]</f>
        <v>-2061.3599999999997</v>
      </c>
      <c r="V1200" s="12">
        <f>Final_Table[[#This Row],[Net Profit]]/Final_Table[[#This Row],[Gross Revenue]]</f>
        <v>-0.10104705882352939</v>
      </c>
    </row>
    <row r="1201" spans="1:22">
      <c r="A1201" s="18" t="s">
        <v>76</v>
      </c>
      <c r="B1201">
        <v>2014</v>
      </c>
      <c r="C1201" t="s">
        <v>127</v>
      </c>
      <c r="D1201">
        <v>1</v>
      </c>
      <c r="E1201" s="18" t="s">
        <v>22</v>
      </c>
      <c r="F1201" s="18" t="s">
        <v>114</v>
      </c>
      <c r="G1201" s="18" t="s">
        <v>17</v>
      </c>
      <c r="H1201" s="18" t="str">
        <f>Assumptions!$B$2</f>
        <v>Worst</v>
      </c>
      <c r="I1201" s="18">
        <f>_xlfn.XLOOKUP(Assumptions!$B$2,Assumptions!$F$4:$H$4,Assumptions!$F$5:$H$5)</f>
        <v>1200</v>
      </c>
      <c r="J1201" s="18">
        <f>_xlfn.XLOOKUP(Assumptions!$B$2,Assumptions!$F$4:$H$4,Assumptions!$F$6:$H$6)</f>
        <v>17</v>
      </c>
      <c r="K1201" s="12">
        <f>_xlfn.XLOOKUP(Assumptions!$B$2,Assumptions!$F$4:$H$4,Assumptions!$F$8:$H$8)</f>
        <v>0.1</v>
      </c>
      <c r="L1201" s="12">
        <f>_xlfn.XLOOKUP(Assumptions!$B$2,Assumptions!$F$4:$H$4,Assumptions!$F$9:$H$9)</f>
        <v>0.18</v>
      </c>
      <c r="M1201" s="18">
        <f>_xlfn.XLOOKUP(Assumptions!$B$2,Assumptions!$F$4:$H$4,Assumptions!$F$10:$H$10)</f>
        <v>18000</v>
      </c>
      <c r="N1201" s="12">
        <f>_xlfn.XLOOKUP(Assumptions!$B$2,Assumptions!$F$4:$H$4,Assumptions!$F$11:$H$11)</f>
        <v>0.3</v>
      </c>
      <c r="O1201" s="14">
        <f>Final_Table[[#This Row],[Units Sold]]*Final_Table[[#This Row],[Sale Price]]</f>
        <v>20400</v>
      </c>
      <c r="P1201" s="14">
        <f>Final_Table[[#This Row],[Gross Revenue]]*(1-Final_Table[[#This Row],[Discount %]])</f>
        <v>18360</v>
      </c>
      <c r="Q1201">
        <f>Final_Table[[#This Row],[Net Revenue]]*Final_Table[[#This Row],[Variable Cost %]]</f>
        <v>3304.7999999999997</v>
      </c>
      <c r="R1201">
        <f>Final_Table[[#This Row],[Variable Cost]]+Final_Table[[#This Row],[Fixed Monthly Cost]]</f>
        <v>21304.799999999999</v>
      </c>
      <c r="S1201" s="5">
        <f>Final_Table[[#This Row],[Net Revenue]]-Final_Table[[#This Row],[Total Cost (COGS)]]</f>
        <v>-2944.7999999999993</v>
      </c>
      <c r="T1201">
        <f>Final_Table[[#This Row],[Gross Profit]]*Final_Table[[#This Row],[Tax Rate]]</f>
        <v>-883.43999999999971</v>
      </c>
      <c r="U1201" s="5">
        <f>Final_Table[[#This Row],[Gross Profit]]-Final_Table[[#This Row],[Tax]]</f>
        <v>-2061.3599999999997</v>
      </c>
      <c r="V1201" s="12">
        <f>Final_Table[[#This Row],[Net Profit]]/Final_Table[[#This Row],[Gross Revenue]]</f>
        <v>-0.10104705882352939</v>
      </c>
    </row>
    <row r="1202" spans="1:22">
      <c r="A1202" s="18" t="s">
        <v>76</v>
      </c>
      <c r="B1202">
        <v>2014</v>
      </c>
      <c r="C1202" t="s">
        <v>127</v>
      </c>
      <c r="D1202">
        <v>1</v>
      </c>
      <c r="E1202" s="18" t="s">
        <v>16</v>
      </c>
      <c r="F1202" s="18" t="s">
        <v>80</v>
      </c>
      <c r="G1202" s="18" t="s">
        <v>36</v>
      </c>
      <c r="H1202" s="18" t="str">
        <f>Assumptions!$B$2</f>
        <v>Worst</v>
      </c>
      <c r="I1202" s="18">
        <f>_xlfn.XLOOKUP(Assumptions!$B$2,Assumptions!$F$4:$H$4,Assumptions!$F$5:$H$5)</f>
        <v>1200</v>
      </c>
      <c r="J1202" s="18">
        <f>_xlfn.XLOOKUP(Assumptions!$B$2,Assumptions!$F$4:$H$4,Assumptions!$F$6:$H$6)</f>
        <v>17</v>
      </c>
      <c r="K1202" s="12">
        <f>_xlfn.XLOOKUP(Assumptions!$B$2,Assumptions!$F$4:$H$4,Assumptions!$F$8:$H$8)</f>
        <v>0.1</v>
      </c>
      <c r="L1202" s="12">
        <f>_xlfn.XLOOKUP(Assumptions!$B$2,Assumptions!$F$4:$H$4,Assumptions!$F$9:$H$9)</f>
        <v>0.18</v>
      </c>
      <c r="M1202" s="18">
        <f>_xlfn.XLOOKUP(Assumptions!$B$2,Assumptions!$F$4:$H$4,Assumptions!$F$10:$H$10)</f>
        <v>18000</v>
      </c>
      <c r="N1202" s="12">
        <f>_xlfn.XLOOKUP(Assumptions!$B$2,Assumptions!$F$4:$H$4,Assumptions!$F$11:$H$11)</f>
        <v>0.3</v>
      </c>
      <c r="O1202" s="14">
        <f>Final_Table[[#This Row],[Units Sold]]*Final_Table[[#This Row],[Sale Price]]</f>
        <v>20400</v>
      </c>
      <c r="P1202" s="14">
        <f>Final_Table[[#This Row],[Gross Revenue]]*(1-Final_Table[[#This Row],[Discount %]])</f>
        <v>18360</v>
      </c>
      <c r="Q1202">
        <f>Final_Table[[#This Row],[Net Revenue]]*Final_Table[[#This Row],[Variable Cost %]]</f>
        <v>3304.7999999999997</v>
      </c>
      <c r="R1202">
        <f>Final_Table[[#This Row],[Variable Cost]]+Final_Table[[#This Row],[Fixed Monthly Cost]]</f>
        <v>21304.799999999999</v>
      </c>
      <c r="S1202" s="5">
        <f>Final_Table[[#This Row],[Net Revenue]]-Final_Table[[#This Row],[Total Cost (COGS)]]</f>
        <v>-2944.7999999999993</v>
      </c>
      <c r="T1202">
        <f>Final_Table[[#This Row],[Gross Profit]]*Final_Table[[#This Row],[Tax Rate]]</f>
        <v>-883.43999999999971</v>
      </c>
      <c r="U1202" s="5">
        <f>Final_Table[[#This Row],[Gross Profit]]-Final_Table[[#This Row],[Tax]]</f>
        <v>-2061.3599999999997</v>
      </c>
      <c r="V1202" s="12">
        <f>Final_Table[[#This Row],[Net Profit]]/Final_Table[[#This Row],[Gross Revenue]]</f>
        <v>-0.10104705882352939</v>
      </c>
    </row>
    <row r="1203" spans="1:22">
      <c r="A1203" s="18" t="s">
        <v>76</v>
      </c>
      <c r="B1203">
        <v>2014</v>
      </c>
      <c r="C1203" t="s">
        <v>127</v>
      </c>
      <c r="D1203">
        <v>1</v>
      </c>
      <c r="E1203" s="18" t="s">
        <v>16</v>
      </c>
      <c r="F1203" s="18" t="s">
        <v>80</v>
      </c>
      <c r="G1203" s="18" t="s">
        <v>23</v>
      </c>
      <c r="H1203" s="18" t="str">
        <f>Assumptions!$B$2</f>
        <v>Worst</v>
      </c>
      <c r="I1203" s="18">
        <f>_xlfn.XLOOKUP(Assumptions!$B$2,Assumptions!$F$4:$H$4,Assumptions!$F$5:$H$5)</f>
        <v>1200</v>
      </c>
      <c r="J1203" s="18">
        <f>_xlfn.XLOOKUP(Assumptions!$B$2,Assumptions!$F$4:$H$4,Assumptions!$F$6:$H$6)</f>
        <v>17</v>
      </c>
      <c r="K1203" s="12">
        <f>_xlfn.XLOOKUP(Assumptions!$B$2,Assumptions!$F$4:$H$4,Assumptions!$F$8:$H$8)</f>
        <v>0.1</v>
      </c>
      <c r="L1203" s="12">
        <f>_xlfn.XLOOKUP(Assumptions!$B$2,Assumptions!$F$4:$H$4,Assumptions!$F$9:$H$9)</f>
        <v>0.18</v>
      </c>
      <c r="M1203" s="18">
        <f>_xlfn.XLOOKUP(Assumptions!$B$2,Assumptions!$F$4:$H$4,Assumptions!$F$10:$H$10)</f>
        <v>18000</v>
      </c>
      <c r="N1203" s="12">
        <f>_xlfn.XLOOKUP(Assumptions!$B$2,Assumptions!$F$4:$H$4,Assumptions!$F$11:$H$11)</f>
        <v>0.3</v>
      </c>
      <c r="O1203" s="14">
        <f>Final_Table[[#This Row],[Units Sold]]*Final_Table[[#This Row],[Sale Price]]</f>
        <v>20400</v>
      </c>
      <c r="P1203" s="14">
        <f>Final_Table[[#This Row],[Gross Revenue]]*(1-Final_Table[[#This Row],[Discount %]])</f>
        <v>18360</v>
      </c>
      <c r="Q1203">
        <f>Final_Table[[#This Row],[Net Revenue]]*Final_Table[[#This Row],[Variable Cost %]]</f>
        <v>3304.7999999999997</v>
      </c>
      <c r="R1203">
        <f>Final_Table[[#This Row],[Variable Cost]]+Final_Table[[#This Row],[Fixed Monthly Cost]]</f>
        <v>21304.799999999999</v>
      </c>
      <c r="S1203" s="5">
        <f>Final_Table[[#This Row],[Net Revenue]]-Final_Table[[#This Row],[Total Cost (COGS)]]</f>
        <v>-2944.7999999999993</v>
      </c>
      <c r="T1203">
        <f>Final_Table[[#This Row],[Gross Profit]]*Final_Table[[#This Row],[Tax Rate]]</f>
        <v>-883.43999999999971</v>
      </c>
      <c r="U1203" s="5">
        <f>Final_Table[[#This Row],[Gross Profit]]-Final_Table[[#This Row],[Tax]]</f>
        <v>-2061.3599999999997</v>
      </c>
      <c r="V1203" s="12">
        <f>Final_Table[[#This Row],[Net Profit]]/Final_Table[[#This Row],[Gross Revenue]]</f>
        <v>-0.10104705882352939</v>
      </c>
    </row>
    <row r="1204" spans="1:22">
      <c r="A1204" s="18" t="s">
        <v>76</v>
      </c>
      <c r="B1204">
        <v>2014</v>
      </c>
      <c r="C1204" t="s">
        <v>127</v>
      </c>
      <c r="D1204">
        <v>1</v>
      </c>
      <c r="E1204" s="18" t="s">
        <v>16</v>
      </c>
      <c r="F1204" s="18" t="s">
        <v>80</v>
      </c>
      <c r="G1204" s="18" t="s">
        <v>21</v>
      </c>
      <c r="H1204" s="18" t="str">
        <f>Assumptions!$B$2</f>
        <v>Worst</v>
      </c>
      <c r="I1204" s="18">
        <f>_xlfn.XLOOKUP(Assumptions!$B$2,Assumptions!$F$4:$H$4,Assumptions!$F$5:$H$5)</f>
        <v>1200</v>
      </c>
      <c r="J1204" s="18">
        <f>_xlfn.XLOOKUP(Assumptions!$B$2,Assumptions!$F$4:$H$4,Assumptions!$F$6:$H$6)</f>
        <v>17</v>
      </c>
      <c r="K1204" s="12">
        <f>_xlfn.XLOOKUP(Assumptions!$B$2,Assumptions!$F$4:$H$4,Assumptions!$F$8:$H$8)</f>
        <v>0.1</v>
      </c>
      <c r="L1204" s="12">
        <f>_xlfn.XLOOKUP(Assumptions!$B$2,Assumptions!$F$4:$H$4,Assumptions!$F$9:$H$9)</f>
        <v>0.18</v>
      </c>
      <c r="M1204" s="18">
        <f>_xlfn.XLOOKUP(Assumptions!$B$2,Assumptions!$F$4:$H$4,Assumptions!$F$10:$H$10)</f>
        <v>18000</v>
      </c>
      <c r="N1204" s="12">
        <f>_xlfn.XLOOKUP(Assumptions!$B$2,Assumptions!$F$4:$H$4,Assumptions!$F$11:$H$11)</f>
        <v>0.3</v>
      </c>
      <c r="O1204" s="14">
        <f>Final_Table[[#This Row],[Units Sold]]*Final_Table[[#This Row],[Sale Price]]</f>
        <v>20400</v>
      </c>
      <c r="P1204" s="14">
        <f>Final_Table[[#This Row],[Gross Revenue]]*(1-Final_Table[[#This Row],[Discount %]])</f>
        <v>18360</v>
      </c>
      <c r="Q1204">
        <f>Final_Table[[#This Row],[Net Revenue]]*Final_Table[[#This Row],[Variable Cost %]]</f>
        <v>3304.7999999999997</v>
      </c>
      <c r="R1204">
        <f>Final_Table[[#This Row],[Variable Cost]]+Final_Table[[#This Row],[Fixed Monthly Cost]]</f>
        <v>21304.799999999999</v>
      </c>
      <c r="S1204" s="5">
        <f>Final_Table[[#This Row],[Net Revenue]]-Final_Table[[#This Row],[Total Cost (COGS)]]</f>
        <v>-2944.7999999999993</v>
      </c>
      <c r="T1204">
        <f>Final_Table[[#This Row],[Gross Profit]]*Final_Table[[#This Row],[Tax Rate]]</f>
        <v>-883.43999999999971</v>
      </c>
      <c r="U1204" s="5">
        <f>Final_Table[[#This Row],[Gross Profit]]-Final_Table[[#This Row],[Tax]]</f>
        <v>-2061.3599999999997</v>
      </c>
      <c r="V1204" s="12">
        <f>Final_Table[[#This Row],[Net Profit]]/Final_Table[[#This Row],[Gross Revenue]]</f>
        <v>-0.10104705882352939</v>
      </c>
    </row>
    <row r="1205" spans="1:22">
      <c r="A1205" s="18" t="s">
        <v>76</v>
      </c>
      <c r="B1205">
        <v>2014</v>
      </c>
      <c r="C1205" t="s">
        <v>127</v>
      </c>
      <c r="D1205">
        <v>1</v>
      </c>
      <c r="E1205" s="18" t="s">
        <v>16</v>
      </c>
      <c r="F1205" s="18" t="s">
        <v>80</v>
      </c>
      <c r="G1205" s="18" t="s">
        <v>25</v>
      </c>
      <c r="H1205" s="18" t="str">
        <f>Assumptions!$B$2</f>
        <v>Worst</v>
      </c>
      <c r="I1205" s="18">
        <f>_xlfn.XLOOKUP(Assumptions!$B$2,Assumptions!$F$4:$H$4,Assumptions!$F$5:$H$5)</f>
        <v>1200</v>
      </c>
      <c r="J1205" s="18">
        <f>_xlfn.XLOOKUP(Assumptions!$B$2,Assumptions!$F$4:$H$4,Assumptions!$F$6:$H$6)</f>
        <v>17</v>
      </c>
      <c r="K1205" s="12">
        <f>_xlfn.XLOOKUP(Assumptions!$B$2,Assumptions!$F$4:$H$4,Assumptions!$F$8:$H$8)</f>
        <v>0.1</v>
      </c>
      <c r="L1205" s="12">
        <f>_xlfn.XLOOKUP(Assumptions!$B$2,Assumptions!$F$4:$H$4,Assumptions!$F$9:$H$9)</f>
        <v>0.18</v>
      </c>
      <c r="M1205" s="18">
        <f>_xlfn.XLOOKUP(Assumptions!$B$2,Assumptions!$F$4:$H$4,Assumptions!$F$10:$H$10)</f>
        <v>18000</v>
      </c>
      <c r="N1205" s="12">
        <f>_xlfn.XLOOKUP(Assumptions!$B$2,Assumptions!$F$4:$H$4,Assumptions!$F$11:$H$11)</f>
        <v>0.3</v>
      </c>
      <c r="O1205" s="14">
        <f>Final_Table[[#This Row],[Units Sold]]*Final_Table[[#This Row],[Sale Price]]</f>
        <v>20400</v>
      </c>
      <c r="P1205" s="14">
        <f>Final_Table[[#This Row],[Gross Revenue]]*(1-Final_Table[[#This Row],[Discount %]])</f>
        <v>18360</v>
      </c>
      <c r="Q1205">
        <f>Final_Table[[#This Row],[Net Revenue]]*Final_Table[[#This Row],[Variable Cost %]]</f>
        <v>3304.7999999999997</v>
      </c>
      <c r="R1205">
        <f>Final_Table[[#This Row],[Variable Cost]]+Final_Table[[#This Row],[Fixed Monthly Cost]]</f>
        <v>21304.799999999999</v>
      </c>
      <c r="S1205" s="5">
        <f>Final_Table[[#This Row],[Net Revenue]]-Final_Table[[#This Row],[Total Cost (COGS)]]</f>
        <v>-2944.7999999999993</v>
      </c>
      <c r="T1205">
        <f>Final_Table[[#This Row],[Gross Profit]]*Final_Table[[#This Row],[Tax Rate]]</f>
        <v>-883.43999999999971</v>
      </c>
      <c r="U1205" s="5">
        <f>Final_Table[[#This Row],[Gross Profit]]-Final_Table[[#This Row],[Tax]]</f>
        <v>-2061.3599999999997</v>
      </c>
      <c r="V1205" s="12">
        <f>Final_Table[[#This Row],[Net Profit]]/Final_Table[[#This Row],[Gross Revenue]]</f>
        <v>-0.10104705882352939</v>
      </c>
    </row>
    <row r="1206" spans="1:22">
      <c r="A1206" s="18" t="s">
        <v>76</v>
      </c>
      <c r="B1206">
        <v>2014</v>
      </c>
      <c r="C1206" t="s">
        <v>127</v>
      </c>
      <c r="D1206">
        <v>1</v>
      </c>
      <c r="E1206" s="18" t="s">
        <v>16</v>
      </c>
      <c r="F1206" s="18" t="s">
        <v>80</v>
      </c>
      <c r="G1206" s="18" t="s">
        <v>17</v>
      </c>
      <c r="H1206" s="18" t="str">
        <f>Assumptions!$B$2</f>
        <v>Worst</v>
      </c>
      <c r="I1206" s="18">
        <f>_xlfn.XLOOKUP(Assumptions!$B$2,Assumptions!$F$4:$H$4,Assumptions!$F$5:$H$5)</f>
        <v>1200</v>
      </c>
      <c r="J1206" s="18">
        <f>_xlfn.XLOOKUP(Assumptions!$B$2,Assumptions!$F$4:$H$4,Assumptions!$F$6:$H$6)</f>
        <v>17</v>
      </c>
      <c r="K1206" s="12">
        <f>_xlfn.XLOOKUP(Assumptions!$B$2,Assumptions!$F$4:$H$4,Assumptions!$F$8:$H$8)</f>
        <v>0.1</v>
      </c>
      <c r="L1206" s="12">
        <f>_xlfn.XLOOKUP(Assumptions!$B$2,Assumptions!$F$4:$H$4,Assumptions!$F$9:$H$9)</f>
        <v>0.18</v>
      </c>
      <c r="M1206" s="18">
        <f>_xlfn.XLOOKUP(Assumptions!$B$2,Assumptions!$F$4:$H$4,Assumptions!$F$10:$H$10)</f>
        <v>18000</v>
      </c>
      <c r="N1206" s="12">
        <f>_xlfn.XLOOKUP(Assumptions!$B$2,Assumptions!$F$4:$H$4,Assumptions!$F$11:$H$11)</f>
        <v>0.3</v>
      </c>
      <c r="O1206" s="14">
        <f>Final_Table[[#This Row],[Units Sold]]*Final_Table[[#This Row],[Sale Price]]</f>
        <v>20400</v>
      </c>
      <c r="P1206" s="14">
        <f>Final_Table[[#This Row],[Gross Revenue]]*(1-Final_Table[[#This Row],[Discount %]])</f>
        <v>18360</v>
      </c>
      <c r="Q1206">
        <f>Final_Table[[#This Row],[Net Revenue]]*Final_Table[[#This Row],[Variable Cost %]]</f>
        <v>3304.7999999999997</v>
      </c>
      <c r="R1206">
        <f>Final_Table[[#This Row],[Variable Cost]]+Final_Table[[#This Row],[Fixed Monthly Cost]]</f>
        <v>21304.799999999999</v>
      </c>
      <c r="S1206" s="5">
        <f>Final_Table[[#This Row],[Net Revenue]]-Final_Table[[#This Row],[Total Cost (COGS)]]</f>
        <v>-2944.7999999999993</v>
      </c>
      <c r="T1206">
        <f>Final_Table[[#This Row],[Gross Profit]]*Final_Table[[#This Row],[Tax Rate]]</f>
        <v>-883.43999999999971</v>
      </c>
      <c r="U1206" s="5">
        <f>Final_Table[[#This Row],[Gross Profit]]-Final_Table[[#This Row],[Tax]]</f>
        <v>-2061.3599999999997</v>
      </c>
      <c r="V1206" s="12">
        <f>Final_Table[[#This Row],[Net Profit]]/Final_Table[[#This Row],[Gross Revenue]]</f>
        <v>-0.10104705882352939</v>
      </c>
    </row>
    <row r="1207" spans="1:22">
      <c r="A1207" s="18" t="s">
        <v>76</v>
      </c>
      <c r="B1207">
        <v>2014</v>
      </c>
      <c r="C1207" t="s">
        <v>127</v>
      </c>
      <c r="D1207">
        <v>1</v>
      </c>
      <c r="E1207" s="18" t="s">
        <v>16</v>
      </c>
      <c r="F1207" s="18" t="s">
        <v>108</v>
      </c>
      <c r="G1207" s="18" t="s">
        <v>36</v>
      </c>
      <c r="H1207" s="18" t="str">
        <f>Assumptions!$B$2</f>
        <v>Worst</v>
      </c>
      <c r="I1207" s="18">
        <f>_xlfn.XLOOKUP(Assumptions!$B$2,Assumptions!$F$4:$H$4,Assumptions!$F$5:$H$5)</f>
        <v>1200</v>
      </c>
      <c r="J1207" s="18">
        <f>_xlfn.XLOOKUP(Assumptions!$B$2,Assumptions!$F$4:$H$4,Assumptions!$F$6:$H$6)</f>
        <v>17</v>
      </c>
      <c r="K1207" s="12">
        <f>_xlfn.XLOOKUP(Assumptions!$B$2,Assumptions!$F$4:$H$4,Assumptions!$F$8:$H$8)</f>
        <v>0.1</v>
      </c>
      <c r="L1207" s="12">
        <f>_xlfn.XLOOKUP(Assumptions!$B$2,Assumptions!$F$4:$H$4,Assumptions!$F$9:$H$9)</f>
        <v>0.18</v>
      </c>
      <c r="M1207" s="18">
        <f>_xlfn.XLOOKUP(Assumptions!$B$2,Assumptions!$F$4:$H$4,Assumptions!$F$10:$H$10)</f>
        <v>18000</v>
      </c>
      <c r="N1207" s="12">
        <f>_xlfn.XLOOKUP(Assumptions!$B$2,Assumptions!$F$4:$H$4,Assumptions!$F$11:$H$11)</f>
        <v>0.3</v>
      </c>
      <c r="O1207" s="14">
        <f>Final_Table[[#This Row],[Units Sold]]*Final_Table[[#This Row],[Sale Price]]</f>
        <v>20400</v>
      </c>
      <c r="P1207" s="14">
        <f>Final_Table[[#This Row],[Gross Revenue]]*(1-Final_Table[[#This Row],[Discount %]])</f>
        <v>18360</v>
      </c>
      <c r="Q1207">
        <f>Final_Table[[#This Row],[Net Revenue]]*Final_Table[[#This Row],[Variable Cost %]]</f>
        <v>3304.7999999999997</v>
      </c>
      <c r="R1207">
        <f>Final_Table[[#This Row],[Variable Cost]]+Final_Table[[#This Row],[Fixed Monthly Cost]]</f>
        <v>21304.799999999999</v>
      </c>
      <c r="S1207" s="5">
        <f>Final_Table[[#This Row],[Net Revenue]]-Final_Table[[#This Row],[Total Cost (COGS)]]</f>
        <v>-2944.7999999999993</v>
      </c>
      <c r="T1207">
        <f>Final_Table[[#This Row],[Gross Profit]]*Final_Table[[#This Row],[Tax Rate]]</f>
        <v>-883.43999999999971</v>
      </c>
      <c r="U1207" s="5">
        <f>Final_Table[[#This Row],[Gross Profit]]-Final_Table[[#This Row],[Tax]]</f>
        <v>-2061.3599999999997</v>
      </c>
      <c r="V1207" s="12">
        <f>Final_Table[[#This Row],[Net Profit]]/Final_Table[[#This Row],[Gross Revenue]]</f>
        <v>-0.10104705882352939</v>
      </c>
    </row>
    <row r="1208" spans="1:22">
      <c r="A1208" s="18" t="s">
        <v>76</v>
      </c>
      <c r="B1208">
        <v>2014</v>
      </c>
      <c r="C1208" t="s">
        <v>127</v>
      </c>
      <c r="D1208">
        <v>1</v>
      </c>
      <c r="E1208" s="18" t="s">
        <v>16</v>
      </c>
      <c r="F1208" s="18" t="s">
        <v>108</v>
      </c>
      <c r="G1208" s="18" t="s">
        <v>23</v>
      </c>
      <c r="H1208" s="18" t="str">
        <f>Assumptions!$B$2</f>
        <v>Worst</v>
      </c>
      <c r="I1208" s="18">
        <f>_xlfn.XLOOKUP(Assumptions!$B$2,Assumptions!$F$4:$H$4,Assumptions!$F$5:$H$5)</f>
        <v>1200</v>
      </c>
      <c r="J1208" s="18">
        <f>_xlfn.XLOOKUP(Assumptions!$B$2,Assumptions!$F$4:$H$4,Assumptions!$F$6:$H$6)</f>
        <v>17</v>
      </c>
      <c r="K1208" s="12">
        <f>_xlfn.XLOOKUP(Assumptions!$B$2,Assumptions!$F$4:$H$4,Assumptions!$F$8:$H$8)</f>
        <v>0.1</v>
      </c>
      <c r="L1208" s="12">
        <f>_xlfn.XLOOKUP(Assumptions!$B$2,Assumptions!$F$4:$H$4,Assumptions!$F$9:$H$9)</f>
        <v>0.18</v>
      </c>
      <c r="M1208" s="18">
        <f>_xlfn.XLOOKUP(Assumptions!$B$2,Assumptions!$F$4:$H$4,Assumptions!$F$10:$H$10)</f>
        <v>18000</v>
      </c>
      <c r="N1208" s="12">
        <f>_xlfn.XLOOKUP(Assumptions!$B$2,Assumptions!$F$4:$H$4,Assumptions!$F$11:$H$11)</f>
        <v>0.3</v>
      </c>
      <c r="O1208" s="14">
        <f>Final_Table[[#This Row],[Units Sold]]*Final_Table[[#This Row],[Sale Price]]</f>
        <v>20400</v>
      </c>
      <c r="P1208" s="14">
        <f>Final_Table[[#This Row],[Gross Revenue]]*(1-Final_Table[[#This Row],[Discount %]])</f>
        <v>18360</v>
      </c>
      <c r="Q1208">
        <f>Final_Table[[#This Row],[Net Revenue]]*Final_Table[[#This Row],[Variable Cost %]]</f>
        <v>3304.7999999999997</v>
      </c>
      <c r="R1208">
        <f>Final_Table[[#This Row],[Variable Cost]]+Final_Table[[#This Row],[Fixed Monthly Cost]]</f>
        <v>21304.799999999999</v>
      </c>
      <c r="S1208" s="5">
        <f>Final_Table[[#This Row],[Net Revenue]]-Final_Table[[#This Row],[Total Cost (COGS)]]</f>
        <v>-2944.7999999999993</v>
      </c>
      <c r="T1208">
        <f>Final_Table[[#This Row],[Gross Profit]]*Final_Table[[#This Row],[Tax Rate]]</f>
        <v>-883.43999999999971</v>
      </c>
      <c r="U1208" s="5">
        <f>Final_Table[[#This Row],[Gross Profit]]-Final_Table[[#This Row],[Tax]]</f>
        <v>-2061.3599999999997</v>
      </c>
      <c r="V1208" s="12">
        <f>Final_Table[[#This Row],[Net Profit]]/Final_Table[[#This Row],[Gross Revenue]]</f>
        <v>-0.10104705882352939</v>
      </c>
    </row>
    <row r="1209" spans="1:22">
      <c r="A1209" s="18" t="s">
        <v>76</v>
      </c>
      <c r="B1209">
        <v>2014</v>
      </c>
      <c r="C1209" t="s">
        <v>127</v>
      </c>
      <c r="D1209">
        <v>1</v>
      </c>
      <c r="E1209" s="18" t="s">
        <v>16</v>
      </c>
      <c r="F1209" s="18" t="s">
        <v>108</v>
      </c>
      <c r="G1209" s="18" t="s">
        <v>21</v>
      </c>
      <c r="H1209" s="18" t="str">
        <f>Assumptions!$B$2</f>
        <v>Worst</v>
      </c>
      <c r="I1209" s="18">
        <f>_xlfn.XLOOKUP(Assumptions!$B$2,Assumptions!$F$4:$H$4,Assumptions!$F$5:$H$5)</f>
        <v>1200</v>
      </c>
      <c r="J1209" s="18">
        <f>_xlfn.XLOOKUP(Assumptions!$B$2,Assumptions!$F$4:$H$4,Assumptions!$F$6:$H$6)</f>
        <v>17</v>
      </c>
      <c r="K1209" s="12">
        <f>_xlfn.XLOOKUP(Assumptions!$B$2,Assumptions!$F$4:$H$4,Assumptions!$F$8:$H$8)</f>
        <v>0.1</v>
      </c>
      <c r="L1209" s="12">
        <f>_xlfn.XLOOKUP(Assumptions!$B$2,Assumptions!$F$4:$H$4,Assumptions!$F$9:$H$9)</f>
        <v>0.18</v>
      </c>
      <c r="M1209" s="18">
        <f>_xlfn.XLOOKUP(Assumptions!$B$2,Assumptions!$F$4:$H$4,Assumptions!$F$10:$H$10)</f>
        <v>18000</v>
      </c>
      <c r="N1209" s="12">
        <f>_xlfn.XLOOKUP(Assumptions!$B$2,Assumptions!$F$4:$H$4,Assumptions!$F$11:$H$11)</f>
        <v>0.3</v>
      </c>
      <c r="O1209" s="14">
        <f>Final_Table[[#This Row],[Units Sold]]*Final_Table[[#This Row],[Sale Price]]</f>
        <v>20400</v>
      </c>
      <c r="P1209" s="14">
        <f>Final_Table[[#This Row],[Gross Revenue]]*(1-Final_Table[[#This Row],[Discount %]])</f>
        <v>18360</v>
      </c>
      <c r="Q1209">
        <f>Final_Table[[#This Row],[Net Revenue]]*Final_Table[[#This Row],[Variable Cost %]]</f>
        <v>3304.7999999999997</v>
      </c>
      <c r="R1209">
        <f>Final_Table[[#This Row],[Variable Cost]]+Final_Table[[#This Row],[Fixed Monthly Cost]]</f>
        <v>21304.799999999999</v>
      </c>
      <c r="S1209" s="5">
        <f>Final_Table[[#This Row],[Net Revenue]]-Final_Table[[#This Row],[Total Cost (COGS)]]</f>
        <v>-2944.7999999999993</v>
      </c>
      <c r="T1209">
        <f>Final_Table[[#This Row],[Gross Profit]]*Final_Table[[#This Row],[Tax Rate]]</f>
        <v>-883.43999999999971</v>
      </c>
      <c r="U1209" s="5">
        <f>Final_Table[[#This Row],[Gross Profit]]-Final_Table[[#This Row],[Tax]]</f>
        <v>-2061.3599999999997</v>
      </c>
      <c r="V1209" s="12">
        <f>Final_Table[[#This Row],[Net Profit]]/Final_Table[[#This Row],[Gross Revenue]]</f>
        <v>-0.10104705882352939</v>
      </c>
    </row>
    <row r="1210" spans="1:22">
      <c r="A1210" s="18" t="s">
        <v>76</v>
      </c>
      <c r="B1210">
        <v>2014</v>
      </c>
      <c r="C1210" t="s">
        <v>127</v>
      </c>
      <c r="D1210">
        <v>1</v>
      </c>
      <c r="E1210" s="18" t="s">
        <v>16</v>
      </c>
      <c r="F1210" s="18" t="s">
        <v>108</v>
      </c>
      <c r="G1210" s="18" t="s">
        <v>25</v>
      </c>
      <c r="H1210" s="18" t="str">
        <f>Assumptions!$B$2</f>
        <v>Worst</v>
      </c>
      <c r="I1210" s="18">
        <f>_xlfn.XLOOKUP(Assumptions!$B$2,Assumptions!$F$4:$H$4,Assumptions!$F$5:$H$5)</f>
        <v>1200</v>
      </c>
      <c r="J1210" s="18">
        <f>_xlfn.XLOOKUP(Assumptions!$B$2,Assumptions!$F$4:$H$4,Assumptions!$F$6:$H$6)</f>
        <v>17</v>
      </c>
      <c r="K1210" s="12">
        <f>_xlfn.XLOOKUP(Assumptions!$B$2,Assumptions!$F$4:$H$4,Assumptions!$F$8:$H$8)</f>
        <v>0.1</v>
      </c>
      <c r="L1210" s="12">
        <f>_xlfn.XLOOKUP(Assumptions!$B$2,Assumptions!$F$4:$H$4,Assumptions!$F$9:$H$9)</f>
        <v>0.18</v>
      </c>
      <c r="M1210" s="18">
        <f>_xlfn.XLOOKUP(Assumptions!$B$2,Assumptions!$F$4:$H$4,Assumptions!$F$10:$H$10)</f>
        <v>18000</v>
      </c>
      <c r="N1210" s="12">
        <f>_xlfn.XLOOKUP(Assumptions!$B$2,Assumptions!$F$4:$H$4,Assumptions!$F$11:$H$11)</f>
        <v>0.3</v>
      </c>
      <c r="O1210" s="14">
        <f>Final_Table[[#This Row],[Units Sold]]*Final_Table[[#This Row],[Sale Price]]</f>
        <v>20400</v>
      </c>
      <c r="P1210" s="14">
        <f>Final_Table[[#This Row],[Gross Revenue]]*(1-Final_Table[[#This Row],[Discount %]])</f>
        <v>18360</v>
      </c>
      <c r="Q1210">
        <f>Final_Table[[#This Row],[Net Revenue]]*Final_Table[[#This Row],[Variable Cost %]]</f>
        <v>3304.7999999999997</v>
      </c>
      <c r="R1210">
        <f>Final_Table[[#This Row],[Variable Cost]]+Final_Table[[#This Row],[Fixed Monthly Cost]]</f>
        <v>21304.799999999999</v>
      </c>
      <c r="S1210" s="5">
        <f>Final_Table[[#This Row],[Net Revenue]]-Final_Table[[#This Row],[Total Cost (COGS)]]</f>
        <v>-2944.7999999999993</v>
      </c>
      <c r="T1210">
        <f>Final_Table[[#This Row],[Gross Profit]]*Final_Table[[#This Row],[Tax Rate]]</f>
        <v>-883.43999999999971</v>
      </c>
      <c r="U1210" s="5">
        <f>Final_Table[[#This Row],[Gross Profit]]-Final_Table[[#This Row],[Tax]]</f>
        <v>-2061.3599999999997</v>
      </c>
      <c r="V1210" s="12">
        <f>Final_Table[[#This Row],[Net Profit]]/Final_Table[[#This Row],[Gross Revenue]]</f>
        <v>-0.10104705882352939</v>
      </c>
    </row>
    <row r="1211" spans="1:22">
      <c r="A1211" s="18" t="s">
        <v>76</v>
      </c>
      <c r="B1211">
        <v>2014</v>
      </c>
      <c r="C1211" t="s">
        <v>127</v>
      </c>
      <c r="D1211">
        <v>1</v>
      </c>
      <c r="E1211" s="18" t="s">
        <v>16</v>
      </c>
      <c r="F1211" s="18" t="s">
        <v>108</v>
      </c>
      <c r="G1211" s="18" t="s">
        <v>17</v>
      </c>
      <c r="H1211" s="18" t="str">
        <f>Assumptions!$B$2</f>
        <v>Worst</v>
      </c>
      <c r="I1211" s="18">
        <f>_xlfn.XLOOKUP(Assumptions!$B$2,Assumptions!$F$4:$H$4,Assumptions!$F$5:$H$5)</f>
        <v>1200</v>
      </c>
      <c r="J1211" s="18">
        <f>_xlfn.XLOOKUP(Assumptions!$B$2,Assumptions!$F$4:$H$4,Assumptions!$F$6:$H$6)</f>
        <v>17</v>
      </c>
      <c r="K1211" s="12">
        <f>_xlfn.XLOOKUP(Assumptions!$B$2,Assumptions!$F$4:$H$4,Assumptions!$F$8:$H$8)</f>
        <v>0.1</v>
      </c>
      <c r="L1211" s="12">
        <f>_xlfn.XLOOKUP(Assumptions!$B$2,Assumptions!$F$4:$H$4,Assumptions!$F$9:$H$9)</f>
        <v>0.18</v>
      </c>
      <c r="M1211" s="18">
        <f>_xlfn.XLOOKUP(Assumptions!$B$2,Assumptions!$F$4:$H$4,Assumptions!$F$10:$H$10)</f>
        <v>18000</v>
      </c>
      <c r="N1211" s="12">
        <f>_xlfn.XLOOKUP(Assumptions!$B$2,Assumptions!$F$4:$H$4,Assumptions!$F$11:$H$11)</f>
        <v>0.3</v>
      </c>
      <c r="O1211" s="14">
        <f>Final_Table[[#This Row],[Units Sold]]*Final_Table[[#This Row],[Sale Price]]</f>
        <v>20400</v>
      </c>
      <c r="P1211" s="14">
        <f>Final_Table[[#This Row],[Gross Revenue]]*(1-Final_Table[[#This Row],[Discount %]])</f>
        <v>18360</v>
      </c>
      <c r="Q1211">
        <f>Final_Table[[#This Row],[Net Revenue]]*Final_Table[[#This Row],[Variable Cost %]]</f>
        <v>3304.7999999999997</v>
      </c>
      <c r="R1211">
        <f>Final_Table[[#This Row],[Variable Cost]]+Final_Table[[#This Row],[Fixed Monthly Cost]]</f>
        <v>21304.799999999999</v>
      </c>
      <c r="S1211" s="5">
        <f>Final_Table[[#This Row],[Net Revenue]]-Final_Table[[#This Row],[Total Cost (COGS)]]</f>
        <v>-2944.7999999999993</v>
      </c>
      <c r="T1211">
        <f>Final_Table[[#This Row],[Gross Profit]]*Final_Table[[#This Row],[Tax Rate]]</f>
        <v>-883.43999999999971</v>
      </c>
      <c r="U1211" s="5">
        <f>Final_Table[[#This Row],[Gross Profit]]-Final_Table[[#This Row],[Tax]]</f>
        <v>-2061.3599999999997</v>
      </c>
      <c r="V1211" s="12">
        <f>Final_Table[[#This Row],[Net Profit]]/Final_Table[[#This Row],[Gross Revenue]]</f>
        <v>-0.10104705882352939</v>
      </c>
    </row>
    <row r="1212" spans="1:22">
      <c r="A1212" s="18" t="s">
        <v>76</v>
      </c>
      <c r="B1212">
        <v>2014</v>
      </c>
      <c r="C1212" t="s">
        <v>127</v>
      </c>
      <c r="D1212">
        <v>1</v>
      </c>
      <c r="E1212" s="18" t="s">
        <v>16</v>
      </c>
      <c r="F1212" s="18" t="s">
        <v>112</v>
      </c>
      <c r="G1212" s="18" t="s">
        <v>36</v>
      </c>
      <c r="H1212" s="18" t="str">
        <f>Assumptions!$B$2</f>
        <v>Worst</v>
      </c>
      <c r="I1212" s="18">
        <f>_xlfn.XLOOKUP(Assumptions!$B$2,Assumptions!$F$4:$H$4,Assumptions!$F$5:$H$5)</f>
        <v>1200</v>
      </c>
      <c r="J1212" s="18">
        <f>_xlfn.XLOOKUP(Assumptions!$B$2,Assumptions!$F$4:$H$4,Assumptions!$F$6:$H$6)</f>
        <v>17</v>
      </c>
      <c r="K1212" s="12">
        <f>_xlfn.XLOOKUP(Assumptions!$B$2,Assumptions!$F$4:$H$4,Assumptions!$F$8:$H$8)</f>
        <v>0.1</v>
      </c>
      <c r="L1212" s="12">
        <f>_xlfn.XLOOKUP(Assumptions!$B$2,Assumptions!$F$4:$H$4,Assumptions!$F$9:$H$9)</f>
        <v>0.18</v>
      </c>
      <c r="M1212" s="18">
        <f>_xlfn.XLOOKUP(Assumptions!$B$2,Assumptions!$F$4:$H$4,Assumptions!$F$10:$H$10)</f>
        <v>18000</v>
      </c>
      <c r="N1212" s="12">
        <f>_xlfn.XLOOKUP(Assumptions!$B$2,Assumptions!$F$4:$H$4,Assumptions!$F$11:$H$11)</f>
        <v>0.3</v>
      </c>
      <c r="O1212" s="14">
        <f>Final_Table[[#This Row],[Units Sold]]*Final_Table[[#This Row],[Sale Price]]</f>
        <v>20400</v>
      </c>
      <c r="P1212" s="14">
        <f>Final_Table[[#This Row],[Gross Revenue]]*(1-Final_Table[[#This Row],[Discount %]])</f>
        <v>18360</v>
      </c>
      <c r="Q1212">
        <f>Final_Table[[#This Row],[Net Revenue]]*Final_Table[[#This Row],[Variable Cost %]]</f>
        <v>3304.7999999999997</v>
      </c>
      <c r="R1212">
        <f>Final_Table[[#This Row],[Variable Cost]]+Final_Table[[#This Row],[Fixed Monthly Cost]]</f>
        <v>21304.799999999999</v>
      </c>
      <c r="S1212" s="5">
        <f>Final_Table[[#This Row],[Net Revenue]]-Final_Table[[#This Row],[Total Cost (COGS)]]</f>
        <v>-2944.7999999999993</v>
      </c>
      <c r="T1212">
        <f>Final_Table[[#This Row],[Gross Profit]]*Final_Table[[#This Row],[Tax Rate]]</f>
        <v>-883.43999999999971</v>
      </c>
      <c r="U1212" s="5">
        <f>Final_Table[[#This Row],[Gross Profit]]-Final_Table[[#This Row],[Tax]]</f>
        <v>-2061.3599999999997</v>
      </c>
      <c r="V1212" s="12">
        <f>Final_Table[[#This Row],[Net Profit]]/Final_Table[[#This Row],[Gross Revenue]]</f>
        <v>-0.10104705882352939</v>
      </c>
    </row>
    <row r="1213" spans="1:22">
      <c r="A1213" s="18" t="s">
        <v>76</v>
      </c>
      <c r="B1213">
        <v>2014</v>
      </c>
      <c r="C1213" t="s">
        <v>127</v>
      </c>
      <c r="D1213">
        <v>1</v>
      </c>
      <c r="E1213" s="18" t="s">
        <v>16</v>
      </c>
      <c r="F1213" s="18" t="s">
        <v>112</v>
      </c>
      <c r="G1213" s="18" t="s">
        <v>23</v>
      </c>
      <c r="H1213" s="18" t="str">
        <f>Assumptions!$B$2</f>
        <v>Worst</v>
      </c>
      <c r="I1213" s="18">
        <f>_xlfn.XLOOKUP(Assumptions!$B$2,Assumptions!$F$4:$H$4,Assumptions!$F$5:$H$5)</f>
        <v>1200</v>
      </c>
      <c r="J1213" s="18">
        <f>_xlfn.XLOOKUP(Assumptions!$B$2,Assumptions!$F$4:$H$4,Assumptions!$F$6:$H$6)</f>
        <v>17</v>
      </c>
      <c r="K1213" s="12">
        <f>_xlfn.XLOOKUP(Assumptions!$B$2,Assumptions!$F$4:$H$4,Assumptions!$F$8:$H$8)</f>
        <v>0.1</v>
      </c>
      <c r="L1213" s="12">
        <f>_xlfn.XLOOKUP(Assumptions!$B$2,Assumptions!$F$4:$H$4,Assumptions!$F$9:$H$9)</f>
        <v>0.18</v>
      </c>
      <c r="M1213" s="18">
        <f>_xlfn.XLOOKUP(Assumptions!$B$2,Assumptions!$F$4:$H$4,Assumptions!$F$10:$H$10)</f>
        <v>18000</v>
      </c>
      <c r="N1213" s="12">
        <f>_xlfn.XLOOKUP(Assumptions!$B$2,Assumptions!$F$4:$H$4,Assumptions!$F$11:$H$11)</f>
        <v>0.3</v>
      </c>
      <c r="O1213" s="14">
        <f>Final_Table[[#This Row],[Units Sold]]*Final_Table[[#This Row],[Sale Price]]</f>
        <v>20400</v>
      </c>
      <c r="P1213" s="14">
        <f>Final_Table[[#This Row],[Gross Revenue]]*(1-Final_Table[[#This Row],[Discount %]])</f>
        <v>18360</v>
      </c>
      <c r="Q1213">
        <f>Final_Table[[#This Row],[Net Revenue]]*Final_Table[[#This Row],[Variable Cost %]]</f>
        <v>3304.7999999999997</v>
      </c>
      <c r="R1213">
        <f>Final_Table[[#This Row],[Variable Cost]]+Final_Table[[#This Row],[Fixed Monthly Cost]]</f>
        <v>21304.799999999999</v>
      </c>
      <c r="S1213" s="5">
        <f>Final_Table[[#This Row],[Net Revenue]]-Final_Table[[#This Row],[Total Cost (COGS)]]</f>
        <v>-2944.7999999999993</v>
      </c>
      <c r="T1213">
        <f>Final_Table[[#This Row],[Gross Profit]]*Final_Table[[#This Row],[Tax Rate]]</f>
        <v>-883.43999999999971</v>
      </c>
      <c r="U1213" s="5">
        <f>Final_Table[[#This Row],[Gross Profit]]-Final_Table[[#This Row],[Tax]]</f>
        <v>-2061.3599999999997</v>
      </c>
      <c r="V1213" s="12">
        <f>Final_Table[[#This Row],[Net Profit]]/Final_Table[[#This Row],[Gross Revenue]]</f>
        <v>-0.10104705882352939</v>
      </c>
    </row>
    <row r="1214" spans="1:22">
      <c r="A1214" s="18" t="s">
        <v>76</v>
      </c>
      <c r="B1214">
        <v>2014</v>
      </c>
      <c r="C1214" t="s">
        <v>127</v>
      </c>
      <c r="D1214">
        <v>1</v>
      </c>
      <c r="E1214" s="18" t="s">
        <v>16</v>
      </c>
      <c r="F1214" s="18" t="s">
        <v>112</v>
      </c>
      <c r="G1214" s="18" t="s">
        <v>21</v>
      </c>
      <c r="H1214" s="18" t="str">
        <f>Assumptions!$B$2</f>
        <v>Worst</v>
      </c>
      <c r="I1214" s="18">
        <f>_xlfn.XLOOKUP(Assumptions!$B$2,Assumptions!$F$4:$H$4,Assumptions!$F$5:$H$5)</f>
        <v>1200</v>
      </c>
      <c r="J1214" s="18">
        <f>_xlfn.XLOOKUP(Assumptions!$B$2,Assumptions!$F$4:$H$4,Assumptions!$F$6:$H$6)</f>
        <v>17</v>
      </c>
      <c r="K1214" s="12">
        <f>_xlfn.XLOOKUP(Assumptions!$B$2,Assumptions!$F$4:$H$4,Assumptions!$F$8:$H$8)</f>
        <v>0.1</v>
      </c>
      <c r="L1214" s="12">
        <f>_xlfn.XLOOKUP(Assumptions!$B$2,Assumptions!$F$4:$H$4,Assumptions!$F$9:$H$9)</f>
        <v>0.18</v>
      </c>
      <c r="M1214" s="18">
        <f>_xlfn.XLOOKUP(Assumptions!$B$2,Assumptions!$F$4:$H$4,Assumptions!$F$10:$H$10)</f>
        <v>18000</v>
      </c>
      <c r="N1214" s="12">
        <f>_xlfn.XLOOKUP(Assumptions!$B$2,Assumptions!$F$4:$H$4,Assumptions!$F$11:$H$11)</f>
        <v>0.3</v>
      </c>
      <c r="O1214" s="14">
        <f>Final_Table[[#This Row],[Units Sold]]*Final_Table[[#This Row],[Sale Price]]</f>
        <v>20400</v>
      </c>
      <c r="P1214" s="14">
        <f>Final_Table[[#This Row],[Gross Revenue]]*(1-Final_Table[[#This Row],[Discount %]])</f>
        <v>18360</v>
      </c>
      <c r="Q1214">
        <f>Final_Table[[#This Row],[Net Revenue]]*Final_Table[[#This Row],[Variable Cost %]]</f>
        <v>3304.7999999999997</v>
      </c>
      <c r="R1214">
        <f>Final_Table[[#This Row],[Variable Cost]]+Final_Table[[#This Row],[Fixed Monthly Cost]]</f>
        <v>21304.799999999999</v>
      </c>
      <c r="S1214" s="5">
        <f>Final_Table[[#This Row],[Net Revenue]]-Final_Table[[#This Row],[Total Cost (COGS)]]</f>
        <v>-2944.7999999999993</v>
      </c>
      <c r="T1214">
        <f>Final_Table[[#This Row],[Gross Profit]]*Final_Table[[#This Row],[Tax Rate]]</f>
        <v>-883.43999999999971</v>
      </c>
      <c r="U1214" s="5">
        <f>Final_Table[[#This Row],[Gross Profit]]-Final_Table[[#This Row],[Tax]]</f>
        <v>-2061.3599999999997</v>
      </c>
      <c r="V1214" s="12">
        <f>Final_Table[[#This Row],[Net Profit]]/Final_Table[[#This Row],[Gross Revenue]]</f>
        <v>-0.10104705882352939</v>
      </c>
    </row>
    <row r="1215" spans="1:22">
      <c r="A1215" s="18" t="s">
        <v>76</v>
      </c>
      <c r="B1215">
        <v>2014</v>
      </c>
      <c r="C1215" t="s">
        <v>127</v>
      </c>
      <c r="D1215">
        <v>1</v>
      </c>
      <c r="E1215" s="18" t="s">
        <v>16</v>
      </c>
      <c r="F1215" s="18" t="s">
        <v>112</v>
      </c>
      <c r="G1215" s="18" t="s">
        <v>25</v>
      </c>
      <c r="H1215" s="18" t="str">
        <f>Assumptions!$B$2</f>
        <v>Worst</v>
      </c>
      <c r="I1215" s="18">
        <f>_xlfn.XLOOKUP(Assumptions!$B$2,Assumptions!$F$4:$H$4,Assumptions!$F$5:$H$5)</f>
        <v>1200</v>
      </c>
      <c r="J1215" s="18">
        <f>_xlfn.XLOOKUP(Assumptions!$B$2,Assumptions!$F$4:$H$4,Assumptions!$F$6:$H$6)</f>
        <v>17</v>
      </c>
      <c r="K1215" s="12">
        <f>_xlfn.XLOOKUP(Assumptions!$B$2,Assumptions!$F$4:$H$4,Assumptions!$F$8:$H$8)</f>
        <v>0.1</v>
      </c>
      <c r="L1215" s="12">
        <f>_xlfn.XLOOKUP(Assumptions!$B$2,Assumptions!$F$4:$H$4,Assumptions!$F$9:$H$9)</f>
        <v>0.18</v>
      </c>
      <c r="M1215" s="18">
        <f>_xlfn.XLOOKUP(Assumptions!$B$2,Assumptions!$F$4:$H$4,Assumptions!$F$10:$H$10)</f>
        <v>18000</v>
      </c>
      <c r="N1215" s="12">
        <f>_xlfn.XLOOKUP(Assumptions!$B$2,Assumptions!$F$4:$H$4,Assumptions!$F$11:$H$11)</f>
        <v>0.3</v>
      </c>
      <c r="O1215" s="14">
        <f>Final_Table[[#This Row],[Units Sold]]*Final_Table[[#This Row],[Sale Price]]</f>
        <v>20400</v>
      </c>
      <c r="P1215" s="14">
        <f>Final_Table[[#This Row],[Gross Revenue]]*(1-Final_Table[[#This Row],[Discount %]])</f>
        <v>18360</v>
      </c>
      <c r="Q1215">
        <f>Final_Table[[#This Row],[Net Revenue]]*Final_Table[[#This Row],[Variable Cost %]]</f>
        <v>3304.7999999999997</v>
      </c>
      <c r="R1215">
        <f>Final_Table[[#This Row],[Variable Cost]]+Final_Table[[#This Row],[Fixed Monthly Cost]]</f>
        <v>21304.799999999999</v>
      </c>
      <c r="S1215" s="5">
        <f>Final_Table[[#This Row],[Net Revenue]]-Final_Table[[#This Row],[Total Cost (COGS)]]</f>
        <v>-2944.7999999999993</v>
      </c>
      <c r="T1215">
        <f>Final_Table[[#This Row],[Gross Profit]]*Final_Table[[#This Row],[Tax Rate]]</f>
        <v>-883.43999999999971</v>
      </c>
      <c r="U1215" s="5">
        <f>Final_Table[[#This Row],[Gross Profit]]-Final_Table[[#This Row],[Tax]]</f>
        <v>-2061.3599999999997</v>
      </c>
      <c r="V1215" s="12">
        <f>Final_Table[[#This Row],[Net Profit]]/Final_Table[[#This Row],[Gross Revenue]]</f>
        <v>-0.10104705882352939</v>
      </c>
    </row>
    <row r="1216" spans="1:22">
      <c r="A1216" s="18" t="s">
        <v>76</v>
      </c>
      <c r="B1216">
        <v>2014</v>
      </c>
      <c r="C1216" t="s">
        <v>127</v>
      </c>
      <c r="D1216">
        <v>1</v>
      </c>
      <c r="E1216" s="18" t="s">
        <v>16</v>
      </c>
      <c r="F1216" s="18" t="s">
        <v>112</v>
      </c>
      <c r="G1216" s="18" t="s">
        <v>17</v>
      </c>
      <c r="H1216" s="18" t="str">
        <f>Assumptions!$B$2</f>
        <v>Worst</v>
      </c>
      <c r="I1216" s="18">
        <f>_xlfn.XLOOKUP(Assumptions!$B$2,Assumptions!$F$4:$H$4,Assumptions!$F$5:$H$5)</f>
        <v>1200</v>
      </c>
      <c r="J1216" s="18">
        <f>_xlfn.XLOOKUP(Assumptions!$B$2,Assumptions!$F$4:$H$4,Assumptions!$F$6:$H$6)</f>
        <v>17</v>
      </c>
      <c r="K1216" s="12">
        <f>_xlfn.XLOOKUP(Assumptions!$B$2,Assumptions!$F$4:$H$4,Assumptions!$F$8:$H$8)</f>
        <v>0.1</v>
      </c>
      <c r="L1216" s="12">
        <f>_xlfn.XLOOKUP(Assumptions!$B$2,Assumptions!$F$4:$H$4,Assumptions!$F$9:$H$9)</f>
        <v>0.18</v>
      </c>
      <c r="M1216" s="18">
        <f>_xlfn.XLOOKUP(Assumptions!$B$2,Assumptions!$F$4:$H$4,Assumptions!$F$10:$H$10)</f>
        <v>18000</v>
      </c>
      <c r="N1216" s="12">
        <f>_xlfn.XLOOKUP(Assumptions!$B$2,Assumptions!$F$4:$H$4,Assumptions!$F$11:$H$11)</f>
        <v>0.3</v>
      </c>
      <c r="O1216" s="14">
        <f>Final_Table[[#This Row],[Units Sold]]*Final_Table[[#This Row],[Sale Price]]</f>
        <v>20400</v>
      </c>
      <c r="P1216" s="14">
        <f>Final_Table[[#This Row],[Gross Revenue]]*(1-Final_Table[[#This Row],[Discount %]])</f>
        <v>18360</v>
      </c>
      <c r="Q1216">
        <f>Final_Table[[#This Row],[Net Revenue]]*Final_Table[[#This Row],[Variable Cost %]]</f>
        <v>3304.7999999999997</v>
      </c>
      <c r="R1216">
        <f>Final_Table[[#This Row],[Variable Cost]]+Final_Table[[#This Row],[Fixed Monthly Cost]]</f>
        <v>21304.799999999999</v>
      </c>
      <c r="S1216" s="5">
        <f>Final_Table[[#This Row],[Net Revenue]]-Final_Table[[#This Row],[Total Cost (COGS)]]</f>
        <v>-2944.7999999999993</v>
      </c>
      <c r="T1216">
        <f>Final_Table[[#This Row],[Gross Profit]]*Final_Table[[#This Row],[Tax Rate]]</f>
        <v>-883.43999999999971</v>
      </c>
      <c r="U1216" s="5">
        <f>Final_Table[[#This Row],[Gross Profit]]-Final_Table[[#This Row],[Tax]]</f>
        <v>-2061.3599999999997</v>
      </c>
      <c r="V1216" s="12">
        <f>Final_Table[[#This Row],[Net Profit]]/Final_Table[[#This Row],[Gross Revenue]]</f>
        <v>-0.10104705882352939</v>
      </c>
    </row>
    <row r="1217" spans="1:22">
      <c r="A1217" s="18" t="s">
        <v>76</v>
      </c>
      <c r="B1217">
        <v>2014</v>
      </c>
      <c r="C1217" t="s">
        <v>127</v>
      </c>
      <c r="D1217">
        <v>1</v>
      </c>
      <c r="E1217" s="18" t="s">
        <v>16</v>
      </c>
      <c r="F1217" s="18" t="s">
        <v>113</v>
      </c>
      <c r="G1217" s="18" t="s">
        <v>36</v>
      </c>
      <c r="H1217" s="18" t="str">
        <f>Assumptions!$B$2</f>
        <v>Worst</v>
      </c>
      <c r="I1217" s="18">
        <f>_xlfn.XLOOKUP(Assumptions!$B$2,Assumptions!$F$4:$H$4,Assumptions!$F$5:$H$5)</f>
        <v>1200</v>
      </c>
      <c r="J1217" s="18">
        <f>_xlfn.XLOOKUP(Assumptions!$B$2,Assumptions!$F$4:$H$4,Assumptions!$F$6:$H$6)</f>
        <v>17</v>
      </c>
      <c r="K1217" s="12">
        <f>_xlfn.XLOOKUP(Assumptions!$B$2,Assumptions!$F$4:$H$4,Assumptions!$F$8:$H$8)</f>
        <v>0.1</v>
      </c>
      <c r="L1217" s="12">
        <f>_xlfn.XLOOKUP(Assumptions!$B$2,Assumptions!$F$4:$H$4,Assumptions!$F$9:$H$9)</f>
        <v>0.18</v>
      </c>
      <c r="M1217" s="18">
        <f>_xlfn.XLOOKUP(Assumptions!$B$2,Assumptions!$F$4:$H$4,Assumptions!$F$10:$H$10)</f>
        <v>18000</v>
      </c>
      <c r="N1217" s="12">
        <f>_xlfn.XLOOKUP(Assumptions!$B$2,Assumptions!$F$4:$H$4,Assumptions!$F$11:$H$11)</f>
        <v>0.3</v>
      </c>
      <c r="O1217" s="14">
        <f>Final_Table[[#This Row],[Units Sold]]*Final_Table[[#This Row],[Sale Price]]</f>
        <v>20400</v>
      </c>
      <c r="P1217" s="14">
        <f>Final_Table[[#This Row],[Gross Revenue]]*(1-Final_Table[[#This Row],[Discount %]])</f>
        <v>18360</v>
      </c>
      <c r="Q1217">
        <f>Final_Table[[#This Row],[Net Revenue]]*Final_Table[[#This Row],[Variable Cost %]]</f>
        <v>3304.7999999999997</v>
      </c>
      <c r="R1217">
        <f>Final_Table[[#This Row],[Variable Cost]]+Final_Table[[#This Row],[Fixed Monthly Cost]]</f>
        <v>21304.799999999999</v>
      </c>
      <c r="S1217" s="5">
        <f>Final_Table[[#This Row],[Net Revenue]]-Final_Table[[#This Row],[Total Cost (COGS)]]</f>
        <v>-2944.7999999999993</v>
      </c>
      <c r="T1217">
        <f>Final_Table[[#This Row],[Gross Profit]]*Final_Table[[#This Row],[Tax Rate]]</f>
        <v>-883.43999999999971</v>
      </c>
      <c r="U1217" s="5">
        <f>Final_Table[[#This Row],[Gross Profit]]-Final_Table[[#This Row],[Tax]]</f>
        <v>-2061.3599999999997</v>
      </c>
      <c r="V1217" s="12">
        <f>Final_Table[[#This Row],[Net Profit]]/Final_Table[[#This Row],[Gross Revenue]]</f>
        <v>-0.10104705882352939</v>
      </c>
    </row>
    <row r="1218" spans="1:22">
      <c r="A1218" s="18" t="s">
        <v>76</v>
      </c>
      <c r="B1218">
        <v>2014</v>
      </c>
      <c r="C1218" t="s">
        <v>127</v>
      </c>
      <c r="D1218">
        <v>1</v>
      </c>
      <c r="E1218" s="18" t="s">
        <v>16</v>
      </c>
      <c r="F1218" s="18" t="s">
        <v>113</v>
      </c>
      <c r="G1218" s="18" t="s">
        <v>23</v>
      </c>
      <c r="H1218" s="18" t="str">
        <f>Assumptions!$B$2</f>
        <v>Worst</v>
      </c>
      <c r="I1218" s="18">
        <f>_xlfn.XLOOKUP(Assumptions!$B$2,Assumptions!$F$4:$H$4,Assumptions!$F$5:$H$5)</f>
        <v>1200</v>
      </c>
      <c r="J1218" s="18">
        <f>_xlfn.XLOOKUP(Assumptions!$B$2,Assumptions!$F$4:$H$4,Assumptions!$F$6:$H$6)</f>
        <v>17</v>
      </c>
      <c r="K1218" s="12">
        <f>_xlfn.XLOOKUP(Assumptions!$B$2,Assumptions!$F$4:$H$4,Assumptions!$F$8:$H$8)</f>
        <v>0.1</v>
      </c>
      <c r="L1218" s="12">
        <f>_xlfn.XLOOKUP(Assumptions!$B$2,Assumptions!$F$4:$H$4,Assumptions!$F$9:$H$9)</f>
        <v>0.18</v>
      </c>
      <c r="M1218" s="18">
        <f>_xlfn.XLOOKUP(Assumptions!$B$2,Assumptions!$F$4:$H$4,Assumptions!$F$10:$H$10)</f>
        <v>18000</v>
      </c>
      <c r="N1218" s="12">
        <f>_xlfn.XLOOKUP(Assumptions!$B$2,Assumptions!$F$4:$H$4,Assumptions!$F$11:$H$11)</f>
        <v>0.3</v>
      </c>
      <c r="O1218" s="14">
        <f>Final_Table[[#This Row],[Units Sold]]*Final_Table[[#This Row],[Sale Price]]</f>
        <v>20400</v>
      </c>
      <c r="P1218" s="14">
        <f>Final_Table[[#This Row],[Gross Revenue]]*(1-Final_Table[[#This Row],[Discount %]])</f>
        <v>18360</v>
      </c>
      <c r="Q1218">
        <f>Final_Table[[#This Row],[Net Revenue]]*Final_Table[[#This Row],[Variable Cost %]]</f>
        <v>3304.7999999999997</v>
      </c>
      <c r="R1218">
        <f>Final_Table[[#This Row],[Variable Cost]]+Final_Table[[#This Row],[Fixed Monthly Cost]]</f>
        <v>21304.799999999999</v>
      </c>
      <c r="S1218" s="5">
        <f>Final_Table[[#This Row],[Net Revenue]]-Final_Table[[#This Row],[Total Cost (COGS)]]</f>
        <v>-2944.7999999999993</v>
      </c>
      <c r="T1218">
        <f>Final_Table[[#This Row],[Gross Profit]]*Final_Table[[#This Row],[Tax Rate]]</f>
        <v>-883.43999999999971</v>
      </c>
      <c r="U1218" s="5">
        <f>Final_Table[[#This Row],[Gross Profit]]-Final_Table[[#This Row],[Tax]]</f>
        <v>-2061.3599999999997</v>
      </c>
      <c r="V1218" s="12">
        <f>Final_Table[[#This Row],[Net Profit]]/Final_Table[[#This Row],[Gross Revenue]]</f>
        <v>-0.10104705882352939</v>
      </c>
    </row>
    <row r="1219" spans="1:22">
      <c r="A1219" s="18" t="s">
        <v>76</v>
      </c>
      <c r="B1219">
        <v>2014</v>
      </c>
      <c r="C1219" t="s">
        <v>127</v>
      </c>
      <c r="D1219">
        <v>1</v>
      </c>
      <c r="E1219" s="18" t="s">
        <v>16</v>
      </c>
      <c r="F1219" s="18" t="s">
        <v>113</v>
      </c>
      <c r="G1219" s="18" t="s">
        <v>21</v>
      </c>
      <c r="H1219" s="18" t="str">
        <f>Assumptions!$B$2</f>
        <v>Worst</v>
      </c>
      <c r="I1219" s="18">
        <f>_xlfn.XLOOKUP(Assumptions!$B$2,Assumptions!$F$4:$H$4,Assumptions!$F$5:$H$5)</f>
        <v>1200</v>
      </c>
      <c r="J1219" s="18">
        <f>_xlfn.XLOOKUP(Assumptions!$B$2,Assumptions!$F$4:$H$4,Assumptions!$F$6:$H$6)</f>
        <v>17</v>
      </c>
      <c r="K1219" s="12">
        <f>_xlfn.XLOOKUP(Assumptions!$B$2,Assumptions!$F$4:$H$4,Assumptions!$F$8:$H$8)</f>
        <v>0.1</v>
      </c>
      <c r="L1219" s="12">
        <f>_xlfn.XLOOKUP(Assumptions!$B$2,Assumptions!$F$4:$H$4,Assumptions!$F$9:$H$9)</f>
        <v>0.18</v>
      </c>
      <c r="M1219" s="18">
        <f>_xlfn.XLOOKUP(Assumptions!$B$2,Assumptions!$F$4:$H$4,Assumptions!$F$10:$H$10)</f>
        <v>18000</v>
      </c>
      <c r="N1219" s="12">
        <f>_xlfn.XLOOKUP(Assumptions!$B$2,Assumptions!$F$4:$H$4,Assumptions!$F$11:$H$11)</f>
        <v>0.3</v>
      </c>
      <c r="O1219" s="14">
        <f>Final_Table[[#This Row],[Units Sold]]*Final_Table[[#This Row],[Sale Price]]</f>
        <v>20400</v>
      </c>
      <c r="P1219" s="14">
        <f>Final_Table[[#This Row],[Gross Revenue]]*(1-Final_Table[[#This Row],[Discount %]])</f>
        <v>18360</v>
      </c>
      <c r="Q1219">
        <f>Final_Table[[#This Row],[Net Revenue]]*Final_Table[[#This Row],[Variable Cost %]]</f>
        <v>3304.7999999999997</v>
      </c>
      <c r="R1219">
        <f>Final_Table[[#This Row],[Variable Cost]]+Final_Table[[#This Row],[Fixed Monthly Cost]]</f>
        <v>21304.799999999999</v>
      </c>
      <c r="S1219" s="5">
        <f>Final_Table[[#This Row],[Net Revenue]]-Final_Table[[#This Row],[Total Cost (COGS)]]</f>
        <v>-2944.7999999999993</v>
      </c>
      <c r="T1219">
        <f>Final_Table[[#This Row],[Gross Profit]]*Final_Table[[#This Row],[Tax Rate]]</f>
        <v>-883.43999999999971</v>
      </c>
      <c r="U1219" s="5">
        <f>Final_Table[[#This Row],[Gross Profit]]-Final_Table[[#This Row],[Tax]]</f>
        <v>-2061.3599999999997</v>
      </c>
      <c r="V1219" s="12">
        <f>Final_Table[[#This Row],[Net Profit]]/Final_Table[[#This Row],[Gross Revenue]]</f>
        <v>-0.10104705882352939</v>
      </c>
    </row>
    <row r="1220" spans="1:22">
      <c r="A1220" s="18" t="s">
        <v>76</v>
      </c>
      <c r="B1220">
        <v>2014</v>
      </c>
      <c r="C1220" t="s">
        <v>127</v>
      </c>
      <c r="D1220">
        <v>1</v>
      </c>
      <c r="E1220" s="18" t="s">
        <v>16</v>
      </c>
      <c r="F1220" s="18" t="s">
        <v>113</v>
      </c>
      <c r="G1220" s="18" t="s">
        <v>25</v>
      </c>
      <c r="H1220" s="18" t="str">
        <f>Assumptions!$B$2</f>
        <v>Worst</v>
      </c>
      <c r="I1220" s="18">
        <f>_xlfn.XLOOKUP(Assumptions!$B$2,Assumptions!$F$4:$H$4,Assumptions!$F$5:$H$5)</f>
        <v>1200</v>
      </c>
      <c r="J1220" s="18">
        <f>_xlfn.XLOOKUP(Assumptions!$B$2,Assumptions!$F$4:$H$4,Assumptions!$F$6:$H$6)</f>
        <v>17</v>
      </c>
      <c r="K1220" s="12">
        <f>_xlfn.XLOOKUP(Assumptions!$B$2,Assumptions!$F$4:$H$4,Assumptions!$F$8:$H$8)</f>
        <v>0.1</v>
      </c>
      <c r="L1220" s="12">
        <f>_xlfn.XLOOKUP(Assumptions!$B$2,Assumptions!$F$4:$H$4,Assumptions!$F$9:$H$9)</f>
        <v>0.18</v>
      </c>
      <c r="M1220" s="18">
        <f>_xlfn.XLOOKUP(Assumptions!$B$2,Assumptions!$F$4:$H$4,Assumptions!$F$10:$H$10)</f>
        <v>18000</v>
      </c>
      <c r="N1220" s="12">
        <f>_xlfn.XLOOKUP(Assumptions!$B$2,Assumptions!$F$4:$H$4,Assumptions!$F$11:$H$11)</f>
        <v>0.3</v>
      </c>
      <c r="O1220" s="14">
        <f>Final_Table[[#This Row],[Units Sold]]*Final_Table[[#This Row],[Sale Price]]</f>
        <v>20400</v>
      </c>
      <c r="P1220" s="14">
        <f>Final_Table[[#This Row],[Gross Revenue]]*(1-Final_Table[[#This Row],[Discount %]])</f>
        <v>18360</v>
      </c>
      <c r="Q1220">
        <f>Final_Table[[#This Row],[Net Revenue]]*Final_Table[[#This Row],[Variable Cost %]]</f>
        <v>3304.7999999999997</v>
      </c>
      <c r="R1220">
        <f>Final_Table[[#This Row],[Variable Cost]]+Final_Table[[#This Row],[Fixed Monthly Cost]]</f>
        <v>21304.799999999999</v>
      </c>
      <c r="S1220" s="5">
        <f>Final_Table[[#This Row],[Net Revenue]]-Final_Table[[#This Row],[Total Cost (COGS)]]</f>
        <v>-2944.7999999999993</v>
      </c>
      <c r="T1220">
        <f>Final_Table[[#This Row],[Gross Profit]]*Final_Table[[#This Row],[Tax Rate]]</f>
        <v>-883.43999999999971</v>
      </c>
      <c r="U1220" s="5">
        <f>Final_Table[[#This Row],[Gross Profit]]-Final_Table[[#This Row],[Tax]]</f>
        <v>-2061.3599999999997</v>
      </c>
      <c r="V1220" s="12">
        <f>Final_Table[[#This Row],[Net Profit]]/Final_Table[[#This Row],[Gross Revenue]]</f>
        <v>-0.10104705882352939</v>
      </c>
    </row>
    <row r="1221" spans="1:22">
      <c r="A1221" s="18" t="s">
        <v>76</v>
      </c>
      <c r="B1221">
        <v>2014</v>
      </c>
      <c r="C1221" t="s">
        <v>127</v>
      </c>
      <c r="D1221">
        <v>1</v>
      </c>
      <c r="E1221" s="18" t="s">
        <v>16</v>
      </c>
      <c r="F1221" s="18" t="s">
        <v>113</v>
      </c>
      <c r="G1221" s="18" t="s">
        <v>17</v>
      </c>
      <c r="H1221" s="18" t="str">
        <f>Assumptions!$B$2</f>
        <v>Worst</v>
      </c>
      <c r="I1221" s="18">
        <f>_xlfn.XLOOKUP(Assumptions!$B$2,Assumptions!$F$4:$H$4,Assumptions!$F$5:$H$5)</f>
        <v>1200</v>
      </c>
      <c r="J1221" s="18">
        <f>_xlfn.XLOOKUP(Assumptions!$B$2,Assumptions!$F$4:$H$4,Assumptions!$F$6:$H$6)</f>
        <v>17</v>
      </c>
      <c r="K1221" s="12">
        <f>_xlfn.XLOOKUP(Assumptions!$B$2,Assumptions!$F$4:$H$4,Assumptions!$F$8:$H$8)</f>
        <v>0.1</v>
      </c>
      <c r="L1221" s="12">
        <f>_xlfn.XLOOKUP(Assumptions!$B$2,Assumptions!$F$4:$H$4,Assumptions!$F$9:$H$9)</f>
        <v>0.18</v>
      </c>
      <c r="M1221" s="18">
        <f>_xlfn.XLOOKUP(Assumptions!$B$2,Assumptions!$F$4:$H$4,Assumptions!$F$10:$H$10)</f>
        <v>18000</v>
      </c>
      <c r="N1221" s="12">
        <f>_xlfn.XLOOKUP(Assumptions!$B$2,Assumptions!$F$4:$H$4,Assumptions!$F$11:$H$11)</f>
        <v>0.3</v>
      </c>
      <c r="O1221" s="14">
        <f>Final_Table[[#This Row],[Units Sold]]*Final_Table[[#This Row],[Sale Price]]</f>
        <v>20400</v>
      </c>
      <c r="P1221" s="14">
        <f>Final_Table[[#This Row],[Gross Revenue]]*(1-Final_Table[[#This Row],[Discount %]])</f>
        <v>18360</v>
      </c>
      <c r="Q1221">
        <f>Final_Table[[#This Row],[Net Revenue]]*Final_Table[[#This Row],[Variable Cost %]]</f>
        <v>3304.7999999999997</v>
      </c>
      <c r="R1221">
        <f>Final_Table[[#This Row],[Variable Cost]]+Final_Table[[#This Row],[Fixed Monthly Cost]]</f>
        <v>21304.799999999999</v>
      </c>
      <c r="S1221" s="5">
        <f>Final_Table[[#This Row],[Net Revenue]]-Final_Table[[#This Row],[Total Cost (COGS)]]</f>
        <v>-2944.7999999999993</v>
      </c>
      <c r="T1221">
        <f>Final_Table[[#This Row],[Gross Profit]]*Final_Table[[#This Row],[Tax Rate]]</f>
        <v>-883.43999999999971</v>
      </c>
      <c r="U1221" s="5">
        <f>Final_Table[[#This Row],[Gross Profit]]-Final_Table[[#This Row],[Tax]]</f>
        <v>-2061.3599999999997</v>
      </c>
      <c r="V1221" s="12">
        <f>Final_Table[[#This Row],[Net Profit]]/Final_Table[[#This Row],[Gross Revenue]]</f>
        <v>-0.10104705882352939</v>
      </c>
    </row>
    <row r="1222" spans="1:22">
      <c r="A1222" s="18" t="s">
        <v>76</v>
      </c>
      <c r="B1222">
        <v>2014</v>
      </c>
      <c r="C1222" t="s">
        <v>127</v>
      </c>
      <c r="D1222">
        <v>1</v>
      </c>
      <c r="E1222" s="18" t="s">
        <v>16</v>
      </c>
      <c r="F1222" s="18" t="s">
        <v>114</v>
      </c>
      <c r="G1222" s="18" t="s">
        <v>36</v>
      </c>
      <c r="H1222" s="18" t="str">
        <f>Assumptions!$B$2</f>
        <v>Worst</v>
      </c>
      <c r="I1222" s="18">
        <f>_xlfn.XLOOKUP(Assumptions!$B$2,Assumptions!$F$4:$H$4,Assumptions!$F$5:$H$5)</f>
        <v>1200</v>
      </c>
      <c r="J1222" s="18">
        <f>_xlfn.XLOOKUP(Assumptions!$B$2,Assumptions!$F$4:$H$4,Assumptions!$F$6:$H$6)</f>
        <v>17</v>
      </c>
      <c r="K1222" s="12">
        <f>_xlfn.XLOOKUP(Assumptions!$B$2,Assumptions!$F$4:$H$4,Assumptions!$F$8:$H$8)</f>
        <v>0.1</v>
      </c>
      <c r="L1222" s="12">
        <f>_xlfn.XLOOKUP(Assumptions!$B$2,Assumptions!$F$4:$H$4,Assumptions!$F$9:$H$9)</f>
        <v>0.18</v>
      </c>
      <c r="M1222" s="18">
        <f>_xlfn.XLOOKUP(Assumptions!$B$2,Assumptions!$F$4:$H$4,Assumptions!$F$10:$H$10)</f>
        <v>18000</v>
      </c>
      <c r="N1222" s="12">
        <f>_xlfn.XLOOKUP(Assumptions!$B$2,Assumptions!$F$4:$H$4,Assumptions!$F$11:$H$11)</f>
        <v>0.3</v>
      </c>
      <c r="O1222" s="14">
        <f>Final_Table[[#This Row],[Units Sold]]*Final_Table[[#This Row],[Sale Price]]</f>
        <v>20400</v>
      </c>
      <c r="P1222" s="14">
        <f>Final_Table[[#This Row],[Gross Revenue]]*(1-Final_Table[[#This Row],[Discount %]])</f>
        <v>18360</v>
      </c>
      <c r="Q1222">
        <f>Final_Table[[#This Row],[Net Revenue]]*Final_Table[[#This Row],[Variable Cost %]]</f>
        <v>3304.7999999999997</v>
      </c>
      <c r="R1222">
        <f>Final_Table[[#This Row],[Variable Cost]]+Final_Table[[#This Row],[Fixed Monthly Cost]]</f>
        <v>21304.799999999999</v>
      </c>
      <c r="S1222" s="5">
        <f>Final_Table[[#This Row],[Net Revenue]]-Final_Table[[#This Row],[Total Cost (COGS)]]</f>
        <v>-2944.7999999999993</v>
      </c>
      <c r="T1222">
        <f>Final_Table[[#This Row],[Gross Profit]]*Final_Table[[#This Row],[Tax Rate]]</f>
        <v>-883.43999999999971</v>
      </c>
      <c r="U1222" s="5">
        <f>Final_Table[[#This Row],[Gross Profit]]-Final_Table[[#This Row],[Tax]]</f>
        <v>-2061.3599999999997</v>
      </c>
      <c r="V1222" s="12">
        <f>Final_Table[[#This Row],[Net Profit]]/Final_Table[[#This Row],[Gross Revenue]]</f>
        <v>-0.10104705882352939</v>
      </c>
    </row>
    <row r="1223" spans="1:22">
      <c r="A1223" s="18" t="s">
        <v>76</v>
      </c>
      <c r="B1223">
        <v>2014</v>
      </c>
      <c r="C1223" t="s">
        <v>127</v>
      </c>
      <c r="D1223">
        <v>1</v>
      </c>
      <c r="E1223" s="18" t="s">
        <v>16</v>
      </c>
      <c r="F1223" s="18" t="s">
        <v>114</v>
      </c>
      <c r="G1223" s="18" t="s">
        <v>23</v>
      </c>
      <c r="H1223" s="18" t="str">
        <f>Assumptions!$B$2</f>
        <v>Worst</v>
      </c>
      <c r="I1223" s="18">
        <f>_xlfn.XLOOKUP(Assumptions!$B$2,Assumptions!$F$4:$H$4,Assumptions!$F$5:$H$5)</f>
        <v>1200</v>
      </c>
      <c r="J1223" s="18">
        <f>_xlfn.XLOOKUP(Assumptions!$B$2,Assumptions!$F$4:$H$4,Assumptions!$F$6:$H$6)</f>
        <v>17</v>
      </c>
      <c r="K1223" s="12">
        <f>_xlfn.XLOOKUP(Assumptions!$B$2,Assumptions!$F$4:$H$4,Assumptions!$F$8:$H$8)</f>
        <v>0.1</v>
      </c>
      <c r="L1223" s="12">
        <f>_xlfn.XLOOKUP(Assumptions!$B$2,Assumptions!$F$4:$H$4,Assumptions!$F$9:$H$9)</f>
        <v>0.18</v>
      </c>
      <c r="M1223" s="18">
        <f>_xlfn.XLOOKUP(Assumptions!$B$2,Assumptions!$F$4:$H$4,Assumptions!$F$10:$H$10)</f>
        <v>18000</v>
      </c>
      <c r="N1223" s="12">
        <f>_xlfn.XLOOKUP(Assumptions!$B$2,Assumptions!$F$4:$H$4,Assumptions!$F$11:$H$11)</f>
        <v>0.3</v>
      </c>
      <c r="O1223" s="14">
        <f>Final_Table[[#This Row],[Units Sold]]*Final_Table[[#This Row],[Sale Price]]</f>
        <v>20400</v>
      </c>
      <c r="P1223" s="14">
        <f>Final_Table[[#This Row],[Gross Revenue]]*(1-Final_Table[[#This Row],[Discount %]])</f>
        <v>18360</v>
      </c>
      <c r="Q1223">
        <f>Final_Table[[#This Row],[Net Revenue]]*Final_Table[[#This Row],[Variable Cost %]]</f>
        <v>3304.7999999999997</v>
      </c>
      <c r="R1223">
        <f>Final_Table[[#This Row],[Variable Cost]]+Final_Table[[#This Row],[Fixed Monthly Cost]]</f>
        <v>21304.799999999999</v>
      </c>
      <c r="S1223" s="5">
        <f>Final_Table[[#This Row],[Net Revenue]]-Final_Table[[#This Row],[Total Cost (COGS)]]</f>
        <v>-2944.7999999999993</v>
      </c>
      <c r="T1223">
        <f>Final_Table[[#This Row],[Gross Profit]]*Final_Table[[#This Row],[Tax Rate]]</f>
        <v>-883.43999999999971</v>
      </c>
      <c r="U1223" s="5">
        <f>Final_Table[[#This Row],[Gross Profit]]-Final_Table[[#This Row],[Tax]]</f>
        <v>-2061.3599999999997</v>
      </c>
      <c r="V1223" s="12">
        <f>Final_Table[[#This Row],[Net Profit]]/Final_Table[[#This Row],[Gross Revenue]]</f>
        <v>-0.10104705882352939</v>
      </c>
    </row>
    <row r="1224" spans="1:22">
      <c r="A1224" s="18" t="s">
        <v>76</v>
      </c>
      <c r="B1224">
        <v>2014</v>
      </c>
      <c r="C1224" t="s">
        <v>127</v>
      </c>
      <c r="D1224">
        <v>1</v>
      </c>
      <c r="E1224" s="18" t="s">
        <v>16</v>
      </c>
      <c r="F1224" s="18" t="s">
        <v>114</v>
      </c>
      <c r="G1224" s="18" t="s">
        <v>21</v>
      </c>
      <c r="H1224" s="18" t="str">
        <f>Assumptions!$B$2</f>
        <v>Worst</v>
      </c>
      <c r="I1224" s="18">
        <f>_xlfn.XLOOKUP(Assumptions!$B$2,Assumptions!$F$4:$H$4,Assumptions!$F$5:$H$5)</f>
        <v>1200</v>
      </c>
      <c r="J1224" s="18">
        <f>_xlfn.XLOOKUP(Assumptions!$B$2,Assumptions!$F$4:$H$4,Assumptions!$F$6:$H$6)</f>
        <v>17</v>
      </c>
      <c r="K1224" s="12">
        <f>_xlfn.XLOOKUP(Assumptions!$B$2,Assumptions!$F$4:$H$4,Assumptions!$F$8:$H$8)</f>
        <v>0.1</v>
      </c>
      <c r="L1224" s="12">
        <f>_xlfn.XLOOKUP(Assumptions!$B$2,Assumptions!$F$4:$H$4,Assumptions!$F$9:$H$9)</f>
        <v>0.18</v>
      </c>
      <c r="M1224" s="18">
        <f>_xlfn.XLOOKUP(Assumptions!$B$2,Assumptions!$F$4:$H$4,Assumptions!$F$10:$H$10)</f>
        <v>18000</v>
      </c>
      <c r="N1224" s="12">
        <f>_xlfn.XLOOKUP(Assumptions!$B$2,Assumptions!$F$4:$H$4,Assumptions!$F$11:$H$11)</f>
        <v>0.3</v>
      </c>
      <c r="O1224" s="14">
        <f>Final_Table[[#This Row],[Units Sold]]*Final_Table[[#This Row],[Sale Price]]</f>
        <v>20400</v>
      </c>
      <c r="P1224" s="14">
        <f>Final_Table[[#This Row],[Gross Revenue]]*(1-Final_Table[[#This Row],[Discount %]])</f>
        <v>18360</v>
      </c>
      <c r="Q1224">
        <f>Final_Table[[#This Row],[Net Revenue]]*Final_Table[[#This Row],[Variable Cost %]]</f>
        <v>3304.7999999999997</v>
      </c>
      <c r="R1224">
        <f>Final_Table[[#This Row],[Variable Cost]]+Final_Table[[#This Row],[Fixed Monthly Cost]]</f>
        <v>21304.799999999999</v>
      </c>
      <c r="S1224" s="5">
        <f>Final_Table[[#This Row],[Net Revenue]]-Final_Table[[#This Row],[Total Cost (COGS)]]</f>
        <v>-2944.7999999999993</v>
      </c>
      <c r="T1224">
        <f>Final_Table[[#This Row],[Gross Profit]]*Final_Table[[#This Row],[Tax Rate]]</f>
        <v>-883.43999999999971</v>
      </c>
      <c r="U1224" s="5">
        <f>Final_Table[[#This Row],[Gross Profit]]-Final_Table[[#This Row],[Tax]]</f>
        <v>-2061.3599999999997</v>
      </c>
      <c r="V1224" s="12">
        <f>Final_Table[[#This Row],[Net Profit]]/Final_Table[[#This Row],[Gross Revenue]]</f>
        <v>-0.10104705882352939</v>
      </c>
    </row>
    <row r="1225" spans="1:22">
      <c r="A1225" s="18" t="s">
        <v>76</v>
      </c>
      <c r="B1225">
        <v>2014</v>
      </c>
      <c r="C1225" t="s">
        <v>127</v>
      </c>
      <c r="D1225">
        <v>1</v>
      </c>
      <c r="E1225" s="18" t="s">
        <v>16</v>
      </c>
      <c r="F1225" s="18" t="s">
        <v>114</v>
      </c>
      <c r="G1225" s="18" t="s">
        <v>25</v>
      </c>
      <c r="H1225" s="18" t="str">
        <f>Assumptions!$B$2</f>
        <v>Worst</v>
      </c>
      <c r="I1225" s="18">
        <f>_xlfn.XLOOKUP(Assumptions!$B$2,Assumptions!$F$4:$H$4,Assumptions!$F$5:$H$5)</f>
        <v>1200</v>
      </c>
      <c r="J1225" s="18">
        <f>_xlfn.XLOOKUP(Assumptions!$B$2,Assumptions!$F$4:$H$4,Assumptions!$F$6:$H$6)</f>
        <v>17</v>
      </c>
      <c r="K1225" s="12">
        <f>_xlfn.XLOOKUP(Assumptions!$B$2,Assumptions!$F$4:$H$4,Assumptions!$F$8:$H$8)</f>
        <v>0.1</v>
      </c>
      <c r="L1225" s="12">
        <f>_xlfn.XLOOKUP(Assumptions!$B$2,Assumptions!$F$4:$H$4,Assumptions!$F$9:$H$9)</f>
        <v>0.18</v>
      </c>
      <c r="M1225" s="18">
        <f>_xlfn.XLOOKUP(Assumptions!$B$2,Assumptions!$F$4:$H$4,Assumptions!$F$10:$H$10)</f>
        <v>18000</v>
      </c>
      <c r="N1225" s="12">
        <f>_xlfn.XLOOKUP(Assumptions!$B$2,Assumptions!$F$4:$H$4,Assumptions!$F$11:$H$11)</f>
        <v>0.3</v>
      </c>
      <c r="O1225" s="14">
        <f>Final_Table[[#This Row],[Units Sold]]*Final_Table[[#This Row],[Sale Price]]</f>
        <v>20400</v>
      </c>
      <c r="P1225" s="14">
        <f>Final_Table[[#This Row],[Gross Revenue]]*(1-Final_Table[[#This Row],[Discount %]])</f>
        <v>18360</v>
      </c>
      <c r="Q1225">
        <f>Final_Table[[#This Row],[Net Revenue]]*Final_Table[[#This Row],[Variable Cost %]]</f>
        <v>3304.7999999999997</v>
      </c>
      <c r="R1225">
        <f>Final_Table[[#This Row],[Variable Cost]]+Final_Table[[#This Row],[Fixed Monthly Cost]]</f>
        <v>21304.799999999999</v>
      </c>
      <c r="S1225" s="5">
        <f>Final_Table[[#This Row],[Net Revenue]]-Final_Table[[#This Row],[Total Cost (COGS)]]</f>
        <v>-2944.7999999999993</v>
      </c>
      <c r="T1225">
        <f>Final_Table[[#This Row],[Gross Profit]]*Final_Table[[#This Row],[Tax Rate]]</f>
        <v>-883.43999999999971</v>
      </c>
      <c r="U1225" s="5">
        <f>Final_Table[[#This Row],[Gross Profit]]-Final_Table[[#This Row],[Tax]]</f>
        <v>-2061.3599999999997</v>
      </c>
      <c r="V1225" s="12">
        <f>Final_Table[[#This Row],[Net Profit]]/Final_Table[[#This Row],[Gross Revenue]]</f>
        <v>-0.10104705882352939</v>
      </c>
    </row>
    <row r="1226" spans="1:22">
      <c r="A1226" s="18" t="s">
        <v>76</v>
      </c>
      <c r="B1226">
        <v>2014</v>
      </c>
      <c r="C1226" t="s">
        <v>127</v>
      </c>
      <c r="D1226">
        <v>1</v>
      </c>
      <c r="E1226" s="18" t="s">
        <v>16</v>
      </c>
      <c r="F1226" s="18" t="s">
        <v>114</v>
      </c>
      <c r="G1226" s="18" t="s">
        <v>17</v>
      </c>
      <c r="H1226" s="18" t="str">
        <f>Assumptions!$B$2</f>
        <v>Worst</v>
      </c>
      <c r="I1226" s="18">
        <f>_xlfn.XLOOKUP(Assumptions!$B$2,Assumptions!$F$4:$H$4,Assumptions!$F$5:$H$5)</f>
        <v>1200</v>
      </c>
      <c r="J1226" s="18">
        <f>_xlfn.XLOOKUP(Assumptions!$B$2,Assumptions!$F$4:$H$4,Assumptions!$F$6:$H$6)</f>
        <v>17</v>
      </c>
      <c r="K1226" s="12">
        <f>_xlfn.XLOOKUP(Assumptions!$B$2,Assumptions!$F$4:$H$4,Assumptions!$F$8:$H$8)</f>
        <v>0.1</v>
      </c>
      <c r="L1226" s="12">
        <f>_xlfn.XLOOKUP(Assumptions!$B$2,Assumptions!$F$4:$H$4,Assumptions!$F$9:$H$9)</f>
        <v>0.18</v>
      </c>
      <c r="M1226" s="18">
        <f>_xlfn.XLOOKUP(Assumptions!$B$2,Assumptions!$F$4:$H$4,Assumptions!$F$10:$H$10)</f>
        <v>18000</v>
      </c>
      <c r="N1226" s="12">
        <f>_xlfn.XLOOKUP(Assumptions!$B$2,Assumptions!$F$4:$H$4,Assumptions!$F$11:$H$11)</f>
        <v>0.3</v>
      </c>
      <c r="O1226" s="14">
        <f>Final_Table[[#This Row],[Units Sold]]*Final_Table[[#This Row],[Sale Price]]</f>
        <v>20400</v>
      </c>
      <c r="P1226" s="14">
        <f>Final_Table[[#This Row],[Gross Revenue]]*(1-Final_Table[[#This Row],[Discount %]])</f>
        <v>18360</v>
      </c>
      <c r="Q1226">
        <f>Final_Table[[#This Row],[Net Revenue]]*Final_Table[[#This Row],[Variable Cost %]]</f>
        <v>3304.7999999999997</v>
      </c>
      <c r="R1226">
        <f>Final_Table[[#This Row],[Variable Cost]]+Final_Table[[#This Row],[Fixed Monthly Cost]]</f>
        <v>21304.799999999999</v>
      </c>
      <c r="S1226" s="5">
        <f>Final_Table[[#This Row],[Net Revenue]]-Final_Table[[#This Row],[Total Cost (COGS)]]</f>
        <v>-2944.7999999999993</v>
      </c>
      <c r="T1226">
        <f>Final_Table[[#This Row],[Gross Profit]]*Final_Table[[#This Row],[Tax Rate]]</f>
        <v>-883.43999999999971</v>
      </c>
      <c r="U1226" s="5">
        <f>Final_Table[[#This Row],[Gross Profit]]-Final_Table[[#This Row],[Tax]]</f>
        <v>-2061.3599999999997</v>
      </c>
      <c r="V1226" s="12">
        <f>Final_Table[[#This Row],[Net Profit]]/Final_Table[[#This Row],[Gross Revenue]]</f>
        <v>-0.10104705882352939</v>
      </c>
    </row>
    <row r="1227" spans="1:22">
      <c r="A1227" s="18" t="s">
        <v>76</v>
      </c>
      <c r="B1227">
        <v>2014</v>
      </c>
      <c r="C1227" t="s">
        <v>127</v>
      </c>
      <c r="D1227">
        <v>1</v>
      </c>
      <c r="E1227" s="18" t="s">
        <v>32</v>
      </c>
      <c r="F1227" s="18" t="s">
        <v>80</v>
      </c>
      <c r="G1227" s="18" t="s">
        <v>36</v>
      </c>
      <c r="H1227" s="18" t="str">
        <f>Assumptions!$B$2</f>
        <v>Worst</v>
      </c>
      <c r="I1227" s="18">
        <f>_xlfn.XLOOKUP(Assumptions!$B$2,Assumptions!$F$4:$H$4,Assumptions!$F$5:$H$5)</f>
        <v>1200</v>
      </c>
      <c r="J1227" s="18">
        <f>_xlfn.XLOOKUP(Assumptions!$B$2,Assumptions!$F$4:$H$4,Assumptions!$F$6:$H$6)</f>
        <v>17</v>
      </c>
      <c r="K1227" s="12">
        <f>_xlfn.XLOOKUP(Assumptions!$B$2,Assumptions!$F$4:$H$4,Assumptions!$F$8:$H$8)</f>
        <v>0.1</v>
      </c>
      <c r="L1227" s="12">
        <f>_xlfn.XLOOKUP(Assumptions!$B$2,Assumptions!$F$4:$H$4,Assumptions!$F$9:$H$9)</f>
        <v>0.18</v>
      </c>
      <c r="M1227" s="18">
        <f>_xlfn.XLOOKUP(Assumptions!$B$2,Assumptions!$F$4:$H$4,Assumptions!$F$10:$H$10)</f>
        <v>18000</v>
      </c>
      <c r="N1227" s="12">
        <f>_xlfn.XLOOKUP(Assumptions!$B$2,Assumptions!$F$4:$H$4,Assumptions!$F$11:$H$11)</f>
        <v>0.3</v>
      </c>
      <c r="O1227" s="14">
        <f>Final_Table[[#This Row],[Units Sold]]*Final_Table[[#This Row],[Sale Price]]</f>
        <v>20400</v>
      </c>
      <c r="P1227" s="14">
        <f>Final_Table[[#This Row],[Gross Revenue]]*(1-Final_Table[[#This Row],[Discount %]])</f>
        <v>18360</v>
      </c>
      <c r="Q1227">
        <f>Final_Table[[#This Row],[Net Revenue]]*Final_Table[[#This Row],[Variable Cost %]]</f>
        <v>3304.7999999999997</v>
      </c>
      <c r="R1227">
        <f>Final_Table[[#This Row],[Variable Cost]]+Final_Table[[#This Row],[Fixed Monthly Cost]]</f>
        <v>21304.799999999999</v>
      </c>
      <c r="S1227" s="5">
        <f>Final_Table[[#This Row],[Net Revenue]]-Final_Table[[#This Row],[Total Cost (COGS)]]</f>
        <v>-2944.7999999999993</v>
      </c>
      <c r="T1227">
        <f>Final_Table[[#This Row],[Gross Profit]]*Final_Table[[#This Row],[Tax Rate]]</f>
        <v>-883.43999999999971</v>
      </c>
      <c r="U1227" s="5">
        <f>Final_Table[[#This Row],[Gross Profit]]-Final_Table[[#This Row],[Tax]]</f>
        <v>-2061.3599999999997</v>
      </c>
      <c r="V1227" s="12">
        <f>Final_Table[[#This Row],[Net Profit]]/Final_Table[[#This Row],[Gross Revenue]]</f>
        <v>-0.10104705882352939</v>
      </c>
    </row>
    <row r="1228" spans="1:22">
      <c r="A1228" s="18" t="s">
        <v>76</v>
      </c>
      <c r="B1228">
        <v>2014</v>
      </c>
      <c r="C1228" t="s">
        <v>127</v>
      </c>
      <c r="D1228">
        <v>1</v>
      </c>
      <c r="E1228" s="18" t="s">
        <v>32</v>
      </c>
      <c r="F1228" s="18" t="s">
        <v>80</v>
      </c>
      <c r="G1228" s="18" t="s">
        <v>23</v>
      </c>
      <c r="H1228" s="18" t="str">
        <f>Assumptions!$B$2</f>
        <v>Worst</v>
      </c>
      <c r="I1228" s="18">
        <f>_xlfn.XLOOKUP(Assumptions!$B$2,Assumptions!$F$4:$H$4,Assumptions!$F$5:$H$5)</f>
        <v>1200</v>
      </c>
      <c r="J1228" s="18">
        <f>_xlfn.XLOOKUP(Assumptions!$B$2,Assumptions!$F$4:$H$4,Assumptions!$F$6:$H$6)</f>
        <v>17</v>
      </c>
      <c r="K1228" s="12">
        <f>_xlfn.XLOOKUP(Assumptions!$B$2,Assumptions!$F$4:$H$4,Assumptions!$F$8:$H$8)</f>
        <v>0.1</v>
      </c>
      <c r="L1228" s="12">
        <f>_xlfn.XLOOKUP(Assumptions!$B$2,Assumptions!$F$4:$H$4,Assumptions!$F$9:$H$9)</f>
        <v>0.18</v>
      </c>
      <c r="M1228" s="18">
        <f>_xlfn.XLOOKUP(Assumptions!$B$2,Assumptions!$F$4:$H$4,Assumptions!$F$10:$H$10)</f>
        <v>18000</v>
      </c>
      <c r="N1228" s="12">
        <f>_xlfn.XLOOKUP(Assumptions!$B$2,Assumptions!$F$4:$H$4,Assumptions!$F$11:$H$11)</f>
        <v>0.3</v>
      </c>
      <c r="O1228" s="14">
        <f>Final_Table[[#This Row],[Units Sold]]*Final_Table[[#This Row],[Sale Price]]</f>
        <v>20400</v>
      </c>
      <c r="P1228" s="14">
        <f>Final_Table[[#This Row],[Gross Revenue]]*(1-Final_Table[[#This Row],[Discount %]])</f>
        <v>18360</v>
      </c>
      <c r="Q1228">
        <f>Final_Table[[#This Row],[Net Revenue]]*Final_Table[[#This Row],[Variable Cost %]]</f>
        <v>3304.7999999999997</v>
      </c>
      <c r="R1228">
        <f>Final_Table[[#This Row],[Variable Cost]]+Final_Table[[#This Row],[Fixed Monthly Cost]]</f>
        <v>21304.799999999999</v>
      </c>
      <c r="S1228" s="5">
        <f>Final_Table[[#This Row],[Net Revenue]]-Final_Table[[#This Row],[Total Cost (COGS)]]</f>
        <v>-2944.7999999999993</v>
      </c>
      <c r="T1228">
        <f>Final_Table[[#This Row],[Gross Profit]]*Final_Table[[#This Row],[Tax Rate]]</f>
        <v>-883.43999999999971</v>
      </c>
      <c r="U1228" s="5">
        <f>Final_Table[[#This Row],[Gross Profit]]-Final_Table[[#This Row],[Tax]]</f>
        <v>-2061.3599999999997</v>
      </c>
      <c r="V1228" s="12">
        <f>Final_Table[[#This Row],[Net Profit]]/Final_Table[[#This Row],[Gross Revenue]]</f>
        <v>-0.10104705882352939</v>
      </c>
    </row>
    <row r="1229" spans="1:22">
      <c r="A1229" s="18" t="s">
        <v>76</v>
      </c>
      <c r="B1229">
        <v>2014</v>
      </c>
      <c r="C1229" t="s">
        <v>127</v>
      </c>
      <c r="D1229">
        <v>1</v>
      </c>
      <c r="E1229" s="18" t="s">
        <v>32</v>
      </c>
      <c r="F1229" s="18" t="s">
        <v>80</v>
      </c>
      <c r="G1229" s="18" t="s">
        <v>21</v>
      </c>
      <c r="H1229" s="18" t="str">
        <f>Assumptions!$B$2</f>
        <v>Worst</v>
      </c>
      <c r="I1229" s="18">
        <f>_xlfn.XLOOKUP(Assumptions!$B$2,Assumptions!$F$4:$H$4,Assumptions!$F$5:$H$5)</f>
        <v>1200</v>
      </c>
      <c r="J1229" s="18">
        <f>_xlfn.XLOOKUP(Assumptions!$B$2,Assumptions!$F$4:$H$4,Assumptions!$F$6:$H$6)</f>
        <v>17</v>
      </c>
      <c r="K1229" s="12">
        <f>_xlfn.XLOOKUP(Assumptions!$B$2,Assumptions!$F$4:$H$4,Assumptions!$F$8:$H$8)</f>
        <v>0.1</v>
      </c>
      <c r="L1229" s="12">
        <f>_xlfn.XLOOKUP(Assumptions!$B$2,Assumptions!$F$4:$H$4,Assumptions!$F$9:$H$9)</f>
        <v>0.18</v>
      </c>
      <c r="M1229" s="18">
        <f>_xlfn.XLOOKUP(Assumptions!$B$2,Assumptions!$F$4:$H$4,Assumptions!$F$10:$H$10)</f>
        <v>18000</v>
      </c>
      <c r="N1229" s="12">
        <f>_xlfn.XLOOKUP(Assumptions!$B$2,Assumptions!$F$4:$H$4,Assumptions!$F$11:$H$11)</f>
        <v>0.3</v>
      </c>
      <c r="O1229" s="14">
        <f>Final_Table[[#This Row],[Units Sold]]*Final_Table[[#This Row],[Sale Price]]</f>
        <v>20400</v>
      </c>
      <c r="P1229" s="14">
        <f>Final_Table[[#This Row],[Gross Revenue]]*(1-Final_Table[[#This Row],[Discount %]])</f>
        <v>18360</v>
      </c>
      <c r="Q1229">
        <f>Final_Table[[#This Row],[Net Revenue]]*Final_Table[[#This Row],[Variable Cost %]]</f>
        <v>3304.7999999999997</v>
      </c>
      <c r="R1229">
        <f>Final_Table[[#This Row],[Variable Cost]]+Final_Table[[#This Row],[Fixed Monthly Cost]]</f>
        <v>21304.799999999999</v>
      </c>
      <c r="S1229" s="5">
        <f>Final_Table[[#This Row],[Net Revenue]]-Final_Table[[#This Row],[Total Cost (COGS)]]</f>
        <v>-2944.7999999999993</v>
      </c>
      <c r="T1229">
        <f>Final_Table[[#This Row],[Gross Profit]]*Final_Table[[#This Row],[Tax Rate]]</f>
        <v>-883.43999999999971</v>
      </c>
      <c r="U1229" s="5">
        <f>Final_Table[[#This Row],[Gross Profit]]-Final_Table[[#This Row],[Tax]]</f>
        <v>-2061.3599999999997</v>
      </c>
      <c r="V1229" s="12">
        <f>Final_Table[[#This Row],[Net Profit]]/Final_Table[[#This Row],[Gross Revenue]]</f>
        <v>-0.10104705882352939</v>
      </c>
    </row>
    <row r="1230" spans="1:22">
      <c r="A1230" s="18" t="s">
        <v>76</v>
      </c>
      <c r="B1230">
        <v>2014</v>
      </c>
      <c r="C1230" t="s">
        <v>127</v>
      </c>
      <c r="D1230">
        <v>1</v>
      </c>
      <c r="E1230" s="18" t="s">
        <v>32</v>
      </c>
      <c r="F1230" s="18" t="s">
        <v>80</v>
      </c>
      <c r="G1230" s="18" t="s">
        <v>25</v>
      </c>
      <c r="H1230" s="18" t="str">
        <f>Assumptions!$B$2</f>
        <v>Worst</v>
      </c>
      <c r="I1230" s="18">
        <f>_xlfn.XLOOKUP(Assumptions!$B$2,Assumptions!$F$4:$H$4,Assumptions!$F$5:$H$5)</f>
        <v>1200</v>
      </c>
      <c r="J1230" s="18">
        <f>_xlfn.XLOOKUP(Assumptions!$B$2,Assumptions!$F$4:$H$4,Assumptions!$F$6:$H$6)</f>
        <v>17</v>
      </c>
      <c r="K1230" s="12">
        <f>_xlfn.XLOOKUP(Assumptions!$B$2,Assumptions!$F$4:$H$4,Assumptions!$F$8:$H$8)</f>
        <v>0.1</v>
      </c>
      <c r="L1230" s="12">
        <f>_xlfn.XLOOKUP(Assumptions!$B$2,Assumptions!$F$4:$H$4,Assumptions!$F$9:$H$9)</f>
        <v>0.18</v>
      </c>
      <c r="M1230" s="18">
        <f>_xlfn.XLOOKUP(Assumptions!$B$2,Assumptions!$F$4:$H$4,Assumptions!$F$10:$H$10)</f>
        <v>18000</v>
      </c>
      <c r="N1230" s="12">
        <f>_xlfn.XLOOKUP(Assumptions!$B$2,Assumptions!$F$4:$H$4,Assumptions!$F$11:$H$11)</f>
        <v>0.3</v>
      </c>
      <c r="O1230" s="14">
        <f>Final_Table[[#This Row],[Units Sold]]*Final_Table[[#This Row],[Sale Price]]</f>
        <v>20400</v>
      </c>
      <c r="P1230" s="14">
        <f>Final_Table[[#This Row],[Gross Revenue]]*(1-Final_Table[[#This Row],[Discount %]])</f>
        <v>18360</v>
      </c>
      <c r="Q1230">
        <f>Final_Table[[#This Row],[Net Revenue]]*Final_Table[[#This Row],[Variable Cost %]]</f>
        <v>3304.7999999999997</v>
      </c>
      <c r="R1230">
        <f>Final_Table[[#This Row],[Variable Cost]]+Final_Table[[#This Row],[Fixed Monthly Cost]]</f>
        <v>21304.799999999999</v>
      </c>
      <c r="S1230" s="5">
        <f>Final_Table[[#This Row],[Net Revenue]]-Final_Table[[#This Row],[Total Cost (COGS)]]</f>
        <v>-2944.7999999999993</v>
      </c>
      <c r="T1230">
        <f>Final_Table[[#This Row],[Gross Profit]]*Final_Table[[#This Row],[Tax Rate]]</f>
        <v>-883.43999999999971</v>
      </c>
      <c r="U1230" s="5">
        <f>Final_Table[[#This Row],[Gross Profit]]-Final_Table[[#This Row],[Tax]]</f>
        <v>-2061.3599999999997</v>
      </c>
      <c r="V1230" s="12">
        <f>Final_Table[[#This Row],[Net Profit]]/Final_Table[[#This Row],[Gross Revenue]]</f>
        <v>-0.10104705882352939</v>
      </c>
    </row>
    <row r="1231" spans="1:22">
      <c r="A1231" s="18" t="s">
        <v>76</v>
      </c>
      <c r="B1231">
        <v>2014</v>
      </c>
      <c r="C1231" t="s">
        <v>127</v>
      </c>
      <c r="D1231">
        <v>1</v>
      </c>
      <c r="E1231" s="18" t="s">
        <v>32</v>
      </c>
      <c r="F1231" s="18" t="s">
        <v>80</v>
      </c>
      <c r="G1231" s="18" t="s">
        <v>17</v>
      </c>
      <c r="H1231" s="18" t="str">
        <f>Assumptions!$B$2</f>
        <v>Worst</v>
      </c>
      <c r="I1231" s="18">
        <f>_xlfn.XLOOKUP(Assumptions!$B$2,Assumptions!$F$4:$H$4,Assumptions!$F$5:$H$5)</f>
        <v>1200</v>
      </c>
      <c r="J1231" s="18">
        <f>_xlfn.XLOOKUP(Assumptions!$B$2,Assumptions!$F$4:$H$4,Assumptions!$F$6:$H$6)</f>
        <v>17</v>
      </c>
      <c r="K1231" s="12">
        <f>_xlfn.XLOOKUP(Assumptions!$B$2,Assumptions!$F$4:$H$4,Assumptions!$F$8:$H$8)</f>
        <v>0.1</v>
      </c>
      <c r="L1231" s="12">
        <f>_xlfn.XLOOKUP(Assumptions!$B$2,Assumptions!$F$4:$H$4,Assumptions!$F$9:$H$9)</f>
        <v>0.18</v>
      </c>
      <c r="M1231" s="18">
        <f>_xlfn.XLOOKUP(Assumptions!$B$2,Assumptions!$F$4:$H$4,Assumptions!$F$10:$H$10)</f>
        <v>18000</v>
      </c>
      <c r="N1231" s="12">
        <f>_xlfn.XLOOKUP(Assumptions!$B$2,Assumptions!$F$4:$H$4,Assumptions!$F$11:$H$11)</f>
        <v>0.3</v>
      </c>
      <c r="O1231" s="14">
        <f>Final_Table[[#This Row],[Units Sold]]*Final_Table[[#This Row],[Sale Price]]</f>
        <v>20400</v>
      </c>
      <c r="P1231" s="14">
        <f>Final_Table[[#This Row],[Gross Revenue]]*(1-Final_Table[[#This Row],[Discount %]])</f>
        <v>18360</v>
      </c>
      <c r="Q1231">
        <f>Final_Table[[#This Row],[Net Revenue]]*Final_Table[[#This Row],[Variable Cost %]]</f>
        <v>3304.7999999999997</v>
      </c>
      <c r="R1231">
        <f>Final_Table[[#This Row],[Variable Cost]]+Final_Table[[#This Row],[Fixed Monthly Cost]]</f>
        <v>21304.799999999999</v>
      </c>
      <c r="S1231" s="5">
        <f>Final_Table[[#This Row],[Net Revenue]]-Final_Table[[#This Row],[Total Cost (COGS)]]</f>
        <v>-2944.7999999999993</v>
      </c>
      <c r="T1231">
        <f>Final_Table[[#This Row],[Gross Profit]]*Final_Table[[#This Row],[Tax Rate]]</f>
        <v>-883.43999999999971</v>
      </c>
      <c r="U1231" s="5">
        <f>Final_Table[[#This Row],[Gross Profit]]-Final_Table[[#This Row],[Tax]]</f>
        <v>-2061.3599999999997</v>
      </c>
      <c r="V1231" s="12">
        <f>Final_Table[[#This Row],[Net Profit]]/Final_Table[[#This Row],[Gross Revenue]]</f>
        <v>-0.10104705882352939</v>
      </c>
    </row>
    <row r="1232" spans="1:22">
      <c r="A1232" s="18" t="s">
        <v>76</v>
      </c>
      <c r="B1232">
        <v>2014</v>
      </c>
      <c r="C1232" t="s">
        <v>127</v>
      </c>
      <c r="D1232">
        <v>1</v>
      </c>
      <c r="E1232" s="18" t="s">
        <v>32</v>
      </c>
      <c r="F1232" s="18" t="s">
        <v>108</v>
      </c>
      <c r="G1232" s="18" t="s">
        <v>36</v>
      </c>
      <c r="H1232" s="18" t="str">
        <f>Assumptions!$B$2</f>
        <v>Worst</v>
      </c>
      <c r="I1232" s="18">
        <f>_xlfn.XLOOKUP(Assumptions!$B$2,Assumptions!$F$4:$H$4,Assumptions!$F$5:$H$5)</f>
        <v>1200</v>
      </c>
      <c r="J1232" s="18">
        <f>_xlfn.XLOOKUP(Assumptions!$B$2,Assumptions!$F$4:$H$4,Assumptions!$F$6:$H$6)</f>
        <v>17</v>
      </c>
      <c r="K1232" s="12">
        <f>_xlfn.XLOOKUP(Assumptions!$B$2,Assumptions!$F$4:$H$4,Assumptions!$F$8:$H$8)</f>
        <v>0.1</v>
      </c>
      <c r="L1232" s="12">
        <f>_xlfn.XLOOKUP(Assumptions!$B$2,Assumptions!$F$4:$H$4,Assumptions!$F$9:$H$9)</f>
        <v>0.18</v>
      </c>
      <c r="M1232" s="18">
        <f>_xlfn.XLOOKUP(Assumptions!$B$2,Assumptions!$F$4:$H$4,Assumptions!$F$10:$H$10)</f>
        <v>18000</v>
      </c>
      <c r="N1232" s="12">
        <f>_xlfn.XLOOKUP(Assumptions!$B$2,Assumptions!$F$4:$H$4,Assumptions!$F$11:$H$11)</f>
        <v>0.3</v>
      </c>
      <c r="O1232" s="14">
        <f>Final_Table[[#This Row],[Units Sold]]*Final_Table[[#This Row],[Sale Price]]</f>
        <v>20400</v>
      </c>
      <c r="P1232" s="14">
        <f>Final_Table[[#This Row],[Gross Revenue]]*(1-Final_Table[[#This Row],[Discount %]])</f>
        <v>18360</v>
      </c>
      <c r="Q1232">
        <f>Final_Table[[#This Row],[Net Revenue]]*Final_Table[[#This Row],[Variable Cost %]]</f>
        <v>3304.7999999999997</v>
      </c>
      <c r="R1232">
        <f>Final_Table[[#This Row],[Variable Cost]]+Final_Table[[#This Row],[Fixed Monthly Cost]]</f>
        <v>21304.799999999999</v>
      </c>
      <c r="S1232" s="5">
        <f>Final_Table[[#This Row],[Net Revenue]]-Final_Table[[#This Row],[Total Cost (COGS)]]</f>
        <v>-2944.7999999999993</v>
      </c>
      <c r="T1232">
        <f>Final_Table[[#This Row],[Gross Profit]]*Final_Table[[#This Row],[Tax Rate]]</f>
        <v>-883.43999999999971</v>
      </c>
      <c r="U1232" s="5">
        <f>Final_Table[[#This Row],[Gross Profit]]-Final_Table[[#This Row],[Tax]]</f>
        <v>-2061.3599999999997</v>
      </c>
      <c r="V1232" s="12">
        <f>Final_Table[[#This Row],[Net Profit]]/Final_Table[[#This Row],[Gross Revenue]]</f>
        <v>-0.10104705882352939</v>
      </c>
    </row>
    <row r="1233" spans="1:22">
      <c r="A1233" s="18" t="s">
        <v>76</v>
      </c>
      <c r="B1233">
        <v>2014</v>
      </c>
      <c r="C1233" t="s">
        <v>127</v>
      </c>
      <c r="D1233">
        <v>1</v>
      </c>
      <c r="E1233" s="18" t="s">
        <v>32</v>
      </c>
      <c r="F1233" s="18" t="s">
        <v>108</v>
      </c>
      <c r="G1233" s="18" t="s">
        <v>23</v>
      </c>
      <c r="H1233" s="18" t="str">
        <f>Assumptions!$B$2</f>
        <v>Worst</v>
      </c>
      <c r="I1233" s="18">
        <f>_xlfn.XLOOKUP(Assumptions!$B$2,Assumptions!$F$4:$H$4,Assumptions!$F$5:$H$5)</f>
        <v>1200</v>
      </c>
      <c r="J1233" s="18">
        <f>_xlfn.XLOOKUP(Assumptions!$B$2,Assumptions!$F$4:$H$4,Assumptions!$F$6:$H$6)</f>
        <v>17</v>
      </c>
      <c r="K1233" s="12">
        <f>_xlfn.XLOOKUP(Assumptions!$B$2,Assumptions!$F$4:$H$4,Assumptions!$F$8:$H$8)</f>
        <v>0.1</v>
      </c>
      <c r="L1233" s="12">
        <f>_xlfn.XLOOKUP(Assumptions!$B$2,Assumptions!$F$4:$H$4,Assumptions!$F$9:$H$9)</f>
        <v>0.18</v>
      </c>
      <c r="M1233" s="18">
        <f>_xlfn.XLOOKUP(Assumptions!$B$2,Assumptions!$F$4:$H$4,Assumptions!$F$10:$H$10)</f>
        <v>18000</v>
      </c>
      <c r="N1233" s="12">
        <f>_xlfn.XLOOKUP(Assumptions!$B$2,Assumptions!$F$4:$H$4,Assumptions!$F$11:$H$11)</f>
        <v>0.3</v>
      </c>
      <c r="O1233" s="14">
        <f>Final_Table[[#This Row],[Units Sold]]*Final_Table[[#This Row],[Sale Price]]</f>
        <v>20400</v>
      </c>
      <c r="P1233" s="14">
        <f>Final_Table[[#This Row],[Gross Revenue]]*(1-Final_Table[[#This Row],[Discount %]])</f>
        <v>18360</v>
      </c>
      <c r="Q1233">
        <f>Final_Table[[#This Row],[Net Revenue]]*Final_Table[[#This Row],[Variable Cost %]]</f>
        <v>3304.7999999999997</v>
      </c>
      <c r="R1233">
        <f>Final_Table[[#This Row],[Variable Cost]]+Final_Table[[#This Row],[Fixed Monthly Cost]]</f>
        <v>21304.799999999999</v>
      </c>
      <c r="S1233" s="5">
        <f>Final_Table[[#This Row],[Net Revenue]]-Final_Table[[#This Row],[Total Cost (COGS)]]</f>
        <v>-2944.7999999999993</v>
      </c>
      <c r="T1233">
        <f>Final_Table[[#This Row],[Gross Profit]]*Final_Table[[#This Row],[Tax Rate]]</f>
        <v>-883.43999999999971</v>
      </c>
      <c r="U1233" s="5">
        <f>Final_Table[[#This Row],[Gross Profit]]-Final_Table[[#This Row],[Tax]]</f>
        <v>-2061.3599999999997</v>
      </c>
      <c r="V1233" s="12">
        <f>Final_Table[[#This Row],[Net Profit]]/Final_Table[[#This Row],[Gross Revenue]]</f>
        <v>-0.10104705882352939</v>
      </c>
    </row>
    <row r="1234" spans="1:22">
      <c r="A1234" s="18" t="s">
        <v>76</v>
      </c>
      <c r="B1234">
        <v>2014</v>
      </c>
      <c r="C1234" t="s">
        <v>127</v>
      </c>
      <c r="D1234">
        <v>1</v>
      </c>
      <c r="E1234" s="18" t="s">
        <v>32</v>
      </c>
      <c r="F1234" s="18" t="s">
        <v>108</v>
      </c>
      <c r="G1234" s="18" t="s">
        <v>21</v>
      </c>
      <c r="H1234" s="18" t="str">
        <f>Assumptions!$B$2</f>
        <v>Worst</v>
      </c>
      <c r="I1234" s="18">
        <f>_xlfn.XLOOKUP(Assumptions!$B$2,Assumptions!$F$4:$H$4,Assumptions!$F$5:$H$5)</f>
        <v>1200</v>
      </c>
      <c r="J1234" s="18">
        <f>_xlfn.XLOOKUP(Assumptions!$B$2,Assumptions!$F$4:$H$4,Assumptions!$F$6:$H$6)</f>
        <v>17</v>
      </c>
      <c r="K1234" s="12">
        <f>_xlfn.XLOOKUP(Assumptions!$B$2,Assumptions!$F$4:$H$4,Assumptions!$F$8:$H$8)</f>
        <v>0.1</v>
      </c>
      <c r="L1234" s="12">
        <f>_xlfn.XLOOKUP(Assumptions!$B$2,Assumptions!$F$4:$H$4,Assumptions!$F$9:$H$9)</f>
        <v>0.18</v>
      </c>
      <c r="M1234" s="18">
        <f>_xlfn.XLOOKUP(Assumptions!$B$2,Assumptions!$F$4:$H$4,Assumptions!$F$10:$H$10)</f>
        <v>18000</v>
      </c>
      <c r="N1234" s="12">
        <f>_xlfn.XLOOKUP(Assumptions!$B$2,Assumptions!$F$4:$H$4,Assumptions!$F$11:$H$11)</f>
        <v>0.3</v>
      </c>
      <c r="O1234" s="14">
        <f>Final_Table[[#This Row],[Units Sold]]*Final_Table[[#This Row],[Sale Price]]</f>
        <v>20400</v>
      </c>
      <c r="P1234" s="14">
        <f>Final_Table[[#This Row],[Gross Revenue]]*(1-Final_Table[[#This Row],[Discount %]])</f>
        <v>18360</v>
      </c>
      <c r="Q1234">
        <f>Final_Table[[#This Row],[Net Revenue]]*Final_Table[[#This Row],[Variable Cost %]]</f>
        <v>3304.7999999999997</v>
      </c>
      <c r="R1234">
        <f>Final_Table[[#This Row],[Variable Cost]]+Final_Table[[#This Row],[Fixed Monthly Cost]]</f>
        <v>21304.799999999999</v>
      </c>
      <c r="S1234" s="5">
        <f>Final_Table[[#This Row],[Net Revenue]]-Final_Table[[#This Row],[Total Cost (COGS)]]</f>
        <v>-2944.7999999999993</v>
      </c>
      <c r="T1234">
        <f>Final_Table[[#This Row],[Gross Profit]]*Final_Table[[#This Row],[Tax Rate]]</f>
        <v>-883.43999999999971</v>
      </c>
      <c r="U1234" s="5">
        <f>Final_Table[[#This Row],[Gross Profit]]-Final_Table[[#This Row],[Tax]]</f>
        <v>-2061.3599999999997</v>
      </c>
      <c r="V1234" s="12">
        <f>Final_Table[[#This Row],[Net Profit]]/Final_Table[[#This Row],[Gross Revenue]]</f>
        <v>-0.10104705882352939</v>
      </c>
    </row>
    <row r="1235" spans="1:22">
      <c r="A1235" s="18" t="s">
        <v>76</v>
      </c>
      <c r="B1235">
        <v>2014</v>
      </c>
      <c r="C1235" t="s">
        <v>127</v>
      </c>
      <c r="D1235">
        <v>1</v>
      </c>
      <c r="E1235" s="18" t="s">
        <v>32</v>
      </c>
      <c r="F1235" s="18" t="s">
        <v>108</v>
      </c>
      <c r="G1235" s="18" t="s">
        <v>25</v>
      </c>
      <c r="H1235" s="18" t="str">
        <f>Assumptions!$B$2</f>
        <v>Worst</v>
      </c>
      <c r="I1235" s="18">
        <f>_xlfn.XLOOKUP(Assumptions!$B$2,Assumptions!$F$4:$H$4,Assumptions!$F$5:$H$5)</f>
        <v>1200</v>
      </c>
      <c r="J1235" s="18">
        <f>_xlfn.XLOOKUP(Assumptions!$B$2,Assumptions!$F$4:$H$4,Assumptions!$F$6:$H$6)</f>
        <v>17</v>
      </c>
      <c r="K1235" s="12">
        <f>_xlfn.XLOOKUP(Assumptions!$B$2,Assumptions!$F$4:$H$4,Assumptions!$F$8:$H$8)</f>
        <v>0.1</v>
      </c>
      <c r="L1235" s="12">
        <f>_xlfn.XLOOKUP(Assumptions!$B$2,Assumptions!$F$4:$H$4,Assumptions!$F$9:$H$9)</f>
        <v>0.18</v>
      </c>
      <c r="M1235" s="18">
        <f>_xlfn.XLOOKUP(Assumptions!$B$2,Assumptions!$F$4:$H$4,Assumptions!$F$10:$H$10)</f>
        <v>18000</v>
      </c>
      <c r="N1235" s="12">
        <f>_xlfn.XLOOKUP(Assumptions!$B$2,Assumptions!$F$4:$H$4,Assumptions!$F$11:$H$11)</f>
        <v>0.3</v>
      </c>
      <c r="O1235" s="14">
        <f>Final_Table[[#This Row],[Units Sold]]*Final_Table[[#This Row],[Sale Price]]</f>
        <v>20400</v>
      </c>
      <c r="P1235" s="14">
        <f>Final_Table[[#This Row],[Gross Revenue]]*(1-Final_Table[[#This Row],[Discount %]])</f>
        <v>18360</v>
      </c>
      <c r="Q1235">
        <f>Final_Table[[#This Row],[Net Revenue]]*Final_Table[[#This Row],[Variable Cost %]]</f>
        <v>3304.7999999999997</v>
      </c>
      <c r="R1235">
        <f>Final_Table[[#This Row],[Variable Cost]]+Final_Table[[#This Row],[Fixed Monthly Cost]]</f>
        <v>21304.799999999999</v>
      </c>
      <c r="S1235" s="5">
        <f>Final_Table[[#This Row],[Net Revenue]]-Final_Table[[#This Row],[Total Cost (COGS)]]</f>
        <v>-2944.7999999999993</v>
      </c>
      <c r="T1235">
        <f>Final_Table[[#This Row],[Gross Profit]]*Final_Table[[#This Row],[Tax Rate]]</f>
        <v>-883.43999999999971</v>
      </c>
      <c r="U1235" s="5">
        <f>Final_Table[[#This Row],[Gross Profit]]-Final_Table[[#This Row],[Tax]]</f>
        <v>-2061.3599999999997</v>
      </c>
      <c r="V1235" s="12">
        <f>Final_Table[[#This Row],[Net Profit]]/Final_Table[[#This Row],[Gross Revenue]]</f>
        <v>-0.10104705882352939</v>
      </c>
    </row>
    <row r="1236" spans="1:22">
      <c r="A1236" s="18" t="s">
        <v>76</v>
      </c>
      <c r="B1236">
        <v>2014</v>
      </c>
      <c r="C1236" t="s">
        <v>127</v>
      </c>
      <c r="D1236">
        <v>1</v>
      </c>
      <c r="E1236" s="18" t="s">
        <v>32</v>
      </c>
      <c r="F1236" s="18" t="s">
        <v>108</v>
      </c>
      <c r="G1236" s="18" t="s">
        <v>17</v>
      </c>
      <c r="H1236" s="18" t="str">
        <f>Assumptions!$B$2</f>
        <v>Worst</v>
      </c>
      <c r="I1236" s="18">
        <f>_xlfn.XLOOKUP(Assumptions!$B$2,Assumptions!$F$4:$H$4,Assumptions!$F$5:$H$5)</f>
        <v>1200</v>
      </c>
      <c r="J1236" s="18">
        <f>_xlfn.XLOOKUP(Assumptions!$B$2,Assumptions!$F$4:$H$4,Assumptions!$F$6:$H$6)</f>
        <v>17</v>
      </c>
      <c r="K1236" s="12">
        <f>_xlfn.XLOOKUP(Assumptions!$B$2,Assumptions!$F$4:$H$4,Assumptions!$F$8:$H$8)</f>
        <v>0.1</v>
      </c>
      <c r="L1236" s="12">
        <f>_xlfn.XLOOKUP(Assumptions!$B$2,Assumptions!$F$4:$H$4,Assumptions!$F$9:$H$9)</f>
        <v>0.18</v>
      </c>
      <c r="M1236" s="18">
        <f>_xlfn.XLOOKUP(Assumptions!$B$2,Assumptions!$F$4:$H$4,Assumptions!$F$10:$H$10)</f>
        <v>18000</v>
      </c>
      <c r="N1236" s="12">
        <f>_xlfn.XLOOKUP(Assumptions!$B$2,Assumptions!$F$4:$H$4,Assumptions!$F$11:$H$11)</f>
        <v>0.3</v>
      </c>
      <c r="O1236" s="14">
        <f>Final_Table[[#This Row],[Units Sold]]*Final_Table[[#This Row],[Sale Price]]</f>
        <v>20400</v>
      </c>
      <c r="P1236" s="14">
        <f>Final_Table[[#This Row],[Gross Revenue]]*(1-Final_Table[[#This Row],[Discount %]])</f>
        <v>18360</v>
      </c>
      <c r="Q1236">
        <f>Final_Table[[#This Row],[Net Revenue]]*Final_Table[[#This Row],[Variable Cost %]]</f>
        <v>3304.7999999999997</v>
      </c>
      <c r="R1236">
        <f>Final_Table[[#This Row],[Variable Cost]]+Final_Table[[#This Row],[Fixed Monthly Cost]]</f>
        <v>21304.799999999999</v>
      </c>
      <c r="S1236" s="5">
        <f>Final_Table[[#This Row],[Net Revenue]]-Final_Table[[#This Row],[Total Cost (COGS)]]</f>
        <v>-2944.7999999999993</v>
      </c>
      <c r="T1236">
        <f>Final_Table[[#This Row],[Gross Profit]]*Final_Table[[#This Row],[Tax Rate]]</f>
        <v>-883.43999999999971</v>
      </c>
      <c r="U1236" s="5">
        <f>Final_Table[[#This Row],[Gross Profit]]-Final_Table[[#This Row],[Tax]]</f>
        <v>-2061.3599999999997</v>
      </c>
      <c r="V1236" s="12">
        <f>Final_Table[[#This Row],[Net Profit]]/Final_Table[[#This Row],[Gross Revenue]]</f>
        <v>-0.10104705882352939</v>
      </c>
    </row>
    <row r="1237" spans="1:22">
      <c r="A1237" s="18" t="s">
        <v>76</v>
      </c>
      <c r="B1237">
        <v>2014</v>
      </c>
      <c r="C1237" t="s">
        <v>127</v>
      </c>
      <c r="D1237">
        <v>1</v>
      </c>
      <c r="E1237" s="18" t="s">
        <v>32</v>
      </c>
      <c r="F1237" s="18" t="s">
        <v>112</v>
      </c>
      <c r="G1237" s="18" t="s">
        <v>36</v>
      </c>
      <c r="H1237" s="18" t="str">
        <f>Assumptions!$B$2</f>
        <v>Worst</v>
      </c>
      <c r="I1237" s="18">
        <f>_xlfn.XLOOKUP(Assumptions!$B$2,Assumptions!$F$4:$H$4,Assumptions!$F$5:$H$5)</f>
        <v>1200</v>
      </c>
      <c r="J1237" s="18">
        <f>_xlfn.XLOOKUP(Assumptions!$B$2,Assumptions!$F$4:$H$4,Assumptions!$F$6:$H$6)</f>
        <v>17</v>
      </c>
      <c r="K1237" s="12">
        <f>_xlfn.XLOOKUP(Assumptions!$B$2,Assumptions!$F$4:$H$4,Assumptions!$F$8:$H$8)</f>
        <v>0.1</v>
      </c>
      <c r="L1237" s="12">
        <f>_xlfn.XLOOKUP(Assumptions!$B$2,Assumptions!$F$4:$H$4,Assumptions!$F$9:$H$9)</f>
        <v>0.18</v>
      </c>
      <c r="M1237" s="18">
        <f>_xlfn.XLOOKUP(Assumptions!$B$2,Assumptions!$F$4:$H$4,Assumptions!$F$10:$H$10)</f>
        <v>18000</v>
      </c>
      <c r="N1237" s="12">
        <f>_xlfn.XLOOKUP(Assumptions!$B$2,Assumptions!$F$4:$H$4,Assumptions!$F$11:$H$11)</f>
        <v>0.3</v>
      </c>
      <c r="O1237" s="14">
        <f>Final_Table[[#This Row],[Units Sold]]*Final_Table[[#This Row],[Sale Price]]</f>
        <v>20400</v>
      </c>
      <c r="P1237" s="14">
        <f>Final_Table[[#This Row],[Gross Revenue]]*(1-Final_Table[[#This Row],[Discount %]])</f>
        <v>18360</v>
      </c>
      <c r="Q1237">
        <f>Final_Table[[#This Row],[Net Revenue]]*Final_Table[[#This Row],[Variable Cost %]]</f>
        <v>3304.7999999999997</v>
      </c>
      <c r="R1237">
        <f>Final_Table[[#This Row],[Variable Cost]]+Final_Table[[#This Row],[Fixed Monthly Cost]]</f>
        <v>21304.799999999999</v>
      </c>
      <c r="S1237" s="5">
        <f>Final_Table[[#This Row],[Net Revenue]]-Final_Table[[#This Row],[Total Cost (COGS)]]</f>
        <v>-2944.7999999999993</v>
      </c>
      <c r="T1237">
        <f>Final_Table[[#This Row],[Gross Profit]]*Final_Table[[#This Row],[Tax Rate]]</f>
        <v>-883.43999999999971</v>
      </c>
      <c r="U1237" s="5">
        <f>Final_Table[[#This Row],[Gross Profit]]-Final_Table[[#This Row],[Tax]]</f>
        <v>-2061.3599999999997</v>
      </c>
      <c r="V1237" s="12">
        <f>Final_Table[[#This Row],[Net Profit]]/Final_Table[[#This Row],[Gross Revenue]]</f>
        <v>-0.10104705882352939</v>
      </c>
    </row>
    <row r="1238" spans="1:22">
      <c r="A1238" s="18" t="s">
        <v>76</v>
      </c>
      <c r="B1238">
        <v>2014</v>
      </c>
      <c r="C1238" t="s">
        <v>127</v>
      </c>
      <c r="D1238">
        <v>1</v>
      </c>
      <c r="E1238" s="18" t="s">
        <v>32</v>
      </c>
      <c r="F1238" s="18" t="s">
        <v>112</v>
      </c>
      <c r="G1238" s="18" t="s">
        <v>23</v>
      </c>
      <c r="H1238" s="18" t="str">
        <f>Assumptions!$B$2</f>
        <v>Worst</v>
      </c>
      <c r="I1238" s="18">
        <f>_xlfn.XLOOKUP(Assumptions!$B$2,Assumptions!$F$4:$H$4,Assumptions!$F$5:$H$5)</f>
        <v>1200</v>
      </c>
      <c r="J1238" s="18">
        <f>_xlfn.XLOOKUP(Assumptions!$B$2,Assumptions!$F$4:$H$4,Assumptions!$F$6:$H$6)</f>
        <v>17</v>
      </c>
      <c r="K1238" s="12">
        <f>_xlfn.XLOOKUP(Assumptions!$B$2,Assumptions!$F$4:$H$4,Assumptions!$F$8:$H$8)</f>
        <v>0.1</v>
      </c>
      <c r="L1238" s="12">
        <f>_xlfn.XLOOKUP(Assumptions!$B$2,Assumptions!$F$4:$H$4,Assumptions!$F$9:$H$9)</f>
        <v>0.18</v>
      </c>
      <c r="M1238" s="18">
        <f>_xlfn.XLOOKUP(Assumptions!$B$2,Assumptions!$F$4:$H$4,Assumptions!$F$10:$H$10)</f>
        <v>18000</v>
      </c>
      <c r="N1238" s="12">
        <f>_xlfn.XLOOKUP(Assumptions!$B$2,Assumptions!$F$4:$H$4,Assumptions!$F$11:$H$11)</f>
        <v>0.3</v>
      </c>
      <c r="O1238" s="14">
        <f>Final_Table[[#This Row],[Units Sold]]*Final_Table[[#This Row],[Sale Price]]</f>
        <v>20400</v>
      </c>
      <c r="P1238" s="14">
        <f>Final_Table[[#This Row],[Gross Revenue]]*(1-Final_Table[[#This Row],[Discount %]])</f>
        <v>18360</v>
      </c>
      <c r="Q1238">
        <f>Final_Table[[#This Row],[Net Revenue]]*Final_Table[[#This Row],[Variable Cost %]]</f>
        <v>3304.7999999999997</v>
      </c>
      <c r="R1238">
        <f>Final_Table[[#This Row],[Variable Cost]]+Final_Table[[#This Row],[Fixed Monthly Cost]]</f>
        <v>21304.799999999999</v>
      </c>
      <c r="S1238" s="5">
        <f>Final_Table[[#This Row],[Net Revenue]]-Final_Table[[#This Row],[Total Cost (COGS)]]</f>
        <v>-2944.7999999999993</v>
      </c>
      <c r="T1238">
        <f>Final_Table[[#This Row],[Gross Profit]]*Final_Table[[#This Row],[Tax Rate]]</f>
        <v>-883.43999999999971</v>
      </c>
      <c r="U1238" s="5">
        <f>Final_Table[[#This Row],[Gross Profit]]-Final_Table[[#This Row],[Tax]]</f>
        <v>-2061.3599999999997</v>
      </c>
      <c r="V1238" s="12">
        <f>Final_Table[[#This Row],[Net Profit]]/Final_Table[[#This Row],[Gross Revenue]]</f>
        <v>-0.10104705882352939</v>
      </c>
    </row>
    <row r="1239" spans="1:22">
      <c r="A1239" s="18" t="s">
        <v>76</v>
      </c>
      <c r="B1239">
        <v>2014</v>
      </c>
      <c r="C1239" t="s">
        <v>127</v>
      </c>
      <c r="D1239">
        <v>1</v>
      </c>
      <c r="E1239" s="18" t="s">
        <v>32</v>
      </c>
      <c r="F1239" s="18" t="s">
        <v>112</v>
      </c>
      <c r="G1239" s="18" t="s">
        <v>21</v>
      </c>
      <c r="H1239" s="18" t="str">
        <f>Assumptions!$B$2</f>
        <v>Worst</v>
      </c>
      <c r="I1239" s="18">
        <f>_xlfn.XLOOKUP(Assumptions!$B$2,Assumptions!$F$4:$H$4,Assumptions!$F$5:$H$5)</f>
        <v>1200</v>
      </c>
      <c r="J1239" s="18">
        <f>_xlfn.XLOOKUP(Assumptions!$B$2,Assumptions!$F$4:$H$4,Assumptions!$F$6:$H$6)</f>
        <v>17</v>
      </c>
      <c r="K1239" s="12">
        <f>_xlfn.XLOOKUP(Assumptions!$B$2,Assumptions!$F$4:$H$4,Assumptions!$F$8:$H$8)</f>
        <v>0.1</v>
      </c>
      <c r="L1239" s="12">
        <f>_xlfn.XLOOKUP(Assumptions!$B$2,Assumptions!$F$4:$H$4,Assumptions!$F$9:$H$9)</f>
        <v>0.18</v>
      </c>
      <c r="M1239" s="18">
        <f>_xlfn.XLOOKUP(Assumptions!$B$2,Assumptions!$F$4:$H$4,Assumptions!$F$10:$H$10)</f>
        <v>18000</v>
      </c>
      <c r="N1239" s="12">
        <f>_xlfn.XLOOKUP(Assumptions!$B$2,Assumptions!$F$4:$H$4,Assumptions!$F$11:$H$11)</f>
        <v>0.3</v>
      </c>
      <c r="O1239" s="14">
        <f>Final_Table[[#This Row],[Units Sold]]*Final_Table[[#This Row],[Sale Price]]</f>
        <v>20400</v>
      </c>
      <c r="P1239" s="14">
        <f>Final_Table[[#This Row],[Gross Revenue]]*(1-Final_Table[[#This Row],[Discount %]])</f>
        <v>18360</v>
      </c>
      <c r="Q1239">
        <f>Final_Table[[#This Row],[Net Revenue]]*Final_Table[[#This Row],[Variable Cost %]]</f>
        <v>3304.7999999999997</v>
      </c>
      <c r="R1239">
        <f>Final_Table[[#This Row],[Variable Cost]]+Final_Table[[#This Row],[Fixed Monthly Cost]]</f>
        <v>21304.799999999999</v>
      </c>
      <c r="S1239" s="5">
        <f>Final_Table[[#This Row],[Net Revenue]]-Final_Table[[#This Row],[Total Cost (COGS)]]</f>
        <v>-2944.7999999999993</v>
      </c>
      <c r="T1239">
        <f>Final_Table[[#This Row],[Gross Profit]]*Final_Table[[#This Row],[Tax Rate]]</f>
        <v>-883.43999999999971</v>
      </c>
      <c r="U1239" s="5">
        <f>Final_Table[[#This Row],[Gross Profit]]-Final_Table[[#This Row],[Tax]]</f>
        <v>-2061.3599999999997</v>
      </c>
      <c r="V1239" s="12">
        <f>Final_Table[[#This Row],[Net Profit]]/Final_Table[[#This Row],[Gross Revenue]]</f>
        <v>-0.10104705882352939</v>
      </c>
    </row>
    <row r="1240" spans="1:22">
      <c r="A1240" s="18" t="s">
        <v>76</v>
      </c>
      <c r="B1240">
        <v>2014</v>
      </c>
      <c r="C1240" t="s">
        <v>127</v>
      </c>
      <c r="D1240">
        <v>1</v>
      </c>
      <c r="E1240" s="18" t="s">
        <v>32</v>
      </c>
      <c r="F1240" s="18" t="s">
        <v>112</v>
      </c>
      <c r="G1240" s="18" t="s">
        <v>25</v>
      </c>
      <c r="H1240" s="18" t="str">
        <f>Assumptions!$B$2</f>
        <v>Worst</v>
      </c>
      <c r="I1240" s="18">
        <f>_xlfn.XLOOKUP(Assumptions!$B$2,Assumptions!$F$4:$H$4,Assumptions!$F$5:$H$5)</f>
        <v>1200</v>
      </c>
      <c r="J1240" s="18">
        <f>_xlfn.XLOOKUP(Assumptions!$B$2,Assumptions!$F$4:$H$4,Assumptions!$F$6:$H$6)</f>
        <v>17</v>
      </c>
      <c r="K1240" s="12">
        <f>_xlfn.XLOOKUP(Assumptions!$B$2,Assumptions!$F$4:$H$4,Assumptions!$F$8:$H$8)</f>
        <v>0.1</v>
      </c>
      <c r="L1240" s="12">
        <f>_xlfn.XLOOKUP(Assumptions!$B$2,Assumptions!$F$4:$H$4,Assumptions!$F$9:$H$9)</f>
        <v>0.18</v>
      </c>
      <c r="M1240" s="18">
        <f>_xlfn.XLOOKUP(Assumptions!$B$2,Assumptions!$F$4:$H$4,Assumptions!$F$10:$H$10)</f>
        <v>18000</v>
      </c>
      <c r="N1240" s="12">
        <f>_xlfn.XLOOKUP(Assumptions!$B$2,Assumptions!$F$4:$H$4,Assumptions!$F$11:$H$11)</f>
        <v>0.3</v>
      </c>
      <c r="O1240" s="14">
        <f>Final_Table[[#This Row],[Units Sold]]*Final_Table[[#This Row],[Sale Price]]</f>
        <v>20400</v>
      </c>
      <c r="P1240" s="14">
        <f>Final_Table[[#This Row],[Gross Revenue]]*(1-Final_Table[[#This Row],[Discount %]])</f>
        <v>18360</v>
      </c>
      <c r="Q1240">
        <f>Final_Table[[#This Row],[Net Revenue]]*Final_Table[[#This Row],[Variable Cost %]]</f>
        <v>3304.7999999999997</v>
      </c>
      <c r="R1240">
        <f>Final_Table[[#This Row],[Variable Cost]]+Final_Table[[#This Row],[Fixed Monthly Cost]]</f>
        <v>21304.799999999999</v>
      </c>
      <c r="S1240" s="5">
        <f>Final_Table[[#This Row],[Net Revenue]]-Final_Table[[#This Row],[Total Cost (COGS)]]</f>
        <v>-2944.7999999999993</v>
      </c>
      <c r="T1240">
        <f>Final_Table[[#This Row],[Gross Profit]]*Final_Table[[#This Row],[Tax Rate]]</f>
        <v>-883.43999999999971</v>
      </c>
      <c r="U1240" s="5">
        <f>Final_Table[[#This Row],[Gross Profit]]-Final_Table[[#This Row],[Tax]]</f>
        <v>-2061.3599999999997</v>
      </c>
      <c r="V1240" s="12">
        <f>Final_Table[[#This Row],[Net Profit]]/Final_Table[[#This Row],[Gross Revenue]]</f>
        <v>-0.10104705882352939</v>
      </c>
    </row>
    <row r="1241" spans="1:22">
      <c r="A1241" s="18" t="s">
        <v>76</v>
      </c>
      <c r="B1241">
        <v>2014</v>
      </c>
      <c r="C1241" t="s">
        <v>127</v>
      </c>
      <c r="D1241">
        <v>1</v>
      </c>
      <c r="E1241" s="18" t="s">
        <v>32</v>
      </c>
      <c r="F1241" s="18" t="s">
        <v>112</v>
      </c>
      <c r="G1241" s="18" t="s">
        <v>17</v>
      </c>
      <c r="H1241" s="18" t="str">
        <f>Assumptions!$B$2</f>
        <v>Worst</v>
      </c>
      <c r="I1241" s="18">
        <f>_xlfn.XLOOKUP(Assumptions!$B$2,Assumptions!$F$4:$H$4,Assumptions!$F$5:$H$5)</f>
        <v>1200</v>
      </c>
      <c r="J1241" s="18">
        <f>_xlfn.XLOOKUP(Assumptions!$B$2,Assumptions!$F$4:$H$4,Assumptions!$F$6:$H$6)</f>
        <v>17</v>
      </c>
      <c r="K1241" s="12">
        <f>_xlfn.XLOOKUP(Assumptions!$B$2,Assumptions!$F$4:$H$4,Assumptions!$F$8:$H$8)</f>
        <v>0.1</v>
      </c>
      <c r="L1241" s="12">
        <f>_xlfn.XLOOKUP(Assumptions!$B$2,Assumptions!$F$4:$H$4,Assumptions!$F$9:$H$9)</f>
        <v>0.18</v>
      </c>
      <c r="M1241" s="18">
        <f>_xlfn.XLOOKUP(Assumptions!$B$2,Assumptions!$F$4:$H$4,Assumptions!$F$10:$H$10)</f>
        <v>18000</v>
      </c>
      <c r="N1241" s="12">
        <f>_xlfn.XLOOKUP(Assumptions!$B$2,Assumptions!$F$4:$H$4,Assumptions!$F$11:$H$11)</f>
        <v>0.3</v>
      </c>
      <c r="O1241" s="14">
        <f>Final_Table[[#This Row],[Units Sold]]*Final_Table[[#This Row],[Sale Price]]</f>
        <v>20400</v>
      </c>
      <c r="P1241" s="14">
        <f>Final_Table[[#This Row],[Gross Revenue]]*(1-Final_Table[[#This Row],[Discount %]])</f>
        <v>18360</v>
      </c>
      <c r="Q1241">
        <f>Final_Table[[#This Row],[Net Revenue]]*Final_Table[[#This Row],[Variable Cost %]]</f>
        <v>3304.7999999999997</v>
      </c>
      <c r="R1241">
        <f>Final_Table[[#This Row],[Variable Cost]]+Final_Table[[#This Row],[Fixed Monthly Cost]]</f>
        <v>21304.799999999999</v>
      </c>
      <c r="S1241" s="5">
        <f>Final_Table[[#This Row],[Net Revenue]]-Final_Table[[#This Row],[Total Cost (COGS)]]</f>
        <v>-2944.7999999999993</v>
      </c>
      <c r="T1241">
        <f>Final_Table[[#This Row],[Gross Profit]]*Final_Table[[#This Row],[Tax Rate]]</f>
        <v>-883.43999999999971</v>
      </c>
      <c r="U1241" s="5">
        <f>Final_Table[[#This Row],[Gross Profit]]-Final_Table[[#This Row],[Tax]]</f>
        <v>-2061.3599999999997</v>
      </c>
      <c r="V1241" s="12">
        <f>Final_Table[[#This Row],[Net Profit]]/Final_Table[[#This Row],[Gross Revenue]]</f>
        <v>-0.10104705882352939</v>
      </c>
    </row>
    <row r="1242" spans="1:22">
      <c r="A1242" s="18" t="s">
        <v>76</v>
      </c>
      <c r="B1242">
        <v>2014</v>
      </c>
      <c r="C1242" t="s">
        <v>127</v>
      </c>
      <c r="D1242">
        <v>1</v>
      </c>
      <c r="E1242" s="18" t="s">
        <v>32</v>
      </c>
      <c r="F1242" s="18" t="s">
        <v>113</v>
      </c>
      <c r="G1242" s="18" t="s">
        <v>36</v>
      </c>
      <c r="H1242" s="18" t="str">
        <f>Assumptions!$B$2</f>
        <v>Worst</v>
      </c>
      <c r="I1242" s="18">
        <f>_xlfn.XLOOKUP(Assumptions!$B$2,Assumptions!$F$4:$H$4,Assumptions!$F$5:$H$5)</f>
        <v>1200</v>
      </c>
      <c r="J1242" s="18">
        <f>_xlfn.XLOOKUP(Assumptions!$B$2,Assumptions!$F$4:$H$4,Assumptions!$F$6:$H$6)</f>
        <v>17</v>
      </c>
      <c r="K1242" s="12">
        <f>_xlfn.XLOOKUP(Assumptions!$B$2,Assumptions!$F$4:$H$4,Assumptions!$F$8:$H$8)</f>
        <v>0.1</v>
      </c>
      <c r="L1242" s="12">
        <f>_xlfn.XLOOKUP(Assumptions!$B$2,Assumptions!$F$4:$H$4,Assumptions!$F$9:$H$9)</f>
        <v>0.18</v>
      </c>
      <c r="M1242" s="18">
        <f>_xlfn.XLOOKUP(Assumptions!$B$2,Assumptions!$F$4:$H$4,Assumptions!$F$10:$H$10)</f>
        <v>18000</v>
      </c>
      <c r="N1242" s="12">
        <f>_xlfn.XLOOKUP(Assumptions!$B$2,Assumptions!$F$4:$H$4,Assumptions!$F$11:$H$11)</f>
        <v>0.3</v>
      </c>
      <c r="O1242" s="14">
        <f>Final_Table[[#This Row],[Units Sold]]*Final_Table[[#This Row],[Sale Price]]</f>
        <v>20400</v>
      </c>
      <c r="P1242" s="14">
        <f>Final_Table[[#This Row],[Gross Revenue]]*(1-Final_Table[[#This Row],[Discount %]])</f>
        <v>18360</v>
      </c>
      <c r="Q1242">
        <f>Final_Table[[#This Row],[Net Revenue]]*Final_Table[[#This Row],[Variable Cost %]]</f>
        <v>3304.7999999999997</v>
      </c>
      <c r="R1242">
        <f>Final_Table[[#This Row],[Variable Cost]]+Final_Table[[#This Row],[Fixed Monthly Cost]]</f>
        <v>21304.799999999999</v>
      </c>
      <c r="S1242" s="5">
        <f>Final_Table[[#This Row],[Net Revenue]]-Final_Table[[#This Row],[Total Cost (COGS)]]</f>
        <v>-2944.7999999999993</v>
      </c>
      <c r="T1242">
        <f>Final_Table[[#This Row],[Gross Profit]]*Final_Table[[#This Row],[Tax Rate]]</f>
        <v>-883.43999999999971</v>
      </c>
      <c r="U1242" s="5">
        <f>Final_Table[[#This Row],[Gross Profit]]-Final_Table[[#This Row],[Tax]]</f>
        <v>-2061.3599999999997</v>
      </c>
      <c r="V1242" s="12">
        <f>Final_Table[[#This Row],[Net Profit]]/Final_Table[[#This Row],[Gross Revenue]]</f>
        <v>-0.10104705882352939</v>
      </c>
    </row>
    <row r="1243" spans="1:22">
      <c r="A1243" s="18" t="s">
        <v>76</v>
      </c>
      <c r="B1243">
        <v>2014</v>
      </c>
      <c r="C1243" t="s">
        <v>127</v>
      </c>
      <c r="D1243">
        <v>1</v>
      </c>
      <c r="E1243" s="18" t="s">
        <v>32</v>
      </c>
      <c r="F1243" s="18" t="s">
        <v>113</v>
      </c>
      <c r="G1243" s="18" t="s">
        <v>23</v>
      </c>
      <c r="H1243" s="18" t="str">
        <f>Assumptions!$B$2</f>
        <v>Worst</v>
      </c>
      <c r="I1243" s="18">
        <f>_xlfn.XLOOKUP(Assumptions!$B$2,Assumptions!$F$4:$H$4,Assumptions!$F$5:$H$5)</f>
        <v>1200</v>
      </c>
      <c r="J1243" s="18">
        <f>_xlfn.XLOOKUP(Assumptions!$B$2,Assumptions!$F$4:$H$4,Assumptions!$F$6:$H$6)</f>
        <v>17</v>
      </c>
      <c r="K1243" s="12">
        <f>_xlfn.XLOOKUP(Assumptions!$B$2,Assumptions!$F$4:$H$4,Assumptions!$F$8:$H$8)</f>
        <v>0.1</v>
      </c>
      <c r="L1243" s="12">
        <f>_xlfn.XLOOKUP(Assumptions!$B$2,Assumptions!$F$4:$H$4,Assumptions!$F$9:$H$9)</f>
        <v>0.18</v>
      </c>
      <c r="M1243" s="18">
        <f>_xlfn.XLOOKUP(Assumptions!$B$2,Assumptions!$F$4:$H$4,Assumptions!$F$10:$H$10)</f>
        <v>18000</v>
      </c>
      <c r="N1243" s="12">
        <f>_xlfn.XLOOKUP(Assumptions!$B$2,Assumptions!$F$4:$H$4,Assumptions!$F$11:$H$11)</f>
        <v>0.3</v>
      </c>
      <c r="O1243" s="14">
        <f>Final_Table[[#This Row],[Units Sold]]*Final_Table[[#This Row],[Sale Price]]</f>
        <v>20400</v>
      </c>
      <c r="P1243" s="14">
        <f>Final_Table[[#This Row],[Gross Revenue]]*(1-Final_Table[[#This Row],[Discount %]])</f>
        <v>18360</v>
      </c>
      <c r="Q1243">
        <f>Final_Table[[#This Row],[Net Revenue]]*Final_Table[[#This Row],[Variable Cost %]]</f>
        <v>3304.7999999999997</v>
      </c>
      <c r="R1243">
        <f>Final_Table[[#This Row],[Variable Cost]]+Final_Table[[#This Row],[Fixed Monthly Cost]]</f>
        <v>21304.799999999999</v>
      </c>
      <c r="S1243" s="5">
        <f>Final_Table[[#This Row],[Net Revenue]]-Final_Table[[#This Row],[Total Cost (COGS)]]</f>
        <v>-2944.7999999999993</v>
      </c>
      <c r="T1243">
        <f>Final_Table[[#This Row],[Gross Profit]]*Final_Table[[#This Row],[Tax Rate]]</f>
        <v>-883.43999999999971</v>
      </c>
      <c r="U1243" s="5">
        <f>Final_Table[[#This Row],[Gross Profit]]-Final_Table[[#This Row],[Tax]]</f>
        <v>-2061.3599999999997</v>
      </c>
      <c r="V1243" s="12">
        <f>Final_Table[[#This Row],[Net Profit]]/Final_Table[[#This Row],[Gross Revenue]]</f>
        <v>-0.10104705882352939</v>
      </c>
    </row>
    <row r="1244" spans="1:22">
      <c r="A1244" s="18" t="s">
        <v>76</v>
      </c>
      <c r="B1244">
        <v>2014</v>
      </c>
      <c r="C1244" t="s">
        <v>127</v>
      </c>
      <c r="D1244">
        <v>1</v>
      </c>
      <c r="E1244" s="18" t="s">
        <v>32</v>
      </c>
      <c r="F1244" s="18" t="s">
        <v>113</v>
      </c>
      <c r="G1244" s="18" t="s">
        <v>21</v>
      </c>
      <c r="H1244" s="18" t="str">
        <f>Assumptions!$B$2</f>
        <v>Worst</v>
      </c>
      <c r="I1244" s="18">
        <f>_xlfn.XLOOKUP(Assumptions!$B$2,Assumptions!$F$4:$H$4,Assumptions!$F$5:$H$5)</f>
        <v>1200</v>
      </c>
      <c r="J1244" s="18">
        <f>_xlfn.XLOOKUP(Assumptions!$B$2,Assumptions!$F$4:$H$4,Assumptions!$F$6:$H$6)</f>
        <v>17</v>
      </c>
      <c r="K1244" s="12">
        <f>_xlfn.XLOOKUP(Assumptions!$B$2,Assumptions!$F$4:$H$4,Assumptions!$F$8:$H$8)</f>
        <v>0.1</v>
      </c>
      <c r="L1244" s="12">
        <f>_xlfn.XLOOKUP(Assumptions!$B$2,Assumptions!$F$4:$H$4,Assumptions!$F$9:$H$9)</f>
        <v>0.18</v>
      </c>
      <c r="M1244" s="18">
        <f>_xlfn.XLOOKUP(Assumptions!$B$2,Assumptions!$F$4:$H$4,Assumptions!$F$10:$H$10)</f>
        <v>18000</v>
      </c>
      <c r="N1244" s="12">
        <f>_xlfn.XLOOKUP(Assumptions!$B$2,Assumptions!$F$4:$H$4,Assumptions!$F$11:$H$11)</f>
        <v>0.3</v>
      </c>
      <c r="O1244" s="14">
        <f>Final_Table[[#This Row],[Units Sold]]*Final_Table[[#This Row],[Sale Price]]</f>
        <v>20400</v>
      </c>
      <c r="P1244" s="14">
        <f>Final_Table[[#This Row],[Gross Revenue]]*(1-Final_Table[[#This Row],[Discount %]])</f>
        <v>18360</v>
      </c>
      <c r="Q1244">
        <f>Final_Table[[#This Row],[Net Revenue]]*Final_Table[[#This Row],[Variable Cost %]]</f>
        <v>3304.7999999999997</v>
      </c>
      <c r="R1244">
        <f>Final_Table[[#This Row],[Variable Cost]]+Final_Table[[#This Row],[Fixed Monthly Cost]]</f>
        <v>21304.799999999999</v>
      </c>
      <c r="S1244" s="5">
        <f>Final_Table[[#This Row],[Net Revenue]]-Final_Table[[#This Row],[Total Cost (COGS)]]</f>
        <v>-2944.7999999999993</v>
      </c>
      <c r="T1244">
        <f>Final_Table[[#This Row],[Gross Profit]]*Final_Table[[#This Row],[Tax Rate]]</f>
        <v>-883.43999999999971</v>
      </c>
      <c r="U1244" s="5">
        <f>Final_Table[[#This Row],[Gross Profit]]-Final_Table[[#This Row],[Tax]]</f>
        <v>-2061.3599999999997</v>
      </c>
      <c r="V1244" s="12">
        <f>Final_Table[[#This Row],[Net Profit]]/Final_Table[[#This Row],[Gross Revenue]]</f>
        <v>-0.10104705882352939</v>
      </c>
    </row>
    <row r="1245" spans="1:22">
      <c r="A1245" s="18" t="s">
        <v>76</v>
      </c>
      <c r="B1245">
        <v>2014</v>
      </c>
      <c r="C1245" t="s">
        <v>127</v>
      </c>
      <c r="D1245">
        <v>1</v>
      </c>
      <c r="E1245" s="18" t="s">
        <v>32</v>
      </c>
      <c r="F1245" s="18" t="s">
        <v>113</v>
      </c>
      <c r="G1245" s="18" t="s">
        <v>25</v>
      </c>
      <c r="H1245" s="18" t="str">
        <f>Assumptions!$B$2</f>
        <v>Worst</v>
      </c>
      <c r="I1245" s="18">
        <f>_xlfn.XLOOKUP(Assumptions!$B$2,Assumptions!$F$4:$H$4,Assumptions!$F$5:$H$5)</f>
        <v>1200</v>
      </c>
      <c r="J1245" s="18">
        <f>_xlfn.XLOOKUP(Assumptions!$B$2,Assumptions!$F$4:$H$4,Assumptions!$F$6:$H$6)</f>
        <v>17</v>
      </c>
      <c r="K1245" s="12">
        <f>_xlfn.XLOOKUP(Assumptions!$B$2,Assumptions!$F$4:$H$4,Assumptions!$F$8:$H$8)</f>
        <v>0.1</v>
      </c>
      <c r="L1245" s="12">
        <f>_xlfn.XLOOKUP(Assumptions!$B$2,Assumptions!$F$4:$H$4,Assumptions!$F$9:$H$9)</f>
        <v>0.18</v>
      </c>
      <c r="M1245" s="18">
        <f>_xlfn.XLOOKUP(Assumptions!$B$2,Assumptions!$F$4:$H$4,Assumptions!$F$10:$H$10)</f>
        <v>18000</v>
      </c>
      <c r="N1245" s="12">
        <f>_xlfn.XLOOKUP(Assumptions!$B$2,Assumptions!$F$4:$H$4,Assumptions!$F$11:$H$11)</f>
        <v>0.3</v>
      </c>
      <c r="O1245" s="14">
        <f>Final_Table[[#This Row],[Units Sold]]*Final_Table[[#This Row],[Sale Price]]</f>
        <v>20400</v>
      </c>
      <c r="P1245" s="14">
        <f>Final_Table[[#This Row],[Gross Revenue]]*(1-Final_Table[[#This Row],[Discount %]])</f>
        <v>18360</v>
      </c>
      <c r="Q1245">
        <f>Final_Table[[#This Row],[Net Revenue]]*Final_Table[[#This Row],[Variable Cost %]]</f>
        <v>3304.7999999999997</v>
      </c>
      <c r="R1245">
        <f>Final_Table[[#This Row],[Variable Cost]]+Final_Table[[#This Row],[Fixed Monthly Cost]]</f>
        <v>21304.799999999999</v>
      </c>
      <c r="S1245" s="5">
        <f>Final_Table[[#This Row],[Net Revenue]]-Final_Table[[#This Row],[Total Cost (COGS)]]</f>
        <v>-2944.7999999999993</v>
      </c>
      <c r="T1245">
        <f>Final_Table[[#This Row],[Gross Profit]]*Final_Table[[#This Row],[Tax Rate]]</f>
        <v>-883.43999999999971</v>
      </c>
      <c r="U1245" s="5">
        <f>Final_Table[[#This Row],[Gross Profit]]-Final_Table[[#This Row],[Tax]]</f>
        <v>-2061.3599999999997</v>
      </c>
      <c r="V1245" s="12">
        <f>Final_Table[[#This Row],[Net Profit]]/Final_Table[[#This Row],[Gross Revenue]]</f>
        <v>-0.10104705882352939</v>
      </c>
    </row>
    <row r="1246" spans="1:22">
      <c r="A1246" s="18" t="s">
        <v>76</v>
      </c>
      <c r="B1246">
        <v>2014</v>
      </c>
      <c r="C1246" t="s">
        <v>127</v>
      </c>
      <c r="D1246">
        <v>1</v>
      </c>
      <c r="E1246" s="18" t="s">
        <v>32</v>
      </c>
      <c r="F1246" s="18" t="s">
        <v>113</v>
      </c>
      <c r="G1246" s="18" t="s">
        <v>17</v>
      </c>
      <c r="H1246" s="18" t="str">
        <f>Assumptions!$B$2</f>
        <v>Worst</v>
      </c>
      <c r="I1246" s="18">
        <f>_xlfn.XLOOKUP(Assumptions!$B$2,Assumptions!$F$4:$H$4,Assumptions!$F$5:$H$5)</f>
        <v>1200</v>
      </c>
      <c r="J1246" s="18">
        <f>_xlfn.XLOOKUP(Assumptions!$B$2,Assumptions!$F$4:$H$4,Assumptions!$F$6:$H$6)</f>
        <v>17</v>
      </c>
      <c r="K1246" s="12">
        <f>_xlfn.XLOOKUP(Assumptions!$B$2,Assumptions!$F$4:$H$4,Assumptions!$F$8:$H$8)</f>
        <v>0.1</v>
      </c>
      <c r="L1246" s="12">
        <f>_xlfn.XLOOKUP(Assumptions!$B$2,Assumptions!$F$4:$H$4,Assumptions!$F$9:$H$9)</f>
        <v>0.18</v>
      </c>
      <c r="M1246" s="18">
        <f>_xlfn.XLOOKUP(Assumptions!$B$2,Assumptions!$F$4:$H$4,Assumptions!$F$10:$H$10)</f>
        <v>18000</v>
      </c>
      <c r="N1246" s="12">
        <f>_xlfn.XLOOKUP(Assumptions!$B$2,Assumptions!$F$4:$H$4,Assumptions!$F$11:$H$11)</f>
        <v>0.3</v>
      </c>
      <c r="O1246" s="14">
        <f>Final_Table[[#This Row],[Units Sold]]*Final_Table[[#This Row],[Sale Price]]</f>
        <v>20400</v>
      </c>
      <c r="P1246" s="14">
        <f>Final_Table[[#This Row],[Gross Revenue]]*(1-Final_Table[[#This Row],[Discount %]])</f>
        <v>18360</v>
      </c>
      <c r="Q1246">
        <f>Final_Table[[#This Row],[Net Revenue]]*Final_Table[[#This Row],[Variable Cost %]]</f>
        <v>3304.7999999999997</v>
      </c>
      <c r="R1246">
        <f>Final_Table[[#This Row],[Variable Cost]]+Final_Table[[#This Row],[Fixed Monthly Cost]]</f>
        <v>21304.799999999999</v>
      </c>
      <c r="S1246" s="5">
        <f>Final_Table[[#This Row],[Net Revenue]]-Final_Table[[#This Row],[Total Cost (COGS)]]</f>
        <v>-2944.7999999999993</v>
      </c>
      <c r="T1246">
        <f>Final_Table[[#This Row],[Gross Profit]]*Final_Table[[#This Row],[Tax Rate]]</f>
        <v>-883.43999999999971</v>
      </c>
      <c r="U1246" s="5">
        <f>Final_Table[[#This Row],[Gross Profit]]-Final_Table[[#This Row],[Tax]]</f>
        <v>-2061.3599999999997</v>
      </c>
      <c r="V1246" s="12">
        <f>Final_Table[[#This Row],[Net Profit]]/Final_Table[[#This Row],[Gross Revenue]]</f>
        <v>-0.10104705882352939</v>
      </c>
    </row>
    <row r="1247" spans="1:22">
      <c r="A1247" s="18" t="s">
        <v>76</v>
      </c>
      <c r="B1247">
        <v>2014</v>
      </c>
      <c r="C1247" t="s">
        <v>127</v>
      </c>
      <c r="D1247">
        <v>1</v>
      </c>
      <c r="E1247" s="18" t="s">
        <v>32</v>
      </c>
      <c r="F1247" s="18" t="s">
        <v>114</v>
      </c>
      <c r="G1247" s="18" t="s">
        <v>36</v>
      </c>
      <c r="H1247" s="18" t="str">
        <f>Assumptions!$B$2</f>
        <v>Worst</v>
      </c>
      <c r="I1247" s="18">
        <f>_xlfn.XLOOKUP(Assumptions!$B$2,Assumptions!$F$4:$H$4,Assumptions!$F$5:$H$5)</f>
        <v>1200</v>
      </c>
      <c r="J1247" s="18">
        <f>_xlfn.XLOOKUP(Assumptions!$B$2,Assumptions!$F$4:$H$4,Assumptions!$F$6:$H$6)</f>
        <v>17</v>
      </c>
      <c r="K1247" s="12">
        <f>_xlfn.XLOOKUP(Assumptions!$B$2,Assumptions!$F$4:$H$4,Assumptions!$F$8:$H$8)</f>
        <v>0.1</v>
      </c>
      <c r="L1247" s="12">
        <f>_xlfn.XLOOKUP(Assumptions!$B$2,Assumptions!$F$4:$H$4,Assumptions!$F$9:$H$9)</f>
        <v>0.18</v>
      </c>
      <c r="M1247" s="18">
        <f>_xlfn.XLOOKUP(Assumptions!$B$2,Assumptions!$F$4:$H$4,Assumptions!$F$10:$H$10)</f>
        <v>18000</v>
      </c>
      <c r="N1247" s="12">
        <f>_xlfn.XLOOKUP(Assumptions!$B$2,Assumptions!$F$4:$H$4,Assumptions!$F$11:$H$11)</f>
        <v>0.3</v>
      </c>
      <c r="O1247" s="14">
        <f>Final_Table[[#This Row],[Units Sold]]*Final_Table[[#This Row],[Sale Price]]</f>
        <v>20400</v>
      </c>
      <c r="P1247" s="14">
        <f>Final_Table[[#This Row],[Gross Revenue]]*(1-Final_Table[[#This Row],[Discount %]])</f>
        <v>18360</v>
      </c>
      <c r="Q1247">
        <f>Final_Table[[#This Row],[Net Revenue]]*Final_Table[[#This Row],[Variable Cost %]]</f>
        <v>3304.7999999999997</v>
      </c>
      <c r="R1247">
        <f>Final_Table[[#This Row],[Variable Cost]]+Final_Table[[#This Row],[Fixed Monthly Cost]]</f>
        <v>21304.799999999999</v>
      </c>
      <c r="S1247" s="5">
        <f>Final_Table[[#This Row],[Net Revenue]]-Final_Table[[#This Row],[Total Cost (COGS)]]</f>
        <v>-2944.7999999999993</v>
      </c>
      <c r="T1247">
        <f>Final_Table[[#This Row],[Gross Profit]]*Final_Table[[#This Row],[Tax Rate]]</f>
        <v>-883.43999999999971</v>
      </c>
      <c r="U1247" s="5">
        <f>Final_Table[[#This Row],[Gross Profit]]-Final_Table[[#This Row],[Tax]]</f>
        <v>-2061.3599999999997</v>
      </c>
      <c r="V1247" s="12">
        <f>Final_Table[[#This Row],[Net Profit]]/Final_Table[[#This Row],[Gross Revenue]]</f>
        <v>-0.10104705882352939</v>
      </c>
    </row>
    <row r="1248" spans="1:22">
      <c r="A1248" s="18" t="s">
        <v>76</v>
      </c>
      <c r="B1248">
        <v>2014</v>
      </c>
      <c r="C1248" t="s">
        <v>127</v>
      </c>
      <c r="D1248">
        <v>1</v>
      </c>
      <c r="E1248" s="18" t="s">
        <v>32</v>
      </c>
      <c r="F1248" s="18" t="s">
        <v>114</v>
      </c>
      <c r="G1248" s="18" t="s">
        <v>23</v>
      </c>
      <c r="H1248" s="18" t="str">
        <f>Assumptions!$B$2</f>
        <v>Worst</v>
      </c>
      <c r="I1248" s="18">
        <f>_xlfn.XLOOKUP(Assumptions!$B$2,Assumptions!$F$4:$H$4,Assumptions!$F$5:$H$5)</f>
        <v>1200</v>
      </c>
      <c r="J1248" s="18">
        <f>_xlfn.XLOOKUP(Assumptions!$B$2,Assumptions!$F$4:$H$4,Assumptions!$F$6:$H$6)</f>
        <v>17</v>
      </c>
      <c r="K1248" s="12">
        <f>_xlfn.XLOOKUP(Assumptions!$B$2,Assumptions!$F$4:$H$4,Assumptions!$F$8:$H$8)</f>
        <v>0.1</v>
      </c>
      <c r="L1248" s="12">
        <f>_xlfn.XLOOKUP(Assumptions!$B$2,Assumptions!$F$4:$H$4,Assumptions!$F$9:$H$9)</f>
        <v>0.18</v>
      </c>
      <c r="M1248" s="18">
        <f>_xlfn.XLOOKUP(Assumptions!$B$2,Assumptions!$F$4:$H$4,Assumptions!$F$10:$H$10)</f>
        <v>18000</v>
      </c>
      <c r="N1248" s="12">
        <f>_xlfn.XLOOKUP(Assumptions!$B$2,Assumptions!$F$4:$H$4,Assumptions!$F$11:$H$11)</f>
        <v>0.3</v>
      </c>
      <c r="O1248" s="14">
        <f>Final_Table[[#This Row],[Units Sold]]*Final_Table[[#This Row],[Sale Price]]</f>
        <v>20400</v>
      </c>
      <c r="P1248" s="14">
        <f>Final_Table[[#This Row],[Gross Revenue]]*(1-Final_Table[[#This Row],[Discount %]])</f>
        <v>18360</v>
      </c>
      <c r="Q1248">
        <f>Final_Table[[#This Row],[Net Revenue]]*Final_Table[[#This Row],[Variable Cost %]]</f>
        <v>3304.7999999999997</v>
      </c>
      <c r="R1248">
        <f>Final_Table[[#This Row],[Variable Cost]]+Final_Table[[#This Row],[Fixed Monthly Cost]]</f>
        <v>21304.799999999999</v>
      </c>
      <c r="S1248" s="5">
        <f>Final_Table[[#This Row],[Net Revenue]]-Final_Table[[#This Row],[Total Cost (COGS)]]</f>
        <v>-2944.7999999999993</v>
      </c>
      <c r="T1248">
        <f>Final_Table[[#This Row],[Gross Profit]]*Final_Table[[#This Row],[Tax Rate]]</f>
        <v>-883.43999999999971</v>
      </c>
      <c r="U1248" s="5">
        <f>Final_Table[[#This Row],[Gross Profit]]-Final_Table[[#This Row],[Tax]]</f>
        <v>-2061.3599999999997</v>
      </c>
      <c r="V1248" s="12">
        <f>Final_Table[[#This Row],[Net Profit]]/Final_Table[[#This Row],[Gross Revenue]]</f>
        <v>-0.10104705882352939</v>
      </c>
    </row>
    <row r="1249" spans="1:22">
      <c r="A1249" s="18" t="s">
        <v>76</v>
      </c>
      <c r="B1249">
        <v>2014</v>
      </c>
      <c r="C1249" t="s">
        <v>127</v>
      </c>
      <c r="D1249">
        <v>1</v>
      </c>
      <c r="E1249" s="18" t="s">
        <v>32</v>
      </c>
      <c r="F1249" s="18" t="s">
        <v>114</v>
      </c>
      <c r="G1249" s="18" t="s">
        <v>21</v>
      </c>
      <c r="H1249" s="18" t="str">
        <f>Assumptions!$B$2</f>
        <v>Worst</v>
      </c>
      <c r="I1249" s="18">
        <f>_xlfn.XLOOKUP(Assumptions!$B$2,Assumptions!$F$4:$H$4,Assumptions!$F$5:$H$5)</f>
        <v>1200</v>
      </c>
      <c r="J1249" s="18">
        <f>_xlfn.XLOOKUP(Assumptions!$B$2,Assumptions!$F$4:$H$4,Assumptions!$F$6:$H$6)</f>
        <v>17</v>
      </c>
      <c r="K1249" s="12">
        <f>_xlfn.XLOOKUP(Assumptions!$B$2,Assumptions!$F$4:$H$4,Assumptions!$F$8:$H$8)</f>
        <v>0.1</v>
      </c>
      <c r="L1249" s="12">
        <f>_xlfn.XLOOKUP(Assumptions!$B$2,Assumptions!$F$4:$H$4,Assumptions!$F$9:$H$9)</f>
        <v>0.18</v>
      </c>
      <c r="M1249" s="18">
        <f>_xlfn.XLOOKUP(Assumptions!$B$2,Assumptions!$F$4:$H$4,Assumptions!$F$10:$H$10)</f>
        <v>18000</v>
      </c>
      <c r="N1249" s="12">
        <f>_xlfn.XLOOKUP(Assumptions!$B$2,Assumptions!$F$4:$H$4,Assumptions!$F$11:$H$11)</f>
        <v>0.3</v>
      </c>
      <c r="O1249" s="14">
        <f>Final_Table[[#This Row],[Units Sold]]*Final_Table[[#This Row],[Sale Price]]</f>
        <v>20400</v>
      </c>
      <c r="P1249" s="14">
        <f>Final_Table[[#This Row],[Gross Revenue]]*(1-Final_Table[[#This Row],[Discount %]])</f>
        <v>18360</v>
      </c>
      <c r="Q1249">
        <f>Final_Table[[#This Row],[Net Revenue]]*Final_Table[[#This Row],[Variable Cost %]]</f>
        <v>3304.7999999999997</v>
      </c>
      <c r="R1249">
        <f>Final_Table[[#This Row],[Variable Cost]]+Final_Table[[#This Row],[Fixed Monthly Cost]]</f>
        <v>21304.799999999999</v>
      </c>
      <c r="S1249" s="5">
        <f>Final_Table[[#This Row],[Net Revenue]]-Final_Table[[#This Row],[Total Cost (COGS)]]</f>
        <v>-2944.7999999999993</v>
      </c>
      <c r="T1249">
        <f>Final_Table[[#This Row],[Gross Profit]]*Final_Table[[#This Row],[Tax Rate]]</f>
        <v>-883.43999999999971</v>
      </c>
      <c r="U1249" s="5">
        <f>Final_Table[[#This Row],[Gross Profit]]-Final_Table[[#This Row],[Tax]]</f>
        <v>-2061.3599999999997</v>
      </c>
      <c r="V1249" s="12">
        <f>Final_Table[[#This Row],[Net Profit]]/Final_Table[[#This Row],[Gross Revenue]]</f>
        <v>-0.10104705882352939</v>
      </c>
    </row>
    <row r="1250" spans="1:22">
      <c r="A1250" s="18" t="s">
        <v>76</v>
      </c>
      <c r="B1250">
        <v>2014</v>
      </c>
      <c r="C1250" t="s">
        <v>127</v>
      </c>
      <c r="D1250">
        <v>1</v>
      </c>
      <c r="E1250" s="18" t="s">
        <v>32</v>
      </c>
      <c r="F1250" s="18" t="s">
        <v>114</v>
      </c>
      <c r="G1250" s="18" t="s">
        <v>25</v>
      </c>
      <c r="H1250" s="18" t="str">
        <f>Assumptions!$B$2</f>
        <v>Worst</v>
      </c>
      <c r="I1250" s="18">
        <f>_xlfn.XLOOKUP(Assumptions!$B$2,Assumptions!$F$4:$H$4,Assumptions!$F$5:$H$5)</f>
        <v>1200</v>
      </c>
      <c r="J1250" s="18">
        <f>_xlfn.XLOOKUP(Assumptions!$B$2,Assumptions!$F$4:$H$4,Assumptions!$F$6:$H$6)</f>
        <v>17</v>
      </c>
      <c r="K1250" s="12">
        <f>_xlfn.XLOOKUP(Assumptions!$B$2,Assumptions!$F$4:$H$4,Assumptions!$F$8:$H$8)</f>
        <v>0.1</v>
      </c>
      <c r="L1250" s="12">
        <f>_xlfn.XLOOKUP(Assumptions!$B$2,Assumptions!$F$4:$H$4,Assumptions!$F$9:$H$9)</f>
        <v>0.18</v>
      </c>
      <c r="M1250" s="18">
        <f>_xlfn.XLOOKUP(Assumptions!$B$2,Assumptions!$F$4:$H$4,Assumptions!$F$10:$H$10)</f>
        <v>18000</v>
      </c>
      <c r="N1250" s="12">
        <f>_xlfn.XLOOKUP(Assumptions!$B$2,Assumptions!$F$4:$H$4,Assumptions!$F$11:$H$11)</f>
        <v>0.3</v>
      </c>
      <c r="O1250" s="14">
        <f>Final_Table[[#This Row],[Units Sold]]*Final_Table[[#This Row],[Sale Price]]</f>
        <v>20400</v>
      </c>
      <c r="P1250" s="14">
        <f>Final_Table[[#This Row],[Gross Revenue]]*(1-Final_Table[[#This Row],[Discount %]])</f>
        <v>18360</v>
      </c>
      <c r="Q1250">
        <f>Final_Table[[#This Row],[Net Revenue]]*Final_Table[[#This Row],[Variable Cost %]]</f>
        <v>3304.7999999999997</v>
      </c>
      <c r="R1250">
        <f>Final_Table[[#This Row],[Variable Cost]]+Final_Table[[#This Row],[Fixed Monthly Cost]]</f>
        <v>21304.799999999999</v>
      </c>
      <c r="S1250" s="5">
        <f>Final_Table[[#This Row],[Net Revenue]]-Final_Table[[#This Row],[Total Cost (COGS)]]</f>
        <v>-2944.7999999999993</v>
      </c>
      <c r="T1250">
        <f>Final_Table[[#This Row],[Gross Profit]]*Final_Table[[#This Row],[Tax Rate]]</f>
        <v>-883.43999999999971</v>
      </c>
      <c r="U1250" s="5">
        <f>Final_Table[[#This Row],[Gross Profit]]-Final_Table[[#This Row],[Tax]]</f>
        <v>-2061.3599999999997</v>
      </c>
      <c r="V1250" s="12">
        <f>Final_Table[[#This Row],[Net Profit]]/Final_Table[[#This Row],[Gross Revenue]]</f>
        <v>-0.10104705882352939</v>
      </c>
    </row>
    <row r="1251" spans="1:22">
      <c r="A1251" s="18" t="s">
        <v>76</v>
      </c>
      <c r="B1251">
        <v>2014</v>
      </c>
      <c r="C1251" t="s">
        <v>127</v>
      </c>
      <c r="D1251">
        <v>1</v>
      </c>
      <c r="E1251" s="18" t="s">
        <v>32</v>
      </c>
      <c r="F1251" s="18" t="s">
        <v>114</v>
      </c>
      <c r="G1251" s="18" t="s">
        <v>17</v>
      </c>
      <c r="H1251" s="18" t="str">
        <f>Assumptions!$B$2</f>
        <v>Worst</v>
      </c>
      <c r="I1251" s="18">
        <f>_xlfn.XLOOKUP(Assumptions!$B$2,Assumptions!$F$4:$H$4,Assumptions!$F$5:$H$5)</f>
        <v>1200</v>
      </c>
      <c r="J1251" s="18">
        <f>_xlfn.XLOOKUP(Assumptions!$B$2,Assumptions!$F$4:$H$4,Assumptions!$F$6:$H$6)</f>
        <v>17</v>
      </c>
      <c r="K1251" s="12">
        <f>_xlfn.XLOOKUP(Assumptions!$B$2,Assumptions!$F$4:$H$4,Assumptions!$F$8:$H$8)</f>
        <v>0.1</v>
      </c>
      <c r="L1251" s="12">
        <f>_xlfn.XLOOKUP(Assumptions!$B$2,Assumptions!$F$4:$H$4,Assumptions!$F$9:$H$9)</f>
        <v>0.18</v>
      </c>
      <c r="M1251" s="18">
        <f>_xlfn.XLOOKUP(Assumptions!$B$2,Assumptions!$F$4:$H$4,Assumptions!$F$10:$H$10)</f>
        <v>18000</v>
      </c>
      <c r="N1251" s="12">
        <f>_xlfn.XLOOKUP(Assumptions!$B$2,Assumptions!$F$4:$H$4,Assumptions!$F$11:$H$11)</f>
        <v>0.3</v>
      </c>
      <c r="O1251" s="14">
        <f>Final_Table[[#This Row],[Units Sold]]*Final_Table[[#This Row],[Sale Price]]</f>
        <v>20400</v>
      </c>
      <c r="P1251" s="14">
        <f>Final_Table[[#This Row],[Gross Revenue]]*(1-Final_Table[[#This Row],[Discount %]])</f>
        <v>18360</v>
      </c>
      <c r="Q1251">
        <f>Final_Table[[#This Row],[Net Revenue]]*Final_Table[[#This Row],[Variable Cost %]]</f>
        <v>3304.7999999999997</v>
      </c>
      <c r="R1251">
        <f>Final_Table[[#This Row],[Variable Cost]]+Final_Table[[#This Row],[Fixed Monthly Cost]]</f>
        <v>21304.799999999999</v>
      </c>
      <c r="S1251" s="5">
        <f>Final_Table[[#This Row],[Net Revenue]]-Final_Table[[#This Row],[Total Cost (COGS)]]</f>
        <v>-2944.7999999999993</v>
      </c>
      <c r="T1251">
        <f>Final_Table[[#This Row],[Gross Profit]]*Final_Table[[#This Row],[Tax Rate]]</f>
        <v>-883.43999999999971</v>
      </c>
      <c r="U1251" s="5">
        <f>Final_Table[[#This Row],[Gross Profit]]-Final_Table[[#This Row],[Tax]]</f>
        <v>-2061.3599999999997</v>
      </c>
      <c r="V1251" s="12">
        <f>Final_Table[[#This Row],[Net Profit]]/Final_Table[[#This Row],[Gross Revenue]]</f>
        <v>-0.10104705882352939</v>
      </c>
    </row>
    <row r="1252" spans="1:22">
      <c r="A1252" s="18" t="s">
        <v>77</v>
      </c>
      <c r="B1252">
        <v>2014</v>
      </c>
      <c r="C1252" t="s">
        <v>128</v>
      </c>
      <c r="D1252">
        <v>1</v>
      </c>
      <c r="E1252" s="18" t="s">
        <v>30</v>
      </c>
      <c r="F1252" s="18" t="s">
        <v>80</v>
      </c>
      <c r="G1252" s="18" t="s">
        <v>36</v>
      </c>
      <c r="H1252" s="18" t="str">
        <f>Assumptions!$B$2</f>
        <v>Worst</v>
      </c>
      <c r="I1252" s="18">
        <f>_xlfn.XLOOKUP(Assumptions!$B$2,Assumptions!$F$4:$H$4,Assumptions!$F$5:$H$5)</f>
        <v>1200</v>
      </c>
      <c r="J1252" s="18">
        <f>_xlfn.XLOOKUP(Assumptions!$B$2,Assumptions!$F$4:$H$4,Assumptions!$F$6:$H$6)</f>
        <v>17</v>
      </c>
      <c r="K1252" s="12">
        <f>_xlfn.XLOOKUP(Assumptions!$B$2,Assumptions!$F$4:$H$4,Assumptions!$F$8:$H$8)</f>
        <v>0.1</v>
      </c>
      <c r="L1252" s="12">
        <f>_xlfn.XLOOKUP(Assumptions!$B$2,Assumptions!$F$4:$H$4,Assumptions!$F$9:$H$9)</f>
        <v>0.18</v>
      </c>
      <c r="M1252" s="18">
        <f>_xlfn.XLOOKUP(Assumptions!$B$2,Assumptions!$F$4:$H$4,Assumptions!$F$10:$H$10)</f>
        <v>18000</v>
      </c>
      <c r="N1252" s="12">
        <f>_xlfn.XLOOKUP(Assumptions!$B$2,Assumptions!$F$4:$H$4,Assumptions!$F$11:$H$11)</f>
        <v>0.3</v>
      </c>
      <c r="O1252" s="14">
        <f>Final_Table[[#This Row],[Units Sold]]*Final_Table[[#This Row],[Sale Price]]</f>
        <v>20400</v>
      </c>
      <c r="P1252" s="14">
        <f>Final_Table[[#This Row],[Gross Revenue]]*(1-Final_Table[[#This Row],[Discount %]])</f>
        <v>18360</v>
      </c>
      <c r="Q1252">
        <f>Final_Table[[#This Row],[Net Revenue]]*Final_Table[[#This Row],[Variable Cost %]]</f>
        <v>3304.7999999999997</v>
      </c>
      <c r="R1252">
        <f>Final_Table[[#This Row],[Variable Cost]]+Final_Table[[#This Row],[Fixed Monthly Cost]]</f>
        <v>21304.799999999999</v>
      </c>
      <c r="S1252" s="5">
        <f>Final_Table[[#This Row],[Net Revenue]]-Final_Table[[#This Row],[Total Cost (COGS)]]</f>
        <v>-2944.7999999999993</v>
      </c>
      <c r="T1252">
        <f>Final_Table[[#This Row],[Gross Profit]]*Final_Table[[#This Row],[Tax Rate]]</f>
        <v>-883.43999999999971</v>
      </c>
      <c r="U1252" s="5">
        <f>Final_Table[[#This Row],[Gross Profit]]-Final_Table[[#This Row],[Tax]]</f>
        <v>-2061.3599999999997</v>
      </c>
      <c r="V1252" s="12">
        <f>Final_Table[[#This Row],[Net Profit]]/Final_Table[[#This Row],[Gross Revenue]]</f>
        <v>-0.10104705882352939</v>
      </c>
    </row>
    <row r="1253" spans="1:22">
      <c r="A1253" s="18" t="s">
        <v>77</v>
      </c>
      <c r="B1253">
        <v>2014</v>
      </c>
      <c r="C1253" t="s">
        <v>128</v>
      </c>
      <c r="D1253">
        <v>1</v>
      </c>
      <c r="E1253" s="18" t="s">
        <v>30</v>
      </c>
      <c r="F1253" s="18" t="s">
        <v>80</v>
      </c>
      <c r="G1253" s="18" t="s">
        <v>23</v>
      </c>
      <c r="H1253" s="18" t="str">
        <f>Assumptions!$B$2</f>
        <v>Worst</v>
      </c>
      <c r="I1253" s="18">
        <f>_xlfn.XLOOKUP(Assumptions!$B$2,Assumptions!$F$4:$H$4,Assumptions!$F$5:$H$5)</f>
        <v>1200</v>
      </c>
      <c r="J1253" s="18">
        <f>_xlfn.XLOOKUP(Assumptions!$B$2,Assumptions!$F$4:$H$4,Assumptions!$F$6:$H$6)</f>
        <v>17</v>
      </c>
      <c r="K1253" s="12">
        <f>_xlfn.XLOOKUP(Assumptions!$B$2,Assumptions!$F$4:$H$4,Assumptions!$F$8:$H$8)</f>
        <v>0.1</v>
      </c>
      <c r="L1253" s="12">
        <f>_xlfn.XLOOKUP(Assumptions!$B$2,Assumptions!$F$4:$H$4,Assumptions!$F$9:$H$9)</f>
        <v>0.18</v>
      </c>
      <c r="M1253" s="18">
        <f>_xlfn.XLOOKUP(Assumptions!$B$2,Assumptions!$F$4:$H$4,Assumptions!$F$10:$H$10)</f>
        <v>18000</v>
      </c>
      <c r="N1253" s="12">
        <f>_xlfn.XLOOKUP(Assumptions!$B$2,Assumptions!$F$4:$H$4,Assumptions!$F$11:$H$11)</f>
        <v>0.3</v>
      </c>
      <c r="O1253" s="14">
        <f>Final_Table[[#This Row],[Units Sold]]*Final_Table[[#This Row],[Sale Price]]</f>
        <v>20400</v>
      </c>
      <c r="P1253" s="14">
        <f>Final_Table[[#This Row],[Gross Revenue]]*(1-Final_Table[[#This Row],[Discount %]])</f>
        <v>18360</v>
      </c>
      <c r="Q1253">
        <f>Final_Table[[#This Row],[Net Revenue]]*Final_Table[[#This Row],[Variable Cost %]]</f>
        <v>3304.7999999999997</v>
      </c>
      <c r="R1253">
        <f>Final_Table[[#This Row],[Variable Cost]]+Final_Table[[#This Row],[Fixed Monthly Cost]]</f>
        <v>21304.799999999999</v>
      </c>
      <c r="S1253" s="5">
        <f>Final_Table[[#This Row],[Net Revenue]]-Final_Table[[#This Row],[Total Cost (COGS)]]</f>
        <v>-2944.7999999999993</v>
      </c>
      <c r="T1253">
        <f>Final_Table[[#This Row],[Gross Profit]]*Final_Table[[#This Row],[Tax Rate]]</f>
        <v>-883.43999999999971</v>
      </c>
      <c r="U1253" s="5">
        <f>Final_Table[[#This Row],[Gross Profit]]-Final_Table[[#This Row],[Tax]]</f>
        <v>-2061.3599999999997</v>
      </c>
      <c r="V1253" s="12">
        <f>Final_Table[[#This Row],[Net Profit]]/Final_Table[[#This Row],[Gross Revenue]]</f>
        <v>-0.10104705882352939</v>
      </c>
    </row>
    <row r="1254" spans="1:22">
      <c r="A1254" s="18" t="s">
        <v>77</v>
      </c>
      <c r="B1254">
        <v>2014</v>
      </c>
      <c r="C1254" t="s">
        <v>128</v>
      </c>
      <c r="D1254">
        <v>1</v>
      </c>
      <c r="E1254" s="18" t="s">
        <v>30</v>
      </c>
      <c r="F1254" s="18" t="s">
        <v>80</v>
      </c>
      <c r="G1254" s="18" t="s">
        <v>21</v>
      </c>
      <c r="H1254" s="18" t="str">
        <f>Assumptions!$B$2</f>
        <v>Worst</v>
      </c>
      <c r="I1254" s="18">
        <f>_xlfn.XLOOKUP(Assumptions!$B$2,Assumptions!$F$4:$H$4,Assumptions!$F$5:$H$5)</f>
        <v>1200</v>
      </c>
      <c r="J1254" s="18">
        <f>_xlfn.XLOOKUP(Assumptions!$B$2,Assumptions!$F$4:$H$4,Assumptions!$F$6:$H$6)</f>
        <v>17</v>
      </c>
      <c r="K1254" s="12">
        <f>_xlfn.XLOOKUP(Assumptions!$B$2,Assumptions!$F$4:$H$4,Assumptions!$F$8:$H$8)</f>
        <v>0.1</v>
      </c>
      <c r="L1254" s="12">
        <f>_xlfn.XLOOKUP(Assumptions!$B$2,Assumptions!$F$4:$H$4,Assumptions!$F$9:$H$9)</f>
        <v>0.18</v>
      </c>
      <c r="M1254" s="18">
        <f>_xlfn.XLOOKUP(Assumptions!$B$2,Assumptions!$F$4:$H$4,Assumptions!$F$10:$H$10)</f>
        <v>18000</v>
      </c>
      <c r="N1254" s="12">
        <f>_xlfn.XLOOKUP(Assumptions!$B$2,Assumptions!$F$4:$H$4,Assumptions!$F$11:$H$11)</f>
        <v>0.3</v>
      </c>
      <c r="O1254" s="14">
        <f>Final_Table[[#This Row],[Units Sold]]*Final_Table[[#This Row],[Sale Price]]</f>
        <v>20400</v>
      </c>
      <c r="P1254" s="14">
        <f>Final_Table[[#This Row],[Gross Revenue]]*(1-Final_Table[[#This Row],[Discount %]])</f>
        <v>18360</v>
      </c>
      <c r="Q1254">
        <f>Final_Table[[#This Row],[Net Revenue]]*Final_Table[[#This Row],[Variable Cost %]]</f>
        <v>3304.7999999999997</v>
      </c>
      <c r="R1254">
        <f>Final_Table[[#This Row],[Variable Cost]]+Final_Table[[#This Row],[Fixed Monthly Cost]]</f>
        <v>21304.799999999999</v>
      </c>
      <c r="S1254" s="5">
        <f>Final_Table[[#This Row],[Net Revenue]]-Final_Table[[#This Row],[Total Cost (COGS)]]</f>
        <v>-2944.7999999999993</v>
      </c>
      <c r="T1254">
        <f>Final_Table[[#This Row],[Gross Profit]]*Final_Table[[#This Row],[Tax Rate]]</f>
        <v>-883.43999999999971</v>
      </c>
      <c r="U1254" s="5">
        <f>Final_Table[[#This Row],[Gross Profit]]-Final_Table[[#This Row],[Tax]]</f>
        <v>-2061.3599999999997</v>
      </c>
      <c r="V1254" s="12">
        <f>Final_Table[[#This Row],[Net Profit]]/Final_Table[[#This Row],[Gross Revenue]]</f>
        <v>-0.10104705882352939</v>
      </c>
    </row>
    <row r="1255" spans="1:22">
      <c r="A1255" s="18" t="s">
        <v>77</v>
      </c>
      <c r="B1255">
        <v>2014</v>
      </c>
      <c r="C1255" t="s">
        <v>128</v>
      </c>
      <c r="D1255">
        <v>1</v>
      </c>
      <c r="E1255" s="18" t="s">
        <v>30</v>
      </c>
      <c r="F1255" s="18" t="s">
        <v>80</v>
      </c>
      <c r="G1255" s="18" t="s">
        <v>25</v>
      </c>
      <c r="H1255" s="18" t="str">
        <f>Assumptions!$B$2</f>
        <v>Worst</v>
      </c>
      <c r="I1255" s="18">
        <f>_xlfn.XLOOKUP(Assumptions!$B$2,Assumptions!$F$4:$H$4,Assumptions!$F$5:$H$5)</f>
        <v>1200</v>
      </c>
      <c r="J1255" s="18">
        <f>_xlfn.XLOOKUP(Assumptions!$B$2,Assumptions!$F$4:$H$4,Assumptions!$F$6:$H$6)</f>
        <v>17</v>
      </c>
      <c r="K1255" s="12">
        <f>_xlfn.XLOOKUP(Assumptions!$B$2,Assumptions!$F$4:$H$4,Assumptions!$F$8:$H$8)</f>
        <v>0.1</v>
      </c>
      <c r="L1255" s="12">
        <f>_xlfn.XLOOKUP(Assumptions!$B$2,Assumptions!$F$4:$H$4,Assumptions!$F$9:$H$9)</f>
        <v>0.18</v>
      </c>
      <c r="M1255" s="18">
        <f>_xlfn.XLOOKUP(Assumptions!$B$2,Assumptions!$F$4:$H$4,Assumptions!$F$10:$H$10)</f>
        <v>18000</v>
      </c>
      <c r="N1255" s="12">
        <f>_xlfn.XLOOKUP(Assumptions!$B$2,Assumptions!$F$4:$H$4,Assumptions!$F$11:$H$11)</f>
        <v>0.3</v>
      </c>
      <c r="O1255" s="14">
        <f>Final_Table[[#This Row],[Units Sold]]*Final_Table[[#This Row],[Sale Price]]</f>
        <v>20400</v>
      </c>
      <c r="P1255" s="14">
        <f>Final_Table[[#This Row],[Gross Revenue]]*(1-Final_Table[[#This Row],[Discount %]])</f>
        <v>18360</v>
      </c>
      <c r="Q1255">
        <f>Final_Table[[#This Row],[Net Revenue]]*Final_Table[[#This Row],[Variable Cost %]]</f>
        <v>3304.7999999999997</v>
      </c>
      <c r="R1255">
        <f>Final_Table[[#This Row],[Variable Cost]]+Final_Table[[#This Row],[Fixed Monthly Cost]]</f>
        <v>21304.799999999999</v>
      </c>
      <c r="S1255" s="5">
        <f>Final_Table[[#This Row],[Net Revenue]]-Final_Table[[#This Row],[Total Cost (COGS)]]</f>
        <v>-2944.7999999999993</v>
      </c>
      <c r="T1255">
        <f>Final_Table[[#This Row],[Gross Profit]]*Final_Table[[#This Row],[Tax Rate]]</f>
        <v>-883.43999999999971</v>
      </c>
      <c r="U1255" s="5">
        <f>Final_Table[[#This Row],[Gross Profit]]-Final_Table[[#This Row],[Tax]]</f>
        <v>-2061.3599999999997</v>
      </c>
      <c r="V1255" s="12">
        <f>Final_Table[[#This Row],[Net Profit]]/Final_Table[[#This Row],[Gross Revenue]]</f>
        <v>-0.10104705882352939</v>
      </c>
    </row>
    <row r="1256" spans="1:22">
      <c r="A1256" s="18" t="s">
        <v>77</v>
      </c>
      <c r="B1256">
        <v>2014</v>
      </c>
      <c r="C1256" t="s">
        <v>128</v>
      </c>
      <c r="D1256">
        <v>1</v>
      </c>
      <c r="E1256" s="18" t="s">
        <v>30</v>
      </c>
      <c r="F1256" s="18" t="s">
        <v>80</v>
      </c>
      <c r="G1256" s="18" t="s">
        <v>17</v>
      </c>
      <c r="H1256" s="18" t="str">
        <f>Assumptions!$B$2</f>
        <v>Worst</v>
      </c>
      <c r="I1256" s="18">
        <f>_xlfn.XLOOKUP(Assumptions!$B$2,Assumptions!$F$4:$H$4,Assumptions!$F$5:$H$5)</f>
        <v>1200</v>
      </c>
      <c r="J1256" s="18">
        <f>_xlfn.XLOOKUP(Assumptions!$B$2,Assumptions!$F$4:$H$4,Assumptions!$F$6:$H$6)</f>
        <v>17</v>
      </c>
      <c r="K1256" s="12">
        <f>_xlfn.XLOOKUP(Assumptions!$B$2,Assumptions!$F$4:$H$4,Assumptions!$F$8:$H$8)</f>
        <v>0.1</v>
      </c>
      <c r="L1256" s="12">
        <f>_xlfn.XLOOKUP(Assumptions!$B$2,Assumptions!$F$4:$H$4,Assumptions!$F$9:$H$9)</f>
        <v>0.18</v>
      </c>
      <c r="M1256" s="18">
        <f>_xlfn.XLOOKUP(Assumptions!$B$2,Assumptions!$F$4:$H$4,Assumptions!$F$10:$H$10)</f>
        <v>18000</v>
      </c>
      <c r="N1256" s="12">
        <f>_xlfn.XLOOKUP(Assumptions!$B$2,Assumptions!$F$4:$H$4,Assumptions!$F$11:$H$11)</f>
        <v>0.3</v>
      </c>
      <c r="O1256" s="14">
        <f>Final_Table[[#This Row],[Units Sold]]*Final_Table[[#This Row],[Sale Price]]</f>
        <v>20400</v>
      </c>
      <c r="P1256" s="14">
        <f>Final_Table[[#This Row],[Gross Revenue]]*(1-Final_Table[[#This Row],[Discount %]])</f>
        <v>18360</v>
      </c>
      <c r="Q1256">
        <f>Final_Table[[#This Row],[Net Revenue]]*Final_Table[[#This Row],[Variable Cost %]]</f>
        <v>3304.7999999999997</v>
      </c>
      <c r="R1256">
        <f>Final_Table[[#This Row],[Variable Cost]]+Final_Table[[#This Row],[Fixed Monthly Cost]]</f>
        <v>21304.799999999999</v>
      </c>
      <c r="S1256" s="5">
        <f>Final_Table[[#This Row],[Net Revenue]]-Final_Table[[#This Row],[Total Cost (COGS)]]</f>
        <v>-2944.7999999999993</v>
      </c>
      <c r="T1256">
        <f>Final_Table[[#This Row],[Gross Profit]]*Final_Table[[#This Row],[Tax Rate]]</f>
        <v>-883.43999999999971</v>
      </c>
      <c r="U1256" s="5">
        <f>Final_Table[[#This Row],[Gross Profit]]-Final_Table[[#This Row],[Tax]]</f>
        <v>-2061.3599999999997</v>
      </c>
      <c r="V1256" s="12">
        <f>Final_Table[[#This Row],[Net Profit]]/Final_Table[[#This Row],[Gross Revenue]]</f>
        <v>-0.10104705882352939</v>
      </c>
    </row>
    <row r="1257" spans="1:22">
      <c r="A1257" s="18" t="s">
        <v>77</v>
      </c>
      <c r="B1257">
        <v>2014</v>
      </c>
      <c r="C1257" t="s">
        <v>128</v>
      </c>
      <c r="D1257">
        <v>1</v>
      </c>
      <c r="E1257" s="18" t="s">
        <v>30</v>
      </c>
      <c r="F1257" s="18" t="s">
        <v>108</v>
      </c>
      <c r="G1257" s="18" t="s">
        <v>36</v>
      </c>
      <c r="H1257" s="18" t="str">
        <f>Assumptions!$B$2</f>
        <v>Worst</v>
      </c>
      <c r="I1257" s="18">
        <f>_xlfn.XLOOKUP(Assumptions!$B$2,Assumptions!$F$4:$H$4,Assumptions!$F$5:$H$5)</f>
        <v>1200</v>
      </c>
      <c r="J1257" s="18">
        <f>_xlfn.XLOOKUP(Assumptions!$B$2,Assumptions!$F$4:$H$4,Assumptions!$F$6:$H$6)</f>
        <v>17</v>
      </c>
      <c r="K1257" s="12">
        <f>_xlfn.XLOOKUP(Assumptions!$B$2,Assumptions!$F$4:$H$4,Assumptions!$F$8:$H$8)</f>
        <v>0.1</v>
      </c>
      <c r="L1257" s="12">
        <f>_xlfn.XLOOKUP(Assumptions!$B$2,Assumptions!$F$4:$H$4,Assumptions!$F$9:$H$9)</f>
        <v>0.18</v>
      </c>
      <c r="M1257" s="18">
        <f>_xlfn.XLOOKUP(Assumptions!$B$2,Assumptions!$F$4:$H$4,Assumptions!$F$10:$H$10)</f>
        <v>18000</v>
      </c>
      <c r="N1257" s="12">
        <f>_xlfn.XLOOKUP(Assumptions!$B$2,Assumptions!$F$4:$H$4,Assumptions!$F$11:$H$11)</f>
        <v>0.3</v>
      </c>
      <c r="O1257" s="14">
        <f>Final_Table[[#This Row],[Units Sold]]*Final_Table[[#This Row],[Sale Price]]</f>
        <v>20400</v>
      </c>
      <c r="P1257" s="14">
        <f>Final_Table[[#This Row],[Gross Revenue]]*(1-Final_Table[[#This Row],[Discount %]])</f>
        <v>18360</v>
      </c>
      <c r="Q1257">
        <f>Final_Table[[#This Row],[Net Revenue]]*Final_Table[[#This Row],[Variable Cost %]]</f>
        <v>3304.7999999999997</v>
      </c>
      <c r="R1257">
        <f>Final_Table[[#This Row],[Variable Cost]]+Final_Table[[#This Row],[Fixed Monthly Cost]]</f>
        <v>21304.799999999999</v>
      </c>
      <c r="S1257" s="5">
        <f>Final_Table[[#This Row],[Net Revenue]]-Final_Table[[#This Row],[Total Cost (COGS)]]</f>
        <v>-2944.7999999999993</v>
      </c>
      <c r="T1257">
        <f>Final_Table[[#This Row],[Gross Profit]]*Final_Table[[#This Row],[Tax Rate]]</f>
        <v>-883.43999999999971</v>
      </c>
      <c r="U1257" s="5">
        <f>Final_Table[[#This Row],[Gross Profit]]-Final_Table[[#This Row],[Tax]]</f>
        <v>-2061.3599999999997</v>
      </c>
      <c r="V1257" s="12">
        <f>Final_Table[[#This Row],[Net Profit]]/Final_Table[[#This Row],[Gross Revenue]]</f>
        <v>-0.10104705882352939</v>
      </c>
    </row>
    <row r="1258" spans="1:22">
      <c r="A1258" s="18" t="s">
        <v>77</v>
      </c>
      <c r="B1258">
        <v>2014</v>
      </c>
      <c r="C1258" t="s">
        <v>128</v>
      </c>
      <c r="D1258">
        <v>1</v>
      </c>
      <c r="E1258" s="18" t="s">
        <v>30</v>
      </c>
      <c r="F1258" s="18" t="s">
        <v>108</v>
      </c>
      <c r="G1258" s="18" t="s">
        <v>23</v>
      </c>
      <c r="H1258" s="18" t="str">
        <f>Assumptions!$B$2</f>
        <v>Worst</v>
      </c>
      <c r="I1258" s="18">
        <f>_xlfn.XLOOKUP(Assumptions!$B$2,Assumptions!$F$4:$H$4,Assumptions!$F$5:$H$5)</f>
        <v>1200</v>
      </c>
      <c r="J1258" s="18">
        <f>_xlfn.XLOOKUP(Assumptions!$B$2,Assumptions!$F$4:$H$4,Assumptions!$F$6:$H$6)</f>
        <v>17</v>
      </c>
      <c r="K1258" s="12">
        <f>_xlfn.XLOOKUP(Assumptions!$B$2,Assumptions!$F$4:$H$4,Assumptions!$F$8:$H$8)</f>
        <v>0.1</v>
      </c>
      <c r="L1258" s="12">
        <f>_xlfn.XLOOKUP(Assumptions!$B$2,Assumptions!$F$4:$H$4,Assumptions!$F$9:$H$9)</f>
        <v>0.18</v>
      </c>
      <c r="M1258" s="18">
        <f>_xlfn.XLOOKUP(Assumptions!$B$2,Assumptions!$F$4:$H$4,Assumptions!$F$10:$H$10)</f>
        <v>18000</v>
      </c>
      <c r="N1258" s="12">
        <f>_xlfn.XLOOKUP(Assumptions!$B$2,Assumptions!$F$4:$H$4,Assumptions!$F$11:$H$11)</f>
        <v>0.3</v>
      </c>
      <c r="O1258" s="14">
        <f>Final_Table[[#This Row],[Units Sold]]*Final_Table[[#This Row],[Sale Price]]</f>
        <v>20400</v>
      </c>
      <c r="P1258" s="14">
        <f>Final_Table[[#This Row],[Gross Revenue]]*(1-Final_Table[[#This Row],[Discount %]])</f>
        <v>18360</v>
      </c>
      <c r="Q1258">
        <f>Final_Table[[#This Row],[Net Revenue]]*Final_Table[[#This Row],[Variable Cost %]]</f>
        <v>3304.7999999999997</v>
      </c>
      <c r="R1258">
        <f>Final_Table[[#This Row],[Variable Cost]]+Final_Table[[#This Row],[Fixed Monthly Cost]]</f>
        <v>21304.799999999999</v>
      </c>
      <c r="S1258" s="5">
        <f>Final_Table[[#This Row],[Net Revenue]]-Final_Table[[#This Row],[Total Cost (COGS)]]</f>
        <v>-2944.7999999999993</v>
      </c>
      <c r="T1258">
        <f>Final_Table[[#This Row],[Gross Profit]]*Final_Table[[#This Row],[Tax Rate]]</f>
        <v>-883.43999999999971</v>
      </c>
      <c r="U1258" s="5">
        <f>Final_Table[[#This Row],[Gross Profit]]-Final_Table[[#This Row],[Tax]]</f>
        <v>-2061.3599999999997</v>
      </c>
      <c r="V1258" s="12">
        <f>Final_Table[[#This Row],[Net Profit]]/Final_Table[[#This Row],[Gross Revenue]]</f>
        <v>-0.10104705882352939</v>
      </c>
    </row>
    <row r="1259" spans="1:22">
      <c r="A1259" s="18" t="s">
        <v>77</v>
      </c>
      <c r="B1259">
        <v>2014</v>
      </c>
      <c r="C1259" t="s">
        <v>128</v>
      </c>
      <c r="D1259">
        <v>1</v>
      </c>
      <c r="E1259" s="18" t="s">
        <v>30</v>
      </c>
      <c r="F1259" s="18" t="s">
        <v>108</v>
      </c>
      <c r="G1259" s="18" t="s">
        <v>21</v>
      </c>
      <c r="H1259" s="18" t="str">
        <f>Assumptions!$B$2</f>
        <v>Worst</v>
      </c>
      <c r="I1259" s="18">
        <f>_xlfn.XLOOKUP(Assumptions!$B$2,Assumptions!$F$4:$H$4,Assumptions!$F$5:$H$5)</f>
        <v>1200</v>
      </c>
      <c r="J1259" s="18">
        <f>_xlfn.XLOOKUP(Assumptions!$B$2,Assumptions!$F$4:$H$4,Assumptions!$F$6:$H$6)</f>
        <v>17</v>
      </c>
      <c r="K1259" s="12">
        <f>_xlfn.XLOOKUP(Assumptions!$B$2,Assumptions!$F$4:$H$4,Assumptions!$F$8:$H$8)</f>
        <v>0.1</v>
      </c>
      <c r="L1259" s="12">
        <f>_xlfn.XLOOKUP(Assumptions!$B$2,Assumptions!$F$4:$H$4,Assumptions!$F$9:$H$9)</f>
        <v>0.18</v>
      </c>
      <c r="M1259" s="18">
        <f>_xlfn.XLOOKUP(Assumptions!$B$2,Assumptions!$F$4:$H$4,Assumptions!$F$10:$H$10)</f>
        <v>18000</v>
      </c>
      <c r="N1259" s="12">
        <f>_xlfn.XLOOKUP(Assumptions!$B$2,Assumptions!$F$4:$H$4,Assumptions!$F$11:$H$11)</f>
        <v>0.3</v>
      </c>
      <c r="O1259" s="14">
        <f>Final_Table[[#This Row],[Units Sold]]*Final_Table[[#This Row],[Sale Price]]</f>
        <v>20400</v>
      </c>
      <c r="P1259" s="14">
        <f>Final_Table[[#This Row],[Gross Revenue]]*(1-Final_Table[[#This Row],[Discount %]])</f>
        <v>18360</v>
      </c>
      <c r="Q1259">
        <f>Final_Table[[#This Row],[Net Revenue]]*Final_Table[[#This Row],[Variable Cost %]]</f>
        <v>3304.7999999999997</v>
      </c>
      <c r="R1259">
        <f>Final_Table[[#This Row],[Variable Cost]]+Final_Table[[#This Row],[Fixed Monthly Cost]]</f>
        <v>21304.799999999999</v>
      </c>
      <c r="S1259" s="5">
        <f>Final_Table[[#This Row],[Net Revenue]]-Final_Table[[#This Row],[Total Cost (COGS)]]</f>
        <v>-2944.7999999999993</v>
      </c>
      <c r="T1259">
        <f>Final_Table[[#This Row],[Gross Profit]]*Final_Table[[#This Row],[Tax Rate]]</f>
        <v>-883.43999999999971</v>
      </c>
      <c r="U1259" s="5">
        <f>Final_Table[[#This Row],[Gross Profit]]-Final_Table[[#This Row],[Tax]]</f>
        <v>-2061.3599999999997</v>
      </c>
      <c r="V1259" s="12">
        <f>Final_Table[[#This Row],[Net Profit]]/Final_Table[[#This Row],[Gross Revenue]]</f>
        <v>-0.10104705882352939</v>
      </c>
    </row>
    <row r="1260" spans="1:22">
      <c r="A1260" s="18" t="s">
        <v>77</v>
      </c>
      <c r="B1260">
        <v>2014</v>
      </c>
      <c r="C1260" t="s">
        <v>128</v>
      </c>
      <c r="D1260">
        <v>1</v>
      </c>
      <c r="E1260" s="18" t="s">
        <v>30</v>
      </c>
      <c r="F1260" s="18" t="s">
        <v>108</v>
      </c>
      <c r="G1260" s="18" t="s">
        <v>25</v>
      </c>
      <c r="H1260" s="18" t="str">
        <f>Assumptions!$B$2</f>
        <v>Worst</v>
      </c>
      <c r="I1260" s="18">
        <f>_xlfn.XLOOKUP(Assumptions!$B$2,Assumptions!$F$4:$H$4,Assumptions!$F$5:$H$5)</f>
        <v>1200</v>
      </c>
      <c r="J1260" s="18">
        <f>_xlfn.XLOOKUP(Assumptions!$B$2,Assumptions!$F$4:$H$4,Assumptions!$F$6:$H$6)</f>
        <v>17</v>
      </c>
      <c r="K1260" s="12">
        <f>_xlfn.XLOOKUP(Assumptions!$B$2,Assumptions!$F$4:$H$4,Assumptions!$F$8:$H$8)</f>
        <v>0.1</v>
      </c>
      <c r="L1260" s="12">
        <f>_xlfn.XLOOKUP(Assumptions!$B$2,Assumptions!$F$4:$H$4,Assumptions!$F$9:$H$9)</f>
        <v>0.18</v>
      </c>
      <c r="M1260" s="18">
        <f>_xlfn.XLOOKUP(Assumptions!$B$2,Assumptions!$F$4:$H$4,Assumptions!$F$10:$H$10)</f>
        <v>18000</v>
      </c>
      <c r="N1260" s="12">
        <f>_xlfn.XLOOKUP(Assumptions!$B$2,Assumptions!$F$4:$H$4,Assumptions!$F$11:$H$11)</f>
        <v>0.3</v>
      </c>
      <c r="O1260" s="14">
        <f>Final_Table[[#This Row],[Units Sold]]*Final_Table[[#This Row],[Sale Price]]</f>
        <v>20400</v>
      </c>
      <c r="P1260" s="14">
        <f>Final_Table[[#This Row],[Gross Revenue]]*(1-Final_Table[[#This Row],[Discount %]])</f>
        <v>18360</v>
      </c>
      <c r="Q1260">
        <f>Final_Table[[#This Row],[Net Revenue]]*Final_Table[[#This Row],[Variable Cost %]]</f>
        <v>3304.7999999999997</v>
      </c>
      <c r="R1260">
        <f>Final_Table[[#This Row],[Variable Cost]]+Final_Table[[#This Row],[Fixed Monthly Cost]]</f>
        <v>21304.799999999999</v>
      </c>
      <c r="S1260" s="5">
        <f>Final_Table[[#This Row],[Net Revenue]]-Final_Table[[#This Row],[Total Cost (COGS)]]</f>
        <v>-2944.7999999999993</v>
      </c>
      <c r="T1260">
        <f>Final_Table[[#This Row],[Gross Profit]]*Final_Table[[#This Row],[Tax Rate]]</f>
        <v>-883.43999999999971</v>
      </c>
      <c r="U1260" s="5">
        <f>Final_Table[[#This Row],[Gross Profit]]-Final_Table[[#This Row],[Tax]]</f>
        <v>-2061.3599999999997</v>
      </c>
      <c r="V1260" s="12">
        <f>Final_Table[[#This Row],[Net Profit]]/Final_Table[[#This Row],[Gross Revenue]]</f>
        <v>-0.10104705882352939</v>
      </c>
    </row>
    <row r="1261" spans="1:22">
      <c r="A1261" s="18" t="s">
        <v>77</v>
      </c>
      <c r="B1261">
        <v>2014</v>
      </c>
      <c r="C1261" t="s">
        <v>128</v>
      </c>
      <c r="D1261">
        <v>1</v>
      </c>
      <c r="E1261" s="18" t="s">
        <v>30</v>
      </c>
      <c r="F1261" s="18" t="s">
        <v>108</v>
      </c>
      <c r="G1261" s="18" t="s">
        <v>17</v>
      </c>
      <c r="H1261" s="18" t="str">
        <f>Assumptions!$B$2</f>
        <v>Worst</v>
      </c>
      <c r="I1261" s="18">
        <f>_xlfn.XLOOKUP(Assumptions!$B$2,Assumptions!$F$4:$H$4,Assumptions!$F$5:$H$5)</f>
        <v>1200</v>
      </c>
      <c r="J1261" s="18">
        <f>_xlfn.XLOOKUP(Assumptions!$B$2,Assumptions!$F$4:$H$4,Assumptions!$F$6:$H$6)</f>
        <v>17</v>
      </c>
      <c r="K1261" s="12">
        <f>_xlfn.XLOOKUP(Assumptions!$B$2,Assumptions!$F$4:$H$4,Assumptions!$F$8:$H$8)</f>
        <v>0.1</v>
      </c>
      <c r="L1261" s="12">
        <f>_xlfn.XLOOKUP(Assumptions!$B$2,Assumptions!$F$4:$H$4,Assumptions!$F$9:$H$9)</f>
        <v>0.18</v>
      </c>
      <c r="M1261" s="18">
        <f>_xlfn.XLOOKUP(Assumptions!$B$2,Assumptions!$F$4:$H$4,Assumptions!$F$10:$H$10)</f>
        <v>18000</v>
      </c>
      <c r="N1261" s="12">
        <f>_xlfn.XLOOKUP(Assumptions!$B$2,Assumptions!$F$4:$H$4,Assumptions!$F$11:$H$11)</f>
        <v>0.3</v>
      </c>
      <c r="O1261" s="14">
        <f>Final_Table[[#This Row],[Units Sold]]*Final_Table[[#This Row],[Sale Price]]</f>
        <v>20400</v>
      </c>
      <c r="P1261" s="14">
        <f>Final_Table[[#This Row],[Gross Revenue]]*(1-Final_Table[[#This Row],[Discount %]])</f>
        <v>18360</v>
      </c>
      <c r="Q1261">
        <f>Final_Table[[#This Row],[Net Revenue]]*Final_Table[[#This Row],[Variable Cost %]]</f>
        <v>3304.7999999999997</v>
      </c>
      <c r="R1261">
        <f>Final_Table[[#This Row],[Variable Cost]]+Final_Table[[#This Row],[Fixed Monthly Cost]]</f>
        <v>21304.799999999999</v>
      </c>
      <c r="S1261" s="5">
        <f>Final_Table[[#This Row],[Net Revenue]]-Final_Table[[#This Row],[Total Cost (COGS)]]</f>
        <v>-2944.7999999999993</v>
      </c>
      <c r="T1261">
        <f>Final_Table[[#This Row],[Gross Profit]]*Final_Table[[#This Row],[Tax Rate]]</f>
        <v>-883.43999999999971</v>
      </c>
      <c r="U1261" s="5">
        <f>Final_Table[[#This Row],[Gross Profit]]-Final_Table[[#This Row],[Tax]]</f>
        <v>-2061.3599999999997</v>
      </c>
      <c r="V1261" s="12">
        <f>Final_Table[[#This Row],[Net Profit]]/Final_Table[[#This Row],[Gross Revenue]]</f>
        <v>-0.10104705882352939</v>
      </c>
    </row>
    <row r="1262" spans="1:22">
      <c r="A1262" s="18" t="s">
        <v>77</v>
      </c>
      <c r="B1262">
        <v>2014</v>
      </c>
      <c r="C1262" t="s">
        <v>128</v>
      </c>
      <c r="D1262">
        <v>1</v>
      </c>
      <c r="E1262" s="18" t="s">
        <v>30</v>
      </c>
      <c r="F1262" s="18" t="s">
        <v>112</v>
      </c>
      <c r="G1262" s="18" t="s">
        <v>36</v>
      </c>
      <c r="H1262" s="18" t="str">
        <f>Assumptions!$B$2</f>
        <v>Worst</v>
      </c>
      <c r="I1262" s="18">
        <f>_xlfn.XLOOKUP(Assumptions!$B$2,Assumptions!$F$4:$H$4,Assumptions!$F$5:$H$5)</f>
        <v>1200</v>
      </c>
      <c r="J1262" s="18">
        <f>_xlfn.XLOOKUP(Assumptions!$B$2,Assumptions!$F$4:$H$4,Assumptions!$F$6:$H$6)</f>
        <v>17</v>
      </c>
      <c r="K1262" s="12">
        <f>_xlfn.XLOOKUP(Assumptions!$B$2,Assumptions!$F$4:$H$4,Assumptions!$F$8:$H$8)</f>
        <v>0.1</v>
      </c>
      <c r="L1262" s="12">
        <f>_xlfn.XLOOKUP(Assumptions!$B$2,Assumptions!$F$4:$H$4,Assumptions!$F$9:$H$9)</f>
        <v>0.18</v>
      </c>
      <c r="M1262" s="18">
        <f>_xlfn.XLOOKUP(Assumptions!$B$2,Assumptions!$F$4:$H$4,Assumptions!$F$10:$H$10)</f>
        <v>18000</v>
      </c>
      <c r="N1262" s="12">
        <f>_xlfn.XLOOKUP(Assumptions!$B$2,Assumptions!$F$4:$H$4,Assumptions!$F$11:$H$11)</f>
        <v>0.3</v>
      </c>
      <c r="O1262" s="14">
        <f>Final_Table[[#This Row],[Units Sold]]*Final_Table[[#This Row],[Sale Price]]</f>
        <v>20400</v>
      </c>
      <c r="P1262" s="14">
        <f>Final_Table[[#This Row],[Gross Revenue]]*(1-Final_Table[[#This Row],[Discount %]])</f>
        <v>18360</v>
      </c>
      <c r="Q1262">
        <f>Final_Table[[#This Row],[Net Revenue]]*Final_Table[[#This Row],[Variable Cost %]]</f>
        <v>3304.7999999999997</v>
      </c>
      <c r="R1262">
        <f>Final_Table[[#This Row],[Variable Cost]]+Final_Table[[#This Row],[Fixed Monthly Cost]]</f>
        <v>21304.799999999999</v>
      </c>
      <c r="S1262" s="5">
        <f>Final_Table[[#This Row],[Net Revenue]]-Final_Table[[#This Row],[Total Cost (COGS)]]</f>
        <v>-2944.7999999999993</v>
      </c>
      <c r="T1262">
        <f>Final_Table[[#This Row],[Gross Profit]]*Final_Table[[#This Row],[Tax Rate]]</f>
        <v>-883.43999999999971</v>
      </c>
      <c r="U1262" s="5">
        <f>Final_Table[[#This Row],[Gross Profit]]-Final_Table[[#This Row],[Tax]]</f>
        <v>-2061.3599999999997</v>
      </c>
      <c r="V1262" s="12">
        <f>Final_Table[[#This Row],[Net Profit]]/Final_Table[[#This Row],[Gross Revenue]]</f>
        <v>-0.10104705882352939</v>
      </c>
    </row>
    <row r="1263" spans="1:22">
      <c r="A1263" s="18" t="s">
        <v>77</v>
      </c>
      <c r="B1263">
        <v>2014</v>
      </c>
      <c r="C1263" t="s">
        <v>128</v>
      </c>
      <c r="D1263">
        <v>1</v>
      </c>
      <c r="E1263" s="18" t="s">
        <v>30</v>
      </c>
      <c r="F1263" s="18" t="s">
        <v>112</v>
      </c>
      <c r="G1263" s="18" t="s">
        <v>23</v>
      </c>
      <c r="H1263" s="18" t="str">
        <f>Assumptions!$B$2</f>
        <v>Worst</v>
      </c>
      <c r="I1263" s="18">
        <f>_xlfn.XLOOKUP(Assumptions!$B$2,Assumptions!$F$4:$H$4,Assumptions!$F$5:$H$5)</f>
        <v>1200</v>
      </c>
      <c r="J1263" s="18">
        <f>_xlfn.XLOOKUP(Assumptions!$B$2,Assumptions!$F$4:$H$4,Assumptions!$F$6:$H$6)</f>
        <v>17</v>
      </c>
      <c r="K1263" s="12">
        <f>_xlfn.XLOOKUP(Assumptions!$B$2,Assumptions!$F$4:$H$4,Assumptions!$F$8:$H$8)</f>
        <v>0.1</v>
      </c>
      <c r="L1263" s="12">
        <f>_xlfn.XLOOKUP(Assumptions!$B$2,Assumptions!$F$4:$H$4,Assumptions!$F$9:$H$9)</f>
        <v>0.18</v>
      </c>
      <c r="M1263" s="18">
        <f>_xlfn.XLOOKUP(Assumptions!$B$2,Assumptions!$F$4:$H$4,Assumptions!$F$10:$H$10)</f>
        <v>18000</v>
      </c>
      <c r="N1263" s="12">
        <f>_xlfn.XLOOKUP(Assumptions!$B$2,Assumptions!$F$4:$H$4,Assumptions!$F$11:$H$11)</f>
        <v>0.3</v>
      </c>
      <c r="O1263" s="14">
        <f>Final_Table[[#This Row],[Units Sold]]*Final_Table[[#This Row],[Sale Price]]</f>
        <v>20400</v>
      </c>
      <c r="P1263" s="14">
        <f>Final_Table[[#This Row],[Gross Revenue]]*(1-Final_Table[[#This Row],[Discount %]])</f>
        <v>18360</v>
      </c>
      <c r="Q1263">
        <f>Final_Table[[#This Row],[Net Revenue]]*Final_Table[[#This Row],[Variable Cost %]]</f>
        <v>3304.7999999999997</v>
      </c>
      <c r="R1263">
        <f>Final_Table[[#This Row],[Variable Cost]]+Final_Table[[#This Row],[Fixed Monthly Cost]]</f>
        <v>21304.799999999999</v>
      </c>
      <c r="S1263" s="5">
        <f>Final_Table[[#This Row],[Net Revenue]]-Final_Table[[#This Row],[Total Cost (COGS)]]</f>
        <v>-2944.7999999999993</v>
      </c>
      <c r="T1263">
        <f>Final_Table[[#This Row],[Gross Profit]]*Final_Table[[#This Row],[Tax Rate]]</f>
        <v>-883.43999999999971</v>
      </c>
      <c r="U1263" s="5">
        <f>Final_Table[[#This Row],[Gross Profit]]-Final_Table[[#This Row],[Tax]]</f>
        <v>-2061.3599999999997</v>
      </c>
      <c r="V1263" s="12">
        <f>Final_Table[[#This Row],[Net Profit]]/Final_Table[[#This Row],[Gross Revenue]]</f>
        <v>-0.10104705882352939</v>
      </c>
    </row>
    <row r="1264" spans="1:22">
      <c r="A1264" s="18" t="s">
        <v>77</v>
      </c>
      <c r="B1264">
        <v>2014</v>
      </c>
      <c r="C1264" t="s">
        <v>128</v>
      </c>
      <c r="D1264">
        <v>1</v>
      </c>
      <c r="E1264" s="18" t="s">
        <v>30</v>
      </c>
      <c r="F1264" s="18" t="s">
        <v>112</v>
      </c>
      <c r="G1264" s="18" t="s">
        <v>21</v>
      </c>
      <c r="H1264" s="18" t="str">
        <f>Assumptions!$B$2</f>
        <v>Worst</v>
      </c>
      <c r="I1264" s="18">
        <f>_xlfn.XLOOKUP(Assumptions!$B$2,Assumptions!$F$4:$H$4,Assumptions!$F$5:$H$5)</f>
        <v>1200</v>
      </c>
      <c r="J1264" s="18">
        <f>_xlfn.XLOOKUP(Assumptions!$B$2,Assumptions!$F$4:$H$4,Assumptions!$F$6:$H$6)</f>
        <v>17</v>
      </c>
      <c r="K1264" s="12">
        <f>_xlfn.XLOOKUP(Assumptions!$B$2,Assumptions!$F$4:$H$4,Assumptions!$F$8:$H$8)</f>
        <v>0.1</v>
      </c>
      <c r="L1264" s="12">
        <f>_xlfn.XLOOKUP(Assumptions!$B$2,Assumptions!$F$4:$H$4,Assumptions!$F$9:$H$9)</f>
        <v>0.18</v>
      </c>
      <c r="M1264" s="18">
        <f>_xlfn.XLOOKUP(Assumptions!$B$2,Assumptions!$F$4:$H$4,Assumptions!$F$10:$H$10)</f>
        <v>18000</v>
      </c>
      <c r="N1264" s="12">
        <f>_xlfn.XLOOKUP(Assumptions!$B$2,Assumptions!$F$4:$H$4,Assumptions!$F$11:$H$11)</f>
        <v>0.3</v>
      </c>
      <c r="O1264" s="14">
        <f>Final_Table[[#This Row],[Units Sold]]*Final_Table[[#This Row],[Sale Price]]</f>
        <v>20400</v>
      </c>
      <c r="P1264" s="14">
        <f>Final_Table[[#This Row],[Gross Revenue]]*(1-Final_Table[[#This Row],[Discount %]])</f>
        <v>18360</v>
      </c>
      <c r="Q1264">
        <f>Final_Table[[#This Row],[Net Revenue]]*Final_Table[[#This Row],[Variable Cost %]]</f>
        <v>3304.7999999999997</v>
      </c>
      <c r="R1264">
        <f>Final_Table[[#This Row],[Variable Cost]]+Final_Table[[#This Row],[Fixed Monthly Cost]]</f>
        <v>21304.799999999999</v>
      </c>
      <c r="S1264" s="5">
        <f>Final_Table[[#This Row],[Net Revenue]]-Final_Table[[#This Row],[Total Cost (COGS)]]</f>
        <v>-2944.7999999999993</v>
      </c>
      <c r="T1264">
        <f>Final_Table[[#This Row],[Gross Profit]]*Final_Table[[#This Row],[Tax Rate]]</f>
        <v>-883.43999999999971</v>
      </c>
      <c r="U1264" s="5">
        <f>Final_Table[[#This Row],[Gross Profit]]-Final_Table[[#This Row],[Tax]]</f>
        <v>-2061.3599999999997</v>
      </c>
      <c r="V1264" s="12">
        <f>Final_Table[[#This Row],[Net Profit]]/Final_Table[[#This Row],[Gross Revenue]]</f>
        <v>-0.10104705882352939</v>
      </c>
    </row>
    <row r="1265" spans="1:22">
      <c r="A1265" s="18" t="s">
        <v>77</v>
      </c>
      <c r="B1265">
        <v>2014</v>
      </c>
      <c r="C1265" t="s">
        <v>128</v>
      </c>
      <c r="D1265">
        <v>1</v>
      </c>
      <c r="E1265" s="18" t="s">
        <v>30</v>
      </c>
      <c r="F1265" s="18" t="s">
        <v>112</v>
      </c>
      <c r="G1265" s="18" t="s">
        <v>25</v>
      </c>
      <c r="H1265" s="18" t="str">
        <f>Assumptions!$B$2</f>
        <v>Worst</v>
      </c>
      <c r="I1265" s="18">
        <f>_xlfn.XLOOKUP(Assumptions!$B$2,Assumptions!$F$4:$H$4,Assumptions!$F$5:$H$5)</f>
        <v>1200</v>
      </c>
      <c r="J1265" s="18">
        <f>_xlfn.XLOOKUP(Assumptions!$B$2,Assumptions!$F$4:$H$4,Assumptions!$F$6:$H$6)</f>
        <v>17</v>
      </c>
      <c r="K1265" s="12">
        <f>_xlfn.XLOOKUP(Assumptions!$B$2,Assumptions!$F$4:$H$4,Assumptions!$F$8:$H$8)</f>
        <v>0.1</v>
      </c>
      <c r="L1265" s="12">
        <f>_xlfn.XLOOKUP(Assumptions!$B$2,Assumptions!$F$4:$H$4,Assumptions!$F$9:$H$9)</f>
        <v>0.18</v>
      </c>
      <c r="M1265" s="18">
        <f>_xlfn.XLOOKUP(Assumptions!$B$2,Assumptions!$F$4:$H$4,Assumptions!$F$10:$H$10)</f>
        <v>18000</v>
      </c>
      <c r="N1265" s="12">
        <f>_xlfn.XLOOKUP(Assumptions!$B$2,Assumptions!$F$4:$H$4,Assumptions!$F$11:$H$11)</f>
        <v>0.3</v>
      </c>
      <c r="O1265" s="14">
        <f>Final_Table[[#This Row],[Units Sold]]*Final_Table[[#This Row],[Sale Price]]</f>
        <v>20400</v>
      </c>
      <c r="P1265" s="14">
        <f>Final_Table[[#This Row],[Gross Revenue]]*(1-Final_Table[[#This Row],[Discount %]])</f>
        <v>18360</v>
      </c>
      <c r="Q1265">
        <f>Final_Table[[#This Row],[Net Revenue]]*Final_Table[[#This Row],[Variable Cost %]]</f>
        <v>3304.7999999999997</v>
      </c>
      <c r="R1265">
        <f>Final_Table[[#This Row],[Variable Cost]]+Final_Table[[#This Row],[Fixed Monthly Cost]]</f>
        <v>21304.799999999999</v>
      </c>
      <c r="S1265" s="5">
        <f>Final_Table[[#This Row],[Net Revenue]]-Final_Table[[#This Row],[Total Cost (COGS)]]</f>
        <v>-2944.7999999999993</v>
      </c>
      <c r="T1265">
        <f>Final_Table[[#This Row],[Gross Profit]]*Final_Table[[#This Row],[Tax Rate]]</f>
        <v>-883.43999999999971</v>
      </c>
      <c r="U1265" s="5">
        <f>Final_Table[[#This Row],[Gross Profit]]-Final_Table[[#This Row],[Tax]]</f>
        <v>-2061.3599999999997</v>
      </c>
      <c r="V1265" s="12">
        <f>Final_Table[[#This Row],[Net Profit]]/Final_Table[[#This Row],[Gross Revenue]]</f>
        <v>-0.10104705882352939</v>
      </c>
    </row>
    <row r="1266" spans="1:22">
      <c r="A1266" s="18" t="s">
        <v>77</v>
      </c>
      <c r="B1266">
        <v>2014</v>
      </c>
      <c r="C1266" t="s">
        <v>128</v>
      </c>
      <c r="D1266">
        <v>1</v>
      </c>
      <c r="E1266" s="18" t="s">
        <v>30</v>
      </c>
      <c r="F1266" s="18" t="s">
        <v>112</v>
      </c>
      <c r="G1266" s="18" t="s">
        <v>17</v>
      </c>
      <c r="H1266" s="18" t="str">
        <f>Assumptions!$B$2</f>
        <v>Worst</v>
      </c>
      <c r="I1266" s="18">
        <f>_xlfn.XLOOKUP(Assumptions!$B$2,Assumptions!$F$4:$H$4,Assumptions!$F$5:$H$5)</f>
        <v>1200</v>
      </c>
      <c r="J1266" s="18">
        <f>_xlfn.XLOOKUP(Assumptions!$B$2,Assumptions!$F$4:$H$4,Assumptions!$F$6:$H$6)</f>
        <v>17</v>
      </c>
      <c r="K1266" s="12">
        <f>_xlfn.XLOOKUP(Assumptions!$B$2,Assumptions!$F$4:$H$4,Assumptions!$F$8:$H$8)</f>
        <v>0.1</v>
      </c>
      <c r="L1266" s="12">
        <f>_xlfn.XLOOKUP(Assumptions!$B$2,Assumptions!$F$4:$H$4,Assumptions!$F$9:$H$9)</f>
        <v>0.18</v>
      </c>
      <c r="M1266" s="18">
        <f>_xlfn.XLOOKUP(Assumptions!$B$2,Assumptions!$F$4:$H$4,Assumptions!$F$10:$H$10)</f>
        <v>18000</v>
      </c>
      <c r="N1266" s="12">
        <f>_xlfn.XLOOKUP(Assumptions!$B$2,Assumptions!$F$4:$H$4,Assumptions!$F$11:$H$11)</f>
        <v>0.3</v>
      </c>
      <c r="O1266" s="14">
        <f>Final_Table[[#This Row],[Units Sold]]*Final_Table[[#This Row],[Sale Price]]</f>
        <v>20400</v>
      </c>
      <c r="P1266" s="14">
        <f>Final_Table[[#This Row],[Gross Revenue]]*(1-Final_Table[[#This Row],[Discount %]])</f>
        <v>18360</v>
      </c>
      <c r="Q1266">
        <f>Final_Table[[#This Row],[Net Revenue]]*Final_Table[[#This Row],[Variable Cost %]]</f>
        <v>3304.7999999999997</v>
      </c>
      <c r="R1266">
        <f>Final_Table[[#This Row],[Variable Cost]]+Final_Table[[#This Row],[Fixed Monthly Cost]]</f>
        <v>21304.799999999999</v>
      </c>
      <c r="S1266" s="5">
        <f>Final_Table[[#This Row],[Net Revenue]]-Final_Table[[#This Row],[Total Cost (COGS)]]</f>
        <v>-2944.7999999999993</v>
      </c>
      <c r="T1266">
        <f>Final_Table[[#This Row],[Gross Profit]]*Final_Table[[#This Row],[Tax Rate]]</f>
        <v>-883.43999999999971</v>
      </c>
      <c r="U1266" s="5">
        <f>Final_Table[[#This Row],[Gross Profit]]-Final_Table[[#This Row],[Tax]]</f>
        <v>-2061.3599999999997</v>
      </c>
      <c r="V1266" s="12">
        <f>Final_Table[[#This Row],[Net Profit]]/Final_Table[[#This Row],[Gross Revenue]]</f>
        <v>-0.10104705882352939</v>
      </c>
    </row>
    <row r="1267" spans="1:22">
      <c r="A1267" s="18" t="s">
        <v>77</v>
      </c>
      <c r="B1267">
        <v>2014</v>
      </c>
      <c r="C1267" t="s">
        <v>128</v>
      </c>
      <c r="D1267">
        <v>1</v>
      </c>
      <c r="E1267" s="18" t="s">
        <v>30</v>
      </c>
      <c r="F1267" s="18" t="s">
        <v>113</v>
      </c>
      <c r="G1267" s="18" t="s">
        <v>36</v>
      </c>
      <c r="H1267" s="18" t="str">
        <f>Assumptions!$B$2</f>
        <v>Worst</v>
      </c>
      <c r="I1267" s="18">
        <f>_xlfn.XLOOKUP(Assumptions!$B$2,Assumptions!$F$4:$H$4,Assumptions!$F$5:$H$5)</f>
        <v>1200</v>
      </c>
      <c r="J1267" s="18">
        <f>_xlfn.XLOOKUP(Assumptions!$B$2,Assumptions!$F$4:$H$4,Assumptions!$F$6:$H$6)</f>
        <v>17</v>
      </c>
      <c r="K1267" s="12">
        <f>_xlfn.XLOOKUP(Assumptions!$B$2,Assumptions!$F$4:$H$4,Assumptions!$F$8:$H$8)</f>
        <v>0.1</v>
      </c>
      <c r="L1267" s="12">
        <f>_xlfn.XLOOKUP(Assumptions!$B$2,Assumptions!$F$4:$H$4,Assumptions!$F$9:$H$9)</f>
        <v>0.18</v>
      </c>
      <c r="M1267" s="18">
        <f>_xlfn.XLOOKUP(Assumptions!$B$2,Assumptions!$F$4:$H$4,Assumptions!$F$10:$H$10)</f>
        <v>18000</v>
      </c>
      <c r="N1267" s="12">
        <f>_xlfn.XLOOKUP(Assumptions!$B$2,Assumptions!$F$4:$H$4,Assumptions!$F$11:$H$11)</f>
        <v>0.3</v>
      </c>
      <c r="O1267" s="14">
        <f>Final_Table[[#This Row],[Units Sold]]*Final_Table[[#This Row],[Sale Price]]</f>
        <v>20400</v>
      </c>
      <c r="P1267" s="14">
        <f>Final_Table[[#This Row],[Gross Revenue]]*(1-Final_Table[[#This Row],[Discount %]])</f>
        <v>18360</v>
      </c>
      <c r="Q1267">
        <f>Final_Table[[#This Row],[Net Revenue]]*Final_Table[[#This Row],[Variable Cost %]]</f>
        <v>3304.7999999999997</v>
      </c>
      <c r="R1267">
        <f>Final_Table[[#This Row],[Variable Cost]]+Final_Table[[#This Row],[Fixed Monthly Cost]]</f>
        <v>21304.799999999999</v>
      </c>
      <c r="S1267" s="5">
        <f>Final_Table[[#This Row],[Net Revenue]]-Final_Table[[#This Row],[Total Cost (COGS)]]</f>
        <v>-2944.7999999999993</v>
      </c>
      <c r="T1267">
        <f>Final_Table[[#This Row],[Gross Profit]]*Final_Table[[#This Row],[Tax Rate]]</f>
        <v>-883.43999999999971</v>
      </c>
      <c r="U1267" s="5">
        <f>Final_Table[[#This Row],[Gross Profit]]-Final_Table[[#This Row],[Tax]]</f>
        <v>-2061.3599999999997</v>
      </c>
      <c r="V1267" s="12">
        <f>Final_Table[[#This Row],[Net Profit]]/Final_Table[[#This Row],[Gross Revenue]]</f>
        <v>-0.10104705882352939</v>
      </c>
    </row>
    <row r="1268" spans="1:22">
      <c r="A1268" s="18" t="s">
        <v>77</v>
      </c>
      <c r="B1268">
        <v>2014</v>
      </c>
      <c r="C1268" t="s">
        <v>128</v>
      </c>
      <c r="D1268">
        <v>1</v>
      </c>
      <c r="E1268" s="18" t="s">
        <v>30</v>
      </c>
      <c r="F1268" s="18" t="s">
        <v>113</v>
      </c>
      <c r="G1268" s="18" t="s">
        <v>23</v>
      </c>
      <c r="H1268" s="18" t="str">
        <f>Assumptions!$B$2</f>
        <v>Worst</v>
      </c>
      <c r="I1268" s="18">
        <f>_xlfn.XLOOKUP(Assumptions!$B$2,Assumptions!$F$4:$H$4,Assumptions!$F$5:$H$5)</f>
        <v>1200</v>
      </c>
      <c r="J1268" s="18">
        <f>_xlfn.XLOOKUP(Assumptions!$B$2,Assumptions!$F$4:$H$4,Assumptions!$F$6:$H$6)</f>
        <v>17</v>
      </c>
      <c r="K1268" s="12">
        <f>_xlfn.XLOOKUP(Assumptions!$B$2,Assumptions!$F$4:$H$4,Assumptions!$F$8:$H$8)</f>
        <v>0.1</v>
      </c>
      <c r="L1268" s="12">
        <f>_xlfn.XLOOKUP(Assumptions!$B$2,Assumptions!$F$4:$H$4,Assumptions!$F$9:$H$9)</f>
        <v>0.18</v>
      </c>
      <c r="M1268" s="18">
        <f>_xlfn.XLOOKUP(Assumptions!$B$2,Assumptions!$F$4:$H$4,Assumptions!$F$10:$H$10)</f>
        <v>18000</v>
      </c>
      <c r="N1268" s="12">
        <f>_xlfn.XLOOKUP(Assumptions!$B$2,Assumptions!$F$4:$H$4,Assumptions!$F$11:$H$11)</f>
        <v>0.3</v>
      </c>
      <c r="O1268" s="14">
        <f>Final_Table[[#This Row],[Units Sold]]*Final_Table[[#This Row],[Sale Price]]</f>
        <v>20400</v>
      </c>
      <c r="P1268" s="14">
        <f>Final_Table[[#This Row],[Gross Revenue]]*(1-Final_Table[[#This Row],[Discount %]])</f>
        <v>18360</v>
      </c>
      <c r="Q1268">
        <f>Final_Table[[#This Row],[Net Revenue]]*Final_Table[[#This Row],[Variable Cost %]]</f>
        <v>3304.7999999999997</v>
      </c>
      <c r="R1268">
        <f>Final_Table[[#This Row],[Variable Cost]]+Final_Table[[#This Row],[Fixed Monthly Cost]]</f>
        <v>21304.799999999999</v>
      </c>
      <c r="S1268" s="5">
        <f>Final_Table[[#This Row],[Net Revenue]]-Final_Table[[#This Row],[Total Cost (COGS)]]</f>
        <v>-2944.7999999999993</v>
      </c>
      <c r="T1268">
        <f>Final_Table[[#This Row],[Gross Profit]]*Final_Table[[#This Row],[Tax Rate]]</f>
        <v>-883.43999999999971</v>
      </c>
      <c r="U1268" s="5">
        <f>Final_Table[[#This Row],[Gross Profit]]-Final_Table[[#This Row],[Tax]]</f>
        <v>-2061.3599999999997</v>
      </c>
      <c r="V1268" s="12">
        <f>Final_Table[[#This Row],[Net Profit]]/Final_Table[[#This Row],[Gross Revenue]]</f>
        <v>-0.10104705882352939</v>
      </c>
    </row>
    <row r="1269" spans="1:22">
      <c r="A1269" s="18" t="s">
        <v>77</v>
      </c>
      <c r="B1269">
        <v>2014</v>
      </c>
      <c r="C1269" t="s">
        <v>128</v>
      </c>
      <c r="D1269">
        <v>1</v>
      </c>
      <c r="E1269" s="18" t="s">
        <v>30</v>
      </c>
      <c r="F1269" s="18" t="s">
        <v>113</v>
      </c>
      <c r="G1269" s="18" t="s">
        <v>21</v>
      </c>
      <c r="H1269" s="18" t="str">
        <f>Assumptions!$B$2</f>
        <v>Worst</v>
      </c>
      <c r="I1269" s="18">
        <f>_xlfn.XLOOKUP(Assumptions!$B$2,Assumptions!$F$4:$H$4,Assumptions!$F$5:$H$5)</f>
        <v>1200</v>
      </c>
      <c r="J1269" s="18">
        <f>_xlfn.XLOOKUP(Assumptions!$B$2,Assumptions!$F$4:$H$4,Assumptions!$F$6:$H$6)</f>
        <v>17</v>
      </c>
      <c r="K1269" s="12">
        <f>_xlfn.XLOOKUP(Assumptions!$B$2,Assumptions!$F$4:$H$4,Assumptions!$F$8:$H$8)</f>
        <v>0.1</v>
      </c>
      <c r="L1269" s="12">
        <f>_xlfn.XLOOKUP(Assumptions!$B$2,Assumptions!$F$4:$H$4,Assumptions!$F$9:$H$9)</f>
        <v>0.18</v>
      </c>
      <c r="M1269" s="18">
        <f>_xlfn.XLOOKUP(Assumptions!$B$2,Assumptions!$F$4:$H$4,Assumptions!$F$10:$H$10)</f>
        <v>18000</v>
      </c>
      <c r="N1269" s="12">
        <f>_xlfn.XLOOKUP(Assumptions!$B$2,Assumptions!$F$4:$H$4,Assumptions!$F$11:$H$11)</f>
        <v>0.3</v>
      </c>
      <c r="O1269" s="14">
        <f>Final_Table[[#This Row],[Units Sold]]*Final_Table[[#This Row],[Sale Price]]</f>
        <v>20400</v>
      </c>
      <c r="P1269" s="14">
        <f>Final_Table[[#This Row],[Gross Revenue]]*(1-Final_Table[[#This Row],[Discount %]])</f>
        <v>18360</v>
      </c>
      <c r="Q1269">
        <f>Final_Table[[#This Row],[Net Revenue]]*Final_Table[[#This Row],[Variable Cost %]]</f>
        <v>3304.7999999999997</v>
      </c>
      <c r="R1269">
        <f>Final_Table[[#This Row],[Variable Cost]]+Final_Table[[#This Row],[Fixed Monthly Cost]]</f>
        <v>21304.799999999999</v>
      </c>
      <c r="S1269" s="5">
        <f>Final_Table[[#This Row],[Net Revenue]]-Final_Table[[#This Row],[Total Cost (COGS)]]</f>
        <v>-2944.7999999999993</v>
      </c>
      <c r="T1269">
        <f>Final_Table[[#This Row],[Gross Profit]]*Final_Table[[#This Row],[Tax Rate]]</f>
        <v>-883.43999999999971</v>
      </c>
      <c r="U1269" s="5">
        <f>Final_Table[[#This Row],[Gross Profit]]-Final_Table[[#This Row],[Tax]]</f>
        <v>-2061.3599999999997</v>
      </c>
      <c r="V1269" s="12">
        <f>Final_Table[[#This Row],[Net Profit]]/Final_Table[[#This Row],[Gross Revenue]]</f>
        <v>-0.10104705882352939</v>
      </c>
    </row>
    <row r="1270" spans="1:22">
      <c r="A1270" s="18" t="s">
        <v>77</v>
      </c>
      <c r="B1270">
        <v>2014</v>
      </c>
      <c r="C1270" t="s">
        <v>128</v>
      </c>
      <c r="D1270">
        <v>1</v>
      </c>
      <c r="E1270" s="18" t="s">
        <v>30</v>
      </c>
      <c r="F1270" s="18" t="s">
        <v>113</v>
      </c>
      <c r="G1270" s="18" t="s">
        <v>25</v>
      </c>
      <c r="H1270" s="18" t="str">
        <f>Assumptions!$B$2</f>
        <v>Worst</v>
      </c>
      <c r="I1270" s="18">
        <f>_xlfn.XLOOKUP(Assumptions!$B$2,Assumptions!$F$4:$H$4,Assumptions!$F$5:$H$5)</f>
        <v>1200</v>
      </c>
      <c r="J1270" s="18">
        <f>_xlfn.XLOOKUP(Assumptions!$B$2,Assumptions!$F$4:$H$4,Assumptions!$F$6:$H$6)</f>
        <v>17</v>
      </c>
      <c r="K1270" s="12">
        <f>_xlfn.XLOOKUP(Assumptions!$B$2,Assumptions!$F$4:$H$4,Assumptions!$F$8:$H$8)</f>
        <v>0.1</v>
      </c>
      <c r="L1270" s="12">
        <f>_xlfn.XLOOKUP(Assumptions!$B$2,Assumptions!$F$4:$H$4,Assumptions!$F$9:$H$9)</f>
        <v>0.18</v>
      </c>
      <c r="M1270" s="18">
        <f>_xlfn.XLOOKUP(Assumptions!$B$2,Assumptions!$F$4:$H$4,Assumptions!$F$10:$H$10)</f>
        <v>18000</v>
      </c>
      <c r="N1270" s="12">
        <f>_xlfn.XLOOKUP(Assumptions!$B$2,Assumptions!$F$4:$H$4,Assumptions!$F$11:$H$11)</f>
        <v>0.3</v>
      </c>
      <c r="O1270" s="14">
        <f>Final_Table[[#This Row],[Units Sold]]*Final_Table[[#This Row],[Sale Price]]</f>
        <v>20400</v>
      </c>
      <c r="P1270" s="14">
        <f>Final_Table[[#This Row],[Gross Revenue]]*(1-Final_Table[[#This Row],[Discount %]])</f>
        <v>18360</v>
      </c>
      <c r="Q1270">
        <f>Final_Table[[#This Row],[Net Revenue]]*Final_Table[[#This Row],[Variable Cost %]]</f>
        <v>3304.7999999999997</v>
      </c>
      <c r="R1270">
        <f>Final_Table[[#This Row],[Variable Cost]]+Final_Table[[#This Row],[Fixed Monthly Cost]]</f>
        <v>21304.799999999999</v>
      </c>
      <c r="S1270" s="5">
        <f>Final_Table[[#This Row],[Net Revenue]]-Final_Table[[#This Row],[Total Cost (COGS)]]</f>
        <v>-2944.7999999999993</v>
      </c>
      <c r="T1270">
        <f>Final_Table[[#This Row],[Gross Profit]]*Final_Table[[#This Row],[Tax Rate]]</f>
        <v>-883.43999999999971</v>
      </c>
      <c r="U1270" s="5">
        <f>Final_Table[[#This Row],[Gross Profit]]-Final_Table[[#This Row],[Tax]]</f>
        <v>-2061.3599999999997</v>
      </c>
      <c r="V1270" s="12">
        <f>Final_Table[[#This Row],[Net Profit]]/Final_Table[[#This Row],[Gross Revenue]]</f>
        <v>-0.10104705882352939</v>
      </c>
    </row>
    <row r="1271" spans="1:22">
      <c r="A1271" s="18" t="s">
        <v>77</v>
      </c>
      <c r="B1271">
        <v>2014</v>
      </c>
      <c r="C1271" t="s">
        <v>128</v>
      </c>
      <c r="D1271">
        <v>1</v>
      </c>
      <c r="E1271" s="18" t="s">
        <v>30</v>
      </c>
      <c r="F1271" s="18" t="s">
        <v>113</v>
      </c>
      <c r="G1271" s="18" t="s">
        <v>17</v>
      </c>
      <c r="H1271" s="18" t="str">
        <f>Assumptions!$B$2</f>
        <v>Worst</v>
      </c>
      <c r="I1271" s="18">
        <f>_xlfn.XLOOKUP(Assumptions!$B$2,Assumptions!$F$4:$H$4,Assumptions!$F$5:$H$5)</f>
        <v>1200</v>
      </c>
      <c r="J1271" s="18">
        <f>_xlfn.XLOOKUP(Assumptions!$B$2,Assumptions!$F$4:$H$4,Assumptions!$F$6:$H$6)</f>
        <v>17</v>
      </c>
      <c r="K1271" s="12">
        <f>_xlfn.XLOOKUP(Assumptions!$B$2,Assumptions!$F$4:$H$4,Assumptions!$F$8:$H$8)</f>
        <v>0.1</v>
      </c>
      <c r="L1271" s="12">
        <f>_xlfn.XLOOKUP(Assumptions!$B$2,Assumptions!$F$4:$H$4,Assumptions!$F$9:$H$9)</f>
        <v>0.18</v>
      </c>
      <c r="M1271" s="18">
        <f>_xlfn.XLOOKUP(Assumptions!$B$2,Assumptions!$F$4:$H$4,Assumptions!$F$10:$H$10)</f>
        <v>18000</v>
      </c>
      <c r="N1271" s="12">
        <f>_xlfn.XLOOKUP(Assumptions!$B$2,Assumptions!$F$4:$H$4,Assumptions!$F$11:$H$11)</f>
        <v>0.3</v>
      </c>
      <c r="O1271" s="14">
        <f>Final_Table[[#This Row],[Units Sold]]*Final_Table[[#This Row],[Sale Price]]</f>
        <v>20400</v>
      </c>
      <c r="P1271" s="14">
        <f>Final_Table[[#This Row],[Gross Revenue]]*(1-Final_Table[[#This Row],[Discount %]])</f>
        <v>18360</v>
      </c>
      <c r="Q1271">
        <f>Final_Table[[#This Row],[Net Revenue]]*Final_Table[[#This Row],[Variable Cost %]]</f>
        <v>3304.7999999999997</v>
      </c>
      <c r="R1271">
        <f>Final_Table[[#This Row],[Variable Cost]]+Final_Table[[#This Row],[Fixed Monthly Cost]]</f>
        <v>21304.799999999999</v>
      </c>
      <c r="S1271" s="5">
        <f>Final_Table[[#This Row],[Net Revenue]]-Final_Table[[#This Row],[Total Cost (COGS)]]</f>
        <v>-2944.7999999999993</v>
      </c>
      <c r="T1271">
        <f>Final_Table[[#This Row],[Gross Profit]]*Final_Table[[#This Row],[Tax Rate]]</f>
        <v>-883.43999999999971</v>
      </c>
      <c r="U1271" s="5">
        <f>Final_Table[[#This Row],[Gross Profit]]-Final_Table[[#This Row],[Tax]]</f>
        <v>-2061.3599999999997</v>
      </c>
      <c r="V1271" s="12">
        <f>Final_Table[[#This Row],[Net Profit]]/Final_Table[[#This Row],[Gross Revenue]]</f>
        <v>-0.10104705882352939</v>
      </c>
    </row>
    <row r="1272" spans="1:22">
      <c r="A1272" s="18" t="s">
        <v>77</v>
      </c>
      <c r="B1272">
        <v>2014</v>
      </c>
      <c r="C1272" t="s">
        <v>128</v>
      </c>
      <c r="D1272">
        <v>1</v>
      </c>
      <c r="E1272" s="18" t="s">
        <v>30</v>
      </c>
      <c r="F1272" s="18" t="s">
        <v>114</v>
      </c>
      <c r="G1272" s="18" t="s">
        <v>36</v>
      </c>
      <c r="H1272" s="18" t="str">
        <f>Assumptions!$B$2</f>
        <v>Worst</v>
      </c>
      <c r="I1272" s="18">
        <f>_xlfn.XLOOKUP(Assumptions!$B$2,Assumptions!$F$4:$H$4,Assumptions!$F$5:$H$5)</f>
        <v>1200</v>
      </c>
      <c r="J1272" s="18">
        <f>_xlfn.XLOOKUP(Assumptions!$B$2,Assumptions!$F$4:$H$4,Assumptions!$F$6:$H$6)</f>
        <v>17</v>
      </c>
      <c r="K1272" s="12">
        <f>_xlfn.XLOOKUP(Assumptions!$B$2,Assumptions!$F$4:$H$4,Assumptions!$F$8:$H$8)</f>
        <v>0.1</v>
      </c>
      <c r="L1272" s="12">
        <f>_xlfn.XLOOKUP(Assumptions!$B$2,Assumptions!$F$4:$H$4,Assumptions!$F$9:$H$9)</f>
        <v>0.18</v>
      </c>
      <c r="M1272" s="18">
        <f>_xlfn.XLOOKUP(Assumptions!$B$2,Assumptions!$F$4:$H$4,Assumptions!$F$10:$H$10)</f>
        <v>18000</v>
      </c>
      <c r="N1272" s="12">
        <f>_xlfn.XLOOKUP(Assumptions!$B$2,Assumptions!$F$4:$H$4,Assumptions!$F$11:$H$11)</f>
        <v>0.3</v>
      </c>
      <c r="O1272" s="14">
        <f>Final_Table[[#This Row],[Units Sold]]*Final_Table[[#This Row],[Sale Price]]</f>
        <v>20400</v>
      </c>
      <c r="P1272" s="14">
        <f>Final_Table[[#This Row],[Gross Revenue]]*(1-Final_Table[[#This Row],[Discount %]])</f>
        <v>18360</v>
      </c>
      <c r="Q1272">
        <f>Final_Table[[#This Row],[Net Revenue]]*Final_Table[[#This Row],[Variable Cost %]]</f>
        <v>3304.7999999999997</v>
      </c>
      <c r="R1272">
        <f>Final_Table[[#This Row],[Variable Cost]]+Final_Table[[#This Row],[Fixed Monthly Cost]]</f>
        <v>21304.799999999999</v>
      </c>
      <c r="S1272" s="5">
        <f>Final_Table[[#This Row],[Net Revenue]]-Final_Table[[#This Row],[Total Cost (COGS)]]</f>
        <v>-2944.7999999999993</v>
      </c>
      <c r="T1272">
        <f>Final_Table[[#This Row],[Gross Profit]]*Final_Table[[#This Row],[Tax Rate]]</f>
        <v>-883.43999999999971</v>
      </c>
      <c r="U1272" s="5">
        <f>Final_Table[[#This Row],[Gross Profit]]-Final_Table[[#This Row],[Tax]]</f>
        <v>-2061.3599999999997</v>
      </c>
      <c r="V1272" s="12">
        <f>Final_Table[[#This Row],[Net Profit]]/Final_Table[[#This Row],[Gross Revenue]]</f>
        <v>-0.10104705882352939</v>
      </c>
    </row>
    <row r="1273" spans="1:22">
      <c r="A1273" s="18" t="s">
        <v>77</v>
      </c>
      <c r="B1273">
        <v>2014</v>
      </c>
      <c r="C1273" t="s">
        <v>128</v>
      </c>
      <c r="D1273">
        <v>1</v>
      </c>
      <c r="E1273" s="18" t="s">
        <v>30</v>
      </c>
      <c r="F1273" s="18" t="s">
        <v>114</v>
      </c>
      <c r="G1273" s="18" t="s">
        <v>23</v>
      </c>
      <c r="H1273" s="18" t="str">
        <f>Assumptions!$B$2</f>
        <v>Worst</v>
      </c>
      <c r="I1273" s="18">
        <f>_xlfn.XLOOKUP(Assumptions!$B$2,Assumptions!$F$4:$H$4,Assumptions!$F$5:$H$5)</f>
        <v>1200</v>
      </c>
      <c r="J1273" s="18">
        <f>_xlfn.XLOOKUP(Assumptions!$B$2,Assumptions!$F$4:$H$4,Assumptions!$F$6:$H$6)</f>
        <v>17</v>
      </c>
      <c r="K1273" s="12">
        <f>_xlfn.XLOOKUP(Assumptions!$B$2,Assumptions!$F$4:$H$4,Assumptions!$F$8:$H$8)</f>
        <v>0.1</v>
      </c>
      <c r="L1273" s="12">
        <f>_xlfn.XLOOKUP(Assumptions!$B$2,Assumptions!$F$4:$H$4,Assumptions!$F$9:$H$9)</f>
        <v>0.18</v>
      </c>
      <c r="M1273" s="18">
        <f>_xlfn.XLOOKUP(Assumptions!$B$2,Assumptions!$F$4:$H$4,Assumptions!$F$10:$H$10)</f>
        <v>18000</v>
      </c>
      <c r="N1273" s="12">
        <f>_xlfn.XLOOKUP(Assumptions!$B$2,Assumptions!$F$4:$H$4,Assumptions!$F$11:$H$11)</f>
        <v>0.3</v>
      </c>
      <c r="O1273" s="14">
        <f>Final_Table[[#This Row],[Units Sold]]*Final_Table[[#This Row],[Sale Price]]</f>
        <v>20400</v>
      </c>
      <c r="P1273" s="14">
        <f>Final_Table[[#This Row],[Gross Revenue]]*(1-Final_Table[[#This Row],[Discount %]])</f>
        <v>18360</v>
      </c>
      <c r="Q1273">
        <f>Final_Table[[#This Row],[Net Revenue]]*Final_Table[[#This Row],[Variable Cost %]]</f>
        <v>3304.7999999999997</v>
      </c>
      <c r="R1273">
        <f>Final_Table[[#This Row],[Variable Cost]]+Final_Table[[#This Row],[Fixed Monthly Cost]]</f>
        <v>21304.799999999999</v>
      </c>
      <c r="S1273" s="5">
        <f>Final_Table[[#This Row],[Net Revenue]]-Final_Table[[#This Row],[Total Cost (COGS)]]</f>
        <v>-2944.7999999999993</v>
      </c>
      <c r="T1273">
        <f>Final_Table[[#This Row],[Gross Profit]]*Final_Table[[#This Row],[Tax Rate]]</f>
        <v>-883.43999999999971</v>
      </c>
      <c r="U1273" s="5">
        <f>Final_Table[[#This Row],[Gross Profit]]-Final_Table[[#This Row],[Tax]]</f>
        <v>-2061.3599999999997</v>
      </c>
      <c r="V1273" s="12">
        <f>Final_Table[[#This Row],[Net Profit]]/Final_Table[[#This Row],[Gross Revenue]]</f>
        <v>-0.10104705882352939</v>
      </c>
    </row>
    <row r="1274" spans="1:22">
      <c r="A1274" s="18" t="s">
        <v>77</v>
      </c>
      <c r="B1274">
        <v>2014</v>
      </c>
      <c r="C1274" t="s">
        <v>128</v>
      </c>
      <c r="D1274">
        <v>1</v>
      </c>
      <c r="E1274" s="18" t="s">
        <v>30</v>
      </c>
      <c r="F1274" s="18" t="s">
        <v>114</v>
      </c>
      <c r="G1274" s="18" t="s">
        <v>21</v>
      </c>
      <c r="H1274" s="18" t="str">
        <f>Assumptions!$B$2</f>
        <v>Worst</v>
      </c>
      <c r="I1274" s="18">
        <f>_xlfn.XLOOKUP(Assumptions!$B$2,Assumptions!$F$4:$H$4,Assumptions!$F$5:$H$5)</f>
        <v>1200</v>
      </c>
      <c r="J1274" s="18">
        <f>_xlfn.XLOOKUP(Assumptions!$B$2,Assumptions!$F$4:$H$4,Assumptions!$F$6:$H$6)</f>
        <v>17</v>
      </c>
      <c r="K1274" s="12">
        <f>_xlfn.XLOOKUP(Assumptions!$B$2,Assumptions!$F$4:$H$4,Assumptions!$F$8:$H$8)</f>
        <v>0.1</v>
      </c>
      <c r="L1274" s="12">
        <f>_xlfn.XLOOKUP(Assumptions!$B$2,Assumptions!$F$4:$H$4,Assumptions!$F$9:$H$9)</f>
        <v>0.18</v>
      </c>
      <c r="M1274" s="18">
        <f>_xlfn.XLOOKUP(Assumptions!$B$2,Assumptions!$F$4:$H$4,Assumptions!$F$10:$H$10)</f>
        <v>18000</v>
      </c>
      <c r="N1274" s="12">
        <f>_xlfn.XLOOKUP(Assumptions!$B$2,Assumptions!$F$4:$H$4,Assumptions!$F$11:$H$11)</f>
        <v>0.3</v>
      </c>
      <c r="O1274" s="14">
        <f>Final_Table[[#This Row],[Units Sold]]*Final_Table[[#This Row],[Sale Price]]</f>
        <v>20400</v>
      </c>
      <c r="P1274" s="14">
        <f>Final_Table[[#This Row],[Gross Revenue]]*(1-Final_Table[[#This Row],[Discount %]])</f>
        <v>18360</v>
      </c>
      <c r="Q1274">
        <f>Final_Table[[#This Row],[Net Revenue]]*Final_Table[[#This Row],[Variable Cost %]]</f>
        <v>3304.7999999999997</v>
      </c>
      <c r="R1274">
        <f>Final_Table[[#This Row],[Variable Cost]]+Final_Table[[#This Row],[Fixed Monthly Cost]]</f>
        <v>21304.799999999999</v>
      </c>
      <c r="S1274" s="5">
        <f>Final_Table[[#This Row],[Net Revenue]]-Final_Table[[#This Row],[Total Cost (COGS)]]</f>
        <v>-2944.7999999999993</v>
      </c>
      <c r="T1274">
        <f>Final_Table[[#This Row],[Gross Profit]]*Final_Table[[#This Row],[Tax Rate]]</f>
        <v>-883.43999999999971</v>
      </c>
      <c r="U1274" s="5">
        <f>Final_Table[[#This Row],[Gross Profit]]-Final_Table[[#This Row],[Tax]]</f>
        <v>-2061.3599999999997</v>
      </c>
      <c r="V1274" s="12">
        <f>Final_Table[[#This Row],[Net Profit]]/Final_Table[[#This Row],[Gross Revenue]]</f>
        <v>-0.10104705882352939</v>
      </c>
    </row>
    <row r="1275" spans="1:22">
      <c r="A1275" s="18" t="s">
        <v>77</v>
      </c>
      <c r="B1275">
        <v>2014</v>
      </c>
      <c r="C1275" t="s">
        <v>128</v>
      </c>
      <c r="D1275">
        <v>1</v>
      </c>
      <c r="E1275" s="18" t="s">
        <v>30</v>
      </c>
      <c r="F1275" s="18" t="s">
        <v>114</v>
      </c>
      <c r="G1275" s="18" t="s">
        <v>25</v>
      </c>
      <c r="H1275" s="18" t="str">
        <f>Assumptions!$B$2</f>
        <v>Worst</v>
      </c>
      <c r="I1275" s="18">
        <f>_xlfn.XLOOKUP(Assumptions!$B$2,Assumptions!$F$4:$H$4,Assumptions!$F$5:$H$5)</f>
        <v>1200</v>
      </c>
      <c r="J1275" s="18">
        <f>_xlfn.XLOOKUP(Assumptions!$B$2,Assumptions!$F$4:$H$4,Assumptions!$F$6:$H$6)</f>
        <v>17</v>
      </c>
      <c r="K1275" s="12">
        <f>_xlfn.XLOOKUP(Assumptions!$B$2,Assumptions!$F$4:$H$4,Assumptions!$F$8:$H$8)</f>
        <v>0.1</v>
      </c>
      <c r="L1275" s="12">
        <f>_xlfn.XLOOKUP(Assumptions!$B$2,Assumptions!$F$4:$H$4,Assumptions!$F$9:$H$9)</f>
        <v>0.18</v>
      </c>
      <c r="M1275" s="18">
        <f>_xlfn.XLOOKUP(Assumptions!$B$2,Assumptions!$F$4:$H$4,Assumptions!$F$10:$H$10)</f>
        <v>18000</v>
      </c>
      <c r="N1275" s="12">
        <f>_xlfn.XLOOKUP(Assumptions!$B$2,Assumptions!$F$4:$H$4,Assumptions!$F$11:$H$11)</f>
        <v>0.3</v>
      </c>
      <c r="O1275" s="14">
        <f>Final_Table[[#This Row],[Units Sold]]*Final_Table[[#This Row],[Sale Price]]</f>
        <v>20400</v>
      </c>
      <c r="P1275" s="14">
        <f>Final_Table[[#This Row],[Gross Revenue]]*(1-Final_Table[[#This Row],[Discount %]])</f>
        <v>18360</v>
      </c>
      <c r="Q1275">
        <f>Final_Table[[#This Row],[Net Revenue]]*Final_Table[[#This Row],[Variable Cost %]]</f>
        <v>3304.7999999999997</v>
      </c>
      <c r="R1275">
        <f>Final_Table[[#This Row],[Variable Cost]]+Final_Table[[#This Row],[Fixed Monthly Cost]]</f>
        <v>21304.799999999999</v>
      </c>
      <c r="S1275" s="5">
        <f>Final_Table[[#This Row],[Net Revenue]]-Final_Table[[#This Row],[Total Cost (COGS)]]</f>
        <v>-2944.7999999999993</v>
      </c>
      <c r="T1275">
        <f>Final_Table[[#This Row],[Gross Profit]]*Final_Table[[#This Row],[Tax Rate]]</f>
        <v>-883.43999999999971</v>
      </c>
      <c r="U1275" s="5">
        <f>Final_Table[[#This Row],[Gross Profit]]-Final_Table[[#This Row],[Tax]]</f>
        <v>-2061.3599999999997</v>
      </c>
      <c r="V1275" s="12">
        <f>Final_Table[[#This Row],[Net Profit]]/Final_Table[[#This Row],[Gross Revenue]]</f>
        <v>-0.10104705882352939</v>
      </c>
    </row>
    <row r="1276" spans="1:22">
      <c r="A1276" s="18" t="s">
        <v>77</v>
      </c>
      <c r="B1276">
        <v>2014</v>
      </c>
      <c r="C1276" t="s">
        <v>128</v>
      </c>
      <c r="D1276">
        <v>1</v>
      </c>
      <c r="E1276" s="18" t="s">
        <v>30</v>
      </c>
      <c r="F1276" s="18" t="s">
        <v>114</v>
      </c>
      <c r="G1276" s="18" t="s">
        <v>17</v>
      </c>
      <c r="H1276" s="18" t="str">
        <f>Assumptions!$B$2</f>
        <v>Worst</v>
      </c>
      <c r="I1276" s="18">
        <f>_xlfn.XLOOKUP(Assumptions!$B$2,Assumptions!$F$4:$H$4,Assumptions!$F$5:$H$5)</f>
        <v>1200</v>
      </c>
      <c r="J1276" s="18">
        <f>_xlfn.XLOOKUP(Assumptions!$B$2,Assumptions!$F$4:$H$4,Assumptions!$F$6:$H$6)</f>
        <v>17</v>
      </c>
      <c r="K1276" s="12">
        <f>_xlfn.XLOOKUP(Assumptions!$B$2,Assumptions!$F$4:$H$4,Assumptions!$F$8:$H$8)</f>
        <v>0.1</v>
      </c>
      <c r="L1276" s="12">
        <f>_xlfn.XLOOKUP(Assumptions!$B$2,Assumptions!$F$4:$H$4,Assumptions!$F$9:$H$9)</f>
        <v>0.18</v>
      </c>
      <c r="M1276" s="18">
        <f>_xlfn.XLOOKUP(Assumptions!$B$2,Assumptions!$F$4:$H$4,Assumptions!$F$10:$H$10)</f>
        <v>18000</v>
      </c>
      <c r="N1276" s="12">
        <f>_xlfn.XLOOKUP(Assumptions!$B$2,Assumptions!$F$4:$H$4,Assumptions!$F$11:$H$11)</f>
        <v>0.3</v>
      </c>
      <c r="O1276" s="14">
        <f>Final_Table[[#This Row],[Units Sold]]*Final_Table[[#This Row],[Sale Price]]</f>
        <v>20400</v>
      </c>
      <c r="P1276" s="14">
        <f>Final_Table[[#This Row],[Gross Revenue]]*(1-Final_Table[[#This Row],[Discount %]])</f>
        <v>18360</v>
      </c>
      <c r="Q1276">
        <f>Final_Table[[#This Row],[Net Revenue]]*Final_Table[[#This Row],[Variable Cost %]]</f>
        <v>3304.7999999999997</v>
      </c>
      <c r="R1276">
        <f>Final_Table[[#This Row],[Variable Cost]]+Final_Table[[#This Row],[Fixed Monthly Cost]]</f>
        <v>21304.799999999999</v>
      </c>
      <c r="S1276" s="5">
        <f>Final_Table[[#This Row],[Net Revenue]]-Final_Table[[#This Row],[Total Cost (COGS)]]</f>
        <v>-2944.7999999999993</v>
      </c>
      <c r="T1276">
        <f>Final_Table[[#This Row],[Gross Profit]]*Final_Table[[#This Row],[Tax Rate]]</f>
        <v>-883.43999999999971</v>
      </c>
      <c r="U1276" s="5">
        <f>Final_Table[[#This Row],[Gross Profit]]-Final_Table[[#This Row],[Tax]]</f>
        <v>-2061.3599999999997</v>
      </c>
      <c r="V1276" s="12">
        <f>Final_Table[[#This Row],[Net Profit]]/Final_Table[[#This Row],[Gross Revenue]]</f>
        <v>-0.10104705882352939</v>
      </c>
    </row>
    <row r="1277" spans="1:22">
      <c r="A1277" s="18" t="s">
        <v>77</v>
      </c>
      <c r="B1277">
        <v>2014</v>
      </c>
      <c r="C1277" t="s">
        <v>128</v>
      </c>
      <c r="D1277">
        <v>1</v>
      </c>
      <c r="E1277" s="18" t="s">
        <v>29</v>
      </c>
      <c r="F1277" s="18" t="s">
        <v>80</v>
      </c>
      <c r="G1277" s="18" t="s">
        <v>36</v>
      </c>
      <c r="H1277" s="18" t="str">
        <f>Assumptions!$B$2</f>
        <v>Worst</v>
      </c>
      <c r="I1277" s="18">
        <f>_xlfn.XLOOKUP(Assumptions!$B$2,Assumptions!$F$4:$H$4,Assumptions!$F$5:$H$5)</f>
        <v>1200</v>
      </c>
      <c r="J1277" s="18">
        <f>_xlfn.XLOOKUP(Assumptions!$B$2,Assumptions!$F$4:$H$4,Assumptions!$F$6:$H$6)</f>
        <v>17</v>
      </c>
      <c r="K1277" s="12">
        <f>_xlfn.XLOOKUP(Assumptions!$B$2,Assumptions!$F$4:$H$4,Assumptions!$F$8:$H$8)</f>
        <v>0.1</v>
      </c>
      <c r="L1277" s="12">
        <f>_xlfn.XLOOKUP(Assumptions!$B$2,Assumptions!$F$4:$H$4,Assumptions!$F$9:$H$9)</f>
        <v>0.18</v>
      </c>
      <c r="M1277" s="18">
        <f>_xlfn.XLOOKUP(Assumptions!$B$2,Assumptions!$F$4:$H$4,Assumptions!$F$10:$H$10)</f>
        <v>18000</v>
      </c>
      <c r="N1277" s="12">
        <f>_xlfn.XLOOKUP(Assumptions!$B$2,Assumptions!$F$4:$H$4,Assumptions!$F$11:$H$11)</f>
        <v>0.3</v>
      </c>
      <c r="O1277" s="14">
        <f>Final_Table[[#This Row],[Units Sold]]*Final_Table[[#This Row],[Sale Price]]</f>
        <v>20400</v>
      </c>
      <c r="P1277" s="14">
        <f>Final_Table[[#This Row],[Gross Revenue]]*(1-Final_Table[[#This Row],[Discount %]])</f>
        <v>18360</v>
      </c>
      <c r="Q1277">
        <f>Final_Table[[#This Row],[Net Revenue]]*Final_Table[[#This Row],[Variable Cost %]]</f>
        <v>3304.7999999999997</v>
      </c>
      <c r="R1277">
        <f>Final_Table[[#This Row],[Variable Cost]]+Final_Table[[#This Row],[Fixed Monthly Cost]]</f>
        <v>21304.799999999999</v>
      </c>
      <c r="S1277" s="5">
        <f>Final_Table[[#This Row],[Net Revenue]]-Final_Table[[#This Row],[Total Cost (COGS)]]</f>
        <v>-2944.7999999999993</v>
      </c>
      <c r="T1277">
        <f>Final_Table[[#This Row],[Gross Profit]]*Final_Table[[#This Row],[Tax Rate]]</f>
        <v>-883.43999999999971</v>
      </c>
      <c r="U1277" s="5">
        <f>Final_Table[[#This Row],[Gross Profit]]-Final_Table[[#This Row],[Tax]]</f>
        <v>-2061.3599999999997</v>
      </c>
      <c r="V1277" s="12">
        <f>Final_Table[[#This Row],[Net Profit]]/Final_Table[[#This Row],[Gross Revenue]]</f>
        <v>-0.10104705882352939</v>
      </c>
    </row>
    <row r="1278" spans="1:22">
      <c r="A1278" s="18" t="s">
        <v>77</v>
      </c>
      <c r="B1278">
        <v>2014</v>
      </c>
      <c r="C1278" t="s">
        <v>128</v>
      </c>
      <c r="D1278">
        <v>1</v>
      </c>
      <c r="E1278" s="18" t="s">
        <v>29</v>
      </c>
      <c r="F1278" s="18" t="s">
        <v>80</v>
      </c>
      <c r="G1278" s="18" t="s">
        <v>23</v>
      </c>
      <c r="H1278" s="18" t="str">
        <f>Assumptions!$B$2</f>
        <v>Worst</v>
      </c>
      <c r="I1278" s="18">
        <f>_xlfn.XLOOKUP(Assumptions!$B$2,Assumptions!$F$4:$H$4,Assumptions!$F$5:$H$5)</f>
        <v>1200</v>
      </c>
      <c r="J1278" s="18">
        <f>_xlfn.XLOOKUP(Assumptions!$B$2,Assumptions!$F$4:$H$4,Assumptions!$F$6:$H$6)</f>
        <v>17</v>
      </c>
      <c r="K1278" s="12">
        <f>_xlfn.XLOOKUP(Assumptions!$B$2,Assumptions!$F$4:$H$4,Assumptions!$F$8:$H$8)</f>
        <v>0.1</v>
      </c>
      <c r="L1278" s="12">
        <f>_xlfn.XLOOKUP(Assumptions!$B$2,Assumptions!$F$4:$H$4,Assumptions!$F$9:$H$9)</f>
        <v>0.18</v>
      </c>
      <c r="M1278" s="18">
        <f>_xlfn.XLOOKUP(Assumptions!$B$2,Assumptions!$F$4:$H$4,Assumptions!$F$10:$H$10)</f>
        <v>18000</v>
      </c>
      <c r="N1278" s="12">
        <f>_xlfn.XLOOKUP(Assumptions!$B$2,Assumptions!$F$4:$H$4,Assumptions!$F$11:$H$11)</f>
        <v>0.3</v>
      </c>
      <c r="O1278" s="14">
        <f>Final_Table[[#This Row],[Units Sold]]*Final_Table[[#This Row],[Sale Price]]</f>
        <v>20400</v>
      </c>
      <c r="P1278" s="14">
        <f>Final_Table[[#This Row],[Gross Revenue]]*(1-Final_Table[[#This Row],[Discount %]])</f>
        <v>18360</v>
      </c>
      <c r="Q1278">
        <f>Final_Table[[#This Row],[Net Revenue]]*Final_Table[[#This Row],[Variable Cost %]]</f>
        <v>3304.7999999999997</v>
      </c>
      <c r="R1278">
        <f>Final_Table[[#This Row],[Variable Cost]]+Final_Table[[#This Row],[Fixed Monthly Cost]]</f>
        <v>21304.799999999999</v>
      </c>
      <c r="S1278" s="5">
        <f>Final_Table[[#This Row],[Net Revenue]]-Final_Table[[#This Row],[Total Cost (COGS)]]</f>
        <v>-2944.7999999999993</v>
      </c>
      <c r="T1278">
        <f>Final_Table[[#This Row],[Gross Profit]]*Final_Table[[#This Row],[Tax Rate]]</f>
        <v>-883.43999999999971</v>
      </c>
      <c r="U1278" s="5">
        <f>Final_Table[[#This Row],[Gross Profit]]-Final_Table[[#This Row],[Tax]]</f>
        <v>-2061.3599999999997</v>
      </c>
      <c r="V1278" s="12">
        <f>Final_Table[[#This Row],[Net Profit]]/Final_Table[[#This Row],[Gross Revenue]]</f>
        <v>-0.10104705882352939</v>
      </c>
    </row>
    <row r="1279" spans="1:22">
      <c r="A1279" s="18" t="s">
        <v>77</v>
      </c>
      <c r="B1279">
        <v>2014</v>
      </c>
      <c r="C1279" t="s">
        <v>128</v>
      </c>
      <c r="D1279">
        <v>1</v>
      </c>
      <c r="E1279" s="18" t="s">
        <v>29</v>
      </c>
      <c r="F1279" s="18" t="s">
        <v>80</v>
      </c>
      <c r="G1279" s="18" t="s">
        <v>21</v>
      </c>
      <c r="H1279" s="18" t="str">
        <f>Assumptions!$B$2</f>
        <v>Worst</v>
      </c>
      <c r="I1279" s="18">
        <f>_xlfn.XLOOKUP(Assumptions!$B$2,Assumptions!$F$4:$H$4,Assumptions!$F$5:$H$5)</f>
        <v>1200</v>
      </c>
      <c r="J1279" s="18">
        <f>_xlfn.XLOOKUP(Assumptions!$B$2,Assumptions!$F$4:$H$4,Assumptions!$F$6:$H$6)</f>
        <v>17</v>
      </c>
      <c r="K1279" s="12">
        <f>_xlfn.XLOOKUP(Assumptions!$B$2,Assumptions!$F$4:$H$4,Assumptions!$F$8:$H$8)</f>
        <v>0.1</v>
      </c>
      <c r="L1279" s="12">
        <f>_xlfn.XLOOKUP(Assumptions!$B$2,Assumptions!$F$4:$H$4,Assumptions!$F$9:$H$9)</f>
        <v>0.18</v>
      </c>
      <c r="M1279" s="18">
        <f>_xlfn.XLOOKUP(Assumptions!$B$2,Assumptions!$F$4:$H$4,Assumptions!$F$10:$H$10)</f>
        <v>18000</v>
      </c>
      <c r="N1279" s="12">
        <f>_xlfn.XLOOKUP(Assumptions!$B$2,Assumptions!$F$4:$H$4,Assumptions!$F$11:$H$11)</f>
        <v>0.3</v>
      </c>
      <c r="O1279" s="14">
        <f>Final_Table[[#This Row],[Units Sold]]*Final_Table[[#This Row],[Sale Price]]</f>
        <v>20400</v>
      </c>
      <c r="P1279" s="14">
        <f>Final_Table[[#This Row],[Gross Revenue]]*(1-Final_Table[[#This Row],[Discount %]])</f>
        <v>18360</v>
      </c>
      <c r="Q1279">
        <f>Final_Table[[#This Row],[Net Revenue]]*Final_Table[[#This Row],[Variable Cost %]]</f>
        <v>3304.7999999999997</v>
      </c>
      <c r="R1279">
        <f>Final_Table[[#This Row],[Variable Cost]]+Final_Table[[#This Row],[Fixed Monthly Cost]]</f>
        <v>21304.799999999999</v>
      </c>
      <c r="S1279" s="5">
        <f>Final_Table[[#This Row],[Net Revenue]]-Final_Table[[#This Row],[Total Cost (COGS)]]</f>
        <v>-2944.7999999999993</v>
      </c>
      <c r="T1279">
        <f>Final_Table[[#This Row],[Gross Profit]]*Final_Table[[#This Row],[Tax Rate]]</f>
        <v>-883.43999999999971</v>
      </c>
      <c r="U1279" s="5">
        <f>Final_Table[[#This Row],[Gross Profit]]-Final_Table[[#This Row],[Tax]]</f>
        <v>-2061.3599999999997</v>
      </c>
      <c r="V1279" s="12">
        <f>Final_Table[[#This Row],[Net Profit]]/Final_Table[[#This Row],[Gross Revenue]]</f>
        <v>-0.10104705882352939</v>
      </c>
    </row>
    <row r="1280" spans="1:22">
      <c r="A1280" s="18" t="s">
        <v>77</v>
      </c>
      <c r="B1280">
        <v>2014</v>
      </c>
      <c r="C1280" t="s">
        <v>128</v>
      </c>
      <c r="D1280">
        <v>1</v>
      </c>
      <c r="E1280" s="18" t="s">
        <v>29</v>
      </c>
      <c r="F1280" s="18" t="s">
        <v>80</v>
      </c>
      <c r="G1280" s="18" t="s">
        <v>25</v>
      </c>
      <c r="H1280" s="18" t="str">
        <f>Assumptions!$B$2</f>
        <v>Worst</v>
      </c>
      <c r="I1280" s="18">
        <f>_xlfn.XLOOKUP(Assumptions!$B$2,Assumptions!$F$4:$H$4,Assumptions!$F$5:$H$5)</f>
        <v>1200</v>
      </c>
      <c r="J1280" s="18">
        <f>_xlfn.XLOOKUP(Assumptions!$B$2,Assumptions!$F$4:$H$4,Assumptions!$F$6:$H$6)</f>
        <v>17</v>
      </c>
      <c r="K1280" s="12">
        <f>_xlfn.XLOOKUP(Assumptions!$B$2,Assumptions!$F$4:$H$4,Assumptions!$F$8:$H$8)</f>
        <v>0.1</v>
      </c>
      <c r="L1280" s="12">
        <f>_xlfn.XLOOKUP(Assumptions!$B$2,Assumptions!$F$4:$H$4,Assumptions!$F$9:$H$9)</f>
        <v>0.18</v>
      </c>
      <c r="M1280" s="18">
        <f>_xlfn.XLOOKUP(Assumptions!$B$2,Assumptions!$F$4:$H$4,Assumptions!$F$10:$H$10)</f>
        <v>18000</v>
      </c>
      <c r="N1280" s="12">
        <f>_xlfn.XLOOKUP(Assumptions!$B$2,Assumptions!$F$4:$H$4,Assumptions!$F$11:$H$11)</f>
        <v>0.3</v>
      </c>
      <c r="O1280" s="14">
        <f>Final_Table[[#This Row],[Units Sold]]*Final_Table[[#This Row],[Sale Price]]</f>
        <v>20400</v>
      </c>
      <c r="P1280" s="14">
        <f>Final_Table[[#This Row],[Gross Revenue]]*(1-Final_Table[[#This Row],[Discount %]])</f>
        <v>18360</v>
      </c>
      <c r="Q1280">
        <f>Final_Table[[#This Row],[Net Revenue]]*Final_Table[[#This Row],[Variable Cost %]]</f>
        <v>3304.7999999999997</v>
      </c>
      <c r="R1280">
        <f>Final_Table[[#This Row],[Variable Cost]]+Final_Table[[#This Row],[Fixed Monthly Cost]]</f>
        <v>21304.799999999999</v>
      </c>
      <c r="S1280" s="5">
        <f>Final_Table[[#This Row],[Net Revenue]]-Final_Table[[#This Row],[Total Cost (COGS)]]</f>
        <v>-2944.7999999999993</v>
      </c>
      <c r="T1280">
        <f>Final_Table[[#This Row],[Gross Profit]]*Final_Table[[#This Row],[Tax Rate]]</f>
        <v>-883.43999999999971</v>
      </c>
      <c r="U1280" s="5">
        <f>Final_Table[[#This Row],[Gross Profit]]-Final_Table[[#This Row],[Tax]]</f>
        <v>-2061.3599999999997</v>
      </c>
      <c r="V1280" s="12">
        <f>Final_Table[[#This Row],[Net Profit]]/Final_Table[[#This Row],[Gross Revenue]]</f>
        <v>-0.10104705882352939</v>
      </c>
    </row>
    <row r="1281" spans="1:22">
      <c r="A1281" s="18" t="s">
        <v>77</v>
      </c>
      <c r="B1281">
        <v>2014</v>
      </c>
      <c r="C1281" t="s">
        <v>128</v>
      </c>
      <c r="D1281">
        <v>1</v>
      </c>
      <c r="E1281" s="18" t="s">
        <v>29</v>
      </c>
      <c r="F1281" s="18" t="s">
        <v>80</v>
      </c>
      <c r="G1281" s="18" t="s">
        <v>17</v>
      </c>
      <c r="H1281" s="18" t="str">
        <f>Assumptions!$B$2</f>
        <v>Worst</v>
      </c>
      <c r="I1281" s="18">
        <f>_xlfn.XLOOKUP(Assumptions!$B$2,Assumptions!$F$4:$H$4,Assumptions!$F$5:$H$5)</f>
        <v>1200</v>
      </c>
      <c r="J1281" s="18">
        <f>_xlfn.XLOOKUP(Assumptions!$B$2,Assumptions!$F$4:$H$4,Assumptions!$F$6:$H$6)</f>
        <v>17</v>
      </c>
      <c r="K1281" s="12">
        <f>_xlfn.XLOOKUP(Assumptions!$B$2,Assumptions!$F$4:$H$4,Assumptions!$F$8:$H$8)</f>
        <v>0.1</v>
      </c>
      <c r="L1281" s="12">
        <f>_xlfn.XLOOKUP(Assumptions!$B$2,Assumptions!$F$4:$H$4,Assumptions!$F$9:$H$9)</f>
        <v>0.18</v>
      </c>
      <c r="M1281" s="18">
        <f>_xlfn.XLOOKUP(Assumptions!$B$2,Assumptions!$F$4:$H$4,Assumptions!$F$10:$H$10)</f>
        <v>18000</v>
      </c>
      <c r="N1281" s="12">
        <f>_xlfn.XLOOKUP(Assumptions!$B$2,Assumptions!$F$4:$H$4,Assumptions!$F$11:$H$11)</f>
        <v>0.3</v>
      </c>
      <c r="O1281" s="14">
        <f>Final_Table[[#This Row],[Units Sold]]*Final_Table[[#This Row],[Sale Price]]</f>
        <v>20400</v>
      </c>
      <c r="P1281" s="14">
        <f>Final_Table[[#This Row],[Gross Revenue]]*(1-Final_Table[[#This Row],[Discount %]])</f>
        <v>18360</v>
      </c>
      <c r="Q1281">
        <f>Final_Table[[#This Row],[Net Revenue]]*Final_Table[[#This Row],[Variable Cost %]]</f>
        <v>3304.7999999999997</v>
      </c>
      <c r="R1281">
        <f>Final_Table[[#This Row],[Variable Cost]]+Final_Table[[#This Row],[Fixed Monthly Cost]]</f>
        <v>21304.799999999999</v>
      </c>
      <c r="S1281" s="5">
        <f>Final_Table[[#This Row],[Net Revenue]]-Final_Table[[#This Row],[Total Cost (COGS)]]</f>
        <v>-2944.7999999999993</v>
      </c>
      <c r="T1281">
        <f>Final_Table[[#This Row],[Gross Profit]]*Final_Table[[#This Row],[Tax Rate]]</f>
        <v>-883.43999999999971</v>
      </c>
      <c r="U1281" s="5">
        <f>Final_Table[[#This Row],[Gross Profit]]-Final_Table[[#This Row],[Tax]]</f>
        <v>-2061.3599999999997</v>
      </c>
      <c r="V1281" s="12">
        <f>Final_Table[[#This Row],[Net Profit]]/Final_Table[[#This Row],[Gross Revenue]]</f>
        <v>-0.10104705882352939</v>
      </c>
    </row>
    <row r="1282" spans="1:22">
      <c r="A1282" s="18" t="s">
        <v>77</v>
      </c>
      <c r="B1282">
        <v>2014</v>
      </c>
      <c r="C1282" t="s">
        <v>128</v>
      </c>
      <c r="D1282">
        <v>1</v>
      </c>
      <c r="E1282" s="18" t="s">
        <v>29</v>
      </c>
      <c r="F1282" s="18" t="s">
        <v>108</v>
      </c>
      <c r="G1282" s="18" t="s">
        <v>36</v>
      </c>
      <c r="H1282" s="18" t="str">
        <f>Assumptions!$B$2</f>
        <v>Worst</v>
      </c>
      <c r="I1282" s="18">
        <f>_xlfn.XLOOKUP(Assumptions!$B$2,Assumptions!$F$4:$H$4,Assumptions!$F$5:$H$5)</f>
        <v>1200</v>
      </c>
      <c r="J1282" s="18">
        <f>_xlfn.XLOOKUP(Assumptions!$B$2,Assumptions!$F$4:$H$4,Assumptions!$F$6:$H$6)</f>
        <v>17</v>
      </c>
      <c r="K1282" s="12">
        <f>_xlfn.XLOOKUP(Assumptions!$B$2,Assumptions!$F$4:$H$4,Assumptions!$F$8:$H$8)</f>
        <v>0.1</v>
      </c>
      <c r="L1282" s="12">
        <f>_xlfn.XLOOKUP(Assumptions!$B$2,Assumptions!$F$4:$H$4,Assumptions!$F$9:$H$9)</f>
        <v>0.18</v>
      </c>
      <c r="M1282" s="18">
        <f>_xlfn.XLOOKUP(Assumptions!$B$2,Assumptions!$F$4:$H$4,Assumptions!$F$10:$H$10)</f>
        <v>18000</v>
      </c>
      <c r="N1282" s="12">
        <f>_xlfn.XLOOKUP(Assumptions!$B$2,Assumptions!$F$4:$H$4,Assumptions!$F$11:$H$11)</f>
        <v>0.3</v>
      </c>
      <c r="O1282" s="14">
        <f>Final_Table[[#This Row],[Units Sold]]*Final_Table[[#This Row],[Sale Price]]</f>
        <v>20400</v>
      </c>
      <c r="P1282" s="14">
        <f>Final_Table[[#This Row],[Gross Revenue]]*(1-Final_Table[[#This Row],[Discount %]])</f>
        <v>18360</v>
      </c>
      <c r="Q1282">
        <f>Final_Table[[#This Row],[Net Revenue]]*Final_Table[[#This Row],[Variable Cost %]]</f>
        <v>3304.7999999999997</v>
      </c>
      <c r="R1282">
        <f>Final_Table[[#This Row],[Variable Cost]]+Final_Table[[#This Row],[Fixed Monthly Cost]]</f>
        <v>21304.799999999999</v>
      </c>
      <c r="S1282" s="5">
        <f>Final_Table[[#This Row],[Net Revenue]]-Final_Table[[#This Row],[Total Cost (COGS)]]</f>
        <v>-2944.7999999999993</v>
      </c>
      <c r="T1282">
        <f>Final_Table[[#This Row],[Gross Profit]]*Final_Table[[#This Row],[Tax Rate]]</f>
        <v>-883.43999999999971</v>
      </c>
      <c r="U1282" s="5">
        <f>Final_Table[[#This Row],[Gross Profit]]-Final_Table[[#This Row],[Tax]]</f>
        <v>-2061.3599999999997</v>
      </c>
      <c r="V1282" s="12">
        <f>Final_Table[[#This Row],[Net Profit]]/Final_Table[[#This Row],[Gross Revenue]]</f>
        <v>-0.10104705882352939</v>
      </c>
    </row>
    <row r="1283" spans="1:22">
      <c r="A1283" s="18" t="s">
        <v>77</v>
      </c>
      <c r="B1283">
        <v>2014</v>
      </c>
      <c r="C1283" t="s">
        <v>128</v>
      </c>
      <c r="D1283">
        <v>1</v>
      </c>
      <c r="E1283" s="18" t="s">
        <v>29</v>
      </c>
      <c r="F1283" s="18" t="s">
        <v>108</v>
      </c>
      <c r="G1283" s="18" t="s">
        <v>23</v>
      </c>
      <c r="H1283" s="18" t="str">
        <f>Assumptions!$B$2</f>
        <v>Worst</v>
      </c>
      <c r="I1283" s="18">
        <f>_xlfn.XLOOKUP(Assumptions!$B$2,Assumptions!$F$4:$H$4,Assumptions!$F$5:$H$5)</f>
        <v>1200</v>
      </c>
      <c r="J1283" s="18">
        <f>_xlfn.XLOOKUP(Assumptions!$B$2,Assumptions!$F$4:$H$4,Assumptions!$F$6:$H$6)</f>
        <v>17</v>
      </c>
      <c r="K1283" s="12">
        <f>_xlfn.XLOOKUP(Assumptions!$B$2,Assumptions!$F$4:$H$4,Assumptions!$F$8:$H$8)</f>
        <v>0.1</v>
      </c>
      <c r="L1283" s="12">
        <f>_xlfn.XLOOKUP(Assumptions!$B$2,Assumptions!$F$4:$H$4,Assumptions!$F$9:$H$9)</f>
        <v>0.18</v>
      </c>
      <c r="M1283" s="18">
        <f>_xlfn.XLOOKUP(Assumptions!$B$2,Assumptions!$F$4:$H$4,Assumptions!$F$10:$H$10)</f>
        <v>18000</v>
      </c>
      <c r="N1283" s="12">
        <f>_xlfn.XLOOKUP(Assumptions!$B$2,Assumptions!$F$4:$H$4,Assumptions!$F$11:$H$11)</f>
        <v>0.3</v>
      </c>
      <c r="O1283" s="14">
        <f>Final_Table[[#This Row],[Units Sold]]*Final_Table[[#This Row],[Sale Price]]</f>
        <v>20400</v>
      </c>
      <c r="P1283" s="14">
        <f>Final_Table[[#This Row],[Gross Revenue]]*(1-Final_Table[[#This Row],[Discount %]])</f>
        <v>18360</v>
      </c>
      <c r="Q1283">
        <f>Final_Table[[#This Row],[Net Revenue]]*Final_Table[[#This Row],[Variable Cost %]]</f>
        <v>3304.7999999999997</v>
      </c>
      <c r="R1283">
        <f>Final_Table[[#This Row],[Variable Cost]]+Final_Table[[#This Row],[Fixed Monthly Cost]]</f>
        <v>21304.799999999999</v>
      </c>
      <c r="S1283" s="5">
        <f>Final_Table[[#This Row],[Net Revenue]]-Final_Table[[#This Row],[Total Cost (COGS)]]</f>
        <v>-2944.7999999999993</v>
      </c>
      <c r="T1283">
        <f>Final_Table[[#This Row],[Gross Profit]]*Final_Table[[#This Row],[Tax Rate]]</f>
        <v>-883.43999999999971</v>
      </c>
      <c r="U1283" s="5">
        <f>Final_Table[[#This Row],[Gross Profit]]-Final_Table[[#This Row],[Tax]]</f>
        <v>-2061.3599999999997</v>
      </c>
      <c r="V1283" s="12">
        <f>Final_Table[[#This Row],[Net Profit]]/Final_Table[[#This Row],[Gross Revenue]]</f>
        <v>-0.10104705882352939</v>
      </c>
    </row>
    <row r="1284" spans="1:22">
      <c r="A1284" s="18" t="s">
        <v>77</v>
      </c>
      <c r="B1284">
        <v>2014</v>
      </c>
      <c r="C1284" t="s">
        <v>128</v>
      </c>
      <c r="D1284">
        <v>1</v>
      </c>
      <c r="E1284" s="18" t="s">
        <v>29</v>
      </c>
      <c r="F1284" s="18" t="s">
        <v>108</v>
      </c>
      <c r="G1284" s="18" t="s">
        <v>21</v>
      </c>
      <c r="H1284" s="18" t="str">
        <f>Assumptions!$B$2</f>
        <v>Worst</v>
      </c>
      <c r="I1284" s="18">
        <f>_xlfn.XLOOKUP(Assumptions!$B$2,Assumptions!$F$4:$H$4,Assumptions!$F$5:$H$5)</f>
        <v>1200</v>
      </c>
      <c r="J1284" s="18">
        <f>_xlfn.XLOOKUP(Assumptions!$B$2,Assumptions!$F$4:$H$4,Assumptions!$F$6:$H$6)</f>
        <v>17</v>
      </c>
      <c r="K1284" s="12">
        <f>_xlfn.XLOOKUP(Assumptions!$B$2,Assumptions!$F$4:$H$4,Assumptions!$F$8:$H$8)</f>
        <v>0.1</v>
      </c>
      <c r="L1284" s="12">
        <f>_xlfn.XLOOKUP(Assumptions!$B$2,Assumptions!$F$4:$H$4,Assumptions!$F$9:$H$9)</f>
        <v>0.18</v>
      </c>
      <c r="M1284" s="18">
        <f>_xlfn.XLOOKUP(Assumptions!$B$2,Assumptions!$F$4:$H$4,Assumptions!$F$10:$H$10)</f>
        <v>18000</v>
      </c>
      <c r="N1284" s="12">
        <f>_xlfn.XLOOKUP(Assumptions!$B$2,Assumptions!$F$4:$H$4,Assumptions!$F$11:$H$11)</f>
        <v>0.3</v>
      </c>
      <c r="O1284" s="14">
        <f>Final_Table[[#This Row],[Units Sold]]*Final_Table[[#This Row],[Sale Price]]</f>
        <v>20400</v>
      </c>
      <c r="P1284" s="14">
        <f>Final_Table[[#This Row],[Gross Revenue]]*(1-Final_Table[[#This Row],[Discount %]])</f>
        <v>18360</v>
      </c>
      <c r="Q1284">
        <f>Final_Table[[#This Row],[Net Revenue]]*Final_Table[[#This Row],[Variable Cost %]]</f>
        <v>3304.7999999999997</v>
      </c>
      <c r="R1284">
        <f>Final_Table[[#This Row],[Variable Cost]]+Final_Table[[#This Row],[Fixed Monthly Cost]]</f>
        <v>21304.799999999999</v>
      </c>
      <c r="S1284" s="5">
        <f>Final_Table[[#This Row],[Net Revenue]]-Final_Table[[#This Row],[Total Cost (COGS)]]</f>
        <v>-2944.7999999999993</v>
      </c>
      <c r="T1284">
        <f>Final_Table[[#This Row],[Gross Profit]]*Final_Table[[#This Row],[Tax Rate]]</f>
        <v>-883.43999999999971</v>
      </c>
      <c r="U1284" s="5">
        <f>Final_Table[[#This Row],[Gross Profit]]-Final_Table[[#This Row],[Tax]]</f>
        <v>-2061.3599999999997</v>
      </c>
      <c r="V1284" s="12">
        <f>Final_Table[[#This Row],[Net Profit]]/Final_Table[[#This Row],[Gross Revenue]]</f>
        <v>-0.10104705882352939</v>
      </c>
    </row>
    <row r="1285" spans="1:22">
      <c r="A1285" s="18" t="s">
        <v>77</v>
      </c>
      <c r="B1285">
        <v>2014</v>
      </c>
      <c r="C1285" t="s">
        <v>128</v>
      </c>
      <c r="D1285">
        <v>1</v>
      </c>
      <c r="E1285" s="18" t="s">
        <v>29</v>
      </c>
      <c r="F1285" s="18" t="s">
        <v>108</v>
      </c>
      <c r="G1285" s="18" t="s">
        <v>25</v>
      </c>
      <c r="H1285" s="18" t="str">
        <f>Assumptions!$B$2</f>
        <v>Worst</v>
      </c>
      <c r="I1285" s="18">
        <f>_xlfn.XLOOKUP(Assumptions!$B$2,Assumptions!$F$4:$H$4,Assumptions!$F$5:$H$5)</f>
        <v>1200</v>
      </c>
      <c r="J1285" s="18">
        <f>_xlfn.XLOOKUP(Assumptions!$B$2,Assumptions!$F$4:$H$4,Assumptions!$F$6:$H$6)</f>
        <v>17</v>
      </c>
      <c r="K1285" s="12">
        <f>_xlfn.XLOOKUP(Assumptions!$B$2,Assumptions!$F$4:$H$4,Assumptions!$F$8:$H$8)</f>
        <v>0.1</v>
      </c>
      <c r="L1285" s="12">
        <f>_xlfn.XLOOKUP(Assumptions!$B$2,Assumptions!$F$4:$H$4,Assumptions!$F$9:$H$9)</f>
        <v>0.18</v>
      </c>
      <c r="M1285" s="18">
        <f>_xlfn.XLOOKUP(Assumptions!$B$2,Assumptions!$F$4:$H$4,Assumptions!$F$10:$H$10)</f>
        <v>18000</v>
      </c>
      <c r="N1285" s="12">
        <f>_xlfn.XLOOKUP(Assumptions!$B$2,Assumptions!$F$4:$H$4,Assumptions!$F$11:$H$11)</f>
        <v>0.3</v>
      </c>
      <c r="O1285" s="14">
        <f>Final_Table[[#This Row],[Units Sold]]*Final_Table[[#This Row],[Sale Price]]</f>
        <v>20400</v>
      </c>
      <c r="P1285" s="14">
        <f>Final_Table[[#This Row],[Gross Revenue]]*(1-Final_Table[[#This Row],[Discount %]])</f>
        <v>18360</v>
      </c>
      <c r="Q1285">
        <f>Final_Table[[#This Row],[Net Revenue]]*Final_Table[[#This Row],[Variable Cost %]]</f>
        <v>3304.7999999999997</v>
      </c>
      <c r="R1285">
        <f>Final_Table[[#This Row],[Variable Cost]]+Final_Table[[#This Row],[Fixed Monthly Cost]]</f>
        <v>21304.799999999999</v>
      </c>
      <c r="S1285" s="5">
        <f>Final_Table[[#This Row],[Net Revenue]]-Final_Table[[#This Row],[Total Cost (COGS)]]</f>
        <v>-2944.7999999999993</v>
      </c>
      <c r="T1285">
        <f>Final_Table[[#This Row],[Gross Profit]]*Final_Table[[#This Row],[Tax Rate]]</f>
        <v>-883.43999999999971</v>
      </c>
      <c r="U1285" s="5">
        <f>Final_Table[[#This Row],[Gross Profit]]-Final_Table[[#This Row],[Tax]]</f>
        <v>-2061.3599999999997</v>
      </c>
      <c r="V1285" s="12">
        <f>Final_Table[[#This Row],[Net Profit]]/Final_Table[[#This Row],[Gross Revenue]]</f>
        <v>-0.10104705882352939</v>
      </c>
    </row>
    <row r="1286" spans="1:22">
      <c r="A1286" s="18" t="s">
        <v>77</v>
      </c>
      <c r="B1286">
        <v>2014</v>
      </c>
      <c r="C1286" t="s">
        <v>128</v>
      </c>
      <c r="D1286">
        <v>1</v>
      </c>
      <c r="E1286" s="18" t="s">
        <v>29</v>
      </c>
      <c r="F1286" s="18" t="s">
        <v>108</v>
      </c>
      <c r="G1286" s="18" t="s">
        <v>17</v>
      </c>
      <c r="H1286" s="18" t="str">
        <f>Assumptions!$B$2</f>
        <v>Worst</v>
      </c>
      <c r="I1286" s="18">
        <f>_xlfn.XLOOKUP(Assumptions!$B$2,Assumptions!$F$4:$H$4,Assumptions!$F$5:$H$5)</f>
        <v>1200</v>
      </c>
      <c r="J1286" s="18">
        <f>_xlfn.XLOOKUP(Assumptions!$B$2,Assumptions!$F$4:$H$4,Assumptions!$F$6:$H$6)</f>
        <v>17</v>
      </c>
      <c r="K1286" s="12">
        <f>_xlfn.XLOOKUP(Assumptions!$B$2,Assumptions!$F$4:$H$4,Assumptions!$F$8:$H$8)</f>
        <v>0.1</v>
      </c>
      <c r="L1286" s="12">
        <f>_xlfn.XLOOKUP(Assumptions!$B$2,Assumptions!$F$4:$H$4,Assumptions!$F$9:$H$9)</f>
        <v>0.18</v>
      </c>
      <c r="M1286" s="18">
        <f>_xlfn.XLOOKUP(Assumptions!$B$2,Assumptions!$F$4:$H$4,Assumptions!$F$10:$H$10)</f>
        <v>18000</v>
      </c>
      <c r="N1286" s="12">
        <f>_xlfn.XLOOKUP(Assumptions!$B$2,Assumptions!$F$4:$H$4,Assumptions!$F$11:$H$11)</f>
        <v>0.3</v>
      </c>
      <c r="O1286" s="14">
        <f>Final_Table[[#This Row],[Units Sold]]*Final_Table[[#This Row],[Sale Price]]</f>
        <v>20400</v>
      </c>
      <c r="P1286" s="14">
        <f>Final_Table[[#This Row],[Gross Revenue]]*(1-Final_Table[[#This Row],[Discount %]])</f>
        <v>18360</v>
      </c>
      <c r="Q1286">
        <f>Final_Table[[#This Row],[Net Revenue]]*Final_Table[[#This Row],[Variable Cost %]]</f>
        <v>3304.7999999999997</v>
      </c>
      <c r="R1286">
        <f>Final_Table[[#This Row],[Variable Cost]]+Final_Table[[#This Row],[Fixed Monthly Cost]]</f>
        <v>21304.799999999999</v>
      </c>
      <c r="S1286" s="5">
        <f>Final_Table[[#This Row],[Net Revenue]]-Final_Table[[#This Row],[Total Cost (COGS)]]</f>
        <v>-2944.7999999999993</v>
      </c>
      <c r="T1286">
        <f>Final_Table[[#This Row],[Gross Profit]]*Final_Table[[#This Row],[Tax Rate]]</f>
        <v>-883.43999999999971</v>
      </c>
      <c r="U1286" s="5">
        <f>Final_Table[[#This Row],[Gross Profit]]-Final_Table[[#This Row],[Tax]]</f>
        <v>-2061.3599999999997</v>
      </c>
      <c r="V1286" s="12">
        <f>Final_Table[[#This Row],[Net Profit]]/Final_Table[[#This Row],[Gross Revenue]]</f>
        <v>-0.10104705882352939</v>
      </c>
    </row>
    <row r="1287" spans="1:22">
      <c r="A1287" s="18" t="s">
        <v>77</v>
      </c>
      <c r="B1287">
        <v>2014</v>
      </c>
      <c r="C1287" t="s">
        <v>128</v>
      </c>
      <c r="D1287">
        <v>1</v>
      </c>
      <c r="E1287" s="18" t="s">
        <v>29</v>
      </c>
      <c r="F1287" s="18" t="s">
        <v>112</v>
      </c>
      <c r="G1287" s="18" t="s">
        <v>36</v>
      </c>
      <c r="H1287" s="18" t="str">
        <f>Assumptions!$B$2</f>
        <v>Worst</v>
      </c>
      <c r="I1287" s="18">
        <f>_xlfn.XLOOKUP(Assumptions!$B$2,Assumptions!$F$4:$H$4,Assumptions!$F$5:$H$5)</f>
        <v>1200</v>
      </c>
      <c r="J1287" s="18">
        <f>_xlfn.XLOOKUP(Assumptions!$B$2,Assumptions!$F$4:$H$4,Assumptions!$F$6:$H$6)</f>
        <v>17</v>
      </c>
      <c r="K1287" s="12">
        <f>_xlfn.XLOOKUP(Assumptions!$B$2,Assumptions!$F$4:$H$4,Assumptions!$F$8:$H$8)</f>
        <v>0.1</v>
      </c>
      <c r="L1287" s="12">
        <f>_xlfn.XLOOKUP(Assumptions!$B$2,Assumptions!$F$4:$H$4,Assumptions!$F$9:$H$9)</f>
        <v>0.18</v>
      </c>
      <c r="M1287" s="18">
        <f>_xlfn.XLOOKUP(Assumptions!$B$2,Assumptions!$F$4:$H$4,Assumptions!$F$10:$H$10)</f>
        <v>18000</v>
      </c>
      <c r="N1287" s="12">
        <f>_xlfn.XLOOKUP(Assumptions!$B$2,Assumptions!$F$4:$H$4,Assumptions!$F$11:$H$11)</f>
        <v>0.3</v>
      </c>
      <c r="O1287" s="14">
        <f>Final_Table[[#This Row],[Units Sold]]*Final_Table[[#This Row],[Sale Price]]</f>
        <v>20400</v>
      </c>
      <c r="P1287" s="14">
        <f>Final_Table[[#This Row],[Gross Revenue]]*(1-Final_Table[[#This Row],[Discount %]])</f>
        <v>18360</v>
      </c>
      <c r="Q1287">
        <f>Final_Table[[#This Row],[Net Revenue]]*Final_Table[[#This Row],[Variable Cost %]]</f>
        <v>3304.7999999999997</v>
      </c>
      <c r="R1287">
        <f>Final_Table[[#This Row],[Variable Cost]]+Final_Table[[#This Row],[Fixed Monthly Cost]]</f>
        <v>21304.799999999999</v>
      </c>
      <c r="S1287" s="5">
        <f>Final_Table[[#This Row],[Net Revenue]]-Final_Table[[#This Row],[Total Cost (COGS)]]</f>
        <v>-2944.7999999999993</v>
      </c>
      <c r="T1287">
        <f>Final_Table[[#This Row],[Gross Profit]]*Final_Table[[#This Row],[Tax Rate]]</f>
        <v>-883.43999999999971</v>
      </c>
      <c r="U1287" s="5">
        <f>Final_Table[[#This Row],[Gross Profit]]-Final_Table[[#This Row],[Tax]]</f>
        <v>-2061.3599999999997</v>
      </c>
      <c r="V1287" s="12">
        <f>Final_Table[[#This Row],[Net Profit]]/Final_Table[[#This Row],[Gross Revenue]]</f>
        <v>-0.10104705882352939</v>
      </c>
    </row>
    <row r="1288" spans="1:22">
      <c r="A1288" s="18" t="s">
        <v>77</v>
      </c>
      <c r="B1288">
        <v>2014</v>
      </c>
      <c r="C1288" t="s">
        <v>128</v>
      </c>
      <c r="D1288">
        <v>1</v>
      </c>
      <c r="E1288" s="18" t="s">
        <v>29</v>
      </c>
      <c r="F1288" s="18" t="s">
        <v>112</v>
      </c>
      <c r="G1288" s="18" t="s">
        <v>23</v>
      </c>
      <c r="H1288" s="18" t="str">
        <f>Assumptions!$B$2</f>
        <v>Worst</v>
      </c>
      <c r="I1288" s="18">
        <f>_xlfn.XLOOKUP(Assumptions!$B$2,Assumptions!$F$4:$H$4,Assumptions!$F$5:$H$5)</f>
        <v>1200</v>
      </c>
      <c r="J1288" s="18">
        <f>_xlfn.XLOOKUP(Assumptions!$B$2,Assumptions!$F$4:$H$4,Assumptions!$F$6:$H$6)</f>
        <v>17</v>
      </c>
      <c r="K1288" s="12">
        <f>_xlfn.XLOOKUP(Assumptions!$B$2,Assumptions!$F$4:$H$4,Assumptions!$F$8:$H$8)</f>
        <v>0.1</v>
      </c>
      <c r="L1288" s="12">
        <f>_xlfn.XLOOKUP(Assumptions!$B$2,Assumptions!$F$4:$H$4,Assumptions!$F$9:$H$9)</f>
        <v>0.18</v>
      </c>
      <c r="M1288" s="18">
        <f>_xlfn.XLOOKUP(Assumptions!$B$2,Assumptions!$F$4:$H$4,Assumptions!$F$10:$H$10)</f>
        <v>18000</v>
      </c>
      <c r="N1288" s="12">
        <f>_xlfn.XLOOKUP(Assumptions!$B$2,Assumptions!$F$4:$H$4,Assumptions!$F$11:$H$11)</f>
        <v>0.3</v>
      </c>
      <c r="O1288" s="14">
        <f>Final_Table[[#This Row],[Units Sold]]*Final_Table[[#This Row],[Sale Price]]</f>
        <v>20400</v>
      </c>
      <c r="P1288" s="14">
        <f>Final_Table[[#This Row],[Gross Revenue]]*(1-Final_Table[[#This Row],[Discount %]])</f>
        <v>18360</v>
      </c>
      <c r="Q1288">
        <f>Final_Table[[#This Row],[Net Revenue]]*Final_Table[[#This Row],[Variable Cost %]]</f>
        <v>3304.7999999999997</v>
      </c>
      <c r="R1288">
        <f>Final_Table[[#This Row],[Variable Cost]]+Final_Table[[#This Row],[Fixed Monthly Cost]]</f>
        <v>21304.799999999999</v>
      </c>
      <c r="S1288" s="5">
        <f>Final_Table[[#This Row],[Net Revenue]]-Final_Table[[#This Row],[Total Cost (COGS)]]</f>
        <v>-2944.7999999999993</v>
      </c>
      <c r="T1288">
        <f>Final_Table[[#This Row],[Gross Profit]]*Final_Table[[#This Row],[Tax Rate]]</f>
        <v>-883.43999999999971</v>
      </c>
      <c r="U1288" s="5">
        <f>Final_Table[[#This Row],[Gross Profit]]-Final_Table[[#This Row],[Tax]]</f>
        <v>-2061.3599999999997</v>
      </c>
      <c r="V1288" s="12">
        <f>Final_Table[[#This Row],[Net Profit]]/Final_Table[[#This Row],[Gross Revenue]]</f>
        <v>-0.10104705882352939</v>
      </c>
    </row>
    <row r="1289" spans="1:22">
      <c r="A1289" s="18" t="s">
        <v>77</v>
      </c>
      <c r="B1289">
        <v>2014</v>
      </c>
      <c r="C1289" t="s">
        <v>128</v>
      </c>
      <c r="D1289">
        <v>1</v>
      </c>
      <c r="E1289" s="18" t="s">
        <v>29</v>
      </c>
      <c r="F1289" s="18" t="s">
        <v>112</v>
      </c>
      <c r="G1289" s="18" t="s">
        <v>21</v>
      </c>
      <c r="H1289" s="18" t="str">
        <f>Assumptions!$B$2</f>
        <v>Worst</v>
      </c>
      <c r="I1289" s="18">
        <f>_xlfn.XLOOKUP(Assumptions!$B$2,Assumptions!$F$4:$H$4,Assumptions!$F$5:$H$5)</f>
        <v>1200</v>
      </c>
      <c r="J1289" s="18">
        <f>_xlfn.XLOOKUP(Assumptions!$B$2,Assumptions!$F$4:$H$4,Assumptions!$F$6:$H$6)</f>
        <v>17</v>
      </c>
      <c r="K1289" s="12">
        <f>_xlfn.XLOOKUP(Assumptions!$B$2,Assumptions!$F$4:$H$4,Assumptions!$F$8:$H$8)</f>
        <v>0.1</v>
      </c>
      <c r="L1289" s="12">
        <f>_xlfn.XLOOKUP(Assumptions!$B$2,Assumptions!$F$4:$H$4,Assumptions!$F$9:$H$9)</f>
        <v>0.18</v>
      </c>
      <c r="M1289" s="18">
        <f>_xlfn.XLOOKUP(Assumptions!$B$2,Assumptions!$F$4:$H$4,Assumptions!$F$10:$H$10)</f>
        <v>18000</v>
      </c>
      <c r="N1289" s="12">
        <f>_xlfn.XLOOKUP(Assumptions!$B$2,Assumptions!$F$4:$H$4,Assumptions!$F$11:$H$11)</f>
        <v>0.3</v>
      </c>
      <c r="O1289" s="14">
        <f>Final_Table[[#This Row],[Units Sold]]*Final_Table[[#This Row],[Sale Price]]</f>
        <v>20400</v>
      </c>
      <c r="P1289" s="14">
        <f>Final_Table[[#This Row],[Gross Revenue]]*(1-Final_Table[[#This Row],[Discount %]])</f>
        <v>18360</v>
      </c>
      <c r="Q1289">
        <f>Final_Table[[#This Row],[Net Revenue]]*Final_Table[[#This Row],[Variable Cost %]]</f>
        <v>3304.7999999999997</v>
      </c>
      <c r="R1289">
        <f>Final_Table[[#This Row],[Variable Cost]]+Final_Table[[#This Row],[Fixed Monthly Cost]]</f>
        <v>21304.799999999999</v>
      </c>
      <c r="S1289" s="5">
        <f>Final_Table[[#This Row],[Net Revenue]]-Final_Table[[#This Row],[Total Cost (COGS)]]</f>
        <v>-2944.7999999999993</v>
      </c>
      <c r="T1289">
        <f>Final_Table[[#This Row],[Gross Profit]]*Final_Table[[#This Row],[Tax Rate]]</f>
        <v>-883.43999999999971</v>
      </c>
      <c r="U1289" s="5">
        <f>Final_Table[[#This Row],[Gross Profit]]-Final_Table[[#This Row],[Tax]]</f>
        <v>-2061.3599999999997</v>
      </c>
      <c r="V1289" s="12">
        <f>Final_Table[[#This Row],[Net Profit]]/Final_Table[[#This Row],[Gross Revenue]]</f>
        <v>-0.10104705882352939</v>
      </c>
    </row>
    <row r="1290" spans="1:22">
      <c r="A1290" s="18" t="s">
        <v>77</v>
      </c>
      <c r="B1290">
        <v>2014</v>
      </c>
      <c r="C1290" t="s">
        <v>128</v>
      </c>
      <c r="D1290">
        <v>1</v>
      </c>
      <c r="E1290" s="18" t="s">
        <v>29</v>
      </c>
      <c r="F1290" s="18" t="s">
        <v>112</v>
      </c>
      <c r="G1290" s="18" t="s">
        <v>25</v>
      </c>
      <c r="H1290" s="18" t="str">
        <f>Assumptions!$B$2</f>
        <v>Worst</v>
      </c>
      <c r="I1290" s="18">
        <f>_xlfn.XLOOKUP(Assumptions!$B$2,Assumptions!$F$4:$H$4,Assumptions!$F$5:$H$5)</f>
        <v>1200</v>
      </c>
      <c r="J1290" s="18">
        <f>_xlfn.XLOOKUP(Assumptions!$B$2,Assumptions!$F$4:$H$4,Assumptions!$F$6:$H$6)</f>
        <v>17</v>
      </c>
      <c r="K1290" s="12">
        <f>_xlfn.XLOOKUP(Assumptions!$B$2,Assumptions!$F$4:$H$4,Assumptions!$F$8:$H$8)</f>
        <v>0.1</v>
      </c>
      <c r="L1290" s="12">
        <f>_xlfn.XLOOKUP(Assumptions!$B$2,Assumptions!$F$4:$H$4,Assumptions!$F$9:$H$9)</f>
        <v>0.18</v>
      </c>
      <c r="M1290" s="18">
        <f>_xlfn.XLOOKUP(Assumptions!$B$2,Assumptions!$F$4:$H$4,Assumptions!$F$10:$H$10)</f>
        <v>18000</v>
      </c>
      <c r="N1290" s="12">
        <f>_xlfn.XLOOKUP(Assumptions!$B$2,Assumptions!$F$4:$H$4,Assumptions!$F$11:$H$11)</f>
        <v>0.3</v>
      </c>
      <c r="O1290" s="14">
        <f>Final_Table[[#This Row],[Units Sold]]*Final_Table[[#This Row],[Sale Price]]</f>
        <v>20400</v>
      </c>
      <c r="P1290" s="14">
        <f>Final_Table[[#This Row],[Gross Revenue]]*(1-Final_Table[[#This Row],[Discount %]])</f>
        <v>18360</v>
      </c>
      <c r="Q1290">
        <f>Final_Table[[#This Row],[Net Revenue]]*Final_Table[[#This Row],[Variable Cost %]]</f>
        <v>3304.7999999999997</v>
      </c>
      <c r="R1290">
        <f>Final_Table[[#This Row],[Variable Cost]]+Final_Table[[#This Row],[Fixed Monthly Cost]]</f>
        <v>21304.799999999999</v>
      </c>
      <c r="S1290" s="5">
        <f>Final_Table[[#This Row],[Net Revenue]]-Final_Table[[#This Row],[Total Cost (COGS)]]</f>
        <v>-2944.7999999999993</v>
      </c>
      <c r="T1290">
        <f>Final_Table[[#This Row],[Gross Profit]]*Final_Table[[#This Row],[Tax Rate]]</f>
        <v>-883.43999999999971</v>
      </c>
      <c r="U1290" s="5">
        <f>Final_Table[[#This Row],[Gross Profit]]-Final_Table[[#This Row],[Tax]]</f>
        <v>-2061.3599999999997</v>
      </c>
      <c r="V1290" s="12">
        <f>Final_Table[[#This Row],[Net Profit]]/Final_Table[[#This Row],[Gross Revenue]]</f>
        <v>-0.10104705882352939</v>
      </c>
    </row>
    <row r="1291" spans="1:22">
      <c r="A1291" s="18" t="s">
        <v>77</v>
      </c>
      <c r="B1291">
        <v>2014</v>
      </c>
      <c r="C1291" t="s">
        <v>128</v>
      </c>
      <c r="D1291">
        <v>1</v>
      </c>
      <c r="E1291" s="18" t="s">
        <v>29</v>
      </c>
      <c r="F1291" s="18" t="s">
        <v>112</v>
      </c>
      <c r="G1291" s="18" t="s">
        <v>17</v>
      </c>
      <c r="H1291" s="18" t="str">
        <f>Assumptions!$B$2</f>
        <v>Worst</v>
      </c>
      <c r="I1291" s="18">
        <f>_xlfn.XLOOKUP(Assumptions!$B$2,Assumptions!$F$4:$H$4,Assumptions!$F$5:$H$5)</f>
        <v>1200</v>
      </c>
      <c r="J1291" s="18">
        <f>_xlfn.XLOOKUP(Assumptions!$B$2,Assumptions!$F$4:$H$4,Assumptions!$F$6:$H$6)</f>
        <v>17</v>
      </c>
      <c r="K1291" s="12">
        <f>_xlfn.XLOOKUP(Assumptions!$B$2,Assumptions!$F$4:$H$4,Assumptions!$F$8:$H$8)</f>
        <v>0.1</v>
      </c>
      <c r="L1291" s="12">
        <f>_xlfn.XLOOKUP(Assumptions!$B$2,Assumptions!$F$4:$H$4,Assumptions!$F$9:$H$9)</f>
        <v>0.18</v>
      </c>
      <c r="M1291" s="18">
        <f>_xlfn.XLOOKUP(Assumptions!$B$2,Assumptions!$F$4:$H$4,Assumptions!$F$10:$H$10)</f>
        <v>18000</v>
      </c>
      <c r="N1291" s="12">
        <f>_xlfn.XLOOKUP(Assumptions!$B$2,Assumptions!$F$4:$H$4,Assumptions!$F$11:$H$11)</f>
        <v>0.3</v>
      </c>
      <c r="O1291" s="14">
        <f>Final_Table[[#This Row],[Units Sold]]*Final_Table[[#This Row],[Sale Price]]</f>
        <v>20400</v>
      </c>
      <c r="P1291" s="14">
        <f>Final_Table[[#This Row],[Gross Revenue]]*(1-Final_Table[[#This Row],[Discount %]])</f>
        <v>18360</v>
      </c>
      <c r="Q1291">
        <f>Final_Table[[#This Row],[Net Revenue]]*Final_Table[[#This Row],[Variable Cost %]]</f>
        <v>3304.7999999999997</v>
      </c>
      <c r="R1291">
        <f>Final_Table[[#This Row],[Variable Cost]]+Final_Table[[#This Row],[Fixed Monthly Cost]]</f>
        <v>21304.799999999999</v>
      </c>
      <c r="S1291" s="5">
        <f>Final_Table[[#This Row],[Net Revenue]]-Final_Table[[#This Row],[Total Cost (COGS)]]</f>
        <v>-2944.7999999999993</v>
      </c>
      <c r="T1291">
        <f>Final_Table[[#This Row],[Gross Profit]]*Final_Table[[#This Row],[Tax Rate]]</f>
        <v>-883.43999999999971</v>
      </c>
      <c r="U1291" s="5">
        <f>Final_Table[[#This Row],[Gross Profit]]-Final_Table[[#This Row],[Tax]]</f>
        <v>-2061.3599999999997</v>
      </c>
      <c r="V1291" s="12">
        <f>Final_Table[[#This Row],[Net Profit]]/Final_Table[[#This Row],[Gross Revenue]]</f>
        <v>-0.10104705882352939</v>
      </c>
    </row>
    <row r="1292" spans="1:22">
      <c r="A1292" s="18" t="s">
        <v>77</v>
      </c>
      <c r="B1292">
        <v>2014</v>
      </c>
      <c r="C1292" t="s">
        <v>128</v>
      </c>
      <c r="D1292">
        <v>1</v>
      </c>
      <c r="E1292" s="18" t="s">
        <v>29</v>
      </c>
      <c r="F1292" s="18" t="s">
        <v>113</v>
      </c>
      <c r="G1292" s="18" t="s">
        <v>36</v>
      </c>
      <c r="H1292" s="18" t="str">
        <f>Assumptions!$B$2</f>
        <v>Worst</v>
      </c>
      <c r="I1292" s="18">
        <f>_xlfn.XLOOKUP(Assumptions!$B$2,Assumptions!$F$4:$H$4,Assumptions!$F$5:$H$5)</f>
        <v>1200</v>
      </c>
      <c r="J1292" s="18">
        <f>_xlfn.XLOOKUP(Assumptions!$B$2,Assumptions!$F$4:$H$4,Assumptions!$F$6:$H$6)</f>
        <v>17</v>
      </c>
      <c r="K1292" s="12">
        <f>_xlfn.XLOOKUP(Assumptions!$B$2,Assumptions!$F$4:$H$4,Assumptions!$F$8:$H$8)</f>
        <v>0.1</v>
      </c>
      <c r="L1292" s="12">
        <f>_xlfn.XLOOKUP(Assumptions!$B$2,Assumptions!$F$4:$H$4,Assumptions!$F$9:$H$9)</f>
        <v>0.18</v>
      </c>
      <c r="M1292" s="18">
        <f>_xlfn.XLOOKUP(Assumptions!$B$2,Assumptions!$F$4:$H$4,Assumptions!$F$10:$H$10)</f>
        <v>18000</v>
      </c>
      <c r="N1292" s="12">
        <f>_xlfn.XLOOKUP(Assumptions!$B$2,Assumptions!$F$4:$H$4,Assumptions!$F$11:$H$11)</f>
        <v>0.3</v>
      </c>
      <c r="O1292" s="14">
        <f>Final_Table[[#This Row],[Units Sold]]*Final_Table[[#This Row],[Sale Price]]</f>
        <v>20400</v>
      </c>
      <c r="P1292" s="14">
        <f>Final_Table[[#This Row],[Gross Revenue]]*(1-Final_Table[[#This Row],[Discount %]])</f>
        <v>18360</v>
      </c>
      <c r="Q1292">
        <f>Final_Table[[#This Row],[Net Revenue]]*Final_Table[[#This Row],[Variable Cost %]]</f>
        <v>3304.7999999999997</v>
      </c>
      <c r="R1292">
        <f>Final_Table[[#This Row],[Variable Cost]]+Final_Table[[#This Row],[Fixed Monthly Cost]]</f>
        <v>21304.799999999999</v>
      </c>
      <c r="S1292" s="5">
        <f>Final_Table[[#This Row],[Net Revenue]]-Final_Table[[#This Row],[Total Cost (COGS)]]</f>
        <v>-2944.7999999999993</v>
      </c>
      <c r="T1292">
        <f>Final_Table[[#This Row],[Gross Profit]]*Final_Table[[#This Row],[Tax Rate]]</f>
        <v>-883.43999999999971</v>
      </c>
      <c r="U1292" s="5">
        <f>Final_Table[[#This Row],[Gross Profit]]-Final_Table[[#This Row],[Tax]]</f>
        <v>-2061.3599999999997</v>
      </c>
      <c r="V1292" s="12">
        <f>Final_Table[[#This Row],[Net Profit]]/Final_Table[[#This Row],[Gross Revenue]]</f>
        <v>-0.10104705882352939</v>
      </c>
    </row>
    <row r="1293" spans="1:22">
      <c r="A1293" s="18" t="s">
        <v>77</v>
      </c>
      <c r="B1293">
        <v>2014</v>
      </c>
      <c r="C1293" t="s">
        <v>128</v>
      </c>
      <c r="D1293">
        <v>1</v>
      </c>
      <c r="E1293" s="18" t="s">
        <v>29</v>
      </c>
      <c r="F1293" s="18" t="s">
        <v>113</v>
      </c>
      <c r="G1293" s="18" t="s">
        <v>23</v>
      </c>
      <c r="H1293" s="18" t="str">
        <f>Assumptions!$B$2</f>
        <v>Worst</v>
      </c>
      <c r="I1293" s="18">
        <f>_xlfn.XLOOKUP(Assumptions!$B$2,Assumptions!$F$4:$H$4,Assumptions!$F$5:$H$5)</f>
        <v>1200</v>
      </c>
      <c r="J1293" s="18">
        <f>_xlfn.XLOOKUP(Assumptions!$B$2,Assumptions!$F$4:$H$4,Assumptions!$F$6:$H$6)</f>
        <v>17</v>
      </c>
      <c r="K1293" s="12">
        <f>_xlfn.XLOOKUP(Assumptions!$B$2,Assumptions!$F$4:$H$4,Assumptions!$F$8:$H$8)</f>
        <v>0.1</v>
      </c>
      <c r="L1293" s="12">
        <f>_xlfn.XLOOKUP(Assumptions!$B$2,Assumptions!$F$4:$H$4,Assumptions!$F$9:$H$9)</f>
        <v>0.18</v>
      </c>
      <c r="M1293" s="18">
        <f>_xlfn.XLOOKUP(Assumptions!$B$2,Assumptions!$F$4:$H$4,Assumptions!$F$10:$H$10)</f>
        <v>18000</v>
      </c>
      <c r="N1293" s="12">
        <f>_xlfn.XLOOKUP(Assumptions!$B$2,Assumptions!$F$4:$H$4,Assumptions!$F$11:$H$11)</f>
        <v>0.3</v>
      </c>
      <c r="O1293" s="14">
        <f>Final_Table[[#This Row],[Units Sold]]*Final_Table[[#This Row],[Sale Price]]</f>
        <v>20400</v>
      </c>
      <c r="P1293" s="14">
        <f>Final_Table[[#This Row],[Gross Revenue]]*(1-Final_Table[[#This Row],[Discount %]])</f>
        <v>18360</v>
      </c>
      <c r="Q1293">
        <f>Final_Table[[#This Row],[Net Revenue]]*Final_Table[[#This Row],[Variable Cost %]]</f>
        <v>3304.7999999999997</v>
      </c>
      <c r="R1293">
        <f>Final_Table[[#This Row],[Variable Cost]]+Final_Table[[#This Row],[Fixed Monthly Cost]]</f>
        <v>21304.799999999999</v>
      </c>
      <c r="S1293" s="5">
        <f>Final_Table[[#This Row],[Net Revenue]]-Final_Table[[#This Row],[Total Cost (COGS)]]</f>
        <v>-2944.7999999999993</v>
      </c>
      <c r="T1293">
        <f>Final_Table[[#This Row],[Gross Profit]]*Final_Table[[#This Row],[Tax Rate]]</f>
        <v>-883.43999999999971</v>
      </c>
      <c r="U1293" s="5">
        <f>Final_Table[[#This Row],[Gross Profit]]-Final_Table[[#This Row],[Tax]]</f>
        <v>-2061.3599999999997</v>
      </c>
      <c r="V1293" s="12">
        <f>Final_Table[[#This Row],[Net Profit]]/Final_Table[[#This Row],[Gross Revenue]]</f>
        <v>-0.10104705882352939</v>
      </c>
    </row>
    <row r="1294" spans="1:22">
      <c r="A1294" s="18" t="s">
        <v>77</v>
      </c>
      <c r="B1294">
        <v>2014</v>
      </c>
      <c r="C1294" t="s">
        <v>128</v>
      </c>
      <c r="D1294">
        <v>1</v>
      </c>
      <c r="E1294" s="18" t="s">
        <v>29</v>
      </c>
      <c r="F1294" s="18" t="s">
        <v>113</v>
      </c>
      <c r="G1294" s="18" t="s">
        <v>21</v>
      </c>
      <c r="H1294" s="18" t="str">
        <f>Assumptions!$B$2</f>
        <v>Worst</v>
      </c>
      <c r="I1294" s="18">
        <f>_xlfn.XLOOKUP(Assumptions!$B$2,Assumptions!$F$4:$H$4,Assumptions!$F$5:$H$5)</f>
        <v>1200</v>
      </c>
      <c r="J1294" s="18">
        <f>_xlfn.XLOOKUP(Assumptions!$B$2,Assumptions!$F$4:$H$4,Assumptions!$F$6:$H$6)</f>
        <v>17</v>
      </c>
      <c r="K1294" s="12">
        <f>_xlfn.XLOOKUP(Assumptions!$B$2,Assumptions!$F$4:$H$4,Assumptions!$F$8:$H$8)</f>
        <v>0.1</v>
      </c>
      <c r="L1294" s="12">
        <f>_xlfn.XLOOKUP(Assumptions!$B$2,Assumptions!$F$4:$H$4,Assumptions!$F$9:$H$9)</f>
        <v>0.18</v>
      </c>
      <c r="M1294" s="18">
        <f>_xlfn.XLOOKUP(Assumptions!$B$2,Assumptions!$F$4:$H$4,Assumptions!$F$10:$H$10)</f>
        <v>18000</v>
      </c>
      <c r="N1294" s="12">
        <f>_xlfn.XLOOKUP(Assumptions!$B$2,Assumptions!$F$4:$H$4,Assumptions!$F$11:$H$11)</f>
        <v>0.3</v>
      </c>
      <c r="O1294" s="14">
        <f>Final_Table[[#This Row],[Units Sold]]*Final_Table[[#This Row],[Sale Price]]</f>
        <v>20400</v>
      </c>
      <c r="P1294" s="14">
        <f>Final_Table[[#This Row],[Gross Revenue]]*(1-Final_Table[[#This Row],[Discount %]])</f>
        <v>18360</v>
      </c>
      <c r="Q1294">
        <f>Final_Table[[#This Row],[Net Revenue]]*Final_Table[[#This Row],[Variable Cost %]]</f>
        <v>3304.7999999999997</v>
      </c>
      <c r="R1294">
        <f>Final_Table[[#This Row],[Variable Cost]]+Final_Table[[#This Row],[Fixed Monthly Cost]]</f>
        <v>21304.799999999999</v>
      </c>
      <c r="S1294" s="5">
        <f>Final_Table[[#This Row],[Net Revenue]]-Final_Table[[#This Row],[Total Cost (COGS)]]</f>
        <v>-2944.7999999999993</v>
      </c>
      <c r="T1294">
        <f>Final_Table[[#This Row],[Gross Profit]]*Final_Table[[#This Row],[Tax Rate]]</f>
        <v>-883.43999999999971</v>
      </c>
      <c r="U1294" s="5">
        <f>Final_Table[[#This Row],[Gross Profit]]-Final_Table[[#This Row],[Tax]]</f>
        <v>-2061.3599999999997</v>
      </c>
      <c r="V1294" s="12">
        <f>Final_Table[[#This Row],[Net Profit]]/Final_Table[[#This Row],[Gross Revenue]]</f>
        <v>-0.10104705882352939</v>
      </c>
    </row>
    <row r="1295" spans="1:22">
      <c r="A1295" s="18" t="s">
        <v>77</v>
      </c>
      <c r="B1295">
        <v>2014</v>
      </c>
      <c r="C1295" t="s">
        <v>128</v>
      </c>
      <c r="D1295">
        <v>1</v>
      </c>
      <c r="E1295" s="18" t="s">
        <v>29</v>
      </c>
      <c r="F1295" s="18" t="s">
        <v>113</v>
      </c>
      <c r="G1295" s="18" t="s">
        <v>25</v>
      </c>
      <c r="H1295" s="18" t="str">
        <f>Assumptions!$B$2</f>
        <v>Worst</v>
      </c>
      <c r="I1295" s="18">
        <f>_xlfn.XLOOKUP(Assumptions!$B$2,Assumptions!$F$4:$H$4,Assumptions!$F$5:$H$5)</f>
        <v>1200</v>
      </c>
      <c r="J1295" s="18">
        <f>_xlfn.XLOOKUP(Assumptions!$B$2,Assumptions!$F$4:$H$4,Assumptions!$F$6:$H$6)</f>
        <v>17</v>
      </c>
      <c r="K1295" s="12">
        <f>_xlfn.XLOOKUP(Assumptions!$B$2,Assumptions!$F$4:$H$4,Assumptions!$F$8:$H$8)</f>
        <v>0.1</v>
      </c>
      <c r="L1295" s="12">
        <f>_xlfn.XLOOKUP(Assumptions!$B$2,Assumptions!$F$4:$H$4,Assumptions!$F$9:$H$9)</f>
        <v>0.18</v>
      </c>
      <c r="M1295" s="18">
        <f>_xlfn.XLOOKUP(Assumptions!$B$2,Assumptions!$F$4:$H$4,Assumptions!$F$10:$H$10)</f>
        <v>18000</v>
      </c>
      <c r="N1295" s="12">
        <f>_xlfn.XLOOKUP(Assumptions!$B$2,Assumptions!$F$4:$H$4,Assumptions!$F$11:$H$11)</f>
        <v>0.3</v>
      </c>
      <c r="O1295" s="14">
        <f>Final_Table[[#This Row],[Units Sold]]*Final_Table[[#This Row],[Sale Price]]</f>
        <v>20400</v>
      </c>
      <c r="P1295" s="14">
        <f>Final_Table[[#This Row],[Gross Revenue]]*(1-Final_Table[[#This Row],[Discount %]])</f>
        <v>18360</v>
      </c>
      <c r="Q1295">
        <f>Final_Table[[#This Row],[Net Revenue]]*Final_Table[[#This Row],[Variable Cost %]]</f>
        <v>3304.7999999999997</v>
      </c>
      <c r="R1295">
        <f>Final_Table[[#This Row],[Variable Cost]]+Final_Table[[#This Row],[Fixed Monthly Cost]]</f>
        <v>21304.799999999999</v>
      </c>
      <c r="S1295" s="5">
        <f>Final_Table[[#This Row],[Net Revenue]]-Final_Table[[#This Row],[Total Cost (COGS)]]</f>
        <v>-2944.7999999999993</v>
      </c>
      <c r="T1295">
        <f>Final_Table[[#This Row],[Gross Profit]]*Final_Table[[#This Row],[Tax Rate]]</f>
        <v>-883.43999999999971</v>
      </c>
      <c r="U1295" s="5">
        <f>Final_Table[[#This Row],[Gross Profit]]-Final_Table[[#This Row],[Tax]]</f>
        <v>-2061.3599999999997</v>
      </c>
      <c r="V1295" s="12">
        <f>Final_Table[[#This Row],[Net Profit]]/Final_Table[[#This Row],[Gross Revenue]]</f>
        <v>-0.10104705882352939</v>
      </c>
    </row>
    <row r="1296" spans="1:22">
      <c r="A1296" s="18" t="s">
        <v>77</v>
      </c>
      <c r="B1296">
        <v>2014</v>
      </c>
      <c r="C1296" t="s">
        <v>128</v>
      </c>
      <c r="D1296">
        <v>1</v>
      </c>
      <c r="E1296" s="18" t="s">
        <v>29</v>
      </c>
      <c r="F1296" s="18" t="s">
        <v>113</v>
      </c>
      <c r="G1296" s="18" t="s">
        <v>17</v>
      </c>
      <c r="H1296" s="18" t="str">
        <f>Assumptions!$B$2</f>
        <v>Worst</v>
      </c>
      <c r="I1296" s="18">
        <f>_xlfn.XLOOKUP(Assumptions!$B$2,Assumptions!$F$4:$H$4,Assumptions!$F$5:$H$5)</f>
        <v>1200</v>
      </c>
      <c r="J1296" s="18">
        <f>_xlfn.XLOOKUP(Assumptions!$B$2,Assumptions!$F$4:$H$4,Assumptions!$F$6:$H$6)</f>
        <v>17</v>
      </c>
      <c r="K1296" s="12">
        <f>_xlfn.XLOOKUP(Assumptions!$B$2,Assumptions!$F$4:$H$4,Assumptions!$F$8:$H$8)</f>
        <v>0.1</v>
      </c>
      <c r="L1296" s="12">
        <f>_xlfn.XLOOKUP(Assumptions!$B$2,Assumptions!$F$4:$H$4,Assumptions!$F$9:$H$9)</f>
        <v>0.18</v>
      </c>
      <c r="M1296" s="18">
        <f>_xlfn.XLOOKUP(Assumptions!$B$2,Assumptions!$F$4:$H$4,Assumptions!$F$10:$H$10)</f>
        <v>18000</v>
      </c>
      <c r="N1296" s="12">
        <f>_xlfn.XLOOKUP(Assumptions!$B$2,Assumptions!$F$4:$H$4,Assumptions!$F$11:$H$11)</f>
        <v>0.3</v>
      </c>
      <c r="O1296" s="14">
        <f>Final_Table[[#This Row],[Units Sold]]*Final_Table[[#This Row],[Sale Price]]</f>
        <v>20400</v>
      </c>
      <c r="P1296" s="14">
        <f>Final_Table[[#This Row],[Gross Revenue]]*(1-Final_Table[[#This Row],[Discount %]])</f>
        <v>18360</v>
      </c>
      <c r="Q1296">
        <f>Final_Table[[#This Row],[Net Revenue]]*Final_Table[[#This Row],[Variable Cost %]]</f>
        <v>3304.7999999999997</v>
      </c>
      <c r="R1296">
        <f>Final_Table[[#This Row],[Variable Cost]]+Final_Table[[#This Row],[Fixed Monthly Cost]]</f>
        <v>21304.799999999999</v>
      </c>
      <c r="S1296" s="5">
        <f>Final_Table[[#This Row],[Net Revenue]]-Final_Table[[#This Row],[Total Cost (COGS)]]</f>
        <v>-2944.7999999999993</v>
      </c>
      <c r="T1296">
        <f>Final_Table[[#This Row],[Gross Profit]]*Final_Table[[#This Row],[Tax Rate]]</f>
        <v>-883.43999999999971</v>
      </c>
      <c r="U1296" s="5">
        <f>Final_Table[[#This Row],[Gross Profit]]-Final_Table[[#This Row],[Tax]]</f>
        <v>-2061.3599999999997</v>
      </c>
      <c r="V1296" s="12">
        <f>Final_Table[[#This Row],[Net Profit]]/Final_Table[[#This Row],[Gross Revenue]]</f>
        <v>-0.10104705882352939</v>
      </c>
    </row>
    <row r="1297" spans="1:22">
      <c r="A1297" s="18" t="s">
        <v>77</v>
      </c>
      <c r="B1297">
        <v>2014</v>
      </c>
      <c r="C1297" t="s">
        <v>128</v>
      </c>
      <c r="D1297">
        <v>1</v>
      </c>
      <c r="E1297" s="18" t="s">
        <v>29</v>
      </c>
      <c r="F1297" s="18" t="s">
        <v>114</v>
      </c>
      <c r="G1297" s="18" t="s">
        <v>36</v>
      </c>
      <c r="H1297" s="18" t="str">
        <f>Assumptions!$B$2</f>
        <v>Worst</v>
      </c>
      <c r="I1297" s="18">
        <f>_xlfn.XLOOKUP(Assumptions!$B$2,Assumptions!$F$4:$H$4,Assumptions!$F$5:$H$5)</f>
        <v>1200</v>
      </c>
      <c r="J1297" s="18">
        <f>_xlfn.XLOOKUP(Assumptions!$B$2,Assumptions!$F$4:$H$4,Assumptions!$F$6:$H$6)</f>
        <v>17</v>
      </c>
      <c r="K1297" s="12">
        <f>_xlfn.XLOOKUP(Assumptions!$B$2,Assumptions!$F$4:$H$4,Assumptions!$F$8:$H$8)</f>
        <v>0.1</v>
      </c>
      <c r="L1297" s="12">
        <f>_xlfn.XLOOKUP(Assumptions!$B$2,Assumptions!$F$4:$H$4,Assumptions!$F$9:$H$9)</f>
        <v>0.18</v>
      </c>
      <c r="M1297" s="18">
        <f>_xlfn.XLOOKUP(Assumptions!$B$2,Assumptions!$F$4:$H$4,Assumptions!$F$10:$H$10)</f>
        <v>18000</v>
      </c>
      <c r="N1297" s="12">
        <f>_xlfn.XLOOKUP(Assumptions!$B$2,Assumptions!$F$4:$H$4,Assumptions!$F$11:$H$11)</f>
        <v>0.3</v>
      </c>
      <c r="O1297" s="14">
        <f>Final_Table[[#This Row],[Units Sold]]*Final_Table[[#This Row],[Sale Price]]</f>
        <v>20400</v>
      </c>
      <c r="P1297" s="14">
        <f>Final_Table[[#This Row],[Gross Revenue]]*(1-Final_Table[[#This Row],[Discount %]])</f>
        <v>18360</v>
      </c>
      <c r="Q1297">
        <f>Final_Table[[#This Row],[Net Revenue]]*Final_Table[[#This Row],[Variable Cost %]]</f>
        <v>3304.7999999999997</v>
      </c>
      <c r="R1297">
        <f>Final_Table[[#This Row],[Variable Cost]]+Final_Table[[#This Row],[Fixed Monthly Cost]]</f>
        <v>21304.799999999999</v>
      </c>
      <c r="S1297" s="5">
        <f>Final_Table[[#This Row],[Net Revenue]]-Final_Table[[#This Row],[Total Cost (COGS)]]</f>
        <v>-2944.7999999999993</v>
      </c>
      <c r="T1297">
        <f>Final_Table[[#This Row],[Gross Profit]]*Final_Table[[#This Row],[Tax Rate]]</f>
        <v>-883.43999999999971</v>
      </c>
      <c r="U1297" s="5">
        <f>Final_Table[[#This Row],[Gross Profit]]-Final_Table[[#This Row],[Tax]]</f>
        <v>-2061.3599999999997</v>
      </c>
      <c r="V1297" s="12">
        <f>Final_Table[[#This Row],[Net Profit]]/Final_Table[[#This Row],[Gross Revenue]]</f>
        <v>-0.10104705882352939</v>
      </c>
    </row>
    <row r="1298" spans="1:22">
      <c r="A1298" s="18" t="s">
        <v>77</v>
      </c>
      <c r="B1298">
        <v>2014</v>
      </c>
      <c r="C1298" t="s">
        <v>128</v>
      </c>
      <c r="D1298">
        <v>1</v>
      </c>
      <c r="E1298" s="18" t="s">
        <v>29</v>
      </c>
      <c r="F1298" s="18" t="s">
        <v>114</v>
      </c>
      <c r="G1298" s="18" t="s">
        <v>23</v>
      </c>
      <c r="H1298" s="18" t="str">
        <f>Assumptions!$B$2</f>
        <v>Worst</v>
      </c>
      <c r="I1298" s="18">
        <f>_xlfn.XLOOKUP(Assumptions!$B$2,Assumptions!$F$4:$H$4,Assumptions!$F$5:$H$5)</f>
        <v>1200</v>
      </c>
      <c r="J1298" s="18">
        <f>_xlfn.XLOOKUP(Assumptions!$B$2,Assumptions!$F$4:$H$4,Assumptions!$F$6:$H$6)</f>
        <v>17</v>
      </c>
      <c r="K1298" s="12">
        <f>_xlfn.XLOOKUP(Assumptions!$B$2,Assumptions!$F$4:$H$4,Assumptions!$F$8:$H$8)</f>
        <v>0.1</v>
      </c>
      <c r="L1298" s="12">
        <f>_xlfn.XLOOKUP(Assumptions!$B$2,Assumptions!$F$4:$H$4,Assumptions!$F$9:$H$9)</f>
        <v>0.18</v>
      </c>
      <c r="M1298" s="18">
        <f>_xlfn.XLOOKUP(Assumptions!$B$2,Assumptions!$F$4:$H$4,Assumptions!$F$10:$H$10)</f>
        <v>18000</v>
      </c>
      <c r="N1298" s="12">
        <f>_xlfn.XLOOKUP(Assumptions!$B$2,Assumptions!$F$4:$H$4,Assumptions!$F$11:$H$11)</f>
        <v>0.3</v>
      </c>
      <c r="O1298" s="14">
        <f>Final_Table[[#This Row],[Units Sold]]*Final_Table[[#This Row],[Sale Price]]</f>
        <v>20400</v>
      </c>
      <c r="P1298" s="14">
        <f>Final_Table[[#This Row],[Gross Revenue]]*(1-Final_Table[[#This Row],[Discount %]])</f>
        <v>18360</v>
      </c>
      <c r="Q1298">
        <f>Final_Table[[#This Row],[Net Revenue]]*Final_Table[[#This Row],[Variable Cost %]]</f>
        <v>3304.7999999999997</v>
      </c>
      <c r="R1298">
        <f>Final_Table[[#This Row],[Variable Cost]]+Final_Table[[#This Row],[Fixed Monthly Cost]]</f>
        <v>21304.799999999999</v>
      </c>
      <c r="S1298" s="5">
        <f>Final_Table[[#This Row],[Net Revenue]]-Final_Table[[#This Row],[Total Cost (COGS)]]</f>
        <v>-2944.7999999999993</v>
      </c>
      <c r="T1298">
        <f>Final_Table[[#This Row],[Gross Profit]]*Final_Table[[#This Row],[Tax Rate]]</f>
        <v>-883.43999999999971</v>
      </c>
      <c r="U1298" s="5">
        <f>Final_Table[[#This Row],[Gross Profit]]-Final_Table[[#This Row],[Tax]]</f>
        <v>-2061.3599999999997</v>
      </c>
      <c r="V1298" s="12">
        <f>Final_Table[[#This Row],[Net Profit]]/Final_Table[[#This Row],[Gross Revenue]]</f>
        <v>-0.10104705882352939</v>
      </c>
    </row>
    <row r="1299" spans="1:22">
      <c r="A1299" s="18" t="s">
        <v>77</v>
      </c>
      <c r="B1299">
        <v>2014</v>
      </c>
      <c r="C1299" t="s">
        <v>128</v>
      </c>
      <c r="D1299">
        <v>1</v>
      </c>
      <c r="E1299" s="18" t="s">
        <v>29</v>
      </c>
      <c r="F1299" s="18" t="s">
        <v>114</v>
      </c>
      <c r="G1299" s="18" t="s">
        <v>21</v>
      </c>
      <c r="H1299" s="18" t="str">
        <f>Assumptions!$B$2</f>
        <v>Worst</v>
      </c>
      <c r="I1299" s="18">
        <f>_xlfn.XLOOKUP(Assumptions!$B$2,Assumptions!$F$4:$H$4,Assumptions!$F$5:$H$5)</f>
        <v>1200</v>
      </c>
      <c r="J1299" s="18">
        <f>_xlfn.XLOOKUP(Assumptions!$B$2,Assumptions!$F$4:$H$4,Assumptions!$F$6:$H$6)</f>
        <v>17</v>
      </c>
      <c r="K1299" s="12">
        <f>_xlfn.XLOOKUP(Assumptions!$B$2,Assumptions!$F$4:$H$4,Assumptions!$F$8:$H$8)</f>
        <v>0.1</v>
      </c>
      <c r="L1299" s="12">
        <f>_xlfn.XLOOKUP(Assumptions!$B$2,Assumptions!$F$4:$H$4,Assumptions!$F$9:$H$9)</f>
        <v>0.18</v>
      </c>
      <c r="M1299" s="18">
        <f>_xlfn.XLOOKUP(Assumptions!$B$2,Assumptions!$F$4:$H$4,Assumptions!$F$10:$H$10)</f>
        <v>18000</v>
      </c>
      <c r="N1299" s="12">
        <f>_xlfn.XLOOKUP(Assumptions!$B$2,Assumptions!$F$4:$H$4,Assumptions!$F$11:$H$11)</f>
        <v>0.3</v>
      </c>
      <c r="O1299" s="14">
        <f>Final_Table[[#This Row],[Units Sold]]*Final_Table[[#This Row],[Sale Price]]</f>
        <v>20400</v>
      </c>
      <c r="P1299" s="14">
        <f>Final_Table[[#This Row],[Gross Revenue]]*(1-Final_Table[[#This Row],[Discount %]])</f>
        <v>18360</v>
      </c>
      <c r="Q1299">
        <f>Final_Table[[#This Row],[Net Revenue]]*Final_Table[[#This Row],[Variable Cost %]]</f>
        <v>3304.7999999999997</v>
      </c>
      <c r="R1299">
        <f>Final_Table[[#This Row],[Variable Cost]]+Final_Table[[#This Row],[Fixed Monthly Cost]]</f>
        <v>21304.799999999999</v>
      </c>
      <c r="S1299" s="5">
        <f>Final_Table[[#This Row],[Net Revenue]]-Final_Table[[#This Row],[Total Cost (COGS)]]</f>
        <v>-2944.7999999999993</v>
      </c>
      <c r="T1299">
        <f>Final_Table[[#This Row],[Gross Profit]]*Final_Table[[#This Row],[Tax Rate]]</f>
        <v>-883.43999999999971</v>
      </c>
      <c r="U1299" s="5">
        <f>Final_Table[[#This Row],[Gross Profit]]-Final_Table[[#This Row],[Tax]]</f>
        <v>-2061.3599999999997</v>
      </c>
      <c r="V1299" s="12">
        <f>Final_Table[[#This Row],[Net Profit]]/Final_Table[[#This Row],[Gross Revenue]]</f>
        <v>-0.10104705882352939</v>
      </c>
    </row>
    <row r="1300" spans="1:22">
      <c r="A1300" s="18" t="s">
        <v>77</v>
      </c>
      <c r="B1300">
        <v>2014</v>
      </c>
      <c r="C1300" t="s">
        <v>128</v>
      </c>
      <c r="D1300">
        <v>1</v>
      </c>
      <c r="E1300" s="18" t="s">
        <v>29</v>
      </c>
      <c r="F1300" s="18" t="s">
        <v>114</v>
      </c>
      <c r="G1300" s="18" t="s">
        <v>25</v>
      </c>
      <c r="H1300" s="18" t="str">
        <f>Assumptions!$B$2</f>
        <v>Worst</v>
      </c>
      <c r="I1300" s="18">
        <f>_xlfn.XLOOKUP(Assumptions!$B$2,Assumptions!$F$4:$H$4,Assumptions!$F$5:$H$5)</f>
        <v>1200</v>
      </c>
      <c r="J1300" s="18">
        <f>_xlfn.XLOOKUP(Assumptions!$B$2,Assumptions!$F$4:$H$4,Assumptions!$F$6:$H$6)</f>
        <v>17</v>
      </c>
      <c r="K1300" s="12">
        <f>_xlfn.XLOOKUP(Assumptions!$B$2,Assumptions!$F$4:$H$4,Assumptions!$F$8:$H$8)</f>
        <v>0.1</v>
      </c>
      <c r="L1300" s="12">
        <f>_xlfn.XLOOKUP(Assumptions!$B$2,Assumptions!$F$4:$H$4,Assumptions!$F$9:$H$9)</f>
        <v>0.18</v>
      </c>
      <c r="M1300" s="18">
        <f>_xlfn.XLOOKUP(Assumptions!$B$2,Assumptions!$F$4:$H$4,Assumptions!$F$10:$H$10)</f>
        <v>18000</v>
      </c>
      <c r="N1300" s="12">
        <f>_xlfn.XLOOKUP(Assumptions!$B$2,Assumptions!$F$4:$H$4,Assumptions!$F$11:$H$11)</f>
        <v>0.3</v>
      </c>
      <c r="O1300" s="14">
        <f>Final_Table[[#This Row],[Units Sold]]*Final_Table[[#This Row],[Sale Price]]</f>
        <v>20400</v>
      </c>
      <c r="P1300" s="14">
        <f>Final_Table[[#This Row],[Gross Revenue]]*(1-Final_Table[[#This Row],[Discount %]])</f>
        <v>18360</v>
      </c>
      <c r="Q1300">
        <f>Final_Table[[#This Row],[Net Revenue]]*Final_Table[[#This Row],[Variable Cost %]]</f>
        <v>3304.7999999999997</v>
      </c>
      <c r="R1300">
        <f>Final_Table[[#This Row],[Variable Cost]]+Final_Table[[#This Row],[Fixed Monthly Cost]]</f>
        <v>21304.799999999999</v>
      </c>
      <c r="S1300" s="5">
        <f>Final_Table[[#This Row],[Net Revenue]]-Final_Table[[#This Row],[Total Cost (COGS)]]</f>
        <v>-2944.7999999999993</v>
      </c>
      <c r="T1300">
        <f>Final_Table[[#This Row],[Gross Profit]]*Final_Table[[#This Row],[Tax Rate]]</f>
        <v>-883.43999999999971</v>
      </c>
      <c r="U1300" s="5">
        <f>Final_Table[[#This Row],[Gross Profit]]-Final_Table[[#This Row],[Tax]]</f>
        <v>-2061.3599999999997</v>
      </c>
      <c r="V1300" s="12">
        <f>Final_Table[[#This Row],[Net Profit]]/Final_Table[[#This Row],[Gross Revenue]]</f>
        <v>-0.10104705882352939</v>
      </c>
    </row>
    <row r="1301" spans="1:22">
      <c r="A1301" s="18" t="s">
        <v>77</v>
      </c>
      <c r="B1301">
        <v>2014</v>
      </c>
      <c r="C1301" t="s">
        <v>128</v>
      </c>
      <c r="D1301">
        <v>1</v>
      </c>
      <c r="E1301" s="18" t="s">
        <v>29</v>
      </c>
      <c r="F1301" s="18" t="s">
        <v>114</v>
      </c>
      <c r="G1301" s="18" t="s">
        <v>17</v>
      </c>
      <c r="H1301" s="18" t="str">
        <f>Assumptions!$B$2</f>
        <v>Worst</v>
      </c>
      <c r="I1301" s="18">
        <f>_xlfn.XLOOKUP(Assumptions!$B$2,Assumptions!$F$4:$H$4,Assumptions!$F$5:$H$5)</f>
        <v>1200</v>
      </c>
      <c r="J1301" s="18">
        <f>_xlfn.XLOOKUP(Assumptions!$B$2,Assumptions!$F$4:$H$4,Assumptions!$F$6:$H$6)</f>
        <v>17</v>
      </c>
      <c r="K1301" s="12">
        <f>_xlfn.XLOOKUP(Assumptions!$B$2,Assumptions!$F$4:$H$4,Assumptions!$F$8:$H$8)</f>
        <v>0.1</v>
      </c>
      <c r="L1301" s="12">
        <f>_xlfn.XLOOKUP(Assumptions!$B$2,Assumptions!$F$4:$H$4,Assumptions!$F$9:$H$9)</f>
        <v>0.18</v>
      </c>
      <c r="M1301" s="18">
        <f>_xlfn.XLOOKUP(Assumptions!$B$2,Assumptions!$F$4:$H$4,Assumptions!$F$10:$H$10)</f>
        <v>18000</v>
      </c>
      <c r="N1301" s="12">
        <f>_xlfn.XLOOKUP(Assumptions!$B$2,Assumptions!$F$4:$H$4,Assumptions!$F$11:$H$11)</f>
        <v>0.3</v>
      </c>
      <c r="O1301" s="14">
        <f>Final_Table[[#This Row],[Units Sold]]*Final_Table[[#This Row],[Sale Price]]</f>
        <v>20400</v>
      </c>
      <c r="P1301" s="14">
        <f>Final_Table[[#This Row],[Gross Revenue]]*(1-Final_Table[[#This Row],[Discount %]])</f>
        <v>18360</v>
      </c>
      <c r="Q1301">
        <f>Final_Table[[#This Row],[Net Revenue]]*Final_Table[[#This Row],[Variable Cost %]]</f>
        <v>3304.7999999999997</v>
      </c>
      <c r="R1301">
        <f>Final_Table[[#This Row],[Variable Cost]]+Final_Table[[#This Row],[Fixed Monthly Cost]]</f>
        <v>21304.799999999999</v>
      </c>
      <c r="S1301" s="5">
        <f>Final_Table[[#This Row],[Net Revenue]]-Final_Table[[#This Row],[Total Cost (COGS)]]</f>
        <v>-2944.7999999999993</v>
      </c>
      <c r="T1301">
        <f>Final_Table[[#This Row],[Gross Profit]]*Final_Table[[#This Row],[Tax Rate]]</f>
        <v>-883.43999999999971</v>
      </c>
      <c r="U1301" s="5">
        <f>Final_Table[[#This Row],[Gross Profit]]-Final_Table[[#This Row],[Tax]]</f>
        <v>-2061.3599999999997</v>
      </c>
      <c r="V1301" s="12">
        <f>Final_Table[[#This Row],[Net Profit]]/Final_Table[[#This Row],[Gross Revenue]]</f>
        <v>-0.10104705882352939</v>
      </c>
    </row>
    <row r="1302" spans="1:22">
      <c r="A1302" s="18" t="s">
        <v>77</v>
      </c>
      <c r="B1302">
        <v>2014</v>
      </c>
      <c r="C1302" t="s">
        <v>128</v>
      </c>
      <c r="D1302">
        <v>1</v>
      </c>
      <c r="E1302" s="18" t="s">
        <v>22</v>
      </c>
      <c r="F1302" s="18" t="s">
        <v>80</v>
      </c>
      <c r="G1302" s="18" t="s">
        <v>36</v>
      </c>
      <c r="H1302" s="18" t="str">
        <f>Assumptions!$B$2</f>
        <v>Worst</v>
      </c>
      <c r="I1302" s="18">
        <f>_xlfn.XLOOKUP(Assumptions!$B$2,Assumptions!$F$4:$H$4,Assumptions!$F$5:$H$5)</f>
        <v>1200</v>
      </c>
      <c r="J1302" s="18">
        <f>_xlfn.XLOOKUP(Assumptions!$B$2,Assumptions!$F$4:$H$4,Assumptions!$F$6:$H$6)</f>
        <v>17</v>
      </c>
      <c r="K1302" s="12">
        <f>_xlfn.XLOOKUP(Assumptions!$B$2,Assumptions!$F$4:$H$4,Assumptions!$F$8:$H$8)</f>
        <v>0.1</v>
      </c>
      <c r="L1302" s="12">
        <f>_xlfn.XLOOKUP(Assumptions!$B$2,Assumptions!$F$4:$H$4,Assumptions!$F$9:$H$9)</f>
        <v>0.18</v>
      </c>
      <c r="M1302" s="18">
        <f>_xlfn.XLOOKUP(Assumptions!$B$2,Assumptions!$F$4:$H$4,Assumptions!$F$10:$H$10)</f>
        <v>18000</v>
      </c>
      <c r="N1302" s="12">
        <f>_xlfn.XLOOKUP(Assumptions!$B$2,Assumptions!$F$4:$H$4,Assumptions!$F$11:$H$11)</f>
        <v>0.3</v>
      </c>
      <c r="O1302" s="14">
        <f>Final_Table[[#This Row],[Units Sold]]*Final_Table[[#This Row],[Sale Price]]</f>
        <v>20400</v>
      </c>
      <c r="P1302" s="14">
        <f>Final_Table[[#This Row],[Gross Revenue]]*(1-Final_Table[[#This Row],[Discount %]])</f>
        <v>18360</v>
      </c>
      <c r="Q1302">
        <f>Final_Table[[#This Row],[Net Revenue]]*Final_Table[[#This Row],[Variable Cost %]]</f>
        <v>3304.7999999999997</v>
      </c>
      <c r="R1302">
        <f>Final_Table[[#This Row],[Variable Cost]]+Final_Table[[#This Row],[Fixed Monthly Cost]]</f>
        <v>21304.799999999999</v>
      </c>
      <c r="S1302" s="5">
        <f>Final_Table[[#This Row],[Net Revenue]]-Final_Table[[#This Row],[Total Cost (COGS)]]</f>
        <v>-2944.7999999999993</v>
      </c>
      <c r="T1302">
        <f>Final_Table[[#This Row],[Gross Profit]]*Final_Table[[#This Row],[Tax Rate]]</f>
        <v>-883.43999999999971</v>
      </c>
      <c r="U1302" s="5">
        <f>Final_Table[[#This Row],[Gross Profit]]-Final_Table[[#This Row],[Tax]]</f>
        <v>-2061.3599999999997</v>
      </c>
      <c r="V1302" s="12">
        <f>Final_Table[[#This Row],[Net Profit]]/Final_Table[[#This Row],[Gross Revenue]]</f>
        <v>-0.10104705882352939</v>
      </c>
    </row>
    <row r="1303" spans="1:22">
      <c r="A1303" s="18" t="s">
        <v>77</v>
      </c>
      <c r="B1303">
        <v>2014</v>
      </c>
      <c r="C1303" t="s">
        <v>128</v>
      </c>
      <c r="D1303">
        <v>1</v>
      </c>
      <c r="E1303" s="18" t="s">
        <v>22</v>
      </c>
      <c r="F1303" s="18" t="s">
        <v>80</v>
      </c>
      <c r="G1303" s="18" t="s">
        <v>23</v>
      </c>
      <c r="H1303" s="18" t="str">
        <f>Assumptions!$B$2</f>
        <v>Worst</v>
      </c>
      <c r="I1303" s="18">
        <f>_xlfn.XLOOKUP(Assumptions!$B$2,Assumptions!$F$4:$H$4,Assumptions!$F$5:$H$5)</f>
        <v>1200</v>
      </c>
      <c r="J1303" s="18">
        <f>_xlfn.XLOOKUP(Assumptions!$B$2,Assumptions!$F$4:$H$4,Assumptions!$F$6:$H$6)</f>
        <v>17</v>
      </c>
      <c r="K1303" s="12">
        <f>_xlfn.XLOOKUP(Assumptions!$B$2,Assumptions!$F$4:$H$4,Assumptions!$F$8:$H$8)</f>
        <v>0.1</v>
      </c>
      <c r="L1303" s="12">
        <f>_xlfn.XLOOKUP(Assumptions!$B$2,Assumptions!$F$4:$H$4,Assumptions!$F$9:$H$9)</f>
        <v>0.18</v>
      </c>
      <c r="M1303" s="18">
        <f>_xlfn.XLOOKUP(Assumptions!$B$2,Assumptions!$F$4:$H$4,Assumptions!$F$10:$H$10)</f>
        <v>18000</v>
      </c>
      <c r="N1303" s="12">
        <f>_xlfn.XLOOKUP(Assumptions!$B$2,Assumptions!$F$4:$H$4,Assumptions!$F$11:$H$11)</f>
        <v>0.3</v>
      </c>
      <c r="O1303" s="14">
        <f>Final_Table[[#This Row],[Units Sold]]*Final_Table[[#This Row],[Sale Price]]</f>
        <v>20400</v>
      </c>
      <c r="P1303" s="14">
        <f>Final_Table[[#This Row],[Gross Revenue]]*(1-Final_Table[[#This Row],[Discount %]])</f>
        <v>18360</v>
      </c>
      <c r="Q1303">
        <f>Final_Table[[#This Row],[Net Revenue]]*Final_Table[[#This Row],[Variable Cost %]]</f>
        <v>3304.7999999999997</v>
      </c>
      <c r="R1303">
        <f>Final_Table[[#This Row],[Variable Cost]]+Final_Table[[#This Row],[Fixed Monthly Cost]]</f>
        <v>21304.799999999999</v>
      </c>
      <c r="S1303" s="5">
        <f>Final_Table[[#This Row],[Net Revenue]]-Final_Table[[#This Row],[Total Cost (COGS)]]</f>
        <v>-2944.7999999999993</v>
      </c>
      <c r="T1303">
        <f>Final_Table[[#This Row],[Gross Profit]]*Final_Table[[#This Row],[Tax Rate]]</f>
        <v>-883.43999999999971</v>
      </c>
      <c r="U1303" s="5">
        <f>Final_Table[[#This Row],[Gross Profit]]-Final_Table[[#This Row],[Tax]]</f>
        <v>-2061.3599999999997</v>
      </c>
      <c r="V1303" s="12">
        <f>Final_Table[[#This Row],[Net Profit]]/Final_Table[[#This Row],[Gross Revenue]]</f>
        <v>-0.10104705882352939</v>
      </c>
    </row>
    <row r="1304" spans="1:22">
      <c r="A1304" s="18" t="s">
        <v>77</v>
      </c>
      <c r="B1304">
        <v>2014</v>
      </c>
      <c r="C1304" t="s">
        <v>128</v>
      </c>
      <c r="D1304">
        <v>1</v>
      </c>
      <c r="E1304" s="18" t="s">
        <v>22</v>
      </c>
      <c r="F1304" s="18" t="s">
        <v>80</v>
      </c>
      <c r="G1304" s="18" t="s">
        <v>21</v>
      </c>
      <c r="H1304" s="18" t="str">
        <f>Assumptions!$B$2</f>
        <v>Worst</v>
      </c>
      <c r="I1304" s="18">
        <f>_xlfn.XLOOKUP(Assumptions!$B$2,Assumptions!$F$4:$H$4,Assumptions!$F$5:$H$5)</f>
        <v>1200</v>
      </c>
      <c r="J1304" s="18">
        <f>_xlfn.XLOOKUP(Assumptions!$B$2,Assumptions!$F$4:$H$4,Assumptions!$F$6:$H$6)</f>
        <v>17</v>
      </c>
      <c r="K1304" s="12">
        <f>_xlfn.XLOOKUP(Assumptions!$B$2,Assumptions!$F$4:$H$4,Assumptions!$F$8:$H$8)</f>
        <v>0.1</v>
      </c>
      <c r="L1304" s="12">
        <f>_xlfn.XLOOKUP(Assumptions!$B$2,Assumptions!$F$4:$H$4,Assumptions!$F$9:$H$9)</f>
        <v>0.18</v>
      </c>
      <c r="M1304" s="18">
        <f>_xlfn.XLOOKUP(Assumptions!$B$2,Assumptions!$F$4:$H$4,Assumptions!$F$10:$H$10)</f>
        <v>18000</v>
      </c>
      <c r="N1304" s="12">
        <f>_xlfn.XLOOKUP(Assumptions!$B$2,Assumptions!$F$4:$H$4,Assumptions!$F$11:$H$11)</f>
        <v>0.3</v>
      </c>
      <c r="O1304" s="14">
        <f>Final_Table[[#This Row],[Units Sold]]*Final_Table[[#This Row],[Sale Price]]</f>
        <v>20400</v>
      </c>
      <c r="P1304" s="14">
        <f>Final_Table[[#This Row],[Gross Revenue]]*(1-Final_Table[[#This Row],[Discount %]])</f>
        <v>18360</v>
      </c>
      <c r="Q1304">
        <f>Final_Table[[#This Row],[Net Revenue]]*Final_Table[[#This Row],[Variable Cost %]]</f>
        <v>3304.7999999999997</v>
      </c>
      <c r="R1304">
        <f>Final_Table[[#This Row],[Variable Cost]]+Final_Table[[#This Row],[Fixed Monthly Cost]]</f>
        <v>21304.799999999999</v>
      </c>
      <c r="S1304" s="5">
        <f>Final_Table[[#This Row],[Net Revenue]]-Final_Table[[#This Row],[Total Cost (COGS)]]</f>
        <v>-2944.7999999999993</v>
      </c>
      <c r="T1304">
        <f>Final_Table[[#This Row],[Gross Profit]]*Final_Table[[#This Row],[Tax Rate]]</f>
        <v>-883.43999999999971</v>
      </c>
      <c r="U1304" s="5">
        <f>Final_Table[[#This Row],[Gross Profit]]-Final_Table[[#This Row],[Tax]]</f>
        <v>-2061.3599999999997</v>
      </c>
      <c r="V1304" s="12">
        <f>Final_Table[[#This Row],[Net Profit]]/Final_Table[[#This Row],[Gross Revenue]]</f>
        <v>-0.10104705882352939</v>
      </c>
    </row>
    <row r="1305" spans="1:22">
      <c r="A1305" s="18" t="s">
        <v>77</v>
      </c>
      <c r="B1305">
        <v>2014</v>
      </c>
      <c r="C1305" t="s">
        <v>128</v>
      </c>
      <c r="D1305">
        <v>1</v>
      </c>
      <c r="E1305" s="18" t="s">
        <v>22</v>
      </c>
      <c r="F1305" s="18" t="s">
        <v>80</v>
      </c>
      <c r="G1305" s="18" t="s">
        <v>25</v>
      </c>
      <c r="H1305" s="18" t="str">
        <f>Assumptions!$B$2</f>
        <v>Worst</v>
      </c>
      <c r="I1305" s="18">
        <f>_xlfn.XLOOKUP(Assumptions!$B$2,Assumptions!$F$4:$H$4,Assumptions!$F$5:$H$5)</f>
        <v>1200</v>
      </c>
      <c r="J1305" s="18">
        <f>_xlfn.XLOOKUP(Assumptions!$B$2,Assumptions!$F$4:$H$4,Assumptions!$F$6:$H$6)</f>
        <v>17</v>
      </c>
      <c r="K1305" s="12">
        <f>_xlfn.XLOOKUP(Assumptions!$B$2,Assumptions!$F$4:$H$4,Assumptions!$F$8:$H$8)</f>
        <v>0.1</v>
      </c>
      <c r="L1305" s="12">
        <f>_xlfn.XLOOKUP(Assumptions!$B$2,Assumptions!$F$4:$H$4,Assumptions!$F$9:$H$9)</f>
        <v>0.18</v>
      </c>
      <c r="M1305" s="18">
        <f>_xlfn.XLOOKUP(Assumptions!$B$2,Assumptions!$F$4:$H$4,Assumptions!$F$10:$H$10)</f>
        <v>18000</v>
      </c>
      <c r="N1305" s="12">
        <f>_xlfn.XLOOKUP(Assumptions!$B$2,Assumptions!$F$4:$H$4,Assumptions!$F$11:$H$11)</f>
        <v>0.3</v>
      </c>
      <c r="O1305" s="14">
        <f>Final_Table[[#This Row],[Units Sold]]*Final_Table[[#This Row],[Sale Price]]</f>
        <v>20400</v>
      </c>
      <c r="P1305" s="14">
        <f>Final_Table[[#This Row],[Gross Revenue]]*(1-Final_Table[[#This Row],[Discount %]])</f>
        <v>18360</v>
      </c>
      <c r="Q1305">
        <f>Final_Table[[#This Row],[Net Revenue]]*Final_Table[[#This Row],[Variable Cost %]]</f>
        <v>3304.7999999999997</v>
      </c>
      <c r="R1305">
        <f>Final_Table[[#This Row],[Variable Cost]]+Final_Table[[#This Row],[Fixed Monthly Cost]]</f>
        <v>21304.799999999999</v>
      </c>
      <c r="S1305" s="5">
        <f>Final_Table[[#This Row],[Net Revenue]]-Final_Table[[#This Row],[Total Cost (COGS)]]</f>
        <v>-2944.7999999999993</v>
      </c>
      <c r="T1305">
        <f>Final_Table[[#This Row],[Gross Profit]]*Final_Table[[#This Row],[Tax Rate]]</f>
        <v>-883.43999999999971</v>
      </c>
      <c r="U1305" s="5">
        <f>Final_Table[[#This Row],[Gross Profit]]-Final_Table[[#This Row],[Tax]]</f>
        <v>-2061.3599999999997</v>
      </c>
      <c r="V1305" s="12">
        <f>Final_Table[[#This Row],[Net Profit]]/Final_Table[[#This Row],[Gross Revenue]]</f>
        <v>-0.10104705882352939</v>
      </c>
    </row>
    <row r="1306" spans="1:22">
      <c r="A1306" s="18" t="s">
        <v>77</v>
      </c>
      <c r="B1306">
        <v>2014</v>
      </c>
      <c r="C1306" t="s">
        <v>128</v>
      </c>
      <c r="D1306">
        <v>1</v>
      </c>
      <c r="E1306" s="18" t="s">
        <v>22</v>
      </c>
      <c r="F1306" s="18" t="s">
        <v>80</v>
      </c>
      <c r="G1306" s="18" t="s">
        <v>17</v>
      </c>
      <c r="H1306" s="18" t="str">
        <f>Assumptions!$B$2</f>
        <v>Worst</v>
      </c>
      <c r="I1306" s="18">
        <f>_xlfn.XLOOKUP(Assumptions!$B$2,Assumptions!$F$4:$H$4,Assumptions!$F$5:$H$5)</f>
        <v>1200</v>
      </c>
      <c r="J1306" s="18">
        <f>_xlfn.XLOOKUP(Assumptions!$B$2,Assumptions!$F$4:$H$4,Assumptions!$F$6:$H$6)</f>
        <v>17</v>
      </c>
      <c r="K1306" s="12">
        <f>_xlfn.XLOOKUP(Assumptions!$B$2,Assumptions!$F$4:$H$4,Assumptions!$F$8:$H$8)</f>
        <v>0.1</v>
      </c>
      <c r="L1306" s="12">
        <f>_xlfn.XLOOKUP(Assumptions!$B$2,Assumptions!$F$4:$H$4,Assumptions!$F$9:$H$9)</f>
        <v>0.18</v>
      </c>
      <c r="M1306" s="18">
        <f>_xlfn.XLOOKUP(Assumptions!$B$2,Assumptions!$F$4:$H$4,Assumptions!$F$10:$H$10)</f>
        <v>18000</v>
      </c>
      <c r="N1306" s="12">
        <f>_xlfn.XLOOKUP(Assumptions!$B$2,Assumptions!$F$4:$H$4,Assumptions!$F$11:$H$11)</f>
        <v>0.3</v>
      </c>
      <c r="O1306" s="14">
        <f>Final_Table[[#This Row],[Units Sold]]*Final_Table[[#This Row],[Sale Price]]</f>
        <v>20400</v>
      </c>
      <c r="P1306" s="14">
        <f>Final_Table[[#This Row],[Gross Revenue]]*(1-Final_Table[[#This Row],[Discount %]])</f>
        <v>18360</v>
      </c>
      <c r="Q1306">
        <f>Final_Table[[#This Row],[Net Revenue]]*Final_Table[[#This Row],[Variable Cost %]]</f>
        <v>3304.7999999999997</v>
      </c>
      <c r="R1306">
        <f>Final_Table[[#This Row],[Variable Cost]]+Final_Table[[#This Row],[Fixed Monthly Cost]]</f>
        <v>21304.799999999999</v>
      </c>
      <c r="S1306" s="5">
        <f>Final_Table[[#This Row],[Net Revenue]]-Final_Table[[#This Row],[Total Cost (COGS)]]</f>
        <v>-2944.7999999999993</v>
      </c>
      <c r="T1306">
        <f>Final_Table[[#This Row],[Gross Profit]]*Final_Table[[#This Row],[Tax Rate]]</f>
        <v>-883.43999999999971</v>
      </c>
      <c r="U1306" s="5">
        <f>Final_Table[[#This Row],[Gross Profit]]-Final_Table[[#This Row],[Tax]]</f>
        <v>-2061.3599999999997</v>
      </c>
      <c r="V1306" s="12">
        <f>Final_Table[[#This Row],[Net Profit]]/Final_Table[[#This Row],[Gross Revenue]]</f>
        <v>-0.10104705882352939</v>
      </c>
    </row>
    <row r="1307" spans="1:22">
      <c r="A1307" s="18" t="s">
        <v>77</v>
      </c>
      <c r="B1307">
        <v>2014</v>
      </c>
      <c r="C1307" t="s">
        <v>128</v>
      </c>
      <c r="D1307">
        <v>1</v>
      </c>
      <c r="E1307" s="18" t="s">
        <v>22</v>
      </c>
      <c r="F1307" s="18" t="s">
        <v>108</v>
      </c>
      <c r="G1307" s="18" t="s">
        <v>36</v>
      </c>
      <c r="H1307" s="18" t="str">
        <f>Assumptions!$B$2</f>
        <v>Worst</v>
      </c>
      <c r="I1307" s="18">
        <f>_xlfn.XLOOKUP(Assumptions!$B$2,Assumptions!$F$4:$H$4,Assumptions!$F$5:$H$5)</f>
        <v>1200</v>
      </c>
      <c r="J1307" s="18">
        <f>_xlfn.XLOOKUP(Assumptions!$B$2,Assumptions!$F$4:$H$4,Assumptions!$F$6:$H$6)</f>
        <v>17</v>
      </c>
      <c r="K1307" s="12">
        <f>_xlfn.XLOOKUP(Assumptions!$B$2,Assumptions!$F$4:$H$4,Assumptions!$F$8:$H$8)</f>
        <v>0.1</v>
      </c>
      <c r="L1307" s="12">
        <f>_xlfn.XLOOKUP(Assumptions!$B$2,Assumptions!$F$4:$H$4,Assumptions!$F$9:$H$9)</f>
        <v>0.18</v>
      </c>
      <c r="M1307" s="18">
        <f>_xlfn.XLOOKUP(Assumptions!$B$2,Assumptions!$F$4:$H$4,Assumptions!$F$10:$H$10)</f>
        <v>18000</v>
      </c>
      <c r="N1307" s="12">
        <f>_xlfn.XLOOKUP(Assumptions!$B$2,Assumptions!$F$4:$H$4,Assumptions!$F$11:$H$11)</f>
        <v>0.3</v>
      </c>
      <c r="O1307" s="14">
        <f>Final_Table[[#This Row],[Units Sold]]*Final_Table[[#This Row],[Sale Price]]</f>
        <v>20400</v>
      </c>
      <c r="P1307" s="14">
        <f>Final_Table[[#This Row],[Gross Revenue]]*(1-Final_Table[[#This Row],[Discount %]])</f>
        <v>18360</v>
      </c>
      <c r="Q1307">
        <f>Final_Table[[#This Row],[Net Revenue]]*Final_Table[[#This Row],[Variable Cost %]]</f>
        <v>3304.7999999999997</v>
      </c>
      <c r="R1307">
        <f>Final_Table[[#This Row],[Variable Cost]]+Final_Table[[#This Row],[Fixed Monthly Cost]]</f>
        <v>21304.799999999999</v>
      </c>
      <c r="S1307" s="5">
        <f>Final_Table[[#This Row],[Net Revenue]]-Final_Table[[#This Row],[Total Cost (COGS)]]</f>
        <v>-2944.7999999999993</v>
      </c>
      <c r="T1307">
        <f>Final_Table[[#This Row],[Gross Profit]]*Final_Table[[#This Row],[Tax Rate]]</f>
        <v>-883.43999999999971</v>
      </c>
      <c r="U1307" s="5">
        <f>Final_Table[[#This Row],[Gross Profit]]-Final_Table[[#This Row],[Tax]]</f>
        <v>-2061.3599999999997</v>
      </c>
      <c r="V1307" s="12">
        <f>Final_Table[[#This Row],[Net Profit]]/Final_Table[[#This Row],[Gross Revenue]]</f>
        <v>-0.10104705882352939</v>
      </c>
    </row>
    <row r="1308" spans="1:22">
      <c r="A1308" s="18" t="s">
        <v>77</v>
      </c>
      <c r="B1308">
        <v>2014</v>
      </c>
      <c r="C1308" t="s">
        <v>128</v>
      </c>
      <c r="D1308">
        <v>1</v>
      </c>
      <c r="E1308" s="18" t="s">
        <v>22</v>
      </c>
      <c r="F1308" s="18" t="s">
        <v>108</v>
      </c>
      <c r="G1308" s="18" t="s">
        <v>23</v>
      </c>
      <c r="H1308" s="18" t="str">
        <f>Assumptions!$B$2</f>
        <v>Worst</v>
      </c>
      <c r="I1308" s="18">
        <f>_xlfn.XLOOKUP(Assumptions!$B$2,Assumptions!$F$4:$H$4,Assumptions!$F$5:$H$5)</f>
        <v>1200</v>
      </c>
      <c r="J1308" s="18">
        <f>_xlfn.XLOOKUP(Assumptions!$B$2,Assumptions!$F$4:$H$4,Assumptions!$F$6:$H$6)</f>
        <v>17</v>
      </c>
      <c r="K1308" s="12">
        <f>_xlfn.XLOOKUP(Assumptions!$B$2,Assumptions!$F$4:$H$4,Assumptions!$F$8:$H$8)</f>
        <v>0.1</v>
      </c>
      <c r="L1308" s="12">
        <f>_xlfn.XLOOKUP(Assumptions!$B$2,Assumptions!$F$4:$H$4,Assumptions!$F$9:$H$9)</f>
        <v>0.18</v>
      </c>
      <c r="M1308" s="18">
        <f>_xlfn.XLOOKUP(Assumptions!$B$2,Assumptions!$F$4:$H$4,Assumptions!$F$10:$H$10)</f>
        <v>18000</v>
      </c>
      <c r="N1308" s="12">
        <f>_xlfn.XLOOKUP(Assumptions!$B$2,Assumptions!$F$4:$H$4,Assumptions!$F$11:$H$11)</f>
        <v>0.3</v>
      </c>
      <c r="O1308" s="14">
        <f>Final_Table[[#This Row],[Units Sold]]*Final_Table[[#This Row],[Sale Price]]</f>
        <v>20400</v>
      </c>
      <c r="P1308" s="14">
        <f>Final_Table[[#This Row],[Gross Revenue]]*(1-Final_Table[[#This Row],[Discount %]])</f>
        <v>18360</v>
      </c>
      <c r="Q1308">
        <f>Final_Table[[#This Row],[Net Revenue]]*Final_Table[[#This Row],[Variable Cost %]]</f>
        <v>3304.7999999999997</v>
      </c>
      <c r="R1308">
        <f>Final_Table[[#This Row],[Variable Cost]]+Final_Table[[#This Row],[Fixed Monthly Cost]]</f>
        <v>21304.799999999999</v>
      </c>
      <c r="S1308" s="5">
        <f>Final_Table[[#This Row],[Net Revenue]]-Final_Table[[#This Row],[Total Cost (COGS)]]</f>
        <v>-2944.7999999999993</v>
      </c>
      <c r="T1308">
        <f>Final_Table[[#This Row],[Gross Profit]]*Final_Table[[#This Row],[Tax Rate]]</f>
        <v>-883.43999999999971</v>
      </c>
      <c r="U1308" s="5">
        <f>Final_Table[[#This Row],[Gross Profit]]-Final_Table[[#This Row],[Tax]]</f>
        <v>-2061.3599999999997</v>
      </c>
      <c r="V1308" s="12">
        <f>Final_Table[[#This Row],[Net Profit]]/Final_Table[[#This Row],[Gross Revenue]]</f>
        <v>-0.10104705882352939</v>
      </c>
    </row>
    <row r="1309" spans="1:22">
      <c r="A1309" s="18" t="s">
        <v>77</v>
      </c>
      <c r="B1309">
        <v>2014</v>
      </c>
      <c r="C1309" t="s">
        <v>128</v>
      </c>
      <c r="D1309">
        <v>1</v>
      </c>
      <c r="E1309" s="18" t="s">
        <v>22</v>
      </c>
      <c r="F1309" s="18" t="s">
        <v>108</v>
      </c>
      <c r="G1309" s="18" t="s">
        <v>21</v>
      </c>
      <c r="H1309" s="18" t="str">
        <f>Assumptions!$B$2</f>
        <v>Worst</v>
      </c>
      <c r="I1309" s="18">
        <f>_xlfn.XLOOKUP(Assumptions!$B$2,Assumptions!$F$4:$H$4,Assumptions!$F$5:$H$5)</f>
        <v>1200</v>
      </c>
      <c r="J1309" s="18">
        <f>_xlfn.XLOOKUP(Assumptions!$B$2,Assumptions!$F$4:$H$4,Assumptions!$F$6:$H$6)</f>
        <v>17</v>
      </c>
      <c r="K1309" s="12">
        <f>_xlfn.XLOOKUP(Assumptions!$B$2,Assumptions!$F$4:$H$4,Assumptions!$F$8:$H$8)</f>
        <v>0.1</v>
      </c>
      <c r="L1309" s="12">
        <f>_xlfn.XLOOKUP(Assumptions!$B$2,Assumptions!$F$4:$H$4,Assumptions!$F$9:$H$9)</f>
        <v>0.18</v>
      </c>
      <c r="M1309" s="18">
        <f>_xlfn.XLOOKUP(Assumptions!$B$2,Assumptions!$F$4:$H$4,Assumptions!$F$10:$H$10)</f>
        <v>18000</v>
      </c>
      <c r="N1309" s="12">
        <f>_xlfn.XLOOKUP(Assumptions!$B$2,Assumptions!$F$4:$H$4,Assumptions!$F$11:$H$11)</f>
        <v>0.3</v>
      </c>
      <c r="O1309" s="14">
        <f>Final_Table[[#This Row],[Units Sold]]*Final_Table[[#This Row],[Sale Price]]</f>
        <v>20400</v>
      </c>
      <c r="P1309" s="14">
        <f>Final_Table[[#This Row],[Gross Revenue]]*(1-Final_Table[[#This Row],[Discount %]])</f>
        <v>18360</v>
      </c>
      <c r="Q1309">
        <f>Final_Table[[#This Row],[Net Revenue]]*Final_Table[[#This Row],[Variable Cost %]]</f>
        <v>3304.7999999999997</v>
      </c>
      <c r="R1309">
        <f>Final_Table[[#This Row],[Variable Cost]]+Final_Table[[#This Row],[Fixed Monthly Cost]]</f>
        <v>21304.799999999999</v>
      </c>
      <c r="S1309" s="5">
        <f>Final_Table[[#This Row],[Net Revenue]]-Final_Table[[#This Row],[Total Cost (COGS)]]</f>
        <v>-2944.7999999999993</v>
      </c>
      <c r="T1309">
        <f>Final_Table[[#This Row],[Gross Profit]]*Final_Table[[#This Row],[Tax Rate]]</f>
        <v>-883.43999999999971</v>
      </c>
      <c r="U1309" s="5">
        <f>Final_Table[[#This Row],[Gross Profit]]-Final_Table[[#This Row],[Tax]]</f>
        <v>-2061.3599999999997</v>
      </c>
      <c r="V1309" s="12">
        <f>Final_Table[[#This Row],[Net Profit]]/Final_Table[[#This Row],[Gross Revenue]]</f>
        <v>-0.10104705882352939</v>
      </c>
    </row>
    <row r="1310" spans="1:22">
      <c r="A1310" s="18" t="s">
        <v>77</v>
      </c>
      <c r="B1310">
        <v>2014</v>
      </c>
      <c r="C1310" t="s">
        <v>128</v>
      </c>
      <c r="D1310">
        <v>1</v>
      </c>
      <c r="E1310" s="18" t="s">
        <v>22</v>
      </c>
      <c r="F1310" s="18" t="s">
        <v>108</v>
      </c>
      <c r="G1310" s="18" t="s">
        <v>25</v>
      </c>
      <c r="H1310" s="18" t="str">
        <f>Assumptions!$B$2</f>
        <v>Worst</v>
      </c>
      <c r="I1310" s="18">
        <f>_xlfn.XLOOKUP(Assumptions!$B$2,Assumptions!$F$4:$H$4,Assumptions!$F$5:$H$5)</f>
        <v>1200</v>
      </c>
      <c r="J1310" s="18">
        <f>_xlfn.XLOOKUP(Assumptions!$B$2,Assumptions!$F$4:$H$4,Assumptions!$F$6:$H$6)</f>
        <v>17</v>
      </c>
      <c r="K1310" s="12">
        <f>_xlfn.XLOOKUP(Assumptions!$B$2,Assumptions!$F$4:$H$4,Assumptions!$F$8:$H$8)</f>
        <v>0.1</v>
      </c>
      <c r="L1310" s="12">
        <f>_xlfn.XLOOKUP(Assumptions!$B$2,Assumptions!$F$4:$H$4,Assumptions!$F$9:$H$9)</f>
        <v>0.18</v>
      </c>
      <c r="M1310" s="18">
        <f>_xlfn.XLOOKUP(Assumptions!$B$2,Assumptions!$F$4:$H$4,Assumptions!$F$10:$H$10)</f>
        <v>18000</v>
      </c>
      <c r="N1310" s="12">
        <f>_xlfn.XLOOKUP(Assumptions!$B$2,Assumptions!$F$4:$H$4,Assumptions!$F$11:$H$11)</f>
        <v>0.3</v>
      </c>
      <c r="O1310" s="14">
        <f>Final_Table[[#This Row],[Units Sold]]*Final_Table[[#This Row],[Sale Price]]</f>
        <v>20400</v>
      </c>
      <c r="P1310" s="14">
        <f>Final_Table[[#This Row],[Gross Revenue]]*(1-Final_Table[[#This Row],[Discount %]])</f>
        <v>18360</v>
      </c>
      <c r="Q1310">
        <f>Final_Table[[#This Row],[Net Revenue]]*Final_Table[[#This Row],[Variable Cost %]]</f>
        <v>3304.7999999999997</v>
      </c>
      <c r="R1310">
        <f>Final_Table[[#This Row],[Variable Cost]]+Final_Table[[#This Row],[Fixed Monthly Cost]]</f>
        <v>21304.799999999999</v>
      </c>
      <c r="S1310" s="5">
        <f>Final_Table[[#This Row],[Net Revenue]]-Final_Table[[#This Row],[Total Cost (COGS)]]</f>
        <v>-2944.7999999999993</v>
      </c>
      <c r="T1310">
        <f>Final_Table[[#This Row],[Gross Profit]]*Final_Table[[#This Row],[Tax Rate]]</f>
        <v>-883.43999999999971</v>
      </c>
      <c r="U1310" s="5">
        <f>Final_Table[[#This Row],[Gross Profit]]-Final_Table[[#This Row],[Tax]]</f>
        <v>-2061.3599999999997</v>
      </c>
      <c r="V1310" s="12">
        <f>Final_Table[[#This Row],[Net Profit]]/Final_Table[[#This Row],[Gross Revenue]]</f>
        <v>-0.10104705882352939</v>
      </c>
    </row>
    <row r="1311" spans="1:22">
      <c r="A1311" s="18" t="s">
        <v>77</v>
      </c>
      <c r="B1311">
        <v>2014</v>
      </c>
      <c r="C1311" t="s">
        <v>128</v>
      </c>
      <c r="D1311">
        <v>1</v>
      </c>
      <c r="E1311" s="18" t="s">
        <v>22</v>
      </c>
      <c r="F1311" s="18" t="s">
        <v>108</v>
      </c>
      <c r="G1311" s="18" t="s">
        <v>17</v>
      </c>
      <c r="H1311" s="18" t="str">
        <f>Assumptions!$B$2</f>
        <v>Worst</v>
      </c>
      <c r="I1311" s="18">
        <f>_xlfn.XLOOKUP(Assumptions!$B$2,Assumptions!$F$4:$H$4,Assumptions!$F$5:$H$5)</f>
        <v>1200</v>
      </c>
      <c r="J1311" s="18">
        <f>_xlfn.XLOOKUP(Assumptions!$B$2,Assumptions!$F$4:$H$4,Assumptions!$F$6:$H$6)</f>
        <v>17</v>
      </c>
      <c r="K1311" s="12">
        <f>_xlfn.XLOOKUP(Assumptions!$B$2,Assumptions!$F$4:$H$4,Assumptions!$F$8:$H$8)</f>
        <v>0.1</v>
      </c>
      <c r="L1311" s="12">
        <f>_xlfn.XLOOKUP(Assumptions!$B$2,Assumptions!$F$4:$H$4,Assumptions!$F$9:$H$9)</f>
        <v>0.18</v>
      </c>
      <c r="M1311" s="18">
        <f>_xlfn.XLOOKUP(Assumptions!$B$2,Assumptions!$F$4:$H$4,Assumptions!$F$10:$H$10)</f>
        <v>18000</v>
      </c>
      <c r="N1311" s="12">
        <f>_xlfn.XLOOKUP(Assumptions!$B$2,Assumptions!$F$4:$H$4,Assumptions!$F$11:$H$11)</f>
        <v>0.3</v>
      </c>
      <c r="O1311" s="14">
        <f>Final_Table[[#This Row],[Units Sold]]*Final_Table[[#This Row],[Sale Price]]</f>
        <v>20400</v>
      </c>
      <c r="P1311" s="14">
        <f>Final_Table[[#This Row],[Gross Revenue]]*(1-Final_Table[[#This Row],[Discount %]])</f>
        <v>18360</v>
      </c>
      <c r="Q1311">
        <f>Final_Table[[#This Row],[Net Revenue]]*Final_Table[[#This Row],[Variable Cost %]]</f>
        <v>3304.7999999999997</v>
      </c>
      <c r="R1311">
        <f>Final_Table[[#This Row],[Variable Cost]]+Final_Table[[#This Row],[Fixed Monthly Cost]]</f>
        <v>21304.799999999999</v>
      </c>
      <c r="S1311" s="5">
        <f>Final_Table[[#This Row],[Net Revenue]]-Final_Table[[#This Row],[Total Cost (COGS)]]</f>
        <v>-2944.7999999999993</v>
      </c>
      <c r="T1311">
        <f>Final_Table[[#This Row],[Gross Profit]]*Final_Table[[#This Row],[Tax Rate]]</f>
        <v>-883.43999999999971</v>
      </c>
      <c r="U1311" s="5">
        <f>Final_Table[[#This Row],[Gross Profit]]-Final_Table[[#This Row],[Tax]]</f>
        <v>-2061.3599999999997</v>
      </c>
      <c r="V1311" s="12">
        <f>Final_Table[[#This Row],[Net Profit]]/Final_Table[[#This Row],[Gross Revenue]]</f>
        <v>-0.10104705882352939</v>
      </c>
    </row>
    <row r="1312" spans="1:22">
      <c r="A1312" s="18" t="s">
        <v>77</v>
      </c>
      <c r="B1312">
        <v>2014</v>
      </c>
      <c r="C1312" t="s">
        <v>128</v>
      </c>
      <c r="D1312">
        <v>1</v>
      </c>
      <c r="E1312" s="18" t="s">
        <v>22</v>
      </c>
      <c r="F1312" s="18" t="s">
        <v>112</v>
      </c>
      <c r="G1312" s="18" t="s">
        <v>36</v>
      </c>
      <c r="H1312" s="18" t="str">
        <f>Assumptions!$B$2</f>
        <v>Worst</v>
      </c>
      <c r="I1312" s="18">
        <f>_xlfn.XLOOKUP(Assumptions!$B$2,Assumptions!$F$4:$H$4,Assumptions!$F$5:$H$5)</f>
        <v>1200</v>
      </c>
      <c r="J1312" s="18">
        <f>_xlfn.XLOOKUP(Assumptions!$B$2,Assumptions!$F$4:$H$4,Assumptions!$F$6:$H$6)</f>
        <v>17</v>
      </c>
      <c r="K1312" s="12">
        <f>_xlfn.XLOOKUP(Assumptions!$B$2,Assumptions!$F$4:$H$4,Assumptions!$F$8:$H$8)</f>
        <v>0.1</v>
      </c>
      <c r="L1312" s="12">
        <f>_xlfn.XLOOKUP(Assumptions!$B$2,Assumptions!$F$4:$H$4,Assumptions!$F$9:$H$9)</f>
        <v>0.18</v>
      </c>
      <c r="M1312" s="18">
        <f>_xlfn.XLOOKUP(Assumptions!$B$2,Assumptions!$F$4:$H$4,Assumptions!$F$10:$H$10)</f>
        <v>18000</v>
      </c>
      <c r="N1312" s="12">
        <f>_xlfn.XLOOKUP(Assumptions!$B$2,Assumptions!$F$4:$H$4,Assumptions!$F$11:$H$11)</f>
        <v>0.3</v>
      </c>
      <c r="O1312" s="14">
        <f>Final_Table[[#This Row],[Units Sold]]*Final_Table[[#This Row],[Sale Price]]</f>
        <v>20400</v>
      </c>
      <c r="P1312" s="14">
        <f>Final_Table[[#This Row],[Gross Revenue]]*(1-Final_Table[[#This Row],[Discount %]])</f>
        <v>18360</v>
      </c>
      <c r="Q1312">
        <f>Final_Table[[#This Row],[Net Revenue]]*Final_Table[[#This Row],[Variable Cost %]]</f>
        <v>3304.7999999999997</v>
      </c>
      <c r="R1312">
        <f>Final_Table[[#This Row],[Variable Cost]]+Final_Table[[#This Row],[Fixed Monthly Cost]]</f>
        <v>21304.799999999999</v>
      </c>
      <c r="S1312" s="5">
        <f>Final_Table[[#This Row],[Net Revenue]]-Final_Table[[#This Row],[Total Cost (COGS)]]</f>
        <v>-2944.7999999999993</v>
      </c>
      <c r="T1312">
        <f>Final_Table[[#This Row],[Gross Profit]]*Final_Table[[#This Row],[Tax Rate]]</f>
        <v>-883.43999999999971</v>
      </c>
      <c r="U1312" s="5">
        <f>Final_Table[[#This Row],[Gross Profit]]-Final_Table[[#This Row],[Tax]]</f>
        <v>-2061.3599999999997</v>
      </c>
      <c r="V1312" s="12">
        <f>Final_Table[[#This Row],[Net Profit]]/Final_Table[[#This Row],[Gross Revenue]]</f>
        <v>-0.10104705882352939</v>
      </c>
    </row>
    <row r="1313" spans="1:22">
      <c r="A1313" s="18" t="s">
        <v>77</v>
      </c>
      <c r="B1313">
        <v>2014</v>
      </c>
      <c r="C1313" t="s">
        <v>128</v>
      </c>
      <c r="D1313">
        <v>1</v>
      </c>
      <c r="E1313" s="18" t="s">
        <v>22</v>
      </c>
      <c r="F1313" s="18" t="s">
        <v>112</v>
      </c>
      <c r="G1313" s="18" t="s">
        <v>23</v>
      </c>
      <c r="H1313" s="18" t="str">
        <f>Assumptions!$B$2</f>
        <v>Worst</v>
      </c>
      <c r="I1313" s="18">
        <f>_xlfn.XLOOKUP(Assumptions!$B$2,Assumptions!$F$4:$H$4,Assumptions!$F$5:$H$5)</f>
        <v>1200</v>
      </c>
      <c r="J1313" s="18">
        <f>_xlfn.XLOOKUP(Assumptions!$B$2,Assumptions!$F$4:$H$4,Assumptions!$F$6:$H$6)</f>
        <v>17</v>
      </c>
      <c r="K1313" s="12">
        <f>_xlfn.XLOOKUP(Assumptions!$B$2,Assumptions!$F$4:$H$4,Assumptions!$F$8:$H$8)</f>
        <v>0.1</v>
      </c>
      <c r="L1313" s="12">
        <f>_xlfn.XLOOKUP(Assumptions!$B$2,Assumptions!$F$4:$H$4,Assumptions!$F$9:$H$9)</f>
        <v>0.18</v>
      </c>
      <c r="M1313" s="18">
        <f>_xlfn.XLOOKUP(Assumptions!$B$2,Assumptions!$F$4:$H$4,Assumptions!$F$10:$H$10)</f>
        <v>18000</v>
      </c>
      <c r="N1313" s="12">
        <f>_xlfn.XLOOKUP(Assumptions!$B$2,Assumptions!$F$4:$H$4,Assumptions!$F$11:$H$11)</f>
        <v>0.3</v>
      </c>
      <c r="O1313" s="14">
        <f>Final_Table[[#This Row],[Units Sold]]*Final_Table[[#This Row],[Sale Price]]</f>
        <v>20400</v>
      </c>
      <c r="P1313" s="14">
        <f>Final_Table[[#This Row],[Gross Revenue]]*(1-Final_Table[[#This Row],[Discount %]])</f>
        <v>18360</v>
      </c>
      <c r="Q1313">
        <f>Final_Table[[#This Row],[Net Revenue]]*Final_Table[[#This Row],[Variable Cost %]]</f>
        <v>3304.7999999999997</v>
      </c>
      <c r="R1313">
        <f>Final_Table[[#This Row],[Variable Cost]]+Final_Table[[#This Row],[Fixed Monthly Cost]]</f>
        <v>21304.799999999999</v>
      </c>
      <c r="S1313" s="5">
        <f>Final_Table[[#This Row],[Net Revenue]]-Final_Table[[#This Row],[Total Cost (COGS)]]</f>
        <v>-2944.7999999999993</v>
      </c>
      <c r="T1313">
        <f>Final_Table[[#This Row],[Gross Profit]]*Final_Table[[#This Row],[Tax Rate]]</f>
        <v>-883.43999999999971</v>
      </c>
      <c r="U1313" s="5">
        <f>Final_Table[[#This Row],[Gross Profit]]-Final_Table[[#This Row],[Tax]]</f>
        <v>-2061.3599999999997</v>
      </c>
      <c r="V1313" s="12">
        <f>Final_Table[[#This Row],[Net Profit]]/Final_Table[[#This Row],[Gross Revenue]]</f>
        <v>-0.10104705882352939</v>
      </c>
    </row>
    <row r="1314" spans="1:22">
      <c r="A1314" s="18" t="s">
        <v>77</v>
      </c>
      <c r="B1314">
        <v>2014</v>
      </c>
      <c r="C1314" t="s">
        <v>128</v>
      </c>
      <c r="D1314">
        <v>1</v>
      </c>
      <c r="E1314" s="18" t="s">
        <v>22</v>
      </c>
      <c r="F1314" s="18" t="s">
        <v>112</v>
      </c>
      <c r="G1314" s="18" t="s">
        <v>21</v>
      </c>
      <c r="H1314" s="18" t="str">
        <f>Assumptions!$B$2</f>
        <v>Worst</v>
      </c>
      <c r="I1314" s="18">
        <f>_xlfn.XLOOKUP(Assumptions!$B$2,Assumptions!$F$4:$H$4,Assumptions!$F$5:$H$5)</f>
        <v>1200</v>
      </c>
      <c r="J1314" s="18">
        <f>_xlfn.XLOOKUP(Assumptions!$B$2,Assumptions!$F$4:$H$4,Assumptions!$F$6:$H$6)</f>
        <v>17</v>
      </c>
      <c r="K1314" s="12">
        <f>_xlfn.XLOOKUP(Assumptions!$B$2,Assumptions!$F$4:$H$4,Assumptions!$F$8:$H$8)</f>
        <v>0.1</v>
      </c>
      <c r="L1314" s="12">
        <f>_xlfn.XLOOKUP(Assumptions!$B$2,Assumptions!$F$4:$H$4,Assumptions!$F$9:$H$9)</f>
        <v>0.18</v>
      </c>
      <c r="M1314" s="18">
        <f>_xlfn.XLOOKUP(Assumptions!$B$2,Assumptions!$F$4:$H$4,Assumptions!$F$10:$H$10)</f>
        <v>18000</v>
      </c>
      <c r="N1314" s="12">
        <f>_xlfn.XLOOKUP(Assumptions!$B$2,Assumptions!$F$4:$H$4,Assumptions!$F$11:$H$11)</f>
        <v>0.3</v>
      </c>
      <c r="O1314" s="14">
        <f>Final_Table[[#This Row],[Units Sold]]*Final_Table[[#This Row],[Sale Price]]</f>
        <v>20400</v>
      </c>
      <c r="P1314" s="14">
        <f>Final_Table[[#This Row],[Gross Revenue]]*(1-Final_Table[[#This Row],[Discount %]])</f>
        <v>18360</v>
      </c>
      <c r="Q1314">
        <f>Final_Table[[#This Row],[Net Revenue]]*Final_Table[[#This Row],[Variable Cost %]]</f>
        <v>3304.7999999999997</v>
      </c>
      <c r="R1314">
        <f>Final_Table[[#This Row],[Variable Cost]]+Final_Table[[#This Row],[Fixed Monthly Cost]]</f>
        <v>21304.799999999999</v>
      </c>
      <c r="S1314" s="5">
        <f>Final_Table[[#This Row],[Net Revenue]]-Final_Table[[#This Row],[Total Cost (COGS)]]</f>
        <v>-2944.7999999999993</v>
      </c>
      <c r="T1314">
        <f>Final_Table[[#This Row],[Gross Profit]]*Final_Table[[#This Row],[Tax Rate]]</f>
        <v>-883.43999999999971</v>
      </c>
      <c r="U1314" s="5">
        <f>Final_Table[[#This Row],[Gross Profit]]-Final_Table[[#This Row],[Tax]]</f>
        <v>-2061.3599999999997</v>
      </c>
      <c r="V1314" s="12">
        <f>Final_Table[[#This Row],[Net Profit]]/Final_Table[[#This Row],[Gross Revenue]]</f>
        <v>-0.10104705882352939</v>
      </c>
    </row>
    <row r="1315" spans="1:22">
      <c r="A1315" s="18" t="s">
        <v>77</v>
      </c>
      <c r="B1315">
        <v>2014</v>
      </c>
      <c r="C1315" t="s">
        <v>128</v>
      </c>
      <c r="D1315">
        <v>1</v>
      </c>
      <c r="E1315" s="18" t="s">
        <v>22</v>
      </c>
      <c r="F1315" s="18" t="s">
        <v>112</v>
      </c>
      <c r="G1315" s="18" t="s">
        <v>25</v>
      </c>
      <c r="H1315" s="18" t="str">
        <f>Assumptions!$B$2</f>
        <v>Worst</v>
      </c>
      <c r="I1315" s="18">
        <f>_xlfn.XLOOKUP(Assumptions!$B$2,Assumptions!$F$4:$H$4,Assumptions!$F$5:$H$5)</f>
        <v>1200</v>
      </c>
      <c r="J1315" s="18">
        <f>_xlfn.XLOOKUP(Assumptions!$B$2,Assumptions!$F$4:$H$4,Assumptions!$F$6:$H$6)</f>
        <v>17</v>
      </c>
      <c r="K1315" s="12">
        <f>_xlfn.XLOOKUP(Assumptions!$B$2,Assumptions!$F$4:$H$4,Assumptions!$F$8:$H$8)</f>
        <v>0.1</v>
      </c>
      <c r="L1315" s="12">
        <f>_xlfn.XLOOKUP(Assumptions!$B$2,Assumptions!$F$4:$H$4,Assumptions!$F$9:$H$9)</f>
        <v>0.18</v>
      </c>
      <c r="M1315" s="18">
        <f>_xlfn.XLOOKUP(Assumptions!$B$2,Assumptions!$F$4:$H$4,Assumptions!$F$10:$H$10)</f>
        <v>18000</v>
      </c>
      <c r="N1315" s="12">
        <f>_xlfn.XLOOKUP(Assumptions!$B$2,Assumptions!$F$4:$H$4,Assumptions!$F$11:$H$11)</f>
        <v>0.3</v>
      </c>
      <c r="O1315" s="14">
        <f>Final_Table[[#This Row],[Units Sold]]*Final_Table[[#This Row],[Sale Price]]</f>
        <v>20400</v>
      </c>
      <c r="P1315" s="14">
        <f>Final_Table[[#This Row],[Gross Revenue]]*(1-Final_Table[[#This Row],[Discount %]])</f>
        <v>18360</v>
      </c>
      <c r="Q1315">
        <f>Final_Table[[#This Row],[Net Revenue]]*Final_Table[[#This Row],[Variable Cost %]]</f>
        <v>3304.7999999999997</v>
      </c>
      <c r="R1315">
        <f>Final_Table[[#This Row],[Variable Cost]]+Final_Table[[#This Row],[Fixed Monthly Cost]]</f>
        <v>21304.799999999999</v>
      </c>
      <c r="S1315" s="5">
        <f>Final_Table[[#This Row],[Net Revenue]]-Final_Table[[#This Row],[Total Cost (COGS)]]</f>
        <v>-2944.7999999999993</v>
      </c>
      <c r="T1315">
        <f>Final_Table[[#This Row],[Gross Profit]]*Final_Table[[#This Row],[Tax Rate]]</f>
        <v>-883.43999999999971</v>
      </c>
      <c r="U1315" s="5">
        <f>Final_Table[[#This Row],[Gross Profit]]-Final_Table[[#This Row],[Tax]]</f>
        <v>-2061.3599999999997</v>
      </c>
      <c r="V1315" s="12">
        <f>Final_Table[[#This Row],[Net Profit]]/Final_Table[[#This Row],[Gross Revenue]]</f>
        <v>-0.10104705882352939</v>
      </c>
    </row>
    <row r="1316" spans="1:22">
      <c r="A1316" s="18" t="s">
        <v>77</v>
      </c>
      <c r="B1316">
        <v>2014</v>
      </c>
      <c r="C1316" t="s">
        <v>128</v>
      </c>
      <c r="D1316">
        <v>1</v>
      </c>
      <c r="E1316" s="18" t="s">
        <v>22</v>
      </c>
      <c r="F1316" s="18" t="s">
        <v>112</v>
      </c>
      <c r="G1316" s="18" t="s">
        <v>17</v>
      </c>
      <c r="H1316" s="18" t="str">
        <f>Assumptions!$B$2</f>
        <v>Worst</v>
      </c>
      <c r="I1316" s="18">
        <f>_xlfn.XLOOKUP(Assumptions!$B$2,Assumptions!$F$4:$H$4,Assumptions!$F$5:$H$5)</f>
        <v>1200</v>
      </c>
      <c r="J1316" s="18">
        <f>_xlfn.XLOOKUP(Assumptions!$B$2,Assumptions!$F$4:$H$4,Assumptions!$F$6:$H$6)</f>
        <v>17</v>
      </c>
      <c r="K1316" s="12">
        <f>_xlfn.XLOOKUP(Assumptions!$B$2,Assumptions!$F$4:$H$4,Assumptions!$F$8:$H$8)</f>
        <v>0.1</v>
      </c>
      <c r="L1316" s="12">
        <f>_xlfn.XLOOKUP(Assumptions!$B$2,Assumptions!$F$4:$H$4,Assumptions!$F$9:$H$9)</f>
        <v>0.18</v>
      </c>
      <c r="M1316" s="18">
        <f>_xlfn.XLOOKUP(Assumptions!$B$2,Assumptions!$F$4:$H$4,Assumptions!$F$10:$H$10)</f>
        <v>18000</v>
      </c>
      <c r="N1316" s="12">
        <f>_xlfn.XLOOKUP(Assumptions!$B$2,Assumptions!$F$4:$H$4,Assumptions!$F$11:$H$11)</f>
        <v>0.3</v>
      </c>
      <c r="O1316" s="14">
        <f>Final_Table[[#This Row],[Units Sold]]*Final_Table[[#This Row],[Sale Price]]</f>
        <v>20400</v>
      </c>
      <c r="P1316" s="14">
        <f>Final_Table[[#This Row],[Gross Revenue]]*(1-Final_Table[[#This Row],[Discount %]])</f>
        <v>18360</v>
      </c>
      <c r="Q1316">
        <f>Final_Table[[#This Row],[Net Revenue]]*Final_Table[[#This Row],[Variable Cost %]]</f>
        <v>3304.7999999999997</v>
      </c>
      <c r="R1316">
        <f>Final_Table[[#This Row],[Variable Cost]]+Final_Table[[#This Row],[Fixed Monthly Cost]]</f>
        <v>21304.799999999999</v>
      </c>
      <c r="S1316" s="5">
        <f>Final_Table[[#This Row],[Net Revenue]]-Final_Table[[#This Row],[Total Cost (COGS)]]</f>
        <v>-2944.7999999999993</v>
      </c>
      <c r="T1316">
        <f>Final_Table[[#This Row],[Gross Profit]]*Final_Table[[#This Row],[Tax Rate]]</f>
        <v>-883.43999999999971</v>
      </c>
      <c r="U1316" s="5">
        <f>Final_Table[[#This Row],[Gross Profit]]-Final_Table[[#This Row],[Tax]]</f>
        <v>-2061.3599999999997</v>
      </c>
      <c r="V1316" s="12">
        <f>Final_Table[[#This Row],[Net Profit]]/Final_Table[[#This Row],[Gross Revenue]]</f>
        <v>-0.10104705882352939</v>
      </c>
    </row>
    <row r="1317" spans="1:22">
      <c r="A1317" s="18" t="s">
        <v>77</v>
      </c>
      <c r="B1317">
        <v>2014</v>
      </c>
      <c r="C1317" t="s">
        <v>128</v>
      </c>
      <c r="D1317">
        <v>1</v>
      </c>
      <c r="E1317" s="18" t="s">
        <v>22</v>
      </c>
      <c r="F1317" s="18" t="s">
        <v>113</v>
      </c>
      <c r="G1317" s="18" t="s">
        <v>36</v>
      </c>
      <c r="H1317" s="18" t="str">
        <f>Assumptions!$B$2</f>
        <v>Worst</v>
      </c>
      <c r="I1317" s="18">
        <f>_xlfn.XLOOKUP(Assumptions!$B$2,Assumptions!$F$4:$H$4,Assumptions!$F$5:$H$5)</f>
        <v>1200</v>
      </c>
      <c r="J1317" s="18">
        <f>_xlfn.XLOOKUP(Assumptions!$B$2,Assumptions!$F$4:$H$4,Assumptions!$F$6:$H$6)</f>
        <v>17</v>
      </c>
      <c r="K1317" s="12">
        <f>_xlfn.XLOOKUP(Assumptions!$B$2,Assumptions!$F$4:$H$4,Assumptions!$F$8:$H$8)</f>
        <v>0.1</v>
      </c>
      <c r="L1317" s="12">
        <f>_xlfn.XLOOKUP(Assumptions!$B$2,Assumptions!$F$4:$H$4,Assumptions!$F$9:$H$9)</f>
        <v>0.18</v>
      </c>
      <c r="M1317" s="18">
        <f>_xlfn.XLOOKUP(Assumptions!$B$2,Assumptions!$F$4:$H$4,Assumptions!$F$10:$H$10)</f>
        <v>18000</v>
      </c>
      <c r="N1317" s="12">
        <f>_xlfn.XLOOKUP(Assumptions!$B$2,Assumptions!$F$4:$H$4,Assumptions!$F$11:$H$11)</f>
        <v>0.3</v>
      </c>
      <c r="O1317" s="14">
        <f>Final_Table[[#This Row],[Units Sold]]*Final_Table[[#This Row],[Sale Price]]</f>
        <v>20400</v>
      </c>
      <c r="P1317" s="14">
        <f>Final_Table[[#This Row],[Gross Revenue]]*(1-Final_Table[[#This Row],[Discount %]])</f>
        <v>18360</v>
      </c>
      <c r="Q1317">
        <f>Final_Table[[#This Row],[Net Revenue]]*Final_Table[[#This Row],[Variable Cost %]]</f>
        <v>3304.7999999999997</v>
      </c>
      <c r="R1317">
        <f>Final_Table[[#This Row],[Variable Cost]]+Final_Table[[#This Row],[Fixed Monthly Cost]]</f>
        <v>21304.799999999999</v>
      </c>
      <c r="S1317" s="5">
        <f>Final_Table[[#This Row],[Net Revenue]]-Final_Table[[#This Row],[Total Cost (COGS)]]</f>
        <v>-2944.7999999999993</v>
      </c>
      <c r="T1317">
        <f>Final_Table[[#This Row],[Gross Profit]]*Final_Table[[#This Row],[Tax Rate]]</f>
        <v>-883.43999999999971</v>
      </c>
      <c r="U1317" s="5">
        <f>Final_Table[[#This Row],[Gross Profit]]-Final_Table[[#This Row],[Tax]]</f>
        <v>-2061.3599999999997</v>
      </c>
      <c r="V1317" s="12">
        <f>Final_Table[[#This Row],[Net Profit]]/Final_Table[[#This Row],[Gross Revenue]]</f>
        <v>-0.10104705882352939</v>
      </c>
    </row>
    <row r="1318" spans="1:22">
      <c r="A1318" s="18" t="s">
        <v>77</v>
      </c>
      <c r="B1318">
        <v>2014</v>
      </c>
      <c r="C1318" t="s">
        <v>128</v>
      </c>
      <c r="D1318">
        <v>1</v>
      </c>
      <c r="E1318" s="18" t="s">
        <v>22</v>
      </c>
      <c r="F1318" s="18" t="s">
        <v>113</v>
      </c>
      <c r="G1318" s="18" t="s">
        <v>23</v>
      </c>
      <c r="H1318" s="18" t="str">
        <f>Assumptions!$B$2</f>
        <v>Worst</v>
      </c>
      <c r="I1318" s="18">
        <f>_xlfn.XLOOKUP(Assumptions!$B$2,Assumptions!$F$4:$H$4,Assumptions!$F$5:$H$5)</f>
        <v>1200</v>
      </c>
      <c r="J1318" s="18">
        <f>_xlfn.XLOOKUP(Assumptions!$B$2,Assumptions!$F$4:$H$4,Assumptions!$F$6:$H$6)</f>
        <v>17</v>
      </c>
      <c r="K1318" s="12">
        <f>_xlfn.XLOOKUP(Assumptions!$B$2,Assumptions!$F$4:$H$4,Assumptions!$F$8:$H$8)</f>
        <v>0.1</v>
      </c>
      <c r="L1318" s="12">
        <f>_xlfn.XLOOKUP(Assumptions!$B$2,Assumptions!$F$4:$H$4,Assumptions!$F$9:$H$9)</f>
        <v>0.18</v>
      </c>
      <c r="M1318" s="18">
        <f>_xlfn.XLOOKUP(Assumptions!$B$2,Assumptions!$F$4:$H$4,Assumptions!$F$10:$H$10)</f>
        <v>18000</v>
      </c>
      <c r="N1318" s="12">
        <f>_xlfn.XLOOKUP(Assumptions!$B$2,Assumptions!$F$4:$H$4,Assumptions!$F$11:$H$11)</f>
        <v>0.3</v>
      </c>
      <c r="O1318" s="14">
        <f>Final_Table[[#This Row],[Units Sold]]*Final_Table[[#This Row],[Sale Price]]</f>
        <v>20400</v>
      </c>
      <c r="P1318" s="14">
        <f>Final_Table[[#This Row],[Gross Revenue]]*(1-Final_Table[[#This Row],[Discount %]])</f>
        <v>18360</v>
      </c>
      <c r="Q1318">
        <f>Final_Table[[#This Row],[Net Revenue]]*Final_Table[[#This Row],[Variable Cost %]]</f>
        <v>3304.7999999999997</v>
      </c>
      <c r="R1318">
        <f>Final_Table[[#This Row],[Variable Cost]]+Final_Table[[#This Row],[Fixed Monthly Cost]]</f>
        <v>21304.799999999999</v>
      </c>
      <c r="S1318" s="5">
        <f>Final_Table[[#This Row],[Net Revenue]]-Final_Table[[#This Row],[Total Cost (COGS)]]</f>
        <v>-2944.7999999999993</v>
      </c>
      <c r="T1318">
        <f>Final_Table[[#This Row],[Gross Profit]]*Final_Table[[#This Row],[Tax Rate]]</f>
        <v>-883.43999999999971</v>
      </c>
      <c r="U1318" s="5">
        <f>Final_Table[[#This Row],[Gross Profit]]-Final_Table[[#This Row],[Tax]]</f>
        <v>-2061.3599999999997</v>
      </c>
      <c r="V1318" s="12">
        <f>Final_Table[[#This Row],[Net Profit]]/Final_Table[[#This Row],[Gross Revenue]]</f>
        <v>-0.10104705882352939</v>
      </c>
    </row>
    <row r="1319" spans="1:22">
      <c r="A1319" s="18" t="s">
        <v>77</v>
      </c>
      <c r="B1319">
        <v>2014</v>
      </c>
      <c r="C1319" t="s">
        <v>128</v>
      </c>
      <c r="D1319">
        <v>1</v>
      </c>
      <c r="E1319" s="18" t="s">
        <v>22</v>
      </c>
      <c r="F1319" s="18" t="s">
        <v>113</v>
      </c>
      <c r="G1319" s="18" t="s">
        <v>21</v>
      </c>
      <c r="H1319" s="18" t="str">
        <f>Assumptions!$B$2</f>
        <v>Worst</v>
      </c>
      <c r="I1319" s="18">
        <f>_xlfn.XLOOKUP(Assumptions!$B$2,Assumptions!$F$4:$H$4,Assumptions!$F$5:$H$5)</f>
        <v>1200</v>
      </c>
      <c r="J1319" s="18">
        <f>_xlfn.XLOOKUP(Assumptions!$B$2,Assumptions!$F$4:$H$4,Assumptions!$F$6:$H$6)</f>
        <v>17</v>
      </c>
      <c r="K1319" s="12">
        <f>_xlfn.XLOOKUP(Assumptions!$B$2,Assumptions!$F$4:$H$4,Assumptions!$F$8:$H$8)</f>
        <v>0.1</v>
      </c>
      <c r="L1319" s="12">
        <f>_xlfn.XLOOKUP(Assumptions!$B$2,Assumptions!$F$4:$H$4,Assumptions!$F$9:$H$9)</f>
        <v>0.18</v>
      </c>
      <c r="M1319" s="18">
        <f>_xlfn.XLOOKUP(Assumptions!$B$2,Assumptions!$F$4:$H$4,Assumptions!$F$10:$H$10)</f>
        <v>18000</v>
      </c>
      <c r="N1319" s="12">
        <f>_xlfn.XLOOKUP(Assumptions!$B$2,Assumptions!$F$4:$H$4,Assumptions!$F$11:$H$11)</f>
        <v>0.3</v>
      </c>
      <c r="O1319" s="14">
        <f>Final_Table[[#This Row],[Units Sold]]*Final_Table[[#This Row],[Sale Price]]</f>
        <v>20400</v>
      </c>
      <c r="P1319" s="14">
        <f>Final_Table[[#This Row],[Gross Revenue]]*(1-Final_Table[[#This Row],[Discount %]])</f>
        <v>18360</v>
      </c>
      <c r="Q1319">
        <f>Final_Table[[#This Row],[Net Revenue]]*Final_Table[[#This Row],[Variable Cost %]]</f>
        <v>3304.7999999999997</v>
      </c>
      <c r="R1319">
        <f>Final_Table[[#This Row],[Variable Cost]]+Final_Table[[#This Row],[Fixed Monthly Cost]]</f>
        <v>21304.799999999999</v>
      </c>
      <c r="S1319" s="5">
        <f>Final_Table[[#This Row],[Net Revenue]]-Final_Table[[#This Row],[Total Cost (COGS)]]</f>
        <v>-2944.7999999999993</v>
      </c>
      <c r="T1319">
        <f>Final_Table[[#This Row],[Gross Profit]]*Final_Table[[#This Row],[Tax Rate]]</f>
        <v>-883.43999999999971</v>
      </c>
      <c r="U1319" s="5">
        <f>Final_Table[[#This Row],[Gross Profit]]-Final_Table[[#This Row],[Tax]]</f>
        <v>-2061.3599999999997</v>
      </c>
      <c r="V1319" s="12">
        <f>Final_Table[[#This Row],[Net Profit]]/Final_Table[[#This Row],[Gross Revenue]]</f>
        <v>-0.10104705882352939</v>
      </c>
    </row>
    <row r="1320" spans="1:22">
      <c r="A1320" s="18" t="s">
        <v>77</v>
      </c>
      <c r="B1320">
        <v>2014</v>
      </c>
      <c r="C1320" t="s">
        <v>128</v>
      </c>
      <c r="D1320">
        <v>1</v>
      </c>
      <c r="E1320" s="18" t="s">
        <v>22</v>
      </c>
      <c r="F1320" s="18" t="s">
        <v>113</v>
      </c>
      <c r="G1320" s="18" t="s">
        <v>25</v>
      </c>
      <c r="H1320" s="18" t="str">
        <f>Assumptions!$B$2</f>
        <v>Worst</v>
      </c>
      <c r="I1320" s="18">
        <f>_xlfn.XLOOKUP(Assumptions!$B$2,Assumptions!$F$4:$H$4,Assumptions!$F$5:$H$5)</f>
        <v>1200</v>
      </c>
      <c r="J1320" s="18">
        <f>_xlfn.XLOOKUP(Assumptions!$B$2,Assumptions!$F$4:$H$4,Assumptions!$F$6:$H$6)</f>
        <v>17</v>
      </c>
      <c r="K1320" s="12">
        <f>_xlfn.XLOOKUP(Assumptions!$B$2,Assumptions!$F$4:$H$4,Assumptions!$F$8:$H$8)</f>
        <v>0.1</v>
      </c>
      <c r="L1320" s="12">
        <f>_xlfn.XLOOKUP(Assumptions!$B$2,Assumptions!$F$4:$H$4,Assumptions!$F$9:$H$9)</f>
        <v>0.18</v>
      </c>
      <c r="M1320" s="18">
        <f>_xlfn.XLOOKUP(Assumptions!$B$2,Assumptions!$F$4:$H$4,Assumptions!$F$10:$H$10)</f>
        <v>18000</v>
      </c>
      <c r="N1320" s="12">
        <f>_xlfn.XLOOKUP(Assumptions!$B$2,Assumptions!$F$4:$H$4,Assumptions!$F$11:$H$11)</f>
        <v>0.3</v>
      </c>
      <c r="O1320" s="14">
        <f>Final_Table[[#This Row],[Units Sold]]*Final_Table[[#This Row],[Sale Price]]</f>
        <v>20400</v>
      </c>
      <c r="P1320" s="14">
        <f>Final_Table[[#This Row],[Gross Revenue]]*(1-Final_Table[[#This Row],[Discount %]])</f>
        <v>18360</v>
      </c>
      <c r="Q1320">
        <f>Final_Table[[#This Row],[Net Revenue]]*Final_Table[[#This Row],[Variable Cost %]]</f>
        <v>3304.7999999999997</v>
      </c>
      <c r="R1320">
        <f>Final_Table[[#This Row],[Variable Cost]]+Final_Table[[#This Row],[Fixed Monthly Cost]]</f>
        <v>21304.799999999999</v>
      </c>
      <c r="S1320" s="5">
        <f>Final_Table[[#This Row],[Net Revenue]]-Final_Table[[#This Row],[Total Cost (COGS)]]</f>
        <v>-2944.7999999999993</v>
      </c>
      <c r="T1320">
        <f>Final_Table[[#This Row],[Gross Profit]]*Final_Table[[#This Row],[Tax Rate]]</f>
        <v>-883.43999999999971</v>
      </c>
      <c r="U1320" s="5">
        <f>Final_Table[[#This Row],[Gross Profit]]-Final_Table[[#This Row],[Tax]]</f>
        <v>-2061.3599999999997</v>
      </c>
      <c r="V1320" s="12">
        <f>Final_Table[[#This Row],[Net Profit]]/Final_Table[[#This Row],[Gross Revenue]]</f>
        <v>-0.10104705882352939</v>
      </c>
    </row>
    <row r="1321" spans="1:22">
      <c r="A1321" s="18" t="s">
        <v>77</v>
      </c>
      <c r="B1321">
        <v>2014</v>
      </c>
      <c r="C1321" t="s">
        <v>128</v>
      </c>
      <c r="D1321">
        <v>1</v>
      </c>
      <c r="E1321" s="18" t="s">
        <v>22</v>
      </c>
      <c r="F1321" s="18" t="s">
        <v>113</v>
      </c>
      <c r="G1321" s="18" t="s">
        <v>17</v>
      </c>
      <c r="H1321" s="18" t="str">
        <f>Assumptions!$B$2</f>
        <v>Worst</v>
      </c>
      <c r="I1321" s="18">
        <f>_xlfn.XLOOKUP(Assumptions!$B$2,Assumptions!$F$4:$H$4,Assumptions!$F$5:$H$5)</f>
        <v>1200</v>
      </c>
      <c r="J1321" s="18">
        <f>_xlfn.XLOOKUP(Assumptions!$B$2,Assumptions!$F$4:$H$4,Assumptions!$F$6:$H$6)</f>
        <v>17</v>
      </c>
      <c r="K1321" s="12">
        <f>_xlfn.XLOOKUP(Assumptions!$B$2,Assumptions!$F$4:$H$4,Assumptions!$F$8:$H$8)</f>
        <v>0.1</v>
      </c>
      <c r="L1321" s="12">
        <f>_xlfn.XLOOKUP(Assumptions!$B$2,Assumptions!$F$4:$H$4,Assumptions!$F$9:$H$9)</f>
        <v>0.18</v>
      </c>
      <c r="M1321" s="18">
        <f>_xlfn.XLOOKUP(Assumptions!$B$2,Assumptions!$F$4:$H$4,Assumptions!$F$10:$H$10)</f>
        <v>18000</v>
      </c>
      <c r="N1321" s="12">
        <f>_xlfn.XLOOKUP(Assumptions!$B$2,Assumptions!$F$4:$H$4,Assumptions!$F$11:$H$11)</f>
        <v>0.3</v>
      </c>
      <c r="O1321" s="14">
        <f>Final_Table[[#This Row],[Units Sold]]*Final_Table[[#This Row],[Sale Price]]</f>
        <v>20400</v>
      </c>
      <c r="P1321" s="14">
        <f>Final_Table[[#This Row],[Gross Revenue]]*(1-Final_Table[[#This Row],[Discount %]])</f>
        <v>18360</v>
      </c>
      <c r="Q1321">
        <f>Final_Table[[#This Row],[Net Revenue]]*Final_Table[[#This Row],[Variable Cost %]]</f>
        <v>3304.7999999999997</v>
      </c>
      <c r="R1321">
        <f>Final_Table[[#This Row],[Variable Cost]]+Final_Table[[#This Row],[Fixed Monthly Cost]]</f>
        <v>21304.799999999999</v>
      </c>
      <c r="S1321" s="5">
        <f>Final_Table[[#This Row],[Net Revenue]]-Final_Table[[#This Row],[Total Cost (COGS)]]</f>
        <v>-2944.7999999999993</v>
      </c>
      <c r="T1321">
        <f>Final_Table[[#This Row],[Gross Profit]]*Final_Table[[#This Row],[Tax Rate]]</f>
        <v>-883.43999999999971</v>
      </c>
      <c r="U1321" s="5">
        <f>Final_Table[[#This Row],[Gross Profit]]-Final_Table[[#This Row],[Tax]]</f>
        <v>-2061.3599999999997</v>
      </c>
      <c r="V1321" s="12">
        <f>Final_Table[[#This Row],[Net Profit]]/Final_Table[[#This Row],[Gross Revenue]]</f>
        <v>-0.10104705882352939</v>
      </c>
    </row>
    <row r="1322" spans="1:22">
      <c r="A1322" s="18" t="s">
        <v>77</v>
      </c>
      <c r="B1322">
        <v>2014</v>
      </c>
      <c r="C1322" t="s">
        <v>128</v>
      </c>
      <c r="D1322">
        <v>1</v>
      </c>
      <c r="E1322" s="18" t="s">
        <v>22</v>
      </c>
      <c r="F1322" s="18" t="s">
        <v>114</v>
      </c>
      <c r="G1322" s="18" t="s">
        <v>36</v>
      </c>
      <c r="H1322" s="18" t="str">
        <f>Assumptions!$B$2</f>
        <v>Worst</v>
      </c>
      <c r="I1322" s="18">
        <f>_xlfn.XLOOKUP(Assumptions!$B$2,Assumptions!$F$4:$H$4,Assumptions!$F$5:$H$5)</f>
        <v>1200</v>
      </c>
      <c r="J1322" s="18">
        <f>_xlfn.XLOOKUP(Assumptions!$B$2,Assumptions!$F$4:$H$4,Assumptions!$F$6:$H$6)</f>
        <v>17</v>
      </c>
      <c r="K1322" s="12">
        <f>_xlfn.XLOOKUP(Assumptions!$B$2,Assumptions!$F$4:$H$4,Assumptions!$F$8:$H$8)</f>
        <v>0.1</v>
      </c>
      <c r="L1322" s="12">
        <f>_xlfn.XLOOKUP(Assumptions!$B$2,Assumptions!$F$4:$H$4,Assumptions!$F$9:$H$9)</f>
        <v>0.18</v>
      </c>
      <c r="M1322" s="18">
        <f>_xlfn.XLOOKUP(Assumptions!$B$2,Assumptions!$F$4:$H$4,Assumptions!$F$10:$H$10)</f>
        <v>18000</v>
      </c>
      <c r="N1322" s="12">
        <f>_xlfn.XLOOKUP(Assumptions!$B$2,Assumptions!$F$4:$H$4,Assumptions!$F$11:$H$11)</f>
        <v>0.3</v>
      </c>
      <c r="O1322" s="14">
        <f>Final_Table[[#This Row],[Units Sold]]*Final_Table[[#This Row],[Sale Price]]</f>
        <v>20400</v>
      </c>
      <c r="P1322" s="14">
        <f>Final_Table[[#This Row],[Gross Revenue]]*(1-Final_Table[[#This Row],[Discount %]])</f>
        <v>18360</v>
      </c>
      <c r="Q1322">
        <f>Final_Table[[#This Row],[Net Revenue]]*Final_Table[[#This Row],[Variable Cost %]]</f>
        <v>3304.7999999999997</v>
      </c>
      <c r="R1322">
        <f>Final_Table[[#This Row],[Variable Cost]]+Final_Table[[#This Row],[Fixed Monthly Cost]]</f>
        <v>21304.799999999999</v>
      </c>
      <c r="S1322" s="5">
        <f>Final_Table[[#This Row],[Net Revenue]]-Final_Table[[#This Row],[Total Cost (COGS)]]</f>
        <v>-2944.7999999999993</v>
      </c>
      <c r="T1322">
        <f>Final_Table[[#This Row],[Gross Profit]]*Final_Table[[#This Row],[Tax Rate]]</f>
        <v>-883.43999999999971</v>
      </c>
      <c r="U1322" s="5">
        <f>Final_Table[[#This Row],[Gross Profit]]-Final_Table[[#This Row],[Tax]]</f>
        <v>-2061.3599999999997</v>
      </c>
      <c r="V1322" s="12">
        <f>Final_Table[[#This Row],[Net Profit]]/Final_Table[[#This Row],[Gross Revenue]]</f>
        <v>-0.10104705882352939</v>
      </c>
    </row>
    <row r="1323" spans="1:22">
      <c r="A1323" s="18" t="s">
        <v>77</v>
      </c>
      <c r="B1323">
        <v>2014</v>
      </c>
      <c r="C1323" t="s">
        <v>128</v>
      </c>
      <c r="D1323">
        <v>1</v>
      </c>
      <c r="E1323" s="18" t="s">
        <v>22</v>
      </c>
      <c r="F1323" s="18" t="s">
        <v>114</v>
      </c>
      <c r="G1323" s="18" t="s">
        <v>23</v>
      </c>
      <c r="H1323" s="18" t="str">
        <f>Assumptions!$B$2</f>
        <v>Worst</v>
      </c>
      <c r="I1323" s="18">
        <f>_xlfn.XLOOKUP(Assumptions!$B$2,Assumptions!$F$4:$H$4,Assumptions!$F$5:$H$5)</f>
        <v>1200</v>
      </c>
      <c r="J1323" s="18">
        <f>_xlfn.XLOOKUP(Assumptions!$B$2,Assumptions!$F$4:$H$4,Assumptions!$F$6:$H$6)</f>
        <v>17</v>
      </c>
      <c r="K1323" s="12">
        <f>_xlfn.XLOOKUP(Assumptions!$B$2,Assumptions!$F$4:$H$4,Assumptions!$F$8:$H$8)</f>
        <v>0.1</v>
      </c>
      <c r="L1323" s="12">
        <f>_xlfn.XLOOKUP(Assumptions!$B$2,Assumptions!$F$4:$H$4,Assumptions!$F$9:$H$9)</f>
        <v>0.18</v>
      </c>
      <c r="M1323" s="18">
        <f>_xlfn.XLOOKUP(Assumptions!$B$2,Assumptions!$F$4:$H$4,Assumptions!$F$10:$H$10)</f>
        <v>18000</v>
      </c>
      <c r="N1323" s="12">
        <f>_xlfn.XLOOKUP(Assumptions!$B$2,Assumptions!$F$4:$H$4,Assumptions!$F$11:$H$11)</f>
        <v>0.3</v>
      </c>
      <c r="O1323" s="14">
        <f>Final_Table[[#This Row],[Units Sold]]*Final_Table[[#This Row],[Sale Price]]</f>
        <v>20400</v>
      </c>
      <c r="P1323" s="14">
        <f>Final_Table[[#This Row],[Gross Revenue]]*(1-Final_Table[[#This Row],[Discount %]])</f>
        <v>18360</v>
      </c>
      <c r="Q1323">
        <f>Final_Table[[#This Row],[Net Revenue]]*Final_Table[[#This Row],[Variable Cost %]]</f>
        <v>3304.7999999999997</v>
      </c>
      <c r="R1323">
        <f>Final_Table[[#This Row],[Variable Cost]]+Final_Table[[#This Row],[Fixed Monthly Cost]]</f>
        <v>21304.799999999999</v>
      </c>
      <c r="S1323" s="5">
        <f>Final_Table[[#This Row],[Net Revenue]]-Final_Table[[#This Row],[Total Cost (COGS)]]</f>
        <v>-2944.7999999999993</v>
      </c>
      <c r="T1323">
        <f>Final_Table[[#This Row],[Gross Profit]]*Final_Table[[#This Row],[Tax Rate]]</f>
        <v>-883.43999999999971</v>
      </c>
      <c r="U1323" s="5">
        <f>Final_Table[[#This Row],[Gross Profit]]-Final_Table[[#This Row],[Tax]]</f>
        <v>-2061.3599999999997</v>
      </c>
      <c r="V1323" s="12">
        <f>Final_Table[[#This Row],[Net Profit]]/Final_Table[[#This Row],[Gross Revenue]]</f>
        <v>-0.10104705882352939</v>
      </c>
    </row>
    <row r="1324" spans="1:22">
      <c r="A1324" s="18" t="s">
        <v>77</v>
      </c>
      <c r="B1324">
        <v>2014</v>
      </c>
      <c r="C1324" t="s">
        <v>128</v>
      </c>
      <c r="D1324">
        <v>1</v>
      </c>
      <c r="E1324" s="18" t="s">
        <v>22</v>
      </c>
      <c r="F1324" s="18" t="s">
        <v>114</v>
      </c>
      <c r="G1324" s="18" t="s">
        <v>21</v>
      </c>
      <c r="H1324" s="18" t="str">
        <f>Assumptions!$B$2</f>
        <v>Worst</v>
      </c>
      <c r="I1324" s="18">
        <f>_xlfn.XLOOKUP(Assumptions!$B$2,Assumptions!$F$4:$H$4,Assumptions!$F$5:$H$5)</f>
        <v>1200</v>
      </c>
      <c r="J1324" s="18">
        <f>_xlfn.XLOOKUP(Assumptions!$B$2,Assumptions!$F$4:$H$4,Assumptions!$F$6:$H$6)</f>
        <v>17</v>
      </c>
      <c r="K1324" s="12">
        <f>_xlfn.XLOOKUP(Assumptions!$B$2,Assumptions!$F$4:$H$4,Assumptions!$F$8:$H$8)</f>
        <v>0.1</v>
      </c>
      <c r="L1324" s="12">
        <f>_xlfn.XLOOKUP(Assumptions!$B$2,Assumptions!$F$4:$H$4,Assumptions!$F$9:$H$9)</f>
        <v>0.18</v>
      </c>
      <c r="M1324" s="18">
        <f>_xlfn.XLOOKUP(Assumptions!$B$2,Assumptions!$F$4:$H$4,Assumptions!$F$10:$H$10)</f>
        <v>18000</v>
      </c>
      <c r="N1324" s="12">
        <f>_xlfn.XLOOKUP(Assumptions!$B$2,Assumptions!$F$4:$H$4,Assumptions!$F$11:$H$11)</f>
        <v>0.3</v>
      </c>
      <c r="O1324" s="14">
        <f>Final_Table[[#This Row],[Units Sold]]*Final_Table[[#This Row],[Sale Price]]</f>
        <v>20400</v>
      </c>
      <c r="P1324" s="14">
        <f>Final_Table[[#This Row],[Gross Revenue]]*(1-Final_Table[[#This Row],[Discount %]])</f>
        <v>18360</v>
      </c>
      <c r="Q1324">
        <f>Final_Table[[#This Row],[Net Revenue]]*Final_Table[[#This Row],[Variable Cost %]]</f>
        <v>3304.7999999999997</v>
      </c>
      <c r="R1324">
        <f>Final_Table[[#This Row],[Variable Cost]]+Final_Table[[#This Row],[Fixed Monthly Cost]]</f>
        <v>21304.799999999999</v>
      </c>
      <c r="S1324" s="5">
        <f>Final_Table[[#This Row],[Net Revenue]]-Final_Table[[#This Row],[Total Cost (COGS)]]</f>
        <v>-2944.7999999999993</v>
      </c>
      <c r="T1324">
        <f>Final_Table[[#This Row],[Gross Profit]]*Final_Table[[#This Row],[Tax Rate]]</f>
        <v>-883.43999999999971</v>
      </c>
      <c r="U1324" s="5">
        <f>Final_Table[[#This Row],[Gross Profit]]-Final_Table[[#This Row],[Tax]]</f>
        <v>-2061.3599999999997</v>
      </c>
      <c r="V1324" s="12">
        <f>Final_Table[[#This Row],[Net Profit]]/Final_Table[[#This Row],[Gross Revenue]]</f>
        <v>-0.10104705882352939</v>
      </c>
    </row>
    <row r="1325" spans="1:22">
      <c r="A1325" s="18" t="s">
        <v>77</v>
      </c>
      <c r="B1325">
        <v>2014</v>
      </c>
      <c r="C1325" t="s">
        <v>128</v>
      </c>
      <c r="D1325">
        <v>1</v>
      </c>
      <c r="E1325" s="18" t="s">
        <v>22</v>
      </c>
      <c r="F1325" s="18" t="s">
        <v>114</v>
      </c>
      <c r="G1325" s="18" t="s">
        <v>25</v>
      </c>
      <c r="H1325" s="18" t="str">
        <f>Assumptions!$B$2</f>
        <v>Worst</v>
      </c>
      <c r="I1325" s="18">
        <f>_xlfn.XLOOKUP(Assumptions!$B$2,Assumptions!$F$4:$H$4,Assumptions!$F$5:$H$5)</f>
        <v>1200</v>
      </c>
      <c r="J1325" s="18">
        <f>_xlfn.XLOOKUP(Assumptions!$B$2,Assumptions!$F$4:$H$4,Assumptions!$F$6:$H$6)</f>
        <v>17</v>
      </c>
      <c r="K1325" s="12">
        <f>_xlfn.XLOOKUP(Assumptions!$B$2,Assumptions!$F$4:$H$4,Assumptions!$F$8:$H$8)</f>
        <v>0.1</v>
      </c>
      <c r="L1325" s="12">
        <f>_xlfn.XLOOKUP(Assumptions!$B$2,Assumptions!$F$4:$H$4,Assumptions!$F$9:$H$9)</f>
        <v>0.18</v>
      </c>
      <c r="M1325" s="18">
        <f>_xlfn.XLOOKUP(Assumptions!$B$2,Assumptions!$F$4:$H$4,Assumptions!$F$10:$H$10)</f>
        <v>18000</v>
      </c>
      <c r="N1325" s="12">
        <f>_xlfn.XLOOKUP(Assumptions!$B$2,Assumptions!$F$4:$H$4,Assumptions!$F$11:$H$11)</f>
        <v>0.3</v>
      </c>
      <c r="O1325" s="14">
        <f>Final_Table[[#This Row],[Units Sold]]*Final_Table[[#This Row],[Sale Price]]</f>
        <v>20400</v>
      </c>
      <c r="P1325" s="14">
        <f>Final_Table[[#This Row],[Gross Revenue]]*(1-Final_Table[[#This Row],[Discount %]])</f>
        <v>18360</v>
      </c>
      <c r="Q1325">
        <f>Final_Table[[#This Row],[Net Revenue]]*Final_Table[[#This Row],[Variable Cost %]]</f>
        <v>3304.7999999999997</v>
      </c>
      <c r="R1325">
        <f>Final_Table[[#This Row],[Variable Cost]]+Final_Table[[#This Row],[Fixed Monthly Cost]]</f>
        <v>21304.799999999999</v>
      </c>
      <c r="S1325" s="5">
        <f>Final_Table[[#This Row],[Net Revenue]]-Final_Table[[#This Row],[Total Cost (COGS)]]</f>
        <v>-2944.7999999999993</v>
      </c>
      <c r="T1325">
        <f>Final_Table[[#This Row],[Gross Profit]]*Final_Table[[#This Row],[Tax Rate]]</f>
        <v>-883.43999999999971</v>
      </c>
      <c r="U1325" s="5">
        <f>Final_Table[[#This Row],[Gross Profit]]-Final_Table[[#This Row],[Tax]]</f>
        <v>-2061.3599999999997</v>
      </c>
      <c r="V1325" s="12">
        <f>Final_Table[[#This Row],[Net Profit]]/Final_Table[[#This Row],[Gross Revenue]]</f>
        <v>-0.10104705882352939</v>
      </c>
    </row>
    <row r="1326" spans="1:22">
      <c r="A1326" s="18" t="s">
        <v>77</v>
      </c>
      <c r="B1326">
        <v>2014</v>
      </c>
      <c r="C1326" t="s">
        <v>128</v>
      </c>
      <c r="D1326">
        <v>1</v>
      </c>
      <c r="E1326" s="18" t="s">
        <v>22</v>
      </c>
      <c r="F1326" s="18" t="s">
        <v>114</v>
      </c>
      <c r="G1326" s="18" t="s">
        <v>17</v>
      </c>
      <c r="H1326" s="18" t="str">
        <f>Assumptions!$B$2</f>
        <v>Worst</v>
      </c>
      <c r="I1326" s="18">
        <f>_xlfn.XLOOKUP(Assumptions!$B$2,Assumptions!$F$4:$H$4,Assumptions!$F$5:$H$5)</f>
        <v>1200</v>
      </c>
      <c r="J1326" s="18">
        <f>_xlfn.XLOOKUP(Assumptions!$B$2,Assumptions!$F$4:$H$4,Assumptions!$F$6:$H$6)</f>
        <v>17</v>
      </c>
      <c r="K1326" s="12">
        <f>_xlfn.XLOOKUP(Assumptions!$B$2,Assumptions!$F$4:$H$4,Assumptions!$F$8:$H$8)</f>
        <v>0.1</v>
      </c>
      <c r="L1326" s="12">
        <f>_xlfn.XLOOKUP(Assumptions!$B$2,Assumptions!$F$4:$H$4,Assumptions!$F$9:$H$9)</f>
        <v>0.18</v>
      </c>
      <c r="M1326" s="18">
        <f>_xlfn.XLOOKUP(Assumptions!$B$2,Assumptions!$F$4:$H$4,Assumptions!$F$10:$H$10)</f>
        <v>18000</v>
      </c>
      <c r="N1326" s="12">
        <f>_xlfn.XLOOKUP(Assumptions!$B$2,Assumptions!$F$4:$H$4,Assumptions!$F$11:$H$11)</f>
        <v>0.3</v>
      </c>
      <c r="O1326" s="14">
        <f>Final_Table[[#This Row],[Units Sold]]*Final_Table[[#This Row],[Sale Price]]</f>
        <v>20400</v>
      </c>
      <c r="P1326" s="14">
        <f>Final_Table[[#This Row],[Gross Revenue]]*(1-Final_Table[[#This Row],[Discount %]])</f>
        <v>18360</v>
      </c>
      <c r="Q1326">
        <f>Final_Table[[#This Row],[Net Revenue]]*Final_Table[[#This Row],[Variable Cost %]]</f>
        <v>3304.7999999999997</v>
      </c>
      <c r="R1326">
        <f>Final_Table[[#This Row],[Variable Cost]]+Final_Table[[#This Row],[Fixed Monthly Cost]]</f>
        <v>21304.799999999999</v>
      </c>
      <c r="S1326" s="5">
        <f>Final_Table[[#This Row],[Net Revenue]]-Final_Table[[#This Row],[Total Cost (COGS)]]</f>
        <v>-2944.7999999999993</v>
      </c>
      <c r="T1326">
        <f>Final_Table[[#This Row],[Gross Profit]]*Final_Table[[#This Row],[Tax Rate]]</f>
        <v>-883.43999999999971</v>
      </c>
      <c r="U1326" s="5">
        <f>Final_Table[[#This Row],[Gross Profit]]-Final_Table[[#This Row],[Tax]]</f>
        <v>-2061.3599999999997</v>
      </c>
      <c r="V1326" s="12">
        <f>Final_Table[[#This Row],[Net Profit]]/Final_Table[[#This Row],[Gross Revenue]]</f>
        <v>-0.10104705882352939</v>
      </c>
    </row>
    <row r="1327" spans="1:22">
      <c r="A1327" s="18" t="s">
        <v>77</v>
      </c>
      <c r="B1327">
        <v>2014</v>
      </c>
      <c r="C1327" t="s">
        <v>128</v>
      </c>
      <c r="D1327">
        <v>1</v>
      </c>
      <c r="E1327" s="18" t="s">
        <v>16</v>
      </c>
      <c r="F1327" s="18" t="s">
        <v>80</v>
      </c>
      <c r="G1327" s="18" t="s">
        <v>36</v>
      </c>
      <c r="H1327" s="18" t="str">
        <f>Assumptions!$B$2</f>
        <v>Worst</v>
      </c>
      <c r="I1327" s="18">
        <f>_xlfn.XLOOKUP(Assumptions!$B$2,Assumptions!$F$4:$H$4,Assumptions!$F$5:$H$5)</f>
        <v>1200</v>
      </c>
      <c r="J1327" s="18">
        <f>_xlfn.XLOOKUP(Assumptions!$B$2,Assumptions!$F$4:$H$4,Assumptions!$F$6:$H$6)</f>
        <v>17</v>
      </c>
      <c r="K1327" s="12">
        <f>_xlfn.XLOOKUP(Assumptions!$B$2,Assumptions!$F$4:$H$4,Assumptions!$F$8:$H$8)</f>
        <v>0.1</v>
      </c>
      <c r="L1327" s="12">
        <f>_xlfn.XLOOKUP(Assumptions!$B$2,Assumptions!$F$4:$H$4,Assumptions!$F$9:$H$9)</f>
        <v>0.18</v>
      </c>
      <c r="M1327" s="18">
        <f>_xlfn.XLOOKUP(Assumptions!$B$2,Assumptions!$F$4:$H$4,Assumptions!$F$10:$H$10)</f>
        <v>18000</v>
      </c>
      <c r="N1327" s="12">
        <f>_xlfn.XLOOKUP(Assumptions!$B$2,Assumptions!$F$4:$H$4,Assumptions!$F$11:$H$11)</f>
        <v>0.3</v>
      </c>
      <c r="O1327" s="14">
        <f>Final_Table[[#This Row],[Units Sold]]*Final_Table[[#This Row],[Sale Price]]</f>
        <v>20400</v>
      </c>
      <c r="P1327" s="14">
        <f>Final_Table[[#This Row],[Gross Revenue]]*(1-Final_Table[[#This Row],[Discount %]])</f>
        <v>18360</v>
      </c>
      <c r="Q1327">
        <f>Final_Table[[#This Row],[Net Revenue]]*Final_Table[[#This Row],[Variable Cost %]]</f>
        <v>3304.7999999999997</v>
      </c>
      <c r="R1327">
        <f>Final_Table[[#This Row],[Variable Cost]]+Final_Table[[#This Row],[Fixed Monthly Cost]]</f>
        <v>21304.799999999999</v>
      </c>
      <c r="S1327" s="5">
        <f>Final_Table[[#This Row],[Net Revenue]]-Final_Table[[#This Row],[Total Cost (COGS)]]</f>
        <v>-2944.7999999999993</v>
      </c>
      <c r="T1327">
        <f>Final_Table[[#This Row],[Gross Profit]]*Final_Table[[#This Row],[Tax Rate]]</f>
        <v>-883.43999999999971</v>
      </c>
      <c r="U1327" s="5">
        <f>Final_Table[[#This Row],[Gross Profit]]-Final_Table[[#This Row],[Tax]]</f>
        <v>-2061.3599999999997</v>
      </c>
      <c r="V1327" s="12">
        <f>Final_Table[[#This Row],[Net Profit]]/Final_Table[[#This Row],[Gross Revenue]]</f>
        <v>-0.10104705882352939</v>
      </c>
    </row>
    <row r="1328" spans="1:22">
      <c r="A1328" s="18" t="s">
        <v>77</v>
      </c>
      <c r="B1328">
        <v>2014</v>
      </c>
      <c r="C1328" t="s">
        <v>128</v>
      </c>
      <c r="D1328">
        <v>1</v>
      </c>
      <c r="E1328" s="18" t="s">
        <v>16</v>
      </c>
      <c r="F1328" s="18" t="s">
        <v>80</v>
      </c>
      <c r="G1328" s="18" t="s">
        <v>23</v>
      </c>
      <c r="H1328" s="18" t="str">
        <f>Assumptions!$B$2</f>
        <v>Worst</v>
      </c>
      <c r="I1328" s="18">
        <f>_xlfn.XLOOKUP(Assumptions!$B$2,Assumptions!$F$4:$H$4,Assumptions!$F$5:$H$5)</f>
        <v>1200</v>
      </c>
      <c r="J1328" s="18">
        <f>_xlfn.XLOOKUP(Assumptions!$B$2,Assumptions!$F$4:$H$4,Assumptions!$F$6:$H$6)</f>
        <v>17</v>
      </c>
      <c r="K1328" s="12">
        <f>_xlfn.XLOOKUP(Assumptions!$B$2,Assumptions!$F$4:$H$4,Assumptions!$F$8:$H$8)</f>
        <v>0.1</v>
      </c>
      <c r="L1328" s="12">
        <f>_xlfn.XLOOKUP(Assumptions!$B$2,Assumptions!$F$4:$H$4,Assumptions!$F$9:$H$9)</f>
        <v>0.18</v>
      </c>
      <c r="M1328" s="18">
        <f>_xlfn.XLOOKUP(Assumptions!$B$2,Assumptions!$F$4:$H$4,Assumptions!$F$10:$H$10)</f>
        <v>18000</v>
      </c>
      <c r="N1328" s="12">
        <f>_xlfn.XLOOKUP(Assumptions!$B$2,Assumptions!$F$4:$H$4,Assumptions!$F$11:$H$11)</f>
        <v>0.3</v>
      </c>
      <c r="O1328" s="14">
        <f>Final_Table[[#This Row],[Units Sold]]*Final_Table[[#This Row],[Sale Price]]</f>
        <v>20400</v>
      </c>
      <c r="P1328" s="14">
        <f>Final_Table[[#This Row],[Gross Revenue]]*(1-Final_Table[[#This Row],[Discount %]])</f>
        <v>18360</v>
      </c>
      <c r="Q1328">
        <f>Final_Table[[#This Row],[Net Revenue]]*Final_Table[[#This Row],[Variable Cost %]]</f>
        <v>3304.7999999999997</v>
      </c>
      <c r="R1328">
        <f>Final_Table[[#This Row],[Variable Cost]]+Final_Table[[#This Row],[Fixed Monthly Cost]]</f>
        <v>21304.799999999999</v>
      </c>
      <c r="S1328" s="5">
        <f>Final_Table[[#This Row],[Net Revenue]]-Final_Table[[#This Row],[Total Cost (COGS)]]</f>
        <v>-2944.7999999999993</v>
      </c>
      <c r="T1328">
        <f>Final_Table[[#This Row],[Gross Profit]]*Final_Table[[#This Row],[Tax Rate]]</f>
        <v>-883.43999999999971</v>
      </c>
      <c r="U1328" s="5">
        <f>Final_Table[[#This Row],[Gross Profit]]-Final_Table[[#This Row],[Tax]]</f>
        <v>-2061.3599999999997</v>
      </c>
      <c r="V1328" s="12">
        <f>Final_Table[[#This Row],[Net Profit]]/Final_Table[[#This Row],[Gross Revenue]]</f>
        <v>-0.10104705882352939</v>
      </c>
    </row>
    <row r="1329" spans="1:22">
      <c r="A1329" s="18" t="s">
        <v>77</v>
      </c>
      <c r="B1329">
        <v>2014</v>
      </c>
      <c r="C1329" t="s">
        <v>128</v>
      </c>
      <c r="D1329">
        <v>1</v>
      </c>
      <c r="E1329" s="18" t="s">
        <v>16</v>
      </c>
      <c r="F1329" s="18" t="s">
        <v>80</v>
      </c>
      <c r="G1329" s="18" t="s">
        <v>21</v>
      </c>
      <c r="H1329" s="18" t="str">
        <f>Assumptions!$B$2</f>
        <v>Worst</v>
      </c>
      <c r="I1329" s="18">
        <f>_xlfn.XLOOKUP(Assumptions!$B$2,Assumptions!$F$4:$H$4,Assumptions!$F$5:$H$5)</f>
        <v>1200</v>
      </c>
      <c r="J1329" s="18">
        <f>_xlfn.XLOOKUP(Assumptions!$B$2,Assumptions!$F$4:$H$4,Assumptions!$F$6:$H$6)</f>
        <v>17</v>
      </c>
      <c r="K1329" s="12">
        <f>_xlfn.XLOOKUP(Assumptions!$B$2,Assumptions!$F$4:$H$4,Assumptions!$F$8:$H$8)</f>
        <v>0.1</v>
      </c>
      <c r="L1329" s="12">
        <f>_xlfn.XLOOKUP(Assumptions!$B$2,Assumptions!$F$4:$H$4,Assumptions!$F$9:$H$9)</f>
        <v>0.18</v>
      </c>
      <c r="M1329" s="18">
        <f>_xlfn.XLOOKUP(Assumptions!$B$2,Assumptions!$F$4:$H$4,Assumptions!$F$10:$H$10)</f>
        <v>18000</v>
      </c>
      <c r="N1329" s="12">
        <f>_xlfn.XLOOKUP(Assumptions!$B$2,Assumptions!$F$4:$H$4,Assumptions!$F$11:$H$11)</f>
        <v>0.3</v>
      </c>
      <c r="O1329" s="14">
        <f>Final_Table[[#This Row],[Units Sold]]*Final_Table[[#This Row],[Sale Price]]</f>
        <v>20400</v>
      </c>
      <c r="P1329" s="14">
        <f>Final_Table[[#This Row],[Gross Revenue]]*(1-Final_Table[[#This Row],[Discount %]])</f>
        <v>18360</v>
      </c>
      <c r="Q1329">
        <f>Final_Table[[#This Row],[Net Revenue]]*Final_Table[[#This Row],[Variable Cost %]]</f>
        <v>3304.7999999999997</v>
      </c>
      <c r="R1329">
        <f>Final_Table[[#This Row],[Variable Cost]]+Final_Table[[#This Row],[Fixed Monthly Cost]]</f>
        <v>21304.799999999999</v>
      </c>
      <c r="S1329" s="5">
        <f>Final_Table[[#This Row],[Net Revenue]]-Final_Table[[#This Row],[Total Cost (COGS)]]</f>
        <v>-2944.7999999999993</v>
      </c>
      <c r="T1329">
        <f>Final_Table[[#This Row],[Gross Profit]]*Final_Table[[#This Row],[Tax Rate]]</f>
        <v>-883.43999999999971</v>
      </c>
      <c r="U1329" s="5">
        <f>Final_Table[[#This Row],[Gross Profit]]-Final_Table[[#This Row],[Tax]]</f>
        <v>-2061.3599999999997</v>
      </c>
      <c r="V1329" s="12">
        <f>Final_Table[[#This Row],[Net Profit]]/Final_Table[[#This Row],[Gross Revenue]]</f>
        <v>-0.10104705882352939</v>
      </c>
    </row>
    <row r="1330" spans="1:22">
      <c r="A1330" s="18" t="s">
        <v>77</v>
      </c>
      <c r="B1330">
        <v>2014</v>
      </c>
      <c r="C1330" t="s">
        <v>128</v>
      </c>
      <c r="D1330">
        <v>1</v>
      </c>
      <c r="E1330" s="18" t="s">
        <v>16</v>
      </c>
      <c r="F1330" s="18" t="s">
        <v>80</v>
      </c>
      <c r="G1330" s="18" t="s">
        <v>25</v>
      </c>
      <c r="H1330" s="18" t="str">
        <f>Assumptions!$B$2</f>
        <v>Worst</v>
      </c>
      <c r="I1330" s="18">
        <f>_xlfn.XLOOKUP(Assumptions!$B$2,Assumptions!$F$4:$H$4,Assumptions!$F$5:$H$5)</f>
        <v>1200</v>
      </c>
      <c r="J1330" s="18">
        <f>_xlfn.XLOOKUP(Assumptions!$B$2,Assumptions!$F$4:$H$4,Assumptions!$F$6:$H$6)</f>
        <v>17</v>
      </c>
      <c r="K1330" s="12">
        <f>_xlfn.XLOOKUP(Assumptions!$B$2,Assumptions!$F$4:$H$4,Assumptions!$F$8:$H$8)</f>
        <v>0.1</v>
      </c>
      <c r="L1330" s="12">
        <f>_xlfn.XLOOKUP(Assumptions!$B$2,Assumptions!$F$4:$H$4,Assumptions!$F$9:$H$9)</f>
        <v>0.18</v>
      </c>
      <c r="M1330" s="18">
        <f>_xlfn.XLOOKUP(Assumptions!$B$2,Assumptions!$F$4:$H$4,Assumptions!$F$10:$H$10)</f>
        <v>18000</v>
      </c>
      <c r="N1330" s="12">
        <f>_xlfn.XLOOKUP(Assumptions!$B$2,Assumptions!$F$4:$H$4,Assumptions!$F$11:$H$11)</f>
        <v>0.3</v>
      </c>
      <c r="O1330" s="14">
        <f>Final_Table[[#This Row],[Units Sold]]*Final_Table[[#This Row],[Sale Price]]</f>
        <v>20400</v>
      </c>
      <c r="P1330" s="14">
        <f>Final_Table[[#This Row],[Gross Revenue]]*(1-Final_Table[[#This Row],[Discount %]])</f>
        <v>18360</v>
      </c>
      <c r="Q1330">
        <f>Final_Table[[#This Row],[Net Revenue]]*Final_Table[[#This Row],[Variable Cost %]]</f>
        <v>3304.7999999999997</v>
      </c>
      <c r="R1330">
        <f>Final_Table[[#This Row],[Variable Cost]]+Final_Table[[#This Row],[Fixed Monthly Cost]]</f>
        <v>21304.799999999999</v>
      </c>
      <c r="S1330" s="5">
        <f>Final_Table[[#This Row],[Net Revenue]]-Final_Table[[#This Row],[Total Cost (COGS)]]</f>
        <v>-2944.7999999999993</v>
      </c>
      <c r="T1330">
        <f>Final_Table[[#This Row],[Gross Profit]]*Final_Table[[#This Row],[Tax Rate]]</f>
        <v>-883.43999999999971</v>
      </c>
      <c r="U1330" s="5">
        <f>Final_Table[[#This Row],[Gross Profit]]-Final_Table[[#This Row],[Tax]]</f>
        <v>-2061.3599999999997</v>
      </c>
      <c r="V1330" s="12">
        <f>Final_Table[[#This Row],[Net Profit]]/Final_Table[[#This Row],[Gross Revenue]]</f>
        <v>-0.10104705882352939</v>
      </c>
    </row>
    <row r="1331" spans="1:22">
      <c r="A1331" s="18" t="s">
        <v>77</v>
      </c>
      <c r="B1331">
        <v>2014</v>
      </c>
      <c r="C1331" t="s">
        <v>128</v>
      </c>
      <c r="D1331">
        <v>1</v>
      </c>
      <c r="E1331" s="18" t="s">
        <v>16</v>
      </c>
      <c r="F1331" s="18" t="s">
        <v>80</v>
      </c>
      <c r="G1331" s="18" t="s">
        <v>17</v>
      </c>
      <c r="H1331" s="18" t="str">
        <f>Assumptions!$B$2</f>
        <v>Worst</v>
      </c>
      <c r="I1331" s="18">
        <f>_xlfn.XLOOKUP(Assumptions!$B$2,Assumptions!$F$4:$H$4,Assumptions!$F$5:$H$5)</f>
        <v>1200</v>
      </c>
      <c r="J1331" s="18">
        <f>_xlfn.XLOOKUP(Assumptions!$B$2,Assumptions!$F$4:$H$4,Assumptions!$F$6:$H$6)</f>
        <v>17</v>
      </c>
      <c r="K1331" s="12">
        <f>_xlfn.XLOOKUP(Assumptions!$B$2,Assumptions!$F$4:$H$4,Assumptions!$F$8:$H$8)</f>
        <v>0.1</v>
      </c>
      <c r="L1331" s="12">
        <f>_xlfn.XLOOKUP(Assumptions!$B$2,Assumptions!$F$4:$H$4,Assumptions!$F$9:$H$9)</f>
        <v>0.18</v>
      </c>
      <c r="M1331" s="18">
        <f>_xlfn.XLOOKUP(Assumptions!$B$2,Assumptions!$F$4:$H$4,Assumptions!$F$10:$H$10)</f>
        <v>18000</v>
      </c>
      <c r="N1331" s="12">
        <f>_xlfn.XLOOKUP(Assumptions!$B$2,Assumptions!$F$4:$H$4,Assumptions!$F$11:$H$11)</f>
        <v>0.3</v>
      </c>
      <c r="O1331" s="14">
        <f>Final_Table[[#This Row],[Units Sold]]*Final_Table[[#This Row],[Sale Price]]</f>
        <v>20400</v>
      </c>
      <c r="P1331" s="14">
        <f>Final_Table[[#This Row],[Gross Revenue]]*(1-Final_Table[[#This Row],[Discount %]])</f>
        <v>18360</v>
      </c>
      <c r="Q1331">
        <f>Final_Table[[#This Row],[Net Revenue]]*Final_Table[[#This Row],[Variable Cost %]]</f>
        <v>3304.7999999999997</v>
      </c>
      <c r="R1331">
        <f>Final_Table[[#This Row],[Variable Cost]]+Final_Table[[#This Row],[Fixed Monthly Cost]]</f>
        <v>21304.799999999999</v>
      </c>
      <c r="S1331" s="5">
        <f>Final_Table[[#This Row],[Net Revenue]]-Final_Table[[#This Row],[Total Cost (COGS)]]</f>
        <v>-2944.7999999999993</v>
      </c>
      <c r="T1331">
        <f>Final_Table[[#This Row],[Gross Profit]]*Final_Table[[#This Row],[Tax Rate]]</f>
        <v>-883.43999999999971</v>
      </c>
      <c r="U1331" s="5">
        <f>Final_Table[[#This Row],[Gross Profit]]-Final_Table[[#This Row],[Tax]]</f>
        <v>-2061.3599999999997</v>
      </c>
      <c r="V1331" s="12">
        <f>Final_Table[[#This Row],[Net Profit]]/Final_Table[[#This Row],[Gross Revenue]]</f>
        <v>-0.10104705882352939</v>
      </c>
    </row>
    <row r="1332" spans="1:22">
      <c r="A1332" s="18" t="s">
        <v>77</v>
      </c>
      <c r="B1332">
        <v>2014</v>
      </c>
      <c r="C1332" t="s">
        <v>128</v>
      </c>
      <c r="D1332">
        <v>1</v>
      </c>
      <c r="E1332" s="18" t="s">
        <v>16</v>
      </c>
      <c r="F1332" s="18" t="s">
        <v>108</v>
      </c>
      <c r="G1332" s="18" t="s">
        <v>36</v>
      </c>
      <c r="H1332" s="18" t="str">
        <f>Assumptions!$B$2</f>
        <v>Worst</v>
      </c>
      <c r="I1332" s="18">
        <f>_xlfn.XLOOKUP(Assumptions!$B$2,Assumptions!$F$4:$H$4,Assumptions!$F$5:$H$5)</f>
        <v>1200</v>
      </c>
      <c r="J1332" s="18">
        <f>_xlfn.XLOOKUP(Assumptions!$B$2,Assumptions!$F$4:$H$4,Assumptions!$F$6:$H$6)</f>
        <v>17</v>
      </c>
      <c r="K1332" s="12">
        <f>_xlfn.XLOOKUP(Assumptions!$B$2,Assumptions!$F$4:$H$4,Assumptions!$F$8:$H$8)</f>
        <v>0.1</v>
      </c>
      <c r="L1332" s="12">
        <f>_xlfn.XLOOKUP(Assumptions!$B$2,Assumptions!$F$4:$H$4,Assumptions!$F$9:$H$9)</f>
        <v>0.18</v>
      </c>
      <c r="M1332" s="18">
        <f>_xlfn.XLOOKUP(Assumptions!$B$2,Assumptions!$F$4:$H$4,Assumptions!$F$10:$H$10)</f>
        <v>18000</v>
      </c>
      <c r="N1332" s="12">
        <f>_xlfn.XLOOKUP(Assumptions!$B$2,Assumptions!$F$4:$H$4,Assumptions!$F$11:$H$11)</f>
        <v>0.3</v>
      </c>
      <c r="O1332" s="14">
        <f>Final_Table[[#This Row],[Units Sold]]*Final_Table[[#This Row],[Sale Price]]</f>
        <v>20400</v>
      </c>
      <c r="P1332" s="14">
        <f>Final_Table[[#This Row],[Gross Revenue]]*(1-Final_Table[[#This Row],[Discount %]])</f>
        <v>18360</v>
      </c>
      <c r="Q1332">
        <f>Final_Table[[#This Row],[Net Revenue]]*Final_Table[[#This Row],[Variable Cost %]]</f>
        <v>3304.7999999999997</v>
      </c>
      <c r="R1332">
        <f>Final_Table[[#This Row],[Variable Cost]]+Final_Table[[#This Row],[Fixed Monthly Cost]]</f>
        <v>21304.799999999999</v>
      </c>
      <c r="S1332" s="5">
        <f>Final_Table[[#This Row],[Net Revenue]]-Final_Table[[#This Row],[Total Cost (COGS)]]</f>
        <v>-2944.7999999999993</v>
      </c>
      <c r="T1332">
        <f>Final_Table[[#This Row],[Gross Profit]]*Final_Table[[#This Row],[Tax Rate]]</f>
        <v>-883.43999999999971</v>
      </c>
      <c r="U1332" s="5">
        <f>Final_Table[[#This Row],[Gross Profit]]-Final_Table[[#This Row],[Tax]]</f>
        <v>-2061.3599999999997</v>
      </c>
      <c r="V1332" s="12">
        <f>Final_Table[[#This Row],[Net Profit]]/Final_Table[[#This Row],[Gross Revenue]]</f>
        <v>-0.10104705882352939</v>
      </c>
    </row>
    <row r="1333" spans="1:22">
      <c r="A1333" s="18" t="s">
        <v>77</v>
      </c>
      <c r="B1333">
        <v>2014</v>
      </c>
      <c r="C1333" t="s">
        <v>128</v>
      </c>
      <c r="D1333">
        <v>1</v>
      </c>
      <c r="E1333" s="18" t="s">
        <v>16</v>
      </c>
      <c r="F1333" s="18" t="s">
        <v>108</v>
      </c>
      <c r="G1333" s="18" t="s">
        <v>23</v>
      </c>
      <c r="H1333" s="18" t="str">
        <f>Assumptions!$B$2</f>
        <v>Worst</v>
      </c>
      <c r="I1333" s="18">
        <f>_xlfn.XLOOKUP(Assumptions!$B$2,Assumptions!$F$4:$H$4,Assumptions!$F$5:$H$5)</f>
        <v>1200</v>
      </c>
      <c r="J1333" s="18">
        <f>_xlfn.XLOOKUP(Assumptions!$B$2,Assumptions!$F$4:$H$4,Assumptions!$F$6:$H$6)</f>
        <v>17</v>
      </c>
      <c r="K1333" s="12">
        <f>_xlfn.XLOOKUP(Assumptions!$B$2,Assumptions!$F$4:$H$4,Assumptions!$F$8:$H$8)</f>
        <v>0.1</v>
      </c>
      <c r="L1333" s="12">
        <f>_xlfn.XLOOKUP(Assumptions!$B$2,Assumptions!$F$4:$H$4,Assumptions!$F$9:$H$9)</f>
        <v>0.18</v>
      </c>
      <c r="M1333" s="18">
        <f>_xlfn.XLOOKUP(Assumptions!$B$2,Assumptions!$F$4:$H$4,Assumptions!$F$10:$H$10)</f>
        <v>18000</v>
      </c>
      <c r="N1333" s="12">
        <f>_xlfn.XLOOKUP(Assumptions!$B$2,Assumptions!$F$4:$H$4,Assumptions!$F$11:$H$11)</f>
        <v>0.3</v>
      </c>
      <c r="O1333" s="14">
        <f>Final_Table[[#This Row],[Units Sold]]*Final_Table[[#This Row],[Sale Price]]</f>
        <v>20400</v>
      </c>
      <c r="P1333" s="14">
        <f>Final_Table[[#This Row],[Gross Revenue]]*(1-Final_Table[[#This Row],[Discount %]])</f>
        <v>18360</v>
      </c>
      <c r="Q1333">
        <f>Final_Table[[#This Row],[Net Revenue]]*Final_Table[[#This Row],[Variable Cost %]]</f>
        <v>3304.7999999999997</v>
      </c>
      <c r="R1333">
        <f>Final_Table[[#This Row],[Variable Cost]]+Final_Table[[#This Row],[Fixed Monthly Cost]]</f>
        <v>21304.799999999999</v>
      </c>
      <c r="S1333" s="5">
        <f>Final_Table[[#This Row],[Net Revenue]]-Final_Table[[#This Row],[Total Cost (COGS)]]</f>
        <v>-2944.7999999999993</v>
      </c>
      <c r="T1333">
        <f>Final_Table[[#This Row],[Gross Profit]]*Final_Table[[#This Row],[Tax Rate]]</f>
        <v>-883.43999999999971</v>
      </c>
      <c r="U1333" s="5">
        <f>Final_Table[[#This Row],[Gross Profit]]-Final_Table[[#This Row],[Tax]]</f>
        <v>-2061.3599999999997</v>
      </c>
      <c r="V1333" s="12">
        <f>Final_Table[[#This Row],[Net Profit]]/Final_Table[[#This Row],[Gross Revenue]]</f>
        <v>-0.10104705882352939</v>
      </c>
    </row>
    <row r="1334" spans="1:22">
      <c r="A1334" s="18" t="s">
        <v>77</v>
      </c>
      <c r="B1334">
        <v>2014</v>
      </c>
      <c r="C1334" t="s">
        <v>128</v>
      </c>
      <c r="D1334">
        <v>1</v>
      </c>
      <c r="E1334" s="18" t="s">
        <v>16</v>
      </c>
      <c r="F1334" s="18" t="s">
        <v>108</v>
      </c>
      <c r="G1334" s="18" t="s">
        <v>21</v>
      </c>
      <c r="H1334" s="18" t="str">
        <f>Assumptions!$B$2</f>
        <v>Worst</v>
      </c>
      <c r="I1334" s="18">
        <f>_xlfn.XLOOKUP(Assumptions!$B$2,Assumptions!$F$4:$H$4,Assumptions!$F$5:$H$5)</f>
        <v>1200</v>
      </c>
      <c r="J1334" s="18">
        <f>_xlfn.XLOOKUP(Assumptions!$B$2,Assumptions!$F$4:$H$4,Assumptions!$F$6:$H$6)</f>
        <v>17</v>
      </c>
      <c r="K1334" s="12">
        <f>_xlfn.XLOOKUP(Assumptions!$B$2,Assumptions!$F$4:$H$4,Assumptions!$F$8:$H$8)</f>
        <v>0.1</v>
      </c>
      <c r="L1334" s="12">
        <f>_xlfn.XLOOKUP(Assumptions!$B$2,Assumptions!$F$4:$H$4,Assumptions!$F$9:$H$9)</f>
        <v>0.18</v>
      </c>
      <c r="M1334" s="18">
        <f>_xlfn.XLOOKUP(Assumptions!$B$2,Assumptions!$F$4:$H$4,Assumptions!$F$10:$H$10)</f>
        <v>18000</v>
      </c>
      <c r="N1334" s="12">
        <f>_xlfn.XLOOKUP(Assumptions!$B$2,Assumptions!$F$4:$H$4,Assumptions!$F$11:$H$11)</f>
        <v>0.3</v>
      </c>
      <c r="O1334" s="14">
        <f>Final_Table[[#This Row],[Units Sold]]*Final_Table[[#This Row],[Sale Price]]</f>
        <v>20400</v>
      </c>
      <c r="P1334" s="14">
        <f>Final_Table[[#This Row],[Gross Revenue]]*(1-Final_Table[[#This Row],[Discount %]])</f>
        <v>18360</v>
      </c>
      <c r="Q1334">
        <f>Final_Table[[#This Row],[Net Revenue]]*Final_Table[[#This Row],[Variable Cost %]]</f>
        <v>3304.7999999999997</v>
      </c>
      <c r="R1334">
        <f>Final_Table[[#This Row],[Variable Cost]]+Final_Table[[#This Row],[Fixed Monthly Cost]]</f>
        <v>21304.799999999999</v>
      </c>
      <c r="S1334" s="5">
        <f>Final_Table[[#This Row],[Net Revenue]]-Final_Table[[#This Row],[Total Cost (COGS)]]</f>
        <v>-2944.7999999999993</v>
      </c>
      <c r="T1334">
        <f>Final_Table[[#This Row],[Gross Profit]]*Final_Table[[#This Row],[Tax Rate]]</f>
        <v>-883.43999999999971</v>
      </c>
      <c r="U1334" s="5">
        <f>Final_Table[[#This Row],[Gross Profit]]-Final_Table[[#This Row],[Tax]]</f>
        <v>-2061.3599999999997</v>
      </c>
      <c r="V1334" s="12">
        <f>Final_Table[[#This Row],[Net Profit]]/Final_Table[[#This Row],[Gross Revenue]]</f>
        <v>-0.10104705882352939</v>
      </c>
    </row>
    <row r="1335" spans="1:22">
      <c r="A1335" s="18" t="s">
        <v>77</v>
      </c>
      <c r="B1335">
        <v>2014</v>
      </c>
      <c r="C1335" t="s">
        <v>128</v>
      </c>
      <c r="D1335">
        <v>1</v>
      </c>
      <c r="E1335" s="18" t="s">
        <v>16</v>
      </c>
      <c r="F1335" s="18" t="s">
        <v>108</v>
      </c>
      <c r="G1335" s="18" t="s">
        <v>25</v>
      </c>
      <c r="H1335" s="18" t="str">
        <f>Assumptions!$B$2</f>
        <v>Worst</v>
      </c>
      <c r="I1335" s="18">
        <f>_xlfn.XLOOKUP(Assumptions!$B$2,Assumptions!$F$4:$H$4,Assumptions!$F$5:$H$5)</f>
        <v>1200</v>
      </c>
      <c r="J1335" s="18">
        <f>_xlfn.XLOOKUP(Assumptions!$B$2,Assumptions!$F$4:$H$4,Assumptions!$F$6:$H$6)</f>
        <v>17</v>
      </c>
      <c r="K1335" s="12">
        <f>_xlfn.XLOOKUP(Assumptions!$B$2,Assumptions!$F$4:$H$4,Assumptions!$F$8:$H$8)</f>
        <v>0.1</v>
      </c>
      <c r="L1335" s="12">
        <f>_xlfn.XLOOKUP(Assumptions!$B$2,Assumptions!$F$4:$H$4,Assumptions!$F$9:$H$9)</f>
        <v>0.18</v>
      </c>
      <c r="M1335" s="18">
        <f>_xlfn.XLOOKUP(Assumptions!$B$2,Assumptions!$F$4:$H$4,Assumptions!$F$10:$H$10)</f>
        <v>18000</v>
      </c>
      <c r="N1335" s="12">
        <f>_xlfn.XLOOKUP(Assumptions!$B$2,Assumptions!$F$4:$H$4,Assumptions!$F$11:$H$11)</f>
        <v>0.3</v>
      </c>
      <c r="O1335" s="14">
        <f>Final_Table[[#This Row],[Units Sold]]*Final_Table[[#This Row],[Sale Price]]</f>
        <v>20400</v>
      </c>
      <c r="P1335" s="14">
        <f>Final_Table[[#This Row],[Gross Revenue]]*(1-Final_Table[[#This Row],[Discount %]])</f>
        <v>18360</v>
      </c>
      <c r="Q1335">
        <f>Final_Table[[#This Row],[Net Revenue]]*Final_Table[[#This Row],[Variable Cost %]]</f>
        <v>3304.7999999999997</v>
      </c>
      <c r="R1335">
        <f>Final_Table[[#This Row],[Variable Cost]]+Final_Table[[#This Row],[Fixed Monthly Cost]]</f>
        <v>21304.799999999999</v>
      </c>
      <c r="S1335" s="5">
        <f>Final_Table[[#This Row],[Net Revenue]]-Final_Table[[#This Row],[Total Cost (COGS)]]</f>
        <v>-2944.7999999999993</v>
      </c>
      <c r="T1335">
        <f>Final_Table[[#This Row],[Gross Profit]]*Final_Table[[#This Row],[Tax Rate]]</f>
        <v>-883.43999999999971</v>
      </c>
      <c r="U1335" s="5">
        <f>Final_Table[[#This Row],[Gross Profit]]-Final_Table[[#This Row],[Tax]]</f>
        <v>-2061.3599999999997</v>
      </c>
      <c r="V1335" s="12">
        <f>Final_Table[[#This Row],[Net Profit]]/Final_Table[[#This Row],[Gross Revenue]]</f>
        <v>-0.10104705882352939</v>
      </c>
    </row>
    <row r="1336" spans="1:22">
      <c r="A1336" s="18" t="s">
        <v>77</v>
      </c>
      <c r="B1336">
        <v>2014</v>
      </c>
      <c r="C1336" t="s">
        <v>128</v>
      </c>
      <c r="D1336">
        <v>1</v>
      </c>
      <c r="E1336" s="18" t="s">
        <v>16</v>
      </c>
      <c r="F1336" s="18" t="s">
        <v>108</v>
      </c>
      <c r="G1336" s="18" t="s">
        <v>17</v>
      </c>
      <c r="H1336" s="18" t="str">
        <f>Assumptions!$B$2</f>
        <v>Worst</v>
      </c>
      <c r="I1336" s="18">
        <f>_xlfn.XLOOKUP(Assumptions!$B$2,Assumptions!$F$4:$H$4,Assumptions!$F$5:$H$5)</f>
        <v>1200</v>
      </c>
      <c r="J1336" s="18">
        <f>_xlfn.XLOOKUP(Assumptions!$B$2,Assumptions!$F$4:$H$4,Assumptions!$F$6:$H$6)</f>
        <v>17</v>
      </c>
      <c r="K1336" s="12">
        <f>_xlfn.XLOOKUP(Assumptions!$B$2,Assumptions!$F$4:$H$4,Assumptions!$F$8:$H$8)</f>
        <v>0.1</v>
      </c>
      <c r="L1336" s="12">
        <f>_xlfn.XLOOKUP(Assumptions!$B$2,Assumptions!$F$4:$H$4,Assumptions!$F$9:$H$9)</f>
        <v>0.18</v>
      </c>
      <c r="M1336" s="18">
        <f>_xlfn.XLOOKUP(Assumptions!$B$2,Assumptions!$F$4:$H$4,Assumptions!$F$10:$H$10)</f>
        <v>18000</v>
      </c>
      <c r="N1336" s="12">
        <f>_xlfn.XLOOKUP(Assumptions!$B$2,Assumptions!$F$4:$H$4,Assumptions!$F$11:$H$11)</f>
        <v>0.3</v>
      </c>
      <c r="O1336" s="14">
        <f>Final_Table[[#This Row],[Units Sold]]*Final_Table[[#This Row],[Sale Price]]</f>
        <v>20400</v>
      </c>
      <c r="P1336" s="14">
        <f>Final_Table[[#This Row],[Gross Revenue]]*(1-Final_Table[[#This Row],[Discount %]])</f>
        <v>18360</v>
      </c>
      <c r="Q1336">
        <f>Final_Table[[#This Row],[Net Revenue]]*Final_Table[[#This Row],[Variable Cost %]]</f>
        <v>3304.7999999999997</v>
      </c>
      <c r="R1336">
        <f>Final_Table[[#This Row],[Variable Cost]]+Final_Table[[#This Row],[Fixed Monthly Cost]]</f>
        <v>21304.799999999999</v>
      </c>
      <c r="S1336" s="5">
        <f>Final_Table[[#This Row],[Net Revenue]]-Final_Table[[#This Row],[Total Cost (COGS)]]</f>
        <v>-2944.7999999999993</v>
      </c>
      <c r="T1336">
        <f>Final_Table[[#This Row],[Gross Profit]]*Final_Table[[#This Row],[Tax Rate]]</f>
        <v>-883.43999999999971</v>
      </c>
      <c r="U1336" s="5">
        <f>Final_Table[[#This Row],[Gross Profit]]-Final_Table[[#This Row],[Tax]]</f>
        <v>-2061.3599999999997</v>
      </c>
      <c r="V1336" s="12">
        <f>Final_Table[[#This Row],[Net Profit]]/Final_Table[[#This Row],[Gross Revenue]]</f>
        <v>-0.10104705882352939</v>
      </c>
    </row>
    <row r="1337" spans="1:22">
      <c r="A1337" s="18" t="s">
        <v>77</v>
      </c>
      <c r="B1337">
        <v>2014</v>
      </c>
      <c r="C1337" t="s">
        <v>128</v>
      </c>
      <c r="D1337">
        <v>1</v>
      </c>
      <c r="E1337" s="18" t="s">
        <v>16</v>
      </c>
      <c r="F1337" s="18" t="s">
        <v>112</v>
      </c>
      <c r="G1337" s="18" t="s">
        <v>36</v>
      </c>
      <c r="H1337" s="18" t="str">
        <f>Assumptions!$B$2</f>
        <v>Worst</v>
      </c>
      <c r="I1337" s="18">
        <f>_xlfn.XLOOKUP(Assumptions!$B$2,Assumptions!$F$4:$H$4,Assumptions!$F$5:$H$5)</f>
        <v>1200</v>
      </c>
      <c r="J1337" s="18">
        <f>_xlfn.XLOOKUP(Assumptions!$B$2,Assumptions!$F$4:$H$4,Assumptions!$F$6:$H$6)</f>
        <v>17</v>
      </c>
      <c r="K1337" s="12">
        <f>_xlfn.XLOOKUP(Assumptions!$B$2,Assumptions!$F$4:$H$4,Assumptions!$F$8:$H$8)</f>
        <v>0.1</v>
      </c>
      <c r="L1337" s="12">
        <f>_xlfn.XLOOKUP(Assumptions!$B$2,Assumptions!$F$4:$H$4,Assumptions!$F$9:$H$9)</f>
        <v>0.18</v>
      </c>
      <c r="M1337" s="18">
        <f>_xlfn.XLOOKUP(Assumptions!$B$2,Assumptions!$F$4:$H$4,Assumptions!$F$10:$H$10)</f>
        <v>18000</v>
      </c>
      <c r="N1337" s="12">
        <f>_xlfn.XLOOKUP(Assumptions!$B$2,Assumptions!$F$4:$H$4,Assumptions!$F$11:$H$11)</f>
        <v>0.3</v>
      </c>
      <c r="O1337" s="14">
        <f>Final_Table[[#This Row],[Units Sold]]*Final_Table[[#This Row],[Sale Price]]</f>
        <v>20400</v>
      </c>
      <c r="P1337" s="14">
        <f>Final_Table[[#This Row],[Gross Revenue]]*(1-Final_Table[[#This Row],[Discount %]])</f>
        <v>18360</v>
      </c>
      <c r="Q1337">
        <f>Final_Table[[#This Row],[Net Revenue]]*Final_Table[[#This Row],[Variable Cost %]]</f>
        <v>3304.7999999999997</v>
      </c>
      <c r="R1337">
        <f>Final_Table[[#This Row],[Variable Cost]]+Final_Table[[#This Row],[Fixed Monthly Cost]]</f>
        <v>21304.799999999999</v>
      </c>
      <c r="S1337" s="5">
        <f>Final_Table[[#This Row],[Net Revenue]]-Final_Table[[#This Row],[Total Cost (COGS)]]</f>
        <v>-2944.7999999999993</v>
      </c>
      <c r="T1337">
        <f>Final_Table[[#This Row],[Gross Profit]]*Final_Table[[#This Row],[Tax Rate]]</f>
        <v>-883.43999999999971</v>
      </c>
      <c r="U1337" s="5">
        <f>Final_Table[[#This Row],[Gross Profit]]-Final_Table[[#This Row],[Tax]]</f>
        <v>-2061.3599999999997</v>
      </c>
      <c r="V1337" s="12">
        <f>Final_Table[[#This Row],[Net Profit]]/Final_Table[[#This Row],[Gross Revenue]]</f>
        <v>-0.10104705882352939</v>
      </c>
    </row>
    <row r="1338" spans="1:22">
      <c r="A1338" s="18" t="s">
        <v>77</v>
      </c>
      <c r="B1338">
        <v>2014</v>
      </c>
      <c r="C1338" t="s">
        <v>128</v>
      </c>
      <c r="D1338">
        <v>1</v>
      </c>
      <c r="E1338" s="18" t="s">
        <v>16</v>
      </c>
      <c r="F1338" s="18" t="s">
        <v>112</v>
      </c>
      <c r="G1338" s="18" t="s">
        <v>23</v>
      </c>
      <c r="H1338" s="18" t="str">
        <f>Assumptions!$B$2</f>
        <v>Worst</v>
      </c>
      <c r="I1338" s="18">
        <f>_xlfn.XLOOKUP(Assumptions!$B$2,Assumptions!$F$4:$H$4,Assumptions!$F$5:$H$5)</f>
        <v>1200</v>
      </c>
      <c r="J1338" s="18">
        <f>_xlfn.XLOOKUP(Assumptions!$B$2,Assumptions!$F$4:$H$4,Assumptions!$F$6:$H$6)</f>
        <v>17</v>
      </c>
      <c r="K1338" s="12">
        <f>_xlfn.XLOOKUP(Assumptions!$B$2,Assumptions!$F$4:$H$4,Assumptions!$F$8:$H$8)</f>
        <v>0.1</v>
      </c>
      <c r="L1338" s="12">
        <f>_xlfn.XLOOKUP(Assumptions!$B$2,Assumptions!$F$4:$H$4,Assumptions!$F$9:$H$9)</f>
        <v>0.18</v>
      </c>
      <c r="M1338" s="18">
        <f>_xlfn.XLOOKUP(Assumptions!$B$2,Assumptions!$F$4:$H$4,Assumptions!$F$10:$H$10)</f>
        <v>18000</v>
      </c>
      <c r="N1338" s="12">
        <f>_xlfn.XLOOKUP(Assumptions!$B$2,Assumptions!$F$4:$H$4,Assumptions!$F$11:$H$11)</f>
        <v>0.3</v>
      </c>
      <c r="O1338" s="14">
        <f>Final_Table[[#This Row],[Units Sold]]*Final_Table[[#This Row],[Sale Price]]</f>
        <v>20400</v>
      </c>
      <c r="P1338" s="14">
        <f>Final_Table[[#This Row],[Gross Revenue]]*(1-Final_Table[[#This Row],[Discount %]])</f>
        <v>18360</v>
      </c>
      <c r="Q1338">
        <f>Final_Table[[#This Row],[Net Revenue]]*Final_Table[[#This Row],[Variable Cost %]]</f>
        <v>3304.7999999999997</v>
      </c>
      <c r="R1338">
        <f>Final_Table[[#This Row],[Variable Cost]]+Final_Table[[#This Row],[Fixed Monthly Cost]]</f>
        <v>21304.799999999999</v>
      </c>
      <c r="S1338" s="5">
        <f>Final_Table[[#This Row],[Net Revenue]]-Final_Table[[#This Row],[Total Cost (COGS)]]</f>
        <v>-2944.7999999999993</v>
      </c>
      <c r="T1338">
        <f>Final_Table[[#This Row],[Gross Profit]]*Final_Table[[#This Row],[Tax Rate]]</f>
        <v>-883.43999999999971</v>
      </c>
      <c r="U1338" s="5">
        <f>Final_Table[[#This Row],[Gross Profit]]-Final_Table[[#This Row],[Tax]]</f>
        <v>-2061.3599999999997</v>
      </c>
      <c r="V1338" s="12">
        <f>Final_Table[[#This Row],[Net Profit]]/Final_Table[[#This Row],[Gross Revenue]]</f>
        <v>-0.10104705882352939</v>
      </c>
    </row>
    <row r="1339" spans="1:22">
      <c r="A1339" s="18" t="s">
        <v>77</v>
      </c>
      <c r="B1339">
        <v>2014</v>
      </c>
      <c r="C1339" t="s">
        <v>128</v>
      </c>
      <c r="D1339">
        <v>1</v>
      </c>
      <c r="E1339" s="18" t="s">
        <v>16</v>
      </c>
      <c r="F1339" s="18" t="s">
        <v>112</v>
      </c>
      <c r="G1339" s="18" t="s">
        <v>21</v>
      </c>
      <c r="H1339" s="18" t="str">
        <f>Assumptions!$B$2</f>
        <v>Worst</v>
      </c>
      <c r="I1339" s="18">
        <f>_xlfn.XLOOKUP(Assumptions!$B$2,Assumptions!$F$4:$H$4,Assumptions!$F$5:$H$5)</f>
        <v>1200</v>
      </c>
      <c r="J1339" s="18">
        <f>_xlfn.XLOOKUP(Assumptions!$B$2,Assumptions!$F$4:$H$4,Assumptions!$F$6:$H$6)</f>
        <v>17</v>
      </c>
      <c r="K1339" s="12">
        <f>_xlfn.XLOOKUP(Assumptions!$B$2,Assumptions!$F$4:$H$4,Assumptions!$F$8:$H$8)</f>
        <v>0.1</v>
      </c>
      <c r="L1339" s="12">
        <f>_xlfn.XLOOKUP(Assumptions!$B$2,Assumptions!$F$4:$H$4,Assumptions!$F$9:$H$9)</f>
        <v>0.18</v>
      </c>
      <c r="M1339" s="18">
        <f>_xlfn.XLOOKUP(Assumptions!$B$2,Assumptions!$F$4:$H$4,Assumptions!$F$10:$H$10)</f>
        <v>18000</v>
      </c>
      <c r="N1339" s="12">
        <f>_xlfn.XLOOKUP(Assumptions!$B$2,Assumptions!$F$4:$H$4,Assumptions!$F$11:$H$11)</f>
        <v>0.3</v>
      </c>
      <c r="O1339" s="14">
        <f>Final_Table[[#This Row],[Units Sold]]*Final_Table[[#This Row],[Sale Price]]</f>
        <v>20400</v>
      </c>
      <c r="P1339" s="14">
        <f>Final_Table[[#This Row],[Gross Revenue]]*(1-Final_Table[[#This Row],[Discount %]])</f>
        <v>18360</v>
      </c>
      <c r="Q1339">
        <f>Final_Table[[#This Row],[Net Revenue]]*Final_Table[[#This Row],[Variable Cost %]]</f>
        <v>3304.7999999999997</v>
      </c>
      <c r="R1339">
        <f>Final_Table[[#This Row],[Variable Cost]]+Final_Table[[#This Row],[Fixed Monthly Cost]]</f>
        <v>21304.799999999999</v>
      </c>
      <c r="S1339" s="5">
        <f>Final_Table[[#This Row],[Net Revenue]]-Final_Table[[#This Row],[Total Cost (COGS)]]</f>
        <v>-2944.7999999999993</v>
      </c>
      <c r="T1339">
        <f>Final_Table[[#This Row],[Gross Profit]]*Final_Table[[#This Row],[Tax Rate]]</f>
        <v>-883.43999999999971</v>
      </c>
      <c r="U1339" s="5">
        <f>Final_Table[[#This Row],[Gross Profit]]-Final_Table[[#This Row],[Tax]]</f>
        <v>-2061.3599999999997</v>
      </c>
      <c r="V1339" s="12">
        <f>Final_Table[[#This Row],[Net Profit]]/Final_Table[[#This Row],[Gross Revenue]]</f>
        <v>-0.10104705882352939</v>
      </c>
    </row>
    <row r="1340" spans="1:22">
      <c r="A1340" s="18" t="s">
        <v>77</v>
      </c>
      <c r="B1340">
        <v>2014</v>
      </c>
      <c r="C1340" t="s">
        <v>128</v>
      </c>
      <c r="D1340">
        <v>1</v>
      </c>
      <c r="E1340" s="18" t="s">
        <v>16</v>
      </c>
      <c r="F1340" s="18" t="s">
        <v>112</v>
      </c>
      <c r="G1340" s="18" t="s">
        <v>25</v>
      </c>
      <c r="H1340" s="18" t="str">
        <f>Assumptions!$B$2</f>
        <v>Worst</v>
      </c>
      <c r="I1340" s="18">
        <f>_xlfn.XLOOKUP(Assumptions!$B$2,Assumptions!$F$4:$H$4,Assumptions!$F$5:$H$5)</f>
        <v>1200</v>
      </c>
      <c r="J1340" s="18">
        <f>_xlfn.XLOOKUP(Assumptions!$B$2,Assumptions!$F$4:$H$4,Assumptions!$F$6:$H$6)</f>
        <v>17</v>
      </c>
      <c r="K1340" s="12">
        <f>_xlfn.XLOOKUP(Assumptions!$B$2,Assumptions!$F$4:$H$4,Assumptions!$F$8:$H$8)</f>
        <v>0.1</v>
      </c>
      <c r="L1340" s="12">
        <f>_xlfn.XLOOKUP(Assumptions!$B$2,Assumptions!$F$4:$H$4,Assumptions!$F$9:$H$9)</f>
        <v>0.18</v>
      </c>
      <c r="M1340" s="18">
        <f>_xlfn.XLOOKUP(Assumptions!$B$2,Assumptions!$F$4:$H$4,Assumptions!$F$10:$H$10)</f>
        <v>18000</v>
      </c>
      <c r="N1340" s="12">
        <f>_xlfn.XLOOKUP(Assumptions!$B$2,Assumptions!$F$4:$H$4,Assumptions!$F$11:$H$11)</f>
        <v>0.3</v>
      </c>
      <c r="O1340" s="14">
        <f>Final_Table[[#This Row],[Units Sold]]*Final_Table[[#This Row],[Sale Price]]</f>
        <v>20400</v>
      </c>
      <c r="P1340" s="14">
        <f>Final_Table[[#This Row],[Gross Revenue]]*(1-Final_Table[[#This Row],[Discount %]])</f>
        <v>18360</v>
      </c>
      <c r="Q1340">
        <f>Final_Table[[#This Row],[Net Revenue]]*Final_Table[[#This Row],[Variable Cost %]]</f>
        <v>3304.7999999999997</v>
      </c>
      <c r="R1340">
        <f>Final_Table[[#This Row],[Variable Cost]]+Final_Table[[#This Row],[Fixed Monthly Cost]]</f>
        <v>21304.799999999999</v>
      </c>
      <c r="S1340" s="5">
        <f>Final_Table[[#This Row],[Net Revenue]]-Final_Table[[#This Row],[Total Cost (COGS)]]</f>
        <v>-2944.7999999999993</v>
      </c>
      <c r="T1340">
        <f>Final_Table[[#This Row],[Gross Profit]]*Final_Table[[#This Row],[Tax Rate]]</f>
        <v>-883.43999999999971</v>
      </c>
      <c r="U1340" s="5">
        <f>Final_Table[[#This Row],[Gross Profit]]-Final_Table[[#This Row],[Tax]]</f>
        <v>-2061.3599999999997</v>
      </c>
      <c r="V1340" s="12">
        <f>Final_Table[[#This Row],[Net Profit]]/Final_Table[[#This Row],[Gross Revenue]]</f>
        <v>-0.10104705882352939</v>
      </c>
    </row>
    <row r="1341" spans="1:22">
      <c r="A1341" s="18" t="s">
        <v>77</v>
      </c>
      <c r="B1341">
        <v>2014</v>
      </c>
      <c r="C1341" t="s">
        <v>128</v>
      </c>
      <c r="D1341">
        <v>1</v>
      </c>
      <c r="E1341" s="18" t="s">
        <v>16</v>
      </c>
      <c r="F1341" s="18" t="s">
        <v>112</v>
      </c>
      <c r="G1341" s="18" t="s">
        <v>17</v>
      </c>
      <c r="H1341" s="18" t="str">
        <f>Assumptions!$B$2</f>
        <v>Worst</v>
      </c>
      <c r="I1341" s="18">
        <f>_xlfn.XLOOKUP(Assumptions!$B$2,Assumptions!$F$4:$H$4,Assumptions!$F$5:$H$5)</f>
        <v>1200</v>
      </c>
      <c r="J1341" s="18">
        <f>_xlfn.XLOOKUP(Assumptions!$B$2,Assumptions!$F$4:$H$4,Assumptions!$F$6:$H$6)</f>
        <v>17</v>
      </c>
      <c r="K1341" s="12">
        <f>_xlfn.XLOOKUP(Assumptions!$B$2,Assumptions!$F$4:$H$4,Assumptions!$F$8:$H$8)</f>
        <v>0.1</v>
      </c>
      <c r="L1341" s="12">
        <f>_xlfn.XLOOKUP(Assumptions!$B$2,Assumptions!$F$4:$H$4,Assumptions!$F$9:$H$9)</f>
        <v>0.18</v>
      </c>
      <c r="M1341" s="18">
        <f>_xlfn.XLOOKUP(Assumptions!$B$2,Assumptions!$F$4:$H$4,Assumptions!$F$10:$H$10)</f>
        <v>18000</v>
      </c>
      <c r="N1341" s="12">
        <f>_xlfn.XLOOKUP(Assumptions!$B$2,Assumptions!$F$4:$H$4,Assumptions!$F$11:$H$11)</f>
        <v>0.3</v>
      </c>
      <c r="O1341" s="14">
        <f>Final_Table[[#This Row],[Units Sold]]*Final_Table[[#This Row],[Sale Price]]</f>
        <v>20400</v>
      </c>
      <c r="P1341" s="14">
        <f>Final_Table[[#This Row],[Gross Revenue]]*(1-Final_Table[[#This Row],[Discount %]])</f>
        <v>18360</v>
      </c>
      <c r="Q1341">
        <f>Final_Table[[#This Row],[Net Revenue]]*Final_Table[[#This Row],[Variable Cost %]]</f>
        <v>3304.7999999999997</v>
      </c>
      <c r="R1341">
        <f>Final_Table[[#This Row],[Variable Cost]]+Final_Table[[#This Row],[Fixed Monthly Cost]]</f>
        <v>21304.799999999999</v>
      </c>
      <c r="S1341" s="5">
        <f>Final_Table[[#This Row],[Net Revenue]]-Final_Table[[#This Row],[Total Cost (COGS)]]</f>
        <v>-2944.7999999999993</v>
      </c>
      <c r="T1341">
        <f>Final_Table[[#This Row],[Gross Profit]]*Final_Table[[#This Row],[Tax Rate]]</f>
        <v>-883.43999999999971</v>
      </c>
      <c r="U1341" s="5">
        <f>Final_Table[[#This Row],[Gross Profit]]-Final_Table[[#This Row],[Tax]]</f>
        <v>-2061.3599999999997</v>
      </c>
      <c r="V1341" s="12">
        <f>Final_Table[[#This Row],[Net Profit]]/Final_Table[[#This Row],[Gross Revenue]]</f>
        <v>-0.10104705882352939</v>
      </c>
    </row>
    <row r="1342" spans="1:22">
      <c r="A1342" s="18" t="s">
        <v>77</v>
      </c>
      <c r="B1342">
        <v>2014</v>
      </c>
      <c r="C1342" t="s">
        <v>128</v>
      </c>
      <c r="D1342">
        <v>1</v>
      </c>
      <c r="E1342" s="18" t="s">
        <v>16</v>
      </c>
      <c r="F1342" s="18" t="s">
        <v>113</v>
      </c>
      <c r="G1342" s="18" t="s">
        <v>36</v>
      </c>
      <c r="H1342" s="18" t="str">
        <f>Assumptions!$B$2</f>
        <v>Worst</v>
      </c>
      <c r="I1342" s="18">
        <f>_xlfn.XLOOKUP(Assumptions!$B$2,Assumptions!$F$4:$H$4,Assumptions!$F$5:$H$5)</f>
        <v>1200</v>
      </c>
      <c r="J1342" s="18">
        <f>_xlfn.XLOOKUP(Assumptions!$B$2,Assumptions!$F$4:$H$4,Assumptions!$F$6:$H$6)</f>
        <v>17</v>
      </c>
      <c r="K1342" s="12">
        <f>_xlfn.XLOOKUP(Assumptions!$B$2,Assumptions!$F$4:$H$4,Assumptions!$F$8:$H$8)</f>
        <v>0.1</v>
      </c>
      <c r="L1342" s="12">
        <f>_xlfn.XLOOKUP(Assumptions!$B$2,Assumptions!$F$4:$H$4,Assumptions!$F$9:$H$9)</f>
        <v>0.18</v>
      </c>
      <c r="M1342" s="18">
        <f>_xlfn.XLOOKUP(Assumptions!$B$2,Assumptions!$F$4:$H$4,Assumptions!$F$10:$H$10)</f>
        <v>18000</v>
      </c>
      <c r="N1342" s="12">
        <f>_xlfn.XLOOKUP(Assumptions!$B$2,Assumptions!$F$4:$H$4,Assumptions!$F$11:$H$11)</f>
        <v>0.3</v>
      </c>
      <c r="O1342" s="14">
        <f>Final_Table[[#This Row],[Units Sold]]*Final_Table[[#This Row],[Sale Price]]</f>
        <v>20400</v>
      </c>
      <c r="P1342" s="14">
        <f>Final_Table[[#This Row],[Gross Revenue]]*(1-Final_Table[[#This Row],[Discount %]])</f>
        <v>18360</v>
      </c>
      <c r="Q1342">
        <f>Final_Table[[#This Row],[Net Revenue]]*Final_Table[[#This Row],[Variable Cost %]]</f>
        <v>3304.7999999999997</v>
      </c>
      <c r="R1342">
        <f>Final_Table[[#This Row],[Variable Cost]]+Final_Table[[#This Row],[Fixed Monthly Cost]]</f>
        <v>21304.799999999999</v>
      </c>
      <c r="S1342" s="5">
        <f>Final_Table[[#This Row],[Net Revenue]]-Final_Table[[#This Row],[Total Cost (COGS)]]</f>
        <v>-2944.7999999999993</v>
      </c>
      <c r="T1342">
        <f>Final_Table[[#This Row],[Gross Profit]]*Final_Table[[#This Row],[Tax Rate]]</f>
        <v>-883.43999999999971</v>
      </c>
      <c r="U1342" s="5">
        <f>Final_Table[[#This Row],[Gross Profit]]-Final_Table[[#This Row],[Tax]]</f>
        <v>-2061.3599999999997</v>
      </c>
      <c r="V1342" s="12">
        <f>Final_Table[[#This Row],[Net Profit]]/Final_Table[[#This Row],[Gross Revenue]]</f>
        <v>-0.10104705882352939</v>
      </c>
    </row>
    <row r="1343" spans="1:22">
      <c r="A1343" s="18" t="s">
        <v>77</v>
      </c>
      <c r="B1343">
        <v>2014</v>
      </c>
      <c r="C1343" t="s">
        <v>128</v>
      </c>
      <c r="D1343">
        <v>1</v>
      </c>
      <c r="E1343" s="18" t="s">
        <v>16</v>
      </c>
      <c r="F1343" s="18" t="s">
        <v>113</v>
      </c>
      <c r="G1343" s="18" t="s">
        <v>23</v>
      </c>
      <c r="H1343" s="18" t="str">
        <f>Assumptions!$B$2</f>
        <v>Worst</v>
      </c>
      <c r="I1343" s="18">
        <f>_xlfn.XLOOKUP(Assumptions!$B$2,Assumptions!$F$4:$H$4,Assumptions!$F$5:$H$5)</f>
        <v>1200</v>
      </c>
      <c r="J1343" s="18">
        <f>_xlfn.XLOOKUP(Assumptions!$B$2,Assumptions!$F$4:$H$4,Assumptions!$F$6:$H$6)</f>
        <v>17</v>
      </c>
      <c r="K1343" s="12">
        <f>_xlfn.XLOOKUP(Assumptions!$B$2,Assumptions!$F$4:$H$4,Assumptions!$F$8:$H$8)</f>
        <v>0.1</v>
      </c>
      <c r="L1343" s="12">
        <f>_xlfn.XLOOKUP(Assumptions!$B$2,Assumptions!$F$4:$H$4,Assumptions!$F$9:$H$9)</f>
        <v>0.18</v>
      </c>
      <c r="M1343" s="18">
        <f>_xlfn.XLOOKUP(Assumptions!$B$2,Assumptions!$F$4:$H$4,Assumptions!$F$10:$H$10)</f>
        <v>18000</v>
      </c>
      <c r="N1343" s="12">
        <f>_xlfn.XLOOKUP(Assumptions!$B$2,Assumptions!$F$4:$H$4,Assumptions!$F$11:$H$11)</f>
        <v>0.3</v>
      </c>
      <c r="O1343" s="14">
        <f>Final_Table[[#This Row],[Units Sold]]*Final_Table[[#This Row],[Sale Price]]</f>
        <v>20400</v>
      </c>
      <c r="P1343" s="14">
        <f>Final_Table[[#This Row],[Gross Revenue]]*(1-Final_Table[[#This Row],[Discount %]])</f>
        <v>18360</v>
      </c>
      <c r="Q1343">
        <f>Final_Table[[#This Row],[Net Revenue]]*Final_Table[[#This Row],[Variable Cost %]]</f>
        <v>3304.7999999999997</v>
      </c>
      <c r="R1343">
        <f>Final_Table[[#This Row],[Variable Cost]]+Final_Table[[#This Row],[Fixed Monthly Cost]]</f>
        <v>21304.799999999999</v>
      </c>
      <c r="S1343" s="5">
        <f>Final_Table[[#This Row],[Net Revenue]]-Final_Table[[#This Row],[Total Cost (COGS)]]</f>
        <v>-2944.7999999999993</v>
      </c>
      <c r="T1343">
        <f>Final_Table[[#This Row],[Gross Profit]]*Final_Table[[#This Row],[Tax Rate]]</f>
        <v>-883.43999999999971</v>
      </c>
      <c r="U1343" s="5">
        <f>Final_Table[[#This Row],[Gross Profit]]-Final_Table[[#This Row],[Tax]]</f>
        <v>-2061.3599999999997</v>
      </c>
      <c r="V1343" s="12">
        <f>Final_Table[[#This Row],[Net Profit]]/Final_Table[[#This Row],[Gross Revenue]]</f>
        <v>-0.10104705882352939</v>
      </c>
    </row>
    <row r="1344" spans="1:22">
      <c r="A1344" s="18" t="s">
        <v>77</v>
      </c>
      <c r="B1344">
        <v>2014</v>
      </c>
      <c r="C1344" t="s">
        <v>128</v>
      </c>
      <c r="D1344">
        <v>1</v>
      </c>
      <c r="E1344" s="18" t="s">
        <v>16</v>
      </c>
      <c r="F1344" s="18" t="s">
        <v>113</v>
      </c>
      <c r="G1344" s="18" t="s">
        <v>21</v>
      </c>
      <c r="H1344" s="18" t="str">
        <f>Assumptions!$B$2</f>
        <v>Worst</v>
      </c>
      <c r="I1344" s="18">
        <f>_xlfn.XLOOKUP(Assumptions!$B$2,Assumptions!$F$4:$H$4,Assumptions!$F$5:$H$5)</f>
        <v>1200</v>
      </c>
      <c r="J1344" s="18">
        <f>_xlfn.XLOOKUP(Assumptions!$B$2,Assumptions!$F$4:$H$4,Assumptions!$F$6:$H$6)</f>
        <v>17</v>
      </c>
      <c r="K1344" s="12">
        <f>_xlfn.XLOOKUP(Assumptions!$B$2,Assumptions!$F$4:$H$4,Assumptions!$F$8:$H$8)</f>
        <v>0.1</v>
      </c>
      <c r="L1344" s="12">
        <f>_xlfn.XLOOKUP(Assumptions!$B$2,Assumptions!$F$4:$H$4,Assumptions!$F$9:$H$9)</f>
        <v>0.18</v>
      </c>
      <c r="M1344" s="18">
        <f>_xlfn.XLOOKUP(Assumptions!$B$2,Assumptions!$F$4:$H$4,Assumptions!$F$10:$H$10)</f>
        <v>18000</v>
      </c>
      <c r="N1344" s="12">
        <f>_xlfn.XLOOKUP(Assumptions!$B$2,Assumptions!$F$4:$H$4,Assumptions!$F$11:$H$11)</f>
        <v>0.3</v>
      </c>
      <c r="O1344" s="14">
        <f>Final_Table[[#This Row],[Units Sold]]*Final_Table[[#This Row],[Sale Price]]</f>
        <v>20400</v>
      </c>
      <c r="P1344" s="14">
        <f>Final_Table[[#This Row],[Gross Revenue]]*(1-Final_Table[[#This Row],[Discount %]])</f>
        <v>18360</v>
      </c>
      <c r="Q1344">
        <f>Final_Table[[#This Row],[Net Revenue]]*Final_Table[[#This Row],[Variable Cost %]]</f>
        <v>3304.7999999999997</v>
      </c>
      <c r="R1344">
        <f>Final_Table[[#This Row],[Variable Cost]]+Final_Table[[#This Row],[Fixed Monthly Cost]]</f>
        <v>21304.799999999999</v>
      </c>
      <c r="S1344" s="5">
        <f>Final_Table[[#This Row],[Net Revenue]]-Final_Table[[#This Row],[Total Cost (COGS)]]</f>
        <v>-2944.7999999999993</v>
      </c>
      <c r="T1344">
        <f>Final_Table[[#This Row],[Gross Profit]]*Final_Table[[#This Row],[Tax Rate]]</f>
        <v>-883.43999999999971</v>
      </c>
      <c r="U1344" s="5">
        <f>Final_Table[[#This Row],[Gross Profit]]-Final_Table[[#This Row],[Tax]]</f>
        <v>-2061.3599999999997</v>
      </c>
      <c r="V1344" s="12">
        <f>Final_Table[[#This Row],[Net Profit]]/Final_Table[[#This Row],[Gross Revenue]]</f>
        <v>-0.10104705882352939</v>
      </c>
    </row>
    <row r="1345" spans="1:22">
      <c r="A1345" s="18" t="s">
        <v>77</v>
      </c>
      <c r="B1345">
        <v>2014</v>
      </c>
      <c r="C1345" t="s">
        <v>128</v>
      </c>
      <c r="D1345">
        <v>1</v>
      </c>
      <c r="E1345" s="18" t="s">
        <v>16</v>
      </c>
      <c r="F1345" s="18" t="s">
        <v>113</v>
      </c>
      <c r="G1345" s="18" t="s">
        <v>25</v>
      </c>
      <c r="H1345" s="18" t="str">
        <f>Assumptions!$B$2</f>
        <v>Worst</v>
      </c>
      <c r="I1345" s="18">
        <f>_xlfn.XLOOKUP(Assumptions!$B$2,Assumptions!$F$4:$H$4,Assumptions!$F$5:$H$5)</f>
        <v>1200</v>
      </c>
      <c r="J1345" s="18">
        <f>_xlfn.XLOOKUP(Assumptions!$B$2,Assumptions!$F$4:$H$4,Assumptions!$F$6:$H$6)</f>
        <v>17</v>
      </c>
      <c r="K1345" s="12">
        <f>_xlfn.XLOOKUP(Assumptions!$B$2,Assumptions!$F$4:$H$4,Assumptions!$F$8:$H$8)</f>
        <v>0.1</v>
      </c>
      <c r="L1345" s="12">
        <f>_xlfn.XLOOKUP(Assumptions!$B$2,Assumptions!$F$4:$H$4,Assumptions!$F$9:$H$9)</f>
        <v>0.18</v>
      </c>
      <c r="M1345" s="18">
        <f>_xlfn.XLOOKUP(Assumptions!$B$2,Assumptions!$F$4:$H$4,Assumptions!$F$10:$H$10)</f>
        <v>18000</v>
      </c>
      <c r="N1345" s="12">
        <f>_xlfn.XLOOKUP(Assumptions!$B$2,Assumptions!$F$4:$H$4,Assumptions!$F$11:$H$11)</f>
        <v>0.3</v>
      </c>
      <c r="O1345" s="14">
        <f>Final_Table[[#This Row],[Units Sold]]*Final_Table[[#This Row],[Sale Price]]</f>
        <v>20400</v>
      </c>
      <c r="P1345" s="14">
        <f>Final_Table[[#This Row],[Gross Revenue]]*(1-Final_Table[[#This Row],[Discount %]])</f>
        <v>18360</v>
      </c>
      <c r="Q1345">
        <f>Final_Table[[#This Row],[Net Revenue]]*Final_Table[[#This Row],[Variable Cost %]]</f>
        <v>3304.7999999999997</v>
      </c>
      <c r="R1345">
        <f>Final_Table[[#This Row],[Variable Cost]]+Final_Table[[#This Row],[Fixed Monthly Cost]]</f>
        <v>21304.799999999999</v>
      </c>
      <c r="S1345" s="5">
        <f>Final_Table[[#This Row],[Net Revenue]]-Final_Table[[#This Row],[Total Cost (COGS)]]</f>
        <v>-2944.7999999999993</v>
      </c>
      <c r="T1345">
        <f>Final_Table[[#This Row],[Gross Profit]]*Final_Table[[#This Row],[Tax Rate]]</f>
        <v>-883.43999999999971</v>
      </c>
      <c r="U1345" s="5">
        <f>Final_Table[[#This Row],[Gross Profit]]-Final_Table[[#This Row],[Tax]]</f>
        <v>-2061.3599999999997</v>
      </c>
      <c r="V1345" s="12">
        <f>Final_Table[[#This Row],[Net Profit]]/Final_Table[[#This Row],[Gross Revenue]]</f>
        <v>-0.10104705882352939</v>
      </c>
    </row>
    <row r="1346" spans="1:22">
      <c r="A1346" s="18" t="s">
        <v>77</v>
      </c>
      <c r="B1346">
        <v>2014</v>
      </c>
      <c r="C1346" t="s">
        <v>128</v>
      </c>
      <c r="D1346">
        <v>1</v>
      </c>
      <c r="E1346" s="18" t="s">
        <v>16</v>
      </c>
      <c r="F1346" s="18" t="s">
        <v>113</v>
      </c>
      <c r="G1346" s="18" t="s">
        <v>17</v>
      </c>
      <c r="H1346" s="18" t="str">
        <f>Assumptions!$B$2</f>
        <v>Worst</v>
      </c>
      <c r="I1346" s="18">
        <f>_xlfn.XLOOKUP(Assumptions!$B$2,Assumptions!$F$4:$H$4,Assumptions!$F$5:$H$5)</f>
        <v>1200</v>
      </c>
      <c r="J1346" s="18">
        <f>_xlfn.XLOOKUP(Assumptions!$B$2,Assumptions!$F$4:$H$4,Assumptions!$F$6:$H$6)</f>
        <v>17</v>
      </c>
      <c r="K1346" s="12">
        <f>_xlfn.XLOOKUP(Assumptions!$B$2,Assumptions!$F$4:$H$4,Assumptions!$F$8:$H$8)</f>
        <v>0.1</v>
      </c>
      <c r="L1346" s="12">
        <f>_xlfn.XLOOKUP(Assumptions!$B$2,Assumptions!$F$4:$H$4,Assumptions!$F$9:$H$9)</f>
        <v>0.18</v>
      </c>
      <c r="M1346" s="18">
        <f>_xlfn.XLOOKUP(Assumptions!$B$2,Assumptions!$F$4:$H$4,Assumptions!$F$10:$H$10)</f>
        <v>18000</v>
      </c>
      <c r="N1346" s="12">
        <f>_xlfn.XLOOKUP(Assumptions!$B$2,Assumptions!$F$4:$H$4,Assumptions!$F$11:$H$11)</f>
        <v>0.3</v>
      </c>
      <c r="O1346" s="14">
        <f>Final_Table[[#This Row],[Units Sold]]*Final_Table[[#This Row],[Sale Price]]</f>
        <v>20400</v>
      </c>
      <c r="P1346" s="14">
        <f>Final_Table[[#This Row],[Gross Revenue]]*(1-Final_Table[[#This Row],[Discount %]])</f>
        <v>18360</v>
      </c>
      <c r="Q1346">
        <f>Final_Table[[#This Row],[Net Revenue]]*Final_Table[[#This Row],[Variable Cost %]]</f>
        <v>3304.7999999999997</v>
      </c>
      <c r="R1346">
        <f>Final_Table[[#This Row],[Variable Cost]]+Final_Table[[#This Row],[Fixed Monthly Cost]]</f>
        <v>21304.799999999999</v>
      </c>
      <c r="S1346" s="5">
        <f>Final_Table[[#This Row],[Net Revenue]]-Final_Table[[#This Row],[Total Cost (COGS)]]</f>
        <v>-2944.7999999999993</v>
      </c>
      <c r="T1346">
        <f>Final_Table[[#This Row],[Gross Profit]]*Final_Table[[#This Row],[Tax Rate]]</f>
        <v>-883.43999999999971</v>
      </c>
      <c r="U1346" s="5">
        <f>Final_Table[[#This Row],[Gross Profit]]-Final_Table[[#This Row],[Tax]]</f>
        <v>-2061.3599999999997</v>
      </c>
      <c r="V1346" s="12">
        <f>Final_Table[[#This Row],[Net Profit]]/Final_Table[[#This Row],[Gross Revenue]]</f>
        <v>-0.10104705882352939</v>
      </c>
    </row>
    <row r="1347" spans="1:22">
      <c r="A1347" s="18" t="s">
        <v>77</v>
      </c>
      <c r="B1347">
        <v>2014</v>
      </c>
      <c r="C1347" t="s">
        <v>128</v>
      </c>
      <c r="D1347">
        <v>1</v>
      </c>
      <c r="E1347" s="18" t="s">
        <v>16</v>
      </c>
      <c r="F1347" s="18" t="s">
        <v>114</v>
      </c>
      <c r="G1347" s="18" t="s">
        <v>36</v>
      </c>
      <c r="H1347" s="18" t="str">
        <f>Assumptions!$B$2</f>
        <v>Worst</v>
      </c>
      <c r="I1347" s="18">
        <f>_xlfn.XLOOKUP(Assumptions!$B$2,Assumptions!$F$4:$H$4,Assumptions!$F$5:$H$5)</f>
        <v>1200</v>
      </c>
      <c r="J1347" s="18">
        <f>_xlfn.XLOOKUP(Assumptions!$B$2,Assumptions!$F$4:$H$4,Assumptions!$F$6:$H$6)</f>
        <v>17</v>
      </c>
      <c r="K1347" s="12">
        <f>_xlfn.XLOOKUP(Assumptions!$B$2,Assumptions!$F$4:$H$4,Assumptions!$F$8:$H$8)</f>
        <v>0.1</v>
      </c>
      <c r="L1347" s="12">
        <f>_xlfn.XLOOKUP(Assumptions!$B$2,Assumptions!$F$4:$H$4,Assumptions!$F$9:$H$9)</f>
        <v>0.18</v>
      </c>
      <c r="M1347" s="18">
        <f>_xlfn.XLOOKUP(Assumptions!$B$2,Assumptions!$F$4:$H$4,Assumptions!$F$10:$H$10)</f>
        <v>18000</v>
      </c>
      <c r="N1347" s="12">
        <f>_xlfn.XLOOKUP(Assumptions!$B$2,Assumptions!$F$4:$H$4,Assumptions!$F$11:$H$11)</f>
        <v>0.3</v>
      </c>
      <c r="O1347" s="14">
        <f>Final_Table[[#This Row],[Units Sold]]*Final_Table[[#This Row],[Sale Price]]</f>
        <v>20400</v>
      </c>
      <c r="P1347" s="14">
        <f>Final_Table[[#This Row],[Gross Revenue]]*(1-Final_Table[[#This Row],[Discount %]])</f>
        <v>18360</v>
      </c>
      <c r="Q1347">
        <f>Final_Table[[#This Row],[Net Revenue]]*Final_Table[[#This Row],[Variable Cost %]]</f>
        <v>3304.7999999999997</v>
      </c>
      <c r="R1347">
        <f>Final_Table[[#This Row],[Variable Cost]]+Final_Table[[#This Row],[Fixed Monthly Cost]]</f>
        <v>21304.799999999999</v>
      </c>
      <c r="S1347" s="5">
        <f>Final_Table[[#This Row],[Net Revenue]]-Final_Table[[#This Row],[Total Cost (COGS)]]</f>
        <v>-2944.7999999999993</v>
      </c>
      <c r="T1347">
        <f>Final_Table[[#This Row],[Gross Profit]]*Final_Table[[#This Row],[Tax Rate]]</f>
        <v>-883.43999999999971</v>
      </c>
      <c r="U1347" s="5">
        <f>Final_Table[[#This Row],[Gross Profit]]-Final_Table[[#This Row],[Tax]]</f>
        <v>-2061.3599999999997</v>
      </c>
      <c r="V1347" s="12">
        <f>Final_Table[[#This Row],[Net Profit]]/Final_Table[[#This Row],[Gross Revenue]]</f>
        <v>-0.10104705882352939</v>
      </c>
    </row>
    <row r="1348" spans="1:22">
      <c r="A1348" s="18" t="s">
        <v>77</v>
      </c>
      <c r="B1348">
        <v>2014</v>
      </c>
      <c r="C1348" t="s">
        <v>128</v>
      </c>
      <c r="D1348">
        <v>1</v>
      </c>
      <c r="E1348" s="18" t="s">
        <v>16</v>
      </c>
      <c r="F1348" s="18" t="s">
        <v>114</v>
      </c>
      <c r="G1348" s="18" t="s">
        <v>23</v>
      </c>
      <c r="H1348" s="18" t="str">
        <f>Assumptions!$B$2</f>
        <v>Worst</v>
      </c>
      <c r="I1348" s="18">
        <f>_xlfn.XLOOKUP(Assumptions!$B$2,Assumptions!$F$4:$H$4,Assumptions!$F$5:$H$5)</f>
        <v>1200</v>
      </c>
      <c r="J1348" s="18">
        <f>_xlfn.XLOOKUP(Assumptions!$B$2,Assumptions!$F$4:$H$4,Assumptions!$F$6:$H$6)</f>
        <v>17</v>
      </c>
      <c r="K1348" s="12">
        <f>_xlfn.XLOOKUP(Assumptions!$B$2,Assumptions!$F$4:$H$4,Assumptions!$F$8:$H$8)</f>
        <v>0.1</v>
      </c>
      <c r="L1348" s="12">
        <f>_xlfn.XLOOKUP(Assumptions!$B$2,Assumptions!$F$4:$H$4,Assumptions!$F$9:$H$9)</f>
        <v>0.18</v>
      </c>
      <c r="M1348" s="18">
        <f>_xlfn.XLOOKUP(Assumptions!$B$2,Assumptions!$F$4:$H$4,Assumptions!$F$10:$H$10)</f>
        <v>18000</v>
      </c>
      <c r="N1348" s="12">
        <f>_xlfn.XLOOKUP(Assumptions!$B$2,Assumptions!$F$4:$H$4,Assumptions!$F$11:$H$11)</f>
        <v>0.3</v>
      </c>
      <c r="O1348" s="14">
        <f>Final_Table[[#This Row],[Units Sold]]*Final_Table[[#This Row],[Sale Price]]</f>
        <v>20400</v>
      </c>
      <c r="P1348" s="14">
        <f>Final_Table[[#This Row],[Gross Revenue]]*(1-Final_Table[[#This Row],[Discount %]])</f>
        <v>18360</v>
      </c>
      <c r="Q1348">
        <f>Final_Table[[#This Row],[Net Revenue]]*Final_Table[[#This Row],[Variable Cost %]]</f>
        <v>3304.7999999999997</v>
      </c>
      <c r="R1348">
        <f>Final_Table[[#This Row],[Variable Cost]]+Final_Table[[#This Row],[Fixed Monthly Cost]]</f>
        <v>21304.799999999999</v>
      </c>
      <c r="S1348" s="5">
        <f>Final_Table[[#This Row],[Net Revenue]]-Final_Table[[#This Row],[Total Cost (COGS)]]</f>
        <v>-2944.7999999999993</v>
      </c>
      <c r="T1348">
        <f>Final_Table[[#This Row],[Gross Profit]]*Final_Table[[#This Row],[Tax Rate]]</f>
        <v>-883.43999999999971</v>
      </c>
      <c r="U1348" s="5">
        <f>Final_Table[[#This Row],[Gross Profit]]-Final_Table[[#This Row],[Tax]]</f>
        <v>-2061.3599999999997</v>
      </c>
      <c r="V1348" s="12">
        <f>Final_Table[[#This Row],[Net Profit]]/Final_Table[[#This Row],[Gross Revenue]]</f>
        <v>-0.10104705882352939</v>
      </c>
    </row>
    <row r="1349" spans="1:22">
      <c r="A1349" s="18" t="s">
        <v>77</v>
      </c>
      <c r="B1349">
        <v>2014</v>
      </c>
      <c r="C1349" t="s">
        <v>128</v>
      </c>
      <c r="D1349">
        <v>1</v>
      </c>
      <c r="E1349" s="18" t="s">
        <v>16</v>
      </c>
      <c r="F1349" s="18" t="s">
        <v>114</v>
      </c>
      <c r="G1349" s="18" t="s">
        <v>21</v>
      </c>
      <c r="H1349" s="18" t="str">
        <f>Assumptions!$B$2</f>
        <v>Worst</v>
      </c>
      <c r="I1349" s="18">
        <f>_xlfn.XLOOKUP(Assumptions!$B$2,Assumptions!$F$4:$H$4,Assumptions!$F$5:$H$5)</f>
        <v>1200</v>
      </c>
      <c r="J1349" s="18">
        <f>_xlfn.XLOOKUP(Assumptions!$B$2,Assumptions!$F$4:$H$4,Assumptions!$F$6:$H$6)</f>
        <v>17</v>
      </c>
      <c r="K1349" s="12">
        <f>_xlfn.XLOOKUP(Assumptions!$B$2,Assumptions!$F$4:$H$4,Assumptions!$F$8:$H$8)</f>
        <v>0.1</v>
      </c>
      <c r="L1349" s="12">
        <f>_xlfn.XLOOKUP(Assumptions!$B$2,Assumptions!$F$4:$H$4,Assumptions!$F$9:$H$9)</f>
        <v>0.18</v>
      </c>
      <c r="M1349" s="18">
        <f>_xlfn.XLOOKUP(Assumptions!$B$2,Assumptions!$F$4:$H$4,Assumptions!$F$10:$H$10)</f>
        <v>18000</v>
      </c>
      <c r="N1349" s="12">
        <f>_xlfn.XLOOKUP(Assumptions!$B$2,Assumptions!$F$4:$H$4,Assumptions!$F$11:$H$11)</f>
        <v>0.3</v>
      </c>
      <c r="O1349" s="14">
        <f>Final_Table[[#This Row],[Units Sold]]*Final_Table[[#This Row],[Sale Price]]</f>
        <v>20400</v>
      </c>
      <c r="P1349" s="14">
        <f>Final_Table[[#This Row],[Gross Revenue]]*(1-Final_Table[[#This Row],[Discount %]])</f>
        <v>18360</v>
      </c>
      <c r="Q1349">
        <f>Final_Table[[#This Row],[Net Revenue]]*Final_Table[[#This Row],[Variable Cost %]]</f>
        <v>3304.7999999999997</v>
      </c>
      <c r="R1349">
        <f>Final_Table[[#This Row],[Variable Cost]]+Final_Table[[#This Row],[Fixed Monthly Cost]]</f>
        <v>21304.799999999999</v>
      </c>
      <c r="S1349" s="5">
        <f>Final_Table[[#This Row],[Net Revenue]]-Final_Table[[#This Row],[Total Cost (COGS)]]</f>
        <v>-2944.7999999999993</v>
      </c>
      <c r="T1349">
        <f>Final_Table[[#This Row],[Gross Profit]]*Final_Table[[#This Row],[Tax Rate]]</f>
        <v>-883.43999999999971</v>
      </c>
      <c r="U1349" s="5">
        <f>Final_Table[[#This Row],[Gross Profit]]-Final_Table[[#This Row],[Tax]]</f>
        <v>-2061.3599999999997</v>
      </c>
      <c r="V1349" s="12">
        <f>Final_Table[[#This Row],[Net Profit]]/Final_Table[[#This Row],[Gross Revenue]]</f>
        <v>-0.10104705882352939</v>
      </c>
    </row>
    <row r="1350" spans="1:22">
      <c r="A1350" s="18" t="s">
        <v>77</v>
      </c>
      <c r="B1350">
        <v>2014</v>
      </c>
      <c r="C1350" t="s">
        <v>128</v>
      </c>
      <c r="D1350">
        <v>1</v>
      </c>
      <c r="E1350" s="18" t="s">
        <v>16</v>
      </c>
      <c r="F1350" s="18" t="s">
        <v>114</v>
      </c>
      <c r="G1350" s="18" t="s">
        <v>25</v>
      </c>
      <c r="H1350" s="18" t="str">
        <f>Assumptions!$B$2</f>
        <v>Worst</v>
      </c>
      <c r="I1350" s="18">
        <f>_xlfn.XLOOKUP(Assumptions!$B$2,Assumptions!$F$4:$H$4,Assumptions!$F$5:$H$5)</f>
        <v>1200</v>
      </c>
      <c r="J1350" s="18">
        <f>_xlfn.XLOOKUP(Assumptions!$B$2,Assumptions!$F$4:$H$4,Assumptions!$F$6:$H$6)</f>
        <v>17</v>
      </c>
      <c r="K1350" s="12">
        <f>_xlfn.XLOOKUP(Assumptions!$B$2,Assumptions!$F$4:$H$4,Assumptions!$F$8:$H$8)</f>
        <v>0.1</v>
      </c>
      <c r="L1350" s="12">
        <f>_xlfn.XLOOKUP(Assumptions!$B$2,Assumptions!$F$4:$H$4,Assumptions!$F$9:$H$9)</f>
        <v>0.18</v>
      </c>
      <c r="M1350" s="18">
        <f>_xlfn.XLOOKUP(Assumptions!$B$2,Assumptions!$F$4:$H$4,Assumptions!$F$10:$H$10)</f>
        <v>18000</v>
      </c>
      <c r="N1350" s="12">
        <f>_xlfn.XLOOKUP(Assumptions!$B$2,Assumptions!$F$4:$H$4,Assumptions!$F$11:$H$11)</f>
        <v>0.3</v>
      </c>
      <c r="O1350" s="14">
        <f>Final_Table[[#This Row],[Units Sold]]*Final_Table[[#This Row],[Sale Price]]</f>
        <v>20400</v>
      </c>
      <c r="P1350" s="14">
        <f>Final_Table[[#This Row],[Gross Revenue]]*(1-Final_Table[[#This Row],[Discount %]])</f>
        <v>18360</v>
      </c>
      <c r="Q1350">
        <f>Final_Table[[#This Row],[Net Revenue]]*Final_Table[[#This Row],[Variable Cost %]]</f>
        <v>3304.7999999999997</v>
      </c>
      <c r="R1350">
        <f>Final_Table[[#This Row],[Variable Cost]]+Final_Table[[#This Row],[Fixed Monthly Cost]]</f>
        <v>21304.799999999999</v>
      </c>
      <c r="S1350" s="5">
        <f>Final_Table[[#This Row],[Net Revenue]]-Final_Table[[#This Row],[Total Cost (COGS)]]</f>
        <v>-2944.7999999999993</v>
      </c>
      <c r="T1350">
        <f>Final_Table[[#This Row],[Gross Profit]]*Final_Table[[#This Row],[Tax Rate]]</f>
        <v>-883.43999999999971</v>
      </c>
      <c r="U1350" s="5">
        <f>Final_Table[[#This Row],[Gross Profit]]-Final_Table[[#This Row],[Tax]]</f>
        <v>-2061.3599999999997</v>
      </c>
      <c r="V1350" s="12">
        <f>Final_Table[[#This Row],[Net Profit]]/Final_Table[[#This Row],[Gross Revenue]]</f>
        <v>-0.10104705882352939</v>
      </c>
    </row>
    <row r="1351" spans="1:22">
      <c r="A1351" s="18" t="s">
        <v>77</v>
      </c>
      <c r="B1351">
        <v>2014</v>
      </c>
      <c r="C1351" t="s">
        <v>128</v>
      </c>
      <c r="D1351">
        <v>1</v>
      </c>
      <c r="E1351" s="18" t="s">
        <v>16</v>
      </c>
      <c r="F1351" s="18" t="s">
        <v>114</v>
      </c>
      <c r="G1351" s="18" t="s">
        <v>17</v>
      </c>
      <c r="H1351" s="18" t="str">
        <f>Assumptions!$B$2</f>
        <v>Worst</v>
      </c>
      <c r="I1351" s="18">
        <f>_xlfn.XLOOKUP(Assumptions!$B$2,Assumptions!$F$4:$H$4,Assumptions!$F$5:$H$5)</f>
        <v>1200</v>
      </c>
      <c r="J1351" s="18">
        <f>_xlfn.XLOOKUP(Assumptions!$B$2,Assumptions!$F$4:$H$4,Assumptions!$F$6:$H$6)</f>
        <v>17</v>
      </c>
      <c r="K1351" s="12">
        <f>_xlfn.XLOOKUP(Assumptions!$B$2,Assumptions!$F$4:$H$4,Assumptions!$F$8:$H$8)</f>
        <v>0.1</v>
      </c>
      <c r="L1351" s="12">
        <f>_xlfn.XLOOKUP(Assumptions!$B$2,Assumptions!$F$4:$H$4,Assumptions!$F$9:$H$9)</f>
        <v>0.18</v>
      </c>
      <c r="M1351" s="18">
        <f>_xlfn.XLOOKUP(Assumptions!$B$2,Assumptions!$F$4:$H$4,Assumptions!$F$10:$H$10)</f>
        <v>18000</v>
      </c>
      <c r="N1351" s="12">
        <f>_xlfn.XLOOKUP(Assumptions!$B$2,Assumptions!$F$4:$H$4,Assumptions!$F$11:$H$11)</f>
        <v>0.3</v>
      </c>
      <c r="O1351" s="14">
        <f>Final_Table[[#This Row],[Units Sold]]*Final_Table[[#This Row],[Sale Price]]</f>
        <v>20400</v>
      </c>
      <c r="P1351" s="14">
        <f>Final_Table[[#This Row],[Gross Revenue]]*(1-Final_Table[[#This Row],[Discount %]])</f>
        <v>18360</v>
      </c>
      <c r="Q1351">
        <f>Final_Table[[#This Row],[Net Revenue]]*Final_Table[[#This Row],[Variable Cost %]]</f>
        <v>3304.7999999999997</v>
      </c>
      <c r="R1351">
        <f>Final_Table[[#This Row],[Variable Cost]]+Final_Table[[#This Row],[Fixed Monthly Cost]]</f>
        <v>21304.799999999999</v>
      </c>
      <c r="S1351" s="5">
        <f>Final_Table[[#This Row],[Net Revenue]]-Final_Table[[#This Row],[Total Cost (COGS)]]</f>
        <v>-2944.7999999999993</v>
      </c>
      <c r="T1351">
        <f>Final_Table[[#This Row],[Gross Profit]]*Final_Table[[#This Row],[Tax Rate]]</f>
        <v>-883.43999999999971</v>
      </c>
      <c r="U1351" s="5">
        <f>Final_Table[[#This Row],[Gross Profit]]-Final_Table[[#This Row],[Tax]]</f>
        <v>-2061.3599999999997</v>
      </c>
      <c r="V1351" s="12">
        <f>Final_Table[[#This Row],[Net Profit]]/Final_Table[[#This Row],[Gross Revenue]]</f>
        <v>-0.10104705882352939</v>
      </c>
    </row>
    <row r="1352" spans="1:22">
      <c r="A1352" s="18" t="s">
        <v>77</v>
      </c>
      <c r="B1352">
        <v>2014</v>
      </c>
      <c r="C1352" t="s">
        <v>128</v>
      </c>
      <c r="D1352">
        <v>1</v>
      </c>
      <c r="E1352" s="18" t="s">
        <v>32</v>
      </c>
      <c r="F1352" s="18" t="s">
        <v>80</v>
      </c>
      <c r="G1352" s="18" t="s">
        <v>36</v>
      </c>
      <c r="H1352" s="18" t="str">
        <f>Assumptions!$B$2</f>
        <v>Worst</v>
      </c>
      <c r="I1352" s="18">
        <f>_xlfn.XLOOKUP(Assumptions!$B$2,Assumptions!$F$4:$H$4,Assumptions!$F$5:$H$5)</f>
        <v>1200</v>
      </c>
      <c r="J1352" s="18">
        <f>_xlfn.XLOOKUP(Assumptions!$B$2,Assumptions!$F$4:$H$4,Assumptions!$F$6:$H$6)</f>
        <v>17</v>
      </c>
      <c r="K1352" s="12">
        <f>_xlfn.XLOOKUP(Assumptions!$B$2,Assumptions!$F$4:$H$4,Assumptions!$F$8:$H$8)</f>
        <v>0.1</v>
      </c>
      <c r="L1352" s="12">
        <f>_xlfn.XLOOKUP(Assumptions!$B$2,Assumptions!$F$4:$H$4,Assumptions!$F$9:$H$9)</f>
        <v>0.18</v>
      </c>
      <c r="M1352" s="18">
        <f>_xlfn.XLOOKUP(Assumptions!$B$2,Assumptions!$F$4:$H$4,Assumptions!$F$10:$H$10)</f>
        <v>18000</v>
      </c>
      <c r="N1352" s="12">
        <f>_xlfn.XLOOKUP(Assumptions!$B$2,Assumptions!$F$4:$H$4,Assumptions!$F$11:$H$11)</f>
        <v>0.3</v>
      </c>
      <c r="O1352" s="14">
        <f>Final_Table[[#This Row],[Units Sold]]*Final_Table[[#This Row],[Sale Price]]</f>
        <v>20400</v>
      </c>
      <c r="P1352" s="14">
        <f>Final_Table[[#This Row],[Gross Revenue]]*(1-Final_Table[[#This Row],[Discount %]])</f>
        <v>18360</v>
      </c>
      <c r="Q1352">
        <f>Final_Table[[#This Row],[Net Revenue]]*Final_Table[[#This Row],[Variable Cost %]]</f>
        <v>3304.7999999999997</v>
      </c>
      <c r="R1352">
        <f>Final_Table[[#This Row],[Variable Cost]]+Final_Table[[#This Row],[Fixed Monthly Cost]]</f>
        <v>21304.799999999999</v>
      </c>
      <c r="S1352" s="5">
        <f>Final_Table[[#This Row],[Net Revenue]]-Final_Table[[#This Row],[Total Cost (COGS)]]</f>
        <v>-2944.7999999999993</v>
      </c>
      <c r="T1352">
        <f>Final_Table[[#This Row],[Gross Profit]]*Final_Table[[#This Row],[Tax Rate]]</f>
        <v>-883.43999999999971</v>
      </c>
      <c r="U1352" s="5">
        <f>Final_Table[[#This Row],[Gross Profit]]-Final_Table[[#This Row],[Tax]]</f>
        <v>-2061.3599999999997</v>
      </c>
      <c r="V1352" s="12">
        <f>Final_Table[[#This Row],[Net Profit]]/Final_Table[[#This Row],[Gross Revenue]]</f>
        <v>-0.10104705882352939</v>
      </c>
    </row>
    <row r="1353" spans="1:22">
      <c r="A1353" s="18" t="s">
        <v>77</v>
      </c>
      <c r="B1353">
        <v>2014</v>
      </c>
      <c r="C1353" t="s">
        <v>128</v>
      </c>
      <c r="D1353">
        <v>1</v>
      </c>
      <c r="E1353" s="18" t="s">
        <v>32</v>
      </c>
      <c r="F1353" s="18" t="s">
        <v>80</v>
      </c>
      <c r="G1353" s="18" t="s">
        <v>23</v>
      </c>
      <c r="H1353" s="18" t="str">
        <f>Assumptions!$B$2</f>
        <v>Worst</v>
      </c>
      <c r="I1353" s="18">
        <f>_xlfn.XLOOKUP(Assumptions!$B$2,Assumptions!$F$4:$H$4,Assumptions!$F$5:$H$5)</f>
        <v>1200</v>
      </c>
      <c r="J1353" s="18">
        <f>_xlfn.XLOOKUP(Assumptions!$B$2,Assumptions!$F$4:$H$4,Assumptions!$F$6:$H$6)</f>
        <v>17</v>
      </c>
      <c r="K1353" s="12">
        <f>_xlfn.XLOOKUP(Assumptions!$B$2,Assumptions!$F$4:$H$4,Assumptions!$F$8:$H$8)</f>
        <v>0.1</v>
      </c>
      <c r="L1353" s="12">
        <f>_xlfn.XLOOKUP(Assumptions!$B$2,Assumptions!$F$4:$H$4,Assumptions!$F$9:$H$9)</f>
        <v>0.18</v>
      </c>
      <c r="M1353" s="18">
        <f>_xlfn.XLOOKUP(Assumptions!$B$2,Assumptions!$F$4:$H$4,Assumptions!$F$10:$H$10)</f>
        <v>18000</v>
      </c>
      <c r="N1353" s="12">
        <f>_xlfn.XLOOKUP(Assumptions!$B$2,Assumptions!$F$4:$H$4,Assumptions!$F$11:$H$11)</f>
        <v>0.3</v>
      </c>
      <c r="O1353" s="14">
        <f>Final_Table[[#This Row],[Units Sold]]*Final_Table[[#This Row],[Sale Price]]</f>
        <v>20400</v>
      </c>
      <c r="P1353" s="14">
        <f>Final_Table[[#This Row],[Gross Revenue]]*(1-Final_Table[[#This Row],[Discount %]])</f>
        <v>18360</v>
      </c>
      <c r="Q1353">
        <f>Final_Table[[#This Row],[Net Revenue]]*Final_Table[[#This Row],[Variable Cost %]]</f>
        <v>3304.7999999999997</v>
      </c>
      <c r="R1353">
        <f>Final_Table[[#This Row],[Variable Cost]]+Final_Table[[#This Row],[Fixed Monthly Cost]]</f>
        <v>21304.799999999999</v>
      </c>
      <c r="S1353" s="5">
        <f>Final_Table[[#This Row],[Net Revenue]]-Final_Table[[#This Row],[Total Cost (COGS)]]</f>
        <v>-2944.7999999999993</v>
      </c>
      <c r="T1353">
        <f>Final_Table[[#This Row],[Gross Profit]]*Final_Table[[#This Row],[Tax Rate]]</f>
        <v>-883.43999999999971</v>
      </c>
      <c r="U1353" s="5">
        <f>Final_Table[[#This Row],[Gross Profit]]-Final_Table[[#This Row],[Tax]]</f>
        <v>-2061.3599999999997</v>
      </c>
      <c r="V1353" s="12">
        <f>Final_Table[[#This Row],[Net Profit]]/Final_Table[[#This Row],[Gross Revenue]]</f>
        <v>-0.10104705882352939</v>
      </c>
    </row>
    <row r="1354" spans="1:22">
      <c r="A1354" s="18" t="s">
        <v>77</v>
      </c>
      <c r="B1354">
        <v>2014</v>
      </c>
      <c r="C1354" t="s">
        <v>128</v>
      </c>
      <c r="D1354">
        <v>1</v>
      </c>
      <c r="E1354" s="18" t="s">
        <v>32</v>
      </c>
      <c r="F1354" s="18" t="s">
        <v>80</v>
      </c>
      <c r="G1354" s="18" t="s">
        <v>21</v>
      </c>
      <c r="H1354" s="18" t="str">
        <f>Assumptions!$B$2</f>
        <v>Worst</v>
      </c>
      <c r="I1354" s="18">
        <f>_xlfn.XLOOKUP(Assumptions!$B$2,Assumptions!$F$4:$H$4,Assumptions!$F$5:$H$5)</f>
        <v>1200</v>
      </c>
      <c r="J1354" s="18">
        <f>_xlfn.XLOOKUP(Assumptions!$B$2,Assumptions!$F$4:$H$4,Assumptions!$F$6:$H$6)</f>
        <v>17</v>
      </c>
      <c r="K1354" s="12">
        <f>_xlfn.XLOOKUP(Assumptions!$B$2,Assumptions!$F$4:$H$4,Assumptions!$F$8:$H$8)</f>
        <v>0.1</v>
      </c>
      <c r="L1354" s="12">
        <f>_xlfn.XLOOKUP(Assumptions!$B$2,Assumptions!$F$4:$H$4,Assumptions!$F$9:$H$9)</f>
        <v>0.18</v>
      </c>
      <c r="M1354" s="18">
        <f>_xlfn.XLOOKUP(Assumptions!$B$2,Assumptions!$F$4:$H$4,Assumptions!$F$10:$H$10)</f>
        <v>18000</v>
      </c>
      <c r="N1354" s="12">
        <f>_xlfn.XLOOKUP(Assumptions!$B$2,Assumptions!$F$4:$H$4,Assumptions!$F$11:$H$11)</f>
        <v>0.3</v>
      </c>
      <c r="O1354" s="14">
        <f>Final_Table[[#This Row],[Units Sold]]*Final_Table[[#This Row],[Sale Price]]</f>
        <v>20400</v>
      </c>
      <c r="P1354" s="14">
        <f>Final_Table[[#This Row],[Gross Revenue]]*(1-Final_Table[[#This Row],[Discount %]])</f>
        <v>18360</v>
      </c>
      <c r="Q1354">
        <f>Final_Table[[#This Row],[Net Revenue]]*Final_Table[[#This Row],[Variable Cost %]]</f>
        <v>3304.7999999999997</v>
      </c>
      <c r="R1354">
        <f>Final_Table[[#This Row],[Variable Cost]]+Final_Table[[#This Row],[Fixed Monthly Cost]]</f>
        <v>21304.799999999999</v>
      </c>
      <c r="S1354" s="5">
        <f>Final_Table[[#This Row],[Net Revenue]]-Final_Table[[#This Row],[Total Cost (COGS)]]</f>
        <v>-2944.7999999999993</v>
      </c>
      <c r="T1354">
        <f>Final_Table[[#This Row],[Gross Profit]]*Final_Table[[#This Row],[Tax Rate]]</f>
        <v>-883.43999999999971</v>
      </c>
      <c r="U1354" s="5">
        <f>Final_Table[[#This Row],[Gross Profit]]-Final_Table[[#This Row],[Tax]]</f>
        <v>-2061.3599999999997</v>
      </c>
      <c r="V1354" s="12">
        <f>Final_Table[[#This Row],[Net Profit]]/Final_Table[[#This Row],[Gross Revenue]]</f>
        <v>-0.10104705882352939</v>
      </c>
    </row>
    <row r="1355" spans="1:22">
      <c r="A1355" s="18" t="s">
        <v>77</v>
      </c>
      <c r="B1355">
        <v>2014</v>
      </c>
      <c r="C1355" t="s">
        <v>128</v>
      </c>
      <c r="D1355">
        <v>1</v>
      </c>
      <c r="E1355" s="18" t="s">
        <v>32</v>
      </c>
      <c r="F1355" s="18" t="s">
        <v>80</v>
      </c>
      <c r="G1355" s="18" t="s">
        <v>25</v>
      </c>
      <c r="H1355" s="18" t="str">
        <f>Assumptions!$B$2</f>
        <v>Worst</v>
      </c>
      <c r="I1355" s="18">
        <f>_xlfn.XLOOKUP(Assumptions!$B$2,Assumptions!$F$4:$H$4,Assumptions!$F$5:$H$5)</f>
        <v>1200</v>
      </c>
      <c r="J1355" s="18">
        <f>_xlfn.XLOOKUP(Assumptions!$B$2,Assumptions!$F$4:$H$4,Assumptions!$F$6:$H$6)</f>
        <v>17</v>
      </c>
      <c r="K1355" s="12">
        <f>_xlfn.XLOOKUP(Assumptions!$B$2,Assumptions!$F$4:$H$4,Assumptions!$F$8:$H$8)</f>
        <v>0.1</v>
      </c>
      <c r="L1355" s="12">
        <f>_xlfn.XLOOKUP(Assumptions!$B$2,Assumptions!$F$4:$H$4,Assumptions!$F$9:$H$9)</f>
        <v>0.18</v>
      </c>
      <c r="M1355" s="18">
        <f>_xlfn.XLOOKUP(Assumptions!$B$2,Assumptions!$F$4:$H$4,Assumptions!$F$10:$H$10)</f>
        <v>18000</v>
      </c>
      <c r="N1355" s="12">
        <f>_xlfn.XLOOKUP(Assumptions!$B$2,Assumptions!$F$4:$H$4,Assumptions!$F$11:$H$11)</f>
        <v>0.3</v>
      </c>
      <c r="O1355" s="14">
        <f>Final_Table[[#This Row],[Units Sold]]*Final_Table[[#This Row],[Sale Price]]</f>
        <v>20400</v>
      </c>
      <c r="P1355" s="14">
        <f>Final_Table[[#This Row],[Gross Revenue]]*(1-Final_Table[[#This Row],[Discount %]])</f>
        <v>18360</v>
      </c>
      <c r="Q1355">
        <f>Final_Table[[#This Row],[Net Revenue]]*Final_Table[[#This Row],[Variable Cost %]]</f>
        <v>3304.7999999999997</v>
      </c>
      <c r="R1355">
        <f>Final_Table[[#This Row],[Variable Cost]]+Final_Table[[#This Row],[Fixed Monthly Cost]]</f>
        <v>21304.799999999999</v>
      </c>
      <c r="S1355" s="5">
        <f>Final_Table[[#This Row],[Net Revenue]]-Final_Table[[#This Row],[Total Cost (COGS)]]</f>
        <v>-2944.7999999999993</v>
      </c>
      <c r="T1355">
        <f>Final_Table[[#This Row],[Gross Profit]]*Final_Table[[#This Row],[Tax Rate]]</f>
        <v>-883.43999999999971</v>
      </c>
      <c r="U1355" s="5">
        <f>Final_Table[[#This Row],[Gross Profit]]-Final_Table[[#This Row],[Tax]]</f>
        <v>-2061.3599999999997</v>
      </c>
      <c r="V1355" s="12">
        <f>Final_Table[[#This Row],[Net Profit]]/Final_Table[[#This Row],[Gross Revenue]]</f>
        <v>-0.10104705882352939</v>
      </c>
    </row>
    <row r="1356" spans="1:22">
      <c r="A1356" s="18" t="s">
        <v>77</v>
      </c>
      <c r="B1356">
        <v>2014</v>
      </c>
      <c r="C1356" t="s">
        <v>128</v>
      </c>
      <c r="D1356">
        <v>1</v>
      </c>
      <c r="E1356" s="18" t="s">
        <v>32</v>
      </c>
      <c r="F1356" s="18" t="s">
        <v>80</v>
      </c>
      <c r="G1356" s="18" t="s">
        <v>17</v>
      </c>
      <c r="H1356" s="18" t="str">
        <f>Assumptions!$B$2</f>
        <v>Worst</v>
      </c>
      <c r="I1356" s="18">
        <f>_xlfn.XLOOKUP(Assumptions!$B$2,Assumptions!$F$4:$H$4,Assumptions!$F$5:$H$5)</f>
        <v>1200</v>
      </c>
      <c r="J1356" s="18">
        <f>_xlfn.XLOOKUP(Assumptions!$B$2,Assumptions!$F$4:$H$4,Assumptions!$F$6:$H$6)</f>
        <v>17</v>
      </c>
      <c r="K1356" s="12">
        <f>_xlfn.XLOOKUP(Assumptions!$B$2,Assumptions!$F$4:$H$4,Assumptions!$F$8:$H$8)</f>
        <v>0.1</v>
      </c>
      <c r="L1356" s="12">
        <f>_xlfn.XLOOKUP(Assumptions!$B$2,Assumptions!$F$4:$H$4,Assumptions!$F$9:$H$9)</f>
        <v>0.18</v>
      </c>
      <c r="M1356" s="18">
        <f>_xlfn.XLOOKUP(Assumptions!$B$2,Assumptions!$F$4:$H$4,Assumptions!$F$10:$H$10)</f>
        <v>18000</v>
      </c>
      <c r="N1356" s="12">
        <f>_xlfn.XLOOKUP(Assumptions!$B$2,Assumptions!$F$4:$H$4,Assumptions!$F$11:$H$11)</f>
        <v>0.3</v>
      </c>
      <c r="O1356" s="14">
        <f>Final_Table[[#This Row],[Units Sold]]*Final_Table[[#This Row],[Sale Price]]</f>
        <v>20400</v>
      </c>
      <c r="P1356" s="14">
        <f>Final_Table[[#This Row],[Gross Revenue]]*(1-Final_Table[[#This Row],[Discount %]])</f>
        <v>18360</v>
      </c>
      <c r="Q1356">
        <f>Final_Table[[#This Row],[Net Revenue]]*Final_Table[[#This Row],[Variable Cost %]]</f>
        <v>3304.7999999999997</v>
      </c>
      <c r="R1356">
        <f>Final_Table[[#This Row],[Variable Cost]]+Final_Table[[#This Row],[Fixed Monthly Cost]]</f>
        <v>21304.799999999999</v>
      </c>
      <c r="S1356" s="5">
        <f>Final_Table[[#This Row],[Net Revenue]]-Final_Table[[#This Row],[Total Cost (COGS)]]</f>
        <v>-2944.7999999999993</v>
      </c>
      <c r="T1356">
        <f>Final_Table[[#This Row],[Gross Profit]]*Final_Table[[#This Row],[Tax Rate]]</f>
        <v>-883.43999999999971</v>
      </c>
      <c r="U1356" s="5">
        <f>Final_Table[[#This Row],[Gross Profit]]-Final_Table[[#This Row],[Tax]]</f>
        <v>-2061.3599999999997</v>
      </c>
      <c r="V1356" s="12">
        <f>Final_Table[[#This Row],[Net Profit]]/Final_Table[[#This Row],[Gross Revenue]]</f>
        <v>-0.10104705882352939</v>
      </c>
    </row>
    <row r="1357" spans="1:22">
      <c r="A1357" s="18" t="s">
        <v>77</v>
      </c>
      <c r="B1357">
        <v>2014</v>
      </c>
      <c r="C1357" t="s">
        <v>128</v>
      </c>
      <c r="D1357">
        <v>1</v>
      </c>
      <c r="E1357" s="18" t="s">
        <v>32</v>
      </c>
      <c r="F1357" s="18" t="s">
        <v>108</v>
      </c>
      <c r="G1357" s="18" t="s">
        <v>36</v>
      </c>
      <c r="H1357" s="18" t="str">
        <f>Assumptions!$B$2</f>
        <v>Worst</v>
      </c>
      <c r="I1357" s="18">
        <f>_xlfn.XLOOKUP(Assumptions!$B$2,Assumptions!$F$4:$H$4,Assumptions!$F$5:$H$5)</f>
        <v>1200</v>
      </c>
      <c r="J1357" s="18">
        <f>_xlfn.XLOOKUP(Assumptions!$B$2,Assumptions!$F$4:$H$4,Assumptions!$F$6:$H$6)</f>
        <v>17</v>
      </c>
      <c r="K1357" s="12">
        <f>_xlfn.XLOOKUP(Assumptions!$B$2,Assumptions!$F$4:$H$4,Assumptions!$F$8:$H$8)</f>
        <v>0.1</v>
      </c>
      <c r="L1357" s="12">
        <f>_xlfn.XLOOKUP(Assumptions!$B$2,Assumptions!$F$4:$H$4,Assumptions!$F$9:$H$9)</f>
        <v>0.18</v>
      </c>
      <c r="M1357" s="18">
        <f>_xlfn.XLOOKUP(Assumptions!$B$2,Assumptions!$F$4:$H$4,Assumptions!$F$10:$H$10)</f>
        <v>18000</v>
      </c>
      <c r="N1357" s="12">
        <f>_xlfn.XLOOKUP(Assumptions!$B$2,Assumptions!$F$4:$H$4,Assumptions!$F$11:$H$11)</f>
        <v>0.3</v>
      </c>
      <c r="O1357" s="14">
        <f>Final_Table[[#This Row],[Units Sold]]*Final_Table[[#This Row],[Sale Price]]</f>
        <v>20400</v>
      </c>
      <c r="P1357" s="14">
        <f>Final_Table[[#This Row],[Gross Revenue]]*(1-Final_Table[[#This Row],[Discount %]])</f>
        <v>18360</v>
      </c>
      <c r="Q1357">
        <f>Final_Table[[#This Row],[Net Revenue]]*Final_Table[[#This Row],[Variable Cost %]]</f>
        <v>3304.7999999999997</v>
      </c>
      <c r="R1357">
        <f>Final_Table[[#This Row],[Variable Cost]]+Final_Table[[#This Row],[Fixed Monthly Cost]]</f>
        <v>21304.799999999999</v>
      </c>
      <c r="S1357" s="5">
        <f>Final_Table[[#This Row],[Net Revenue]]-Final_Table[[#This Row],[Total Cost (COGS)]]</f>
        <v>-2944.7999999999993</v>
      </c>
      <c r="T1357">
        <f>Final_Table[[#This Row],[Gross Profit]]*Final_Table[[#This Row],[Tax Rate]]</f>
        <v>-883.43999999999971</v>
      </c>
      <c r="U1357" s="5">
        <f>Final_Table[[#This Row],[Gross Profit]]-Final_Table[[#This Row],[Tax]]</f>
        <v>-2061.3599999999997</v>
      </c>
      <c r="V1357" s="12">
        <f>Final_Table[[#This Row],[Net Profit]]/Final_Table[[#This Row],[Gross Revenue]]</f>
        <v>-0.10104705882352939</v>
      </c>
    </row>
    <row r="1358" spans="1:22">
      <c r="A1358" s="18" t="s">
        <v>77</v>
      </c>
      <c r="B1358">
        <v>2014</v>
      </c>
      <c r="C1358" t="s">
        <v>128</v>
      </c>
      <c r="D1358">
        <v>1</v>
      </c>
      <c r="E1358" s="18" t="s">
        <v>32</v>
      </c>
      <c r="F1358" s="18" t="s">
        <v>108</v>
      </c>
      <c r="G1358" s="18" t="s">
        <v>23</v>
      </c>
      <c r="H1358" s="18" t="str">
        <f>Assumptions!$B$2</f>
        <v>Worst</v>
      </c>
      <c r="I1358" s="18">
        <f>_xlfn.XLOOKUP(Assumptions!$B$2,Assumptions!$F$4:$H$4,Assumptions!$F$5:$H$5)</f>
        <v>1200</v>
      </c>
      <c r="J1358" s="18">
        <f>_xlfn.XLOOKUP(Assumptions!$B$2,Assumptions!$F$4:$H$4,Assumptions!$F$6:$H$6)</f>
        <v>17</v>
      </c>
      <c r="K1358" s="12">
        <f>_xlfn.XLOOKUP(Assumptions!$B$2,Assumptions!$F$4:$H$4,Assumptions!$F$8:$H$8)</f>
        <v>0.1</v>
      </c>
      <c r="L1358" s="12">
        <f>_xlfn.XLOOKUP(Assumptions!$B$2,Assumptions!$F$4:$H$4,Assumptions!$F$9:$H$9)</f>
        <v>0.18</v>
      </c>
      <c r="M1358" s="18">
        <f>_xlfn.XLOOKUP(Assumptions!$B$2,Assumptions!$F$4:$H$4,Assumptions!$F$10:$H$10)</f>
        <v>18000</v>
      </c>
      <c r="N1358" s="12">
        <f>_xlfn.XLOOKUP(Assumptions!$B$2,Assumptions!$F$4:$H$4,Assumptions!$F$11:$H$11)</f>
        <v>0.3</v>
      </c>
      <c r="O1358" s="14">
        <f>Final_Table[[#This Row],[Units Sold]]*Final_Table[[#This Row],[Sale Price]]</f>
        <v>20400</v>
      </c>
      <c r="P1358" s="14">
        <f>Final_Table[[#This Row],[Gross Revenue]]*(1-Final_Table[[#This Row],[Discount %]])</f>
        <v>18360</v>
      </c>
      <c r="Q1358">
        <f>Final_Table[[#This Row],[Net Revenue]]*Final_Table[[#This Row],[Variable Cost %]]</f>
        <v>3304.7999999999997</v>
      </c>
      <c r="R1358">
        <f>Final_Table[[#This Row],[Variable Cost]]+Final_Table[[#This Row],[Fixed Monthly Cost]]</f>
        <v>21304.799999999999</v>
      </c>
      <c r="S1358" s="5">
        <f>Final_Table[[#This Row],[Net Revenue]]-Final_Table[[#This Row],[Total Cost (COGS)]]</f>
        <v>-2944.7999999999993</v>
      </c>
      <c r="T1358">
        <f>Final_Table[[#This Row],[Gross Profit]]*Final_Table[[#This Row],[Tax Rate]]</f>
        <v>-883.43999999999971</v>
      </c>
      <c r="U1358" s="5">
        <f>Final_Table[[#This Row],[Gross Profit]]-Final_Table[[#This Row],[Tax]]</f>
        <v>-2061.3599999999997</v>
      </c>
      <c r="V1358" s="12">
        <f>Final_Table[[#This Row],[Net Profit]]/Final_Table[[#This Row],[Gross Revenue]]</f>
        <v>-0.10104705882352939</v>
      </c>
    </row>
    <row r="1359" spans="1:22">
      <c r="A1359" s="18" t="s">
        <v>77</v>
      </c>
      <c r="B1359">
        <v>2014</v>
      </c>
      <c r="C1359" t="s">
        <v>128</v>
      </c>
      <c r="D1359">
        <v>1</v>
      </c>
      <c r="E1359" s="18" t="s">
        <v>32</v>
      </c>
      <c r="F1359" s="18" t="s">
        <v>108</v>
      </c>
      <c r="G1359" s="18" t="s">
        <v>21</v>
      </c>
      <c r="H1359" s="18" t="str">
        <f>Assumptions!$B$2</f>
        <v>Worst</v>
      </c>
      <c r="I1359" s="18">
        <f>_xlfn.XLOOKUP(Assumptions!$B$2,Assumptions!$F$4:$H$4,Assumptions!$F$5:$H$5)</f>
        <v>1200</v>
      </c>
      <c r="J1359" s="18">
        <f>_xlfn.XLOOKUP(Assumptions!$B$2,Assumptions!$F$4:$H$4,Assumptions!$F$6:$H$6)</f>
        <v>17</v>
      </c>
      <c r="K1359" s="12">
        <f>_xlfn.XLOOKUP(Assumptions!$B$2,Assumptions!$F$4:$H$4,Assumptions!$F$8:$H$8)</f>
        <v>0.1</v>
      </c>
      <c r="L1359" s="12">
        <f>_xlfn.XLOOKUP(Assumptions!$B$2,Assumptions!$F$4:$H$4,Assumptions!$F$9:$H$9)</f>
        <v>0.18</v>
      </c>
      <c r="M1359" s="18">
        <f>_xlfn.XLOOKUP(Assumptions!$B$2,Assumptions!$F$4:$H$4,Assumptions!$F$10:$H$10)</f>
        <v>18000</v>
      </c>
      <c r="N1359" s="12">
        <f>_xlfn.XLOOKUP(Assumptions!$B$2,Assumptions!$F$4:$H$4,Assumptions!$F$11:$H$11)</f>
        <v>0.3</v>
      </c>
      <c r="O1359" s="14">
        <f>Final_Table[[#This Row],[Units Sold]]*Final_Table[[#This Row],[Sale Price]]</f>
        <v>20400</v>
      </c>
      <c r="P1359" s="14">
        <f>Final_Table[[#This Row],[Gross Revenue]]*(1-Final_Table[[#This Row],[Discount %]])</f>
        <v>18360</v>
      </c>
      <c r="Q1359">
        <f>Final_Table[[#This Row],[Net Revenue]]*Final_Table[[#This Row],[Variable Cost %]]</f>
        <v>3304.7999999999997</v>
      </c>
      <c r="R1359">
        <f>Final_Table[[#This Row],[Variable Cost]]+Final_Table[[#This Row],[Fixed Monthly Cost]]</f>
        <v>21304.799999999999</v>
      </c>
      <c r="S1359" s="5">
        <f>Final_Table[[#This Row],[Net Revenue]]-Final_Table[[#This Row],[Total Cost (COGS)]]</f>
        <v>-2944.7999999999993</v>
      </c>
      <c r="T1359">
        <f>Final_Table[[#This Row],[Gross Profit]]*Final_Table[[#This Row],[Tax Rate]]</f>
        <v>-883.43999999999971</v>
      </c>
      <c r="U1359" s="5">
        <f>Final_Table[[#This Row],[Gross Profit]]-Final_Table[[#This Row],[Tax]]</f>
        <v>-2061.3599999999997</v>
      </c>
      <c r="V1359" s="12">
        <f>Final_Table[[#This Row],[Net Profit]]/Final_Table[[#This Row],[Gross Revenue]]</f>
        <v>-0.10104705882352939</v>
      </c>
    </row>
    <row r="1360" spans="1:22">
      <c r="A1360" s="18" t="s">
        <v>77</v>
      </c>
      <c r="B1360">
        <v>2014</v>
      </c>
      <c r="C1360" t="s">
        <v>128</v>
      </c>
      <c r="D1360">
        <v>1</v>
      </c>
      <c r="E1360" s="18" t="s">
        <v>32</v>
      </c>
      <c r="F1360" s="18" t="s">
        <v>108</v>
      </c>
      <c r="G1360" s="18" t="s">
        <v>25</v>
      </c>
      <c r="H1360" s="18" t="str">
        <f>Assumptions!$B$2</f>
        <v>Worst</v>
      </c>
      <c r="I1360" s="18">
        <f>_xlfn.XLOOKUP(Assumptions!$B$2,Assumptions!$F$4:$H$4,Assumptions!$F$5:$H$5)</f>
        <v>1200</v>
      </c>
      <c r="J1360" s="18">
        <f>_xlfn.XLOOKUP(Assumptions!$B$2,Assumptions!$F$4:$H$4,Assumptions!$F$6:$H$6)</f>
        <v>17</v>
      </c>
      <c r="K1360" s="12">
        <f>_xlfn.XLOOKUP(Assumptions!$B$2,Assumptions!$F$4:$H$4,Assumptions!$F$8:$H$8)</f>
        <v>0.1</v>
      </c>
      <c r="L1360" s="12">
        <f>_xlfn.XLOOKUP(Assumptions!$B$2,Assumptions!$F$4:$H$4,Assumptions!$F$9:$H$9)</f>
        <v>0.18</v>
      </c>
      <c r="M1360" s="18">
        <f>_xlfn.XLOOKUP(Assumptions!$B$2,Assumptions!$F$4:$H$4,Assumptions!$F$10:$H$10)</f>
        <v>18000</v>
      </c>
      <c r="N1360" s="12">
        <f>_xlfn.XLOOKUP(Assumptions!$B$2,Assumptions!$F$4:$H$4,Assumptions!$F$11:$H$11)</f>
        <v>0.3</v>
      </c>
      <c r="O1360" s="14">
        <f>Final_Table[[#This Row],[Units Sold]]*Final_Table[[#This Row],[Sale Price]]</f>
        <v>20400</v>
      </c>
      <c r="P1360" s="14">
        <f>Final_Table[[#This Row],[Gross Revenue]]*(1-Final_Table[[#This Row],[Discount %]])</f>
        <v>18360</v>
      </c>
      <c r="Q1360">
        <f>Final_Table[[#This Row],[Net Revenue]]*Final_Table[[#This Row],[Variable Cost %]]</f>
        <v>3304.7999999999997</v>
      </c>
      <c r="R1360">
        <f>Final_Table[[#This Row],[Variable Cost]]+Final_Table[[#This Row],[Fixed Monthly Cost]]</f>
        <v>21304.799999999999</v>
      </c>
      <c r="S1360" s="5">
        <f>Final_Table[[#This Row],[Net Revenue]]-Final_Table[[#This Row],[Total Cost (COGS)]]</f>
        <v>-2944.7999999999993</v>
      </c>
      <c r="T1360">
        <f>Final_Table[[#This Row],[Gross Profit]]*Final_Table[[#This Row],[Tax Rate]]</f>
        <v>-883.43999999999971</v>
      </c>
      <c r="U1360" s="5">
        <f>Final_Table[[#This Row],[Gross Profit]]-Final_Table[[#This Row],[Tax]]</f>
        <v>-2061.3599999999997</v>
      </c>
      <c r="V1360" s="12">
        <f>Final_Table[[#This Row],[Net Profit]]/Final_Table[[#This Row],[Gross Revenue]]</f>
        <v>-0.10104705882352939</v>
      </c>
    </row>
    <row r="1361" spans="1:22">
      <c r="A1361" s="18" t="s">
        <v>77</v>
      </c>
      <c r="B1361">
        <v>2014</v>
      </c>
      <c r="C1361" t="s">
        <v>128</v>
      </c>
      <c r="D1361">
        <v>1</v>
      </c>
      <c r="E1361" s="18" t="s">
        <v>32</v>
      </c>
      <c r="F1361" s="18" t="s">
        <v>108</v>
      </c>
      <c r="G1361" s="18" t="s">
        <v>17</v>
      </c>
      <c r="H1361" s="18" t="str">
        <f>Assumptions!$B$2</f>
        <v>Worst</v>
      </c>
      <c r="I1361" s="18">
        <f>_xlfn.XLOOKUP(Assumptions!$B$2,Assumptions!$F$4:$H$4,Assumptions!$F$5:$H$5)</f>
        <v>1200</v>
      </c>
      <c r="J1361" s="18">
        <f>_xlfn.XLOOKUP(Assumptions!$B$2,Assumptions!$F$4:$H$4,Assumptions!$F$6:$H$6)</f>
        <v>17</v>
      </c>
      <c r="K1361" s="12">
        <f>_xlfn.XLOOKUP(Assumptions!$B$2,Assumptions!$F$4:$H$4,Assumptions!$F$8:$H$8)</f>
        <v>0.1</v>
      </c>
      <c r="L1361" s="12">
        <f>_xlfn.XLOOKUP(Assumptions!$B$2,Assumptions!$F$4:$H$4,Assumptions!$F$9:$H$9)</f>
        <v>0.18</v>
      </c>
      <c r="M1361" s="18">
        <f>_xlfn.XLOOKUP(Assumptions!$B$2,Assumptions!$F$4:$H$4,Assumptions!$F$10:$H$10)</f>
        <v>18000</v>
      </c>
      <c r="N1361" s="12">
        <f>_xlfn.XLOOKUP(Assumptions!$B$2,Assumptions!$F$4:$H$4,Assumptions!$F$11:$H$11)</f>
        <v>0.3</v>
      </c>
      <c r="O1361" s="14">
        <f>Final_Table[[#This Row],[Units Sold]]*Final_Table[[#This Row],[Sale Price]]</f>
        <v>20400</v>
      </c>
      <c r="P1361" s="14">
        <f>Final_Table[[#This Row],[Gross Revenue]]*(1-Final_Table[[#This Row],[Discount %]])</f>
        <v>18360</v>
      </c>
      <c r="Q1361">
        <f>Final_Table[[#This Row],[Net Revenue]]*Final_Table[[#This Row],[Variable Cost %]]</f>
        <v>3304.7999999999997</v>
      </c>
      <c r="R1361">
        <f>Final_Table[[#This Row],[Variable Cost]]+Final_Table[[#This Row],[Fixed Monthly Cost]]</f>
        <v>21304.799999999999</v>
      </c>
      <c r="S1361" s="5">
        <f>Final_Table[[#This Row],[Net Revenue]]-Final_Table[[#This Row],[Total Cost (COGS)]]</f>
        <v>-2944.7999999999993</v>
      </c>
      <c r="T1361">
        <f>Final_Table[[#This Row],[Gross Profit]]*Final_Table[[#This Row],[Tax Rate]]</f>
        <v>-883.43999999999971</v>
      </c>
      <c r="U1361" s="5">
        <f>Final_Table[[#This Row],[Gross Profit]]-Final_Table[[#This Row],[Tax]]</f>
        <v>-2061.3599999999997</v>
      </c>
      <c r="V1361" s="12">
        <f>Final_Table[[#This Row],[Net Profit]]/Final_Table[[#This Row],[Gross Revenue]]</f>
        <v>-0.10104705882352939</v>
      </c>
    </row>
    <row r="1362" spans="1:22">
      <c r="A1362" s="18" t="s">
        <v>77</v>
      </c>
      <c r="B1362">
        <v>2014</v>
      </c>
      <c r="C1362" t="s">
        <v>128</v>
      </c>
      <c r="D1362">
        <v>1</v>
      </c>
      <c r="E1362" s="18" t="s">
        <v>32</v>
      </c>
      <c r="F1362" s="18" t="s">
        <v>112</v>
      </c>
      <c r="G1362" s="18" t="s">
        <v>36</v>
      </c>
      <c r="H1362" s="18" t="str">
        <f>Assumptions!$B$2</f>
        <v>Worst</v>
      </c>
      <c r="I1362" s="18">
        <f>_xlfn.XLOOKUP(Assumptions!$B$2,Assumptions!$F$4:$H$4,Assumptions!$F$5:$H$5)</f>
        <v>1200</v>
      </c>
      <c r="J1362" s="18">
        <f>_xlfn.XLOOKUP(Assumptions!$B$2,Assumptions!$F$4:$H$4,Assumptions!$F$6:$H$6)</f>
        <v>17</v>
      </c>
      <c r="K1362" s="12">
        <f>_xlfn.XLOOKUP(Assumptions!$B$2,Assumptions!$F$4:$H$4,Assumptions!$F$8:$H$8)</f>
        <v>0.1</v>
      </c>
      <c r="L1362" s="12">
        <f>_xlfn.XLOOKUP(Assumptions!$B$2,Assumptions!$F$4:$H$4,Assumptions!$F$9:$H$9)</f>
        <v>0.18</v>
      </c>
      <c r="M1362" s="18">
        <f>_xlfn.XLOOKUP(Assumptions!$B$2,Assumptions!$F$4:$H$4,Assumptions!$F$10:$H$10)</f>
        <v>18000</v>
      </c>
      <c r="N1362" s="12">
        <f>_xlfn.XLOOKUP(Assumptions!$B$2,Assumptions!$F$4:$H$4,Assumptions!$F$11:$H$11)</f>
        <v>0.3</v>
      </c>
      <c r="O1362" s="14">
        <f>Final_Table[[#This Row],[Units Sold]]*Final_Table[[#This Row],[Sale Price]]</f>
        <v>20400</v>
      </c>
      <c r="P1362" s="14">
        <f>Final_Table[[#This Row],[Gross Revenue]]*(1-Final_Table[[#This Row],[Discount %]])</f>
        <v>18360</v>
      </c>
      <c r="Q1362">
        <f>Final_Table[[#This Row],[Net Revenue]]*Final_Table[[#This Row],[Variable Cost %]]</f>
        <v>3304.7999999999997</v>
      </c>
      <c r="R1362">
        <f>Final_Table[[#This Row],[Variable Cost]]+Final_Table[[#This Row],[Fixed Monthly Cost]]</f>
        <v>21304.799999999999</v>
      </c>
      <c r="S1362" s="5">
        <f>Final_Table[[#This Row],[Net Revenue]]-Final_Table[[#This Row],[Total Cost (COGS)]]</f>
        <v>-2944.7999999999993</v>
      </c>
      <c r="T1362">
        <f>Final_Table[[#This Row],[Gross Profit]]*Final_Table[[#This Row],[Tax Rate]]</f>
        <v>-883.43999999999971</v>
      </c>
      <c r="U1362" s="5">
        <f>Final_Table[[#This Row],[Gross Profit]]-Final_Table[[#This Row],[Tax]]</f>
        <v>-2061.3599999999997</v>
      </c>
      <c r="V1362" s="12">
        <f>Final_Table[[#This Row],[Net Profit]]/Final_Table[[#This Row],[Gross Revenue]]</f>
        <v>-0.10104705882352939</v>
      </c>
    </row>
    <row r="1363" spans="1:22">
      <c r="A1363" s="18" t="s">
        <v>77</v>
      </c>
      <c r="B1363">
        <v>2014</v>
      </c>
      <c r="C1363" t="s">
        <v>128</v>
      </c>
      <c r="D1363">
        <v>1</v>
      </c>
      <c r="E1363" s="18" t="s">
        <v>32</v>
      </c>
      <c r="F1363" s="18" t="s">
        <v>112</v>
      </c>
      <c r="G1363" s="18" t="s">
        <v>23</v>
      </c>
      <c r="H1363" s="18" t="str">
        <f>Assumptions!$B$2</f>
        <v>Worst</v>
      </c>
      <c r="I1363" s="18">
        <f>_xlfn.XLOOKUP(Assumptions!$B$2,Assumptions!$F$4:$H$4,Assumptions!$F$5:$H$5)</f>
        <v>1200</v>
      </c>
      <c r="J1363" s="18">
        <f>_xlfn.XLOOKUP(Assumptions!$B$2,Assumptions!$F$4:$H$4,Assumptions!$F$6:$H$6)</f>
        <v>17</v>
      </c>
      <c r="K1363" s="12">
        <f>_xlfn.XLOOKUP(Assumptions!$B$2,Assumptions!$F$4:$H$4,Assumptions!$F$8:$H$8)</f>
        <v>0.1</v>
      </c>
      <c r="L1363" s="12">
        <f>_xlfn.XLOOKUP(Assumptions!$B$2,Assumptions!$F$4:$H$4,Assumptions!$F$9:$H$9)</f>
        <v>0.18</v>
      </c>
      <c r="M1363" s="18">
        <f>_xlfn.XLOOKUP(Assumptions!$B$2,Assumptions!$F$4:$H$4,Assumptions!$F$10:$H$10)</f>
        <v>18000</v>
      </c>
      <c r="N1363" s="12">
        <f>_xlfn.XLOOKUP(Assumptions!$B$2,Assumptions!$F$4:$H$4,Assumptions!$F$11:$H$11)</f>
        <v>0.3</v>
      </c>
      <c r="O1363" s="14">
        <f>Final_Table[[#This Row],[Units Sold]]*Final_Table[[#This Row],[Sale Price]]</f>
        <v>20400</v>
      </c>
      <c r="P1363" s="14">
        <f>Final_Table[[#This Row],[Gross Revenue]]*(1-Final_Table[[#This Row],[Discount %]])</f>
        <v>18360</v>
      </c>
      <c r="Q1363">
        <f>Final_Table[[#This Row],[Net Revenue]]*Final_Table[[#This Row],[Variable Cost %]]</f>
        <v>3304.7999999999997</v>
      </c>
      <c r="R1363">
        <f>Final_Table[[#This Row],[Variable Cost]]+Final_Table[[#This Row],[Fixed Monthly Cost]]</f>
        <v>21304.799999999999</v>
      </c>
      <c r="S1363" s="5">
        <f>Final_Table[[#This Row],[Net Revenue]]-Final_Table[[#This Row],[Total Cost (COGS)]]</f>
        <v>-2944.7999999999993</v>
      </c>
      <c r="T1363">
        <f>Final_Table[[#This Row],[Gross Profit]]*Final_Table[[#This Row],[Tax Rate]]</f>
        <v>-883.43999999999971</v>
      </c>
      <c r="U1363" s="5">
        <f>Final_Table[[#This Row],[Gross Profit]]-Final_Table[[#This Row],[Tax]]</f>
        <v>-2061.3599999999997</v>
      </c>
      <c r="V1363" s="12">
        <f>Final_Table[[#This Row],[Net Profit]]/Final_Table[[#This Row],[Gross Revenue]]</f>
        <v>-0.10104705882352939</v>
      </c>
    </row>
    <row r="1364" spans="1:22">
      <c r="A1364" s="18" t="s">
        <v>77</v>
      </c>
      <c r="B1364">
        <v>2014</v>
      </c>
      <c r="C1364" t="s">
        <v>128</v>
      </c>
      <c r="D1364">
        <v>1</v>
      </c>
      <c r="E1364" s="18" t="s">
        <v>32</v>
      </c>
      <c r="F1364" s="18" t="s">
        <v>112</v>
      </c>
      <c r="G1364" s="18" t="s">
        <v>21</v>
      </c>
      <c r="H1364" s="18" t="str">
        <f>Assumptions!$B$2</f>
        <v>Worst</v>
      </c>
      <c r="I1364" s="18">
        <f>_xlfn.XLOOKUP(Assumptions!$B$2,Assumptions!$F$4:$H$4,Assumptions!$F$5:$H$5)</f>
        <v>1200</v>
      </c>
      <c r="J1364" s="18">
        <f>_xlfn.XLOOKUP(Assumptions!$B$2,Assumptions!$F$4:$H$4,Assumptions!$F$6:$H$6)</f>
        <v>17</v>
      </c>
      <c r="K1364" s="12">
        <f>_xlfn.XLOOKUP(Assumptions!$B$2,Assumptions!$F$4:$H$4,Assumptions!$F$8:$H$8)</f>
        <v>0.1</v>
      </c>
      <c r="L1364" s="12">
        <f>_xlfn.XLOOKUP(Assumptions!$B$2,Assumptions!$F$4:$H$4,Assumptions!$F$9:$H$9)</f>
        <v>0.18</v>
      </c>
      <c r="M1364" s="18">
        <f>_xlfn.XLOOKUP(Assumptions!$B$2,Assumptions!$F$4:$H$4,Assumptions!$F$10:$H$10)</f>
        <v>18000</v>
      </c>
      <c r="N1364" s="12">
        <f>_xlfn.XLOOKUP(Assumptions!$B$2,Assumptions!$F$4:$H$4,Assumptions!$F$11:$H$11)</f>
        <v>0.3</v>
      </c>
      <c r="O1364" s="14">
        <f>Final_Table[[#This Row],[Units Sold]]*Final_Table[[#This Row],[Sale Price]]</f>
        <v>20400</v>
      </c>
      <c r="P1364" s="14">
        <f>Final_Table[[#This Row],[Gross Revenue]]*(1-Final_Table[[#This Row],[Discount %]])</f>
        <v>18360</v>
      </c>
      <c r="Q1364">
        <f>Final_Table[[#This Row],[Net Revenue]]*Final_Table[[#This Row],[Variable Cost %]]</f>
        <v>3304.7999999999997</v>
      </c>
      <c r="R1364">
        <f>Final_Table[[#This Row],[Variable Cost]]+Final_Table[[#This Row],[Fixed Monthly Cost]]</f>
        <v>21304.799999999999</v>
      </c>
      <c r="S1364" s="5">
        <f>Final_Table[[#This Row],[Net Revenue]]-Final_Table[[#This Row],[Total Cost (COGS)]]</f>
        <v>-2944.7999999999993</v>
      </c>
      <c r="T1364">
        <f>Final_Table[[#This Row],[Gross Profit]]*Final_Table[[#This Row],[Tax Rate]]</f>
        <v>-883.43999999999971</v>
      </c>
      <c r="U1364" s="5">
        <f>Final_Table[[#This Row],[Gross Profit]]-Final_Table[[#This Row],[Tax]]</f>
        <v>-2061.3599999999997</v>
      </c>
      <c r="V1364" s="12">
        <f>Final_Table[[#This Row],[Net Profit]]/Final_Table[[#This Row],[Gross Revenue]]</f>
        <v>-0.10104705882352939</v>
      </c>
    </row>
    <row r="1365" spans="1:22">
      <c r="A1365" s="18" t="s">
        <v>77</v>
      </c>
      <c r="B1365">
        <v>2014</v>
      </c>
      <c r="C1365" t="s">
        <v>128</v>
      </c>
      <c r="D1365">
        <v>1</v>
      </c>
      <c r="E1365" s="18" t="s">
        <v>32</v>
      </c>
      <c r="F1365" s="18" t="s">
        <v>112</v>
      </c>
      <c r="G1365" s="18" t="s">
        <v>25</v>
      </c>
      <c r="H1365" s="18" t="str">
        <f>Assumptions!$B$2</f>
        <v>Worst</v>
      </c>
      <c r="I1365" s="18">
        <f>_xlfn.XLOOKUP(Assumptions!$B$2,Assumptions!$F$4:$H$4,Assumptions!$F$5:$H$5)</f>
        <v>1200</v>
      </c>
      <c r="J1365" s="18">
        <f>_xlfn.XLOOKUP(Assumptions!$B$2,Assumptions!$F$4:$H$4,Assumptions!$F$6:$H$6)</f>
        <v>17</v>
      </c>
      <c r="K1365" s="12">
        <f>_xlfn.XLOOKUP(Assumptions!$B$2,Assumptions!$F$4:$H$4,Assumptions!$F$8:$H$8)</f>
        <v>0.1</v>
      </c>
      <c r="L1365" s="12">
        <f>_xlfn.XLOOKUP(Assumptions!$B$2,Assumptions!$F$4:$H$4,Assumptions!$F$9:$H$9)</f>
        <v>0.18</v>
      </c>
      <c r="M1365" s="18">
        <f>_xlfn.XLOOKUP(Assumptions!$B$2,Assumptions!$F$4:$H$4,Assumptions!$F$10:$H$10)</f>
        <v>18000</v>
      </c>
      <c r="N1365" s="12">
        <f>_xlfn.XLOOKUP(Assumptions!$B$2,Assumptions!$F$4:$H$4,Assumptions!$F$11:$H$11)</f>
        <v>0.3</v>
      </c>
      <c r="O1365" s="14">
        <f>Final_Table[[#This Row],[Units Sold]]*Final_Table[[#This Row],[Sale Price]]</f>
        <v>20400</v>
      </c>
      <c r="P1365" s="14">
        <f>Final_Table[[#This Row],[Gross Revenue]]*(1-Final_Table[[#This Row],[Discount %]])</f>
        <v>18360</v>
      </c>
      <c r="Q1365">
        <f>Final_Table[[#This Row],[Net Revenue]]*Final_Table[[#This Row],[Variable Cost %]]</f>
        <v>3304.7999999999997</v>
      </c>
      <c r="R1365">
        <f>Final_Table[[#This Row],[Variable Cost]]+Final_Table[[#This Row],[Fixed Monthly Cost]]</f>
        <v>21304.799999999999</v>
      </c>
      <c r="S1365" s="5">
        <f>Final_Table[[#This Row],[Net Revenue]]-Final_Table[[#This Row],[Total Cost (COGS)]]</f>
        <v>-2944.7999999999993</v>
      </c>
      <c r="T1365">
        <f>Final_Table[[#This Row],[Gross Profit]]*Final_Table[[#This Row],[Tax Rate]]</f>
        <v>-883.43999999999971</v>
      </c>
      <c r="U1365" s="5">
        <f>Final_Table[[#This Row],[Gross Profit]]-Final_Table[[#This Row],[Tax]]</f>
        <v>-2061.3599999999997</v>
      </c>
      <c r="V1365" s="12">
        <f>Final_Table[[#This Row],[Net Profit]]/Final_Table[[#This Row],[Gross Revenue]]</f>
        <v>-0.10104705882352939</v>
      </c>
    </row>
    <row r="1366" spans="1:22">
      <c r="A1366" s="18" t="s">
        <v>77</v>
      </c>
      <c r="B1366">
        <v>2014</v>
      </c>
      <c r="C1366" t="s">
        <v>128</v>
      </c>
      <c r="D1366">
        <v>1</v>
      </c>
      <c r="E1366" s="18" t="s">
        <v>32</v>
      </c>
      <c r="F1366" s="18" t="s">
        <v>112</v>
      </c>
      <c r="G1366" s="18" t="s">
        <v>17</v>
      </c>
      <c r="H1366" s="18" t="str">
        <f>Assumptions!$B$2</f>
        <v>Worst</v>
      </c>
      <c r="I1366" s="18">
        <f>_xlfn.XLOOKUP(Assumptions!$B$2,Assumptions!$F$4:$H$4,Assumptions!$F$5:$H$5)</f>
        <v>1200</v>
      </c>
      <c r="J1366" s="18">
        <f>_xlfn.XLOOKUP(Assumptions!$B$2,Assumptions!$F$4:$H$4,Assumptions!$F$6:$H$6)</f>
        <v>17</v>
      </c>
      <c r="K1366" s="12">
        <f>_xlfn.XLOOKUP(Assumptions!$B$2,Assumptions!$F$4:$H$4,Assumptions!$F$8:$H$8)</f>
        <v>0.1</v>
      </c>
      <c r="L1366" s="12">
        <f>_xlfn.XLOOKUP(Assumptions!$B$2,Assumptions!$F$4:$H$4,Assumptions!$F$9:$H$9)</f>
        <v>0.18</v>
      </c>
      <c r="M1366" s="18">
        <f>_xlfn.XLOOKUP(Assumptions!$B$2,Assumptions!$F$4:$H$4,Assumptions!$F$10:$H$10)</f>
        <v>18000</v>
      </c>
      <c r="N1366" s="12">
        <f>_xlfn.XLOOKUP(Assumptions!$B$2,Assumptions!$F$4:$H$4,Assumptions!$F$11:$H$11)</f>
        <v>0.3</v>
      </c>
      <c r="O1366" s="14">
        <f>Final_Table[[#This Row],[Units Sold]]*Final_Table[[#This Row],[Sale Price]]</f>
        <v>20400</v>
      </c>
      <c r="P1366" s="14">
        <f>Final_Table[[#This Row],[Gross Revenue]]*(1-Final_Table[[#This Row],[Discount %]])</f>
        <v>18360</v>
      </c>
      <c r="Q1366">
        <f>Final_Table[[#This Row],[Net Revenue]]*Final_Table[[#This Row],[Variable Cost %]]</f>
        <v>3304.7999999999997</v>
      </c>
      <c r="R1366">
        <f>Final_Table[[#This Row],[Variable Cost]]+Final_Table[[#This Row],[Fixed Monthly Cost]]</f>
        <v>21304.799999999999</v>
      </c>
      <c r="S1366" s="5">
        <f>Final_Table[[#This Row],[Net Revenue]]-Final_Table[[#This Row],[Total Cost (COGS)]]</f>
        <v>-2944.7999999999993</v>
      </c>
      <c r="T1366">
        <f>Final_Table[[#This Row],[Gross Profit]]*Final_Table[[#This Row],[Tax Rate]]</f>
        <v>-883.43999999999971</v>
      </c>
      <c r="U1366" s="5">
        <f>Final_Table[[#This Row],[Gross Profit]]-Final_Table[[#This Row],[Tax]]</f>
        <v>-2061.3599999999997</v>
      </c>
      <c r="V1366" s="12">
        <f>Final_Table[[#This Row],[Net Profit]]/Final_Table[[#This Row],[Gross Revenue]]</f>
        <v>-0.10104705882352939</v>
      </c>
    </row>
    <row r="1367" spans="1:22">
      <c r="A1367" s="18" t="s">
        <v>77</v>
      </c>
      <c r="B1367">
        <v>2014</v>
      </c>
      <c r="C1367" t="s">
        <v>128</v>
      </c>
      <c r="D1367">
        <v>1</v>
      </c>
      <c r="E1367" s="18" t="s">
        <v>32</v>
      </c>
      <c r="F1367" s="18" t="s">
        <v>113</v>
      </c>
      <c r="G1367" s="18" t="s">
        <v>36</v>
      </c>
      <c r="H1367" s="18" t="str">
        <f>Assumptions!$B$2</f>
        <v>Worst</v>
      </c>
      <c r="I1367" s="18">
        <f>_xlfn.XLOOKUP(Assumptions!$B$2,Assumptions!$F$4:$H$4,Assumptions!$F$5:$H$5)</f>
        <v>1200</v>
      </c>
      <c r="J1367" s="18">
        <f>_xlfn.XLOOKUP(Assumptions!$B$2,Assumptions!$F$4:$H$4,Assumptions!$F$6:$H$6)</f>
        <v>17</v>
      </c>
      <c r="K1367" s="12">
        <f>_xlfn.XLOOKUP(Assumptions!$B$2,Assumptions!$F$4:$H$4,Assumptions!$F$8:$H$8)</f>
        <v>0.1</v>
      </c>
      <c r="L1367" s="12">
        <f>_xlfn.XLOOKUP(Assumptions!$B$2,Assumptions!$F$4:$H$4,Assumptions!$F$9:$H$9)</f>
        <v>0.18</v>
      </c>
      <c r="M1367" s="18">
        <f>_xlfn.XLOOKUP(Assumptions!$B$2,Assumptions!$F$4:$H$4,Assumptions!$F$10:$H$10)</f>
        <v>18000</v>
      </c>
      <c r="N1367" s="12">
        <f>_xlfn.XLOOKUP(Assumptions!$B$2,Assumptions!$F$4:$H$4,Assumptions!$F$11:$H$11)</f>
        <v>0.3</v>
      </c>
      <c r="O1367" s="14">
        <f>Final_Table[[#This Row],[Units Sold]]*Final_Table[[#This Row],[Sale Price]]</f>
        <v>20400</v>
      </c>
      <c r="P1367" s="14">
        <f>Final_Table[[#This Row],[Gross Revenue]]*(1-Final_Table[[#This Row],[Discount %]])</f>
        <v>18360</v>
      </c>
      <c r="Q1367">
        <f>Final_Table[[#This Row],[Net Revenue]]*Final_Table[[#This Row],[Variable Cost %]]</f>
        <v>3304.7999999999997</v>
      </c>
      <c r="R1367">
        <f>Final_Table[[#This Row],[Variable Cost]]+Final_Table[[#This Row],[Fixed Monthly Cost]]</f>
        <v>21304.799999999999</v>
      </c>
      <c r="S1367" s="5">
        <f>Final_Table[[#This Row],[Net Revenue]]-Final_Table[[#This Row],[Total Cost (COGS)]]</f>
        <v>-2944.7999999999993</v>
      </c>
      <c r="T1367">
        <f>Final_Table[[#This Row],[Gross Profit]]*Final_Table[[#This Row],[Tax Rate]]</f>
        <v>-883.43999999999971</v>
      </c>
      <c r="U1367" s="5">
        <f>Final_Table[[#This Row],[Gross Profit]]-Final_Table[[#This Row],[Tax]]</f>
        <v>-2061.3599999999997</v>
      </c>
      <c r="V1367" s="12">
        <f>Final_Table[[#This Row],[Net Profit]]/Final_Table[[#This Row],[Gross Revenue]]</f>
        <v>-0.10104705882352939</v>
      </c>
    </row>
    <row r="1368" spans="1:22">
      <c r="A1368" s="18" t="s">
        <v>77</v>
      </c>
      <c r="B1368">
        <v>2014</v>
      </c>
      <c r="C1368" t="s">
        <v>128</v>
      </c>
      <c r="D1368">
        <v>1</v>
      </c>
      <c r="E1368" s="18" t="s">
        <v>32</v>
      </c>
      <c r="F1368" s="18" t="s">
        <v>113</v>
      </c>
      <c r="G1368" s="18" t="s">
        <v>23</v>
      </c>
      <c r="H1368" s="18" t="str">
        <f>Assumptions!$B$2</f>
        <v>Worst</v>
      </c>
      <c r="I1368" s="18">
        <f>_xlfn.XLOOKUP(Assumptions!$B$2,Assumptions!$F$4:$H$4,Assumptions!$F$5:$H$5)</f>
        <v>1200</v>
      </c>
      <c r="J1368" s="18">
        <f>_xlfn.XLOOKUP(Assumptions!$B$2,Assumptions!$F$4:$H$4,Assumptions!$F$6:$H$6)</f>
        <v>17</v>
      </c>
      <c r="K1368" s="12">
        <f>_xlfn.XLOOKUP(Assumptions!$B$2,Assumptions!$F$4:$H$4,Assumptions!$F$8:$H$8)</f>
        <v>0.1</v>
      </c>
      <c r="L1368" s="12">
        <f>_xlfn.XLOOKUP(Assumptions!$B$2,Assumptions!$F$4:$H$4,Assumptions!$F$9:$H$9)</f>
        <v>0.18</v>
      </c>
      <c r="M1368" s="18">
        <f>_xlfn.XLOOKUP(Assumptions!$B$2,Assumptions!$F$4:$H$4,Assumptions!$F$10:$H$10)</f>
        <v>18000</v>
      </c>
      <c r="N1368" s="12">
        <f>_xlfn.XLOOKUP(Assumptions!$B$2,Assumptions!$F$4:$H$4,Assumptions!$F$11:$H$11)</f>
        <v>0.3</v>
      </c>
      <c r="O1368" s="14">
        <f>Final_Table[[#This Row],[Units Sold]]*Final_Table[[#This Row],[Sale Price]]</f>
        <v>20400</v>
      </c>
      <c r="P1368" s="14">
        <f>Final_Table[[#This Row],[Gross Revenue]]*(1-Final_Table[[#This Row],[Discount %]])</f>
        <v>18360</v>
      </c>
      <c r="Q1368">
        <f>Final_Table[[#This Row],[Net Revenue]]*Final_Table[[#This Row],[Variable Cost %]]</f>
        <v>3304.7999999999997</v>
      </c>
      <c r="R1368">
        <f>Final_Table[[#This Row],[Variable Cost]]+Final_Table[[#This Row],[Fixed Monthly Cost]]</f>
        <v>21304.799999999999</v>
      </c>
      <c r="S1368" s="5">
        <f>Final_Table[[#This Row],[Net Revenue]]-Final_Table[[#This Row],[Total Cost (COGS)]]</f>
        <v>-2944.7999999999993</v>
      </c>
      <c r="T1368">
        <f>Final_Table[[#This Row],[Gross Profit]]*Final_Table[[#This Row],[Tax Rate]]</f>
        <v>-883.43999999999971</v>
      </c>
      <c r="U1368" s="5">
        <f>Final_Table[[#This Row],[Gross Profit]]-Final_Table[[#This Row],[Tax]]</f>
        <v>-2061.3599999999997</v>
      </c>
      <c r="V1368" s="12">
        <f>Final_Table[[#This Row],[Net Profit]]/Final_Table[[#This Row],[Gross Revenue]]</f>
        <v>-0.10104705882352939</v>
      </c>
    </row>
    <row r="1369" spans="1:22">
      <c r="A1369" s="18" t="s">
        <v>77</v>
      </c>
      <c r="B1369">
        <v>2014</v>
      </c>
      <c r="C1369" t="s">
        <v>128</v>
      </c>
      <c r="D1369">
        <v>1</v>
      </c>
      <c r="E1369" s="18" t="s">
        <v>32</v>
      </c>
      <c r="F1369" s="18" t="s">
        <v>113</v>
      </c>
      <c r="G1369" s="18" t="s">
        <v>21</v>
      </c>
      <c r="H1369" s="18" t="str">
        <f>Assumptions!$B$2</f>
        <v>Worst</v>
      </c>
      <c r="I1369" s="18">
        <f>_xlfn.XLOOKUP(Assumptions!$B$2,Assumptions!$F$4:$H$4,Assumptions!$F$5:$H$5)</f>
        <v>1200</v>
      </c>
      <c r="J1369" s="18">
        <f>_xlfn.XLOOKUP(Assumptions!$B$2,Assumptions!$F$4:$H$4,Assumptions!$F$6:$H$6)</f>
        <v>17</v>
      </c>
      <c r="K1369" s="12">
        <f>_xlfn.XLOOKUP(Assumptions!$B$2,Assumptions!$F$4:$H$4,Assumptions!$F$8:$H$8)</f>
        <v>0.1</v>
      </c>
      <c r="L1369" s="12">
        <f>_xlfn.XLOOKUP(Assumptions!$B$2,Assumptions!$F$4:$H$4,Assumptions!$F$9:$H$9)</f>
        <v>0.18</v>
      </c>
      <c r="M1369" s="18">
        <f>_xlfn.XLOOKUP(Assumptions!$B$2,Assumptions!$F$4:$H$4,Assumptions!$F$10:$H$10)</f>
        <v>18000</v>
      </c>
      <c r="N1369" s="12">
        <f>_xlfn.XLOOKUP(Assumptions!$B$2,Assumptions!$F$4:$H$4,Assumptions!$F$11:$H$11)</f>
        <v>0.3</v>
      </c>
      <c r="O1369" s="14">
        <f>Final_Table[[#This Row],[Units Sold]]*Final_Table[[#This Row],[Sale Price]]</f>
        <v>20400</v>
      </c>
      <c r="P1369" s="14">
        <f>Final_Table[[#This Row],[Gross Revenue]]*(1-Final_Table[[#This Row],[Discount %]])</f>
        <v>18360</v>
      </c>
      <c r="Q1369">
        <f>Final_Table[[#This Row],[Net Revenue]]*Final_Table[[#This Row],[Variable Cost %]]</f>
        <v>3304.7999999999997</v>
      </c>
      <c r="R1369">
        <f>Final_Table[[#This Row],[Variable Cost]]+Final_Table[[#This Row],[Fixed Monthly Cost]]</f>
        <v>21304.799999999999</v>
      </c>
      <c r="S1369" s="5">
        <f>Final_Table[[#This Row],[Net Revenue]]-Final_Table[[#This Row],[Total Cost (COGS)]]</f>
        <v>-2944.7999999999993</v>
      </c>
      <c r="T1369">
        <f>Final_Table[[#This Row],[Gross Profit]]*Final_Table[[#This Row],[Tax Rate]]</f>
        <v>-883.43999999999971</v>
      </c>
      <c r="U1369" s="5">
        <f>Final_Table[[#This Row],[Gross Profit]]-Final_Table[[#This Row],[Tax]]</f>
        <v>-2061.3599999999997</v>
      </c>
      <c r="V1369" s="12">
        <f>Final_Table[[#This Row],[Net Profit]]/Final_Table[[#This Row],[Gross Revenue]]</f>
        <v>-0.10104705882352939</v>
      </c>
    </row>
    <row r="1370" spans="1:22">
      <c r="A1370" s="18" t="s">
        <v>77</v>
      </c>
      <c r="B1370">
        <v>2014</v>
      </c>
      <c r="C1370" t="s">
        <v>128</v>
      </c>
      <c r="D1370">
        <v>1</v>
      </c>
      <c r="E1370" s="18" t="s">
        <v>32</v>
      </c>
      <c r="F1370" s="18" t="s">
        <v>113</v>
      </c>
      <c r="G1370" s="18" t="s">
        <v>25</v>
      </c>
      <c r="H1370" s="18" t="str">
        <f>Assumptions!$B$2</f>
        <v>Worst</v>
      </c>
      <c r="I1370" s="18">
        <f>_xlfn.XLOOKUP(Assumptions!$B$2,Assumptions!$F$4:$H$4,Assumptions!$F$5:$H$5)</f>
        <v>1200</v>
      </c>
      <c r="J1370" s="18">
        <f>_xlfn.XLOOKUP(Assumptions!$B$2,Assumptions!$F$4:$H$4,Assumptions!$F$6:$H$6)</f>
        <v>17</v>
      </c>
      <c r="K1370" s="12">
        <f>_xlfn.XLOOKUP(Assumptions!$B$2,Assumptions!$F$4:$H$4,Assumptions!$F$8:$H$8)</f>
        <v>0.1</v>
      </c>
      <c r="L1370" s="12">
        <f>_xlfn.XLOOKUP(Assumptions!$B$2,Assumptions!$F$4:$H$4,Assumptions!$F$9:$H$9)</f>
        <v>0.18</v>
      </c>
      <c r="M1370" s="18">
        <f>_xlfn.XLOOKUP(Assumptions!$B$2,Assumptions!$F$4:$H$4,Assumptions!$F$10:$H$10)</f>
        <v>18000</v>
      </c>
      <c r="N1370" s="12">
        <f>_xlfn.XLOOKUP(Assumptions!$B$2,Assumptions!$F$4:$H$4,Assumptions!$F$11:$H$11)</f>
        <v>0.3</v>
      </c>
      <c r="O1370" s="14">
        <f>Final_Table[[#This Row],[Units Sold]]*Final_Table[[#This Row],[Sale Price]]</f>
        <v>20400</v>
      </c>
      <c r="P1370" s="14">
        <f>Final_Table[[#This Row],[Gross Revenue]]*(1-Final_Table[[#This Row],[Discount %]])</f>
        <v>18360</v>
      </c>
      <c r="Q1370">
        <f>Final_Table[[#This Row],[Net Revenue]]*Final_Table[[#This Row],[Variable Cost %]]</f>
        <v>3304.7999999999997</v>
      </c>
      <c r="R1370">
        <f>Final_Table[[#This Row],[Variable Cost]]+Final_Table[[#This Row],[Fixed Monthly Cost]]</f>
        <v>21304.799999999999</v>
      </c>
      <c r="S1370" s="5">
        <f>Final_Table[[#This Row],[Net Revenue]]-Final_Table[[#This Row],[Total Cost (COGS)]]</f>
        <v>-2944.7999999999993</v>
      </c>
      <c r="T1370">
        <f>Final_Table[[#This Row],[Gross Profit]]*Final_Table[[#This Row],[Tax Rate]]</f>
        <v>-883.43999999999971</v>
      </c>
      <c r="U1370" s="5">
        <f>Final_Table[[#This Row],[Gross Profit]]-Final_Table[[#This Row],[Tax]]</f>
        <v>-2061.3599999999997</v>
      </c>
      <c r="V1370" s="12">
        <f>Final_Table[[#This Row],[Net Profit]]/Final_Table[[#This Row],[Gross Revenue]]</f>
        <v>-0.10104705882352939</v>
      </c>
    </row>
    <row r="1371" spans="1:22">
      <c r="A1371" s="18" t="s">
        <v>77</v>
      </c>
      <c r="B1371">
        <v>2014</v>
      </c>
      <c r="C1371" t="s">
        <v>128</v>
      </c>
      <c r="D1371">
        <v>1</v>
      </c>
      <c r="E1371" s="18" t="s">
        <v>32</v>
      </c>
      <c r="F1371" s="18" t="s">
        <v>113</v>
      </c>
      <c r="G1371" s="18" t="s">
        <v>17</v>
      </c>
      <c r="H1371" s="18" t="str">
        <f>Assumptions!$B$2</f>
        <v>Worst</v>
      </c>
      <c r="I1371" s="18">
        <f>_xlfn.XLOOKUP(Assumptions!$B$2,Assumptions!$F$4:$H$4,Assumptions!$F$5:$H$5)</f>
        <v>1200</v>
      </c>
      <c r="J1371" s="18">
        <f>_xlfn.XLOOKUP(Assumptions!$B$2,Assumptions!$F$4:$H$4,Assumptions!$F$6:$H$6)</f>
        <v>17</v>
      </c>
      <c r="K1371" s="12">
        <f>_xlfn.XLOOKUP(Assumptions!$B$2,Assumptions!$F$4:$H$4,Assumptions!$F$8:$H$8)</f>
        <v>0.1</v>
      </c>
      <c r="L1371" s="12">
        <f>_xlfn.XLOOKUP(Assumptions!$B$2,Assumptions!$F$4:$H$4,Assumptions!$F$9:$H$9)</f>
        <v>0.18</v>
      </c>
      <c r="M1371" s="18">
        <f>_xlfn.XLOOKUP(Assumptions!$B$2,Assumptions!$F$4:$H$4,Assumptions!$F$10:$H$10)</f>
        <v>18000</v>
      </c>
      <c r="N1371" s="12">
        <f>_xlfn.XLOOKUP(Assumptions!$B$2,Assumptions!$F$4:$H$4,Assumptions!$F$11:$H$11)</f>
        <v>0.3</v>
      </c>
      <c r="O1371" s="14">
        <f>Final_Table[[#This Row],[Units Sold]]*Final_Table[[#This Row],[Sale Price]]</f>
        <v>20400</v>
      </c>
      <c r="P1371" s="14">
        <f>Final_Table[[#This Row],[Gross Revenue]]*(1-Final_Table[[#This Row],[Discount %]])</f>
        <v>18360</v>
      </c>
      <c r="Q1371">
        <f>Final_Table[[#This Row],[Net Revenue]]*Final_Table[[#This Row],[Variable Cost %]]</f>
        <v>3304.7999999999997</v>
      </c>
      <c r="R1371">
        <f>Final_Table[[#This Row],[Variable Cost]]+Final_Table[[#This Row],[Fixed Monthly Cost]]</f>
        <v>21304.799999999999</v>
      </c>
      <c r="S1371" s="5">
        <f>Final_Table[[#This Row],[Net Revenue]]-Final_Table[[#This Row],[Total Cost (COGS)]]</f>
        <v>-2944.7999999999993</v>
      </c>
      <c r="T1371">
        <f>Final_Table[[#This Row],[Gross Profit]]*Final_Table[[#This Row],[Tax Rate]]</f>
        <v>-883.43999999999971</v>
      </c>
      <c r="U1371" s="5">
        <f>Final_Table[[#This Row],[Gross Profit]]-Final_Table[[#This Row],[Tax]]</f>
        <v>-2061.3599999999997</v>
      </c>
      <c r="V1371" s="12">
        <f>Final_Table[[#This Row],[Net Profit]]/Final_Table[[#This Row],[Gross Revenue]]</f>
        <v>-0.10104705882352939</v>
      </c>
    </row>
    <row r="1372" spans="1:22">
      <c r="A1372" s="18" t="s">
        <v>77</v>
      </c>
      <c r="B1372">
        <v>2014</v>
      </c>
      <c r="C1372" t="s">
        <v>128</v>
      </c>
      <c r="D1372">
        <v>1</v>
      </c>
      <c r="E1372" s="18" t="s">
        <v>32</v>
      </c>
      <c r="F1372" s="18" t="s">
        <v>114</v>
      </c>
      <c r="G1372" s="18" t="s">
        <v>36</v>
      </c>
      <c r="H1372" s="18" t="str">
        <f>Assumptions!$B$2</f>
        <v>Worst</v>
      </c>
      <c r="I1372" s="18">
        <f>_xlfn.XLOOKUP(Assumptions!$B$2,Assumptions!$F$4:$H$4,Assumptions!$F$5:$H$5)</f>
        <v>1200</v>
      </c>
      <c r="J1372" s="18">
        <f>_xlfn.XLOOKUP(Assumptions!$B$2,Assumptions!$F$4:$H$4,Assumptions!$F$6:$H$6)</f>
        <v>17</v>
      </c>
      <c r="K1372" s="12">
        <f>_xlfn.XLOOKUP(Assumptions!$B$2,Assumptions!$F$4:$H$4,Assumptions!$F$8:$H$8)</f>
        <v>0.1</v>
      </c>
      <c r="L1372" s="12">
        <f>_xlfn.XLOOKUP(Assumptions!$B$2,Assumptions!$F$4:$H$4,Assumptions!$F$9:$H$9)</f>
        <v>0.18</v>
      </c>
      <c r="M1372" s="18">
        <f>_xlfn.XLOOKUP(Assumptions!$B$2,Assumptions!$F$4:$H$4,Assumptions!$F$10:$H$10)</f>
        <v>18000</v>
      </c>
      <c r="N1372" s="12">
        <f>_xlfn.XLOOKUP(Assumptions!$B$2,Assumptions!$F$4:$H$4,Assumptions!$F$11:$H$11)</f>
        <v>0.3</v>
      </c>
      <c r="O1372" s="14">
        <f>Final_Table[[#This Row],[Units Sold]]*Final_Table[[#This Row],[Sale Price]]</f>
        <v>20400</v>
      </c>
      <c r="P1372" s="14">
        <f>Final_Table[[#This Row],[Gross Revenue]]*(1-Final_Table[[#This Row],[Discount %]])</f>
        <v>18360</v>
      </c>
      <c r="Q1372">
        <f>Final_Table[[#This Row],[Net Revenue]]*Final_Table[[#This Row],[Variable Cost %]]</f>
        <v>3304.7999999999997</v>
      </c>
      <c r="R1372">
        <f>Final_Table[[#This Row],[Variable Cost]]+Final_Table[[#This Row],[Fixed Monthly Cost]]</f>
        <v>21304.799999999999</v>
      </c>
      <c r="S1372" s="5">
        <f>Final_Table[[#This Row],[Net Revenue]]-Final_Table[[#This Row],[Total Cost (COGS)]]</f>
        <v>-2944.7999999999993</v>
      </c>
      <c r="T1372">
        <f>Final_Table[[#This Row],[Gross Profit]]*Final_Table[[#This Row],[Tax Rate]]</f>
        <v>-883.43999999999971</v>
      </c>
      <c r="U1372" s="5">
        <f>Final_Table[[#This Row],[Gross Profit]]-Final_Table[[#This Row],[Tax]]</f>
        <v>-2061.3599999999997</v>
      </c>
      <c r="V1372" s="12">
        <f>Final_Table[[#This Row],[Net Profit]]/Final_Table[[#This Row],[Gross Revenue]]</f>
        <v>-0.10104705882352939</v>
      </c>
    </row>
    <row r="1373" spans="1:22">
      <c r="A1373" s="18" t="s">
        <v>77</v>
      </c>
      <c r="B1373">
        <v>2014</v>
      </c>
      <c r="C1373" t="s">
        <v>128</v>
      </c>
      <c r="D1373">
        <v>1</v>
      </c>
      <c r="E1373" s="18" t="s">
        <v>32</v>
      </c>
      <c r="F1373" s="18" t="s">
        <v>114</v>
      </c>
      <c r="G1373" s="18" t="s">
        <v>23</v>
      </c>
      <c r="H1373" s="18" t="str">
        <f>Assumptions!$B$2</f>
        <v>Worst</v>
      </c>
      <c r="I1373" s="18">
        <f>_xlfn.XLOOKUP(Assumptions!$B$2,Assumptions!$F$4:$H$4,Assumptions!$F$5:$H$5)</f>
        <v>1200</v>
      </c>
      <c r="J1373" s="18">
        <f>_xlfn.XLOOKUP(Assumptions!$B$2,Assumptions!$F$4:$H$4,Assumptions!$F$6:$H$6)</f>
        <v>17</v>
      </c>
      <c r="K1373" s="12">
        <f>_xlfn.XLOOKUP(Assumptions!$B$2,Assumptions!$F$4:$H$4,Assumptions!$F$8:$H$8)</f>
        <v>0.1</v>
      </c>
      <c r="L1373" s="12">
        <f>_xlfn.XLOOKUP(Assumptions!$B$2,Assumptions!$F$4:$H$4,Assumptions!$F$9:$H$9)</f>
        <v>0.18</v>
      </c>
      <c r="M1373" s="18">
        <f>_xlfn.XLOOKUP(Assumptions!$B$2,Assumptions!$F$4:$H$4,Assumptions!$F$10:$H$10)</f>
        <v>18000</v>
      </c>
      <c r="N1373" s="12">
        <f>_xlfn.XLOOKUP(Assumptions!$B$2,Assumptions!$F$4:$H$4,Assumptions!$F$11:$H$11)</f>
        <v>0.3</v>
      </c>
      <c r="O1373" s="14">
        <f>Final_Table[[#This Row],[Units Sold]]*Final_Table[[#This Row],[Sale Price]]</f>
        <v>20400</v>
      </c>
      <c r="P1373" s="14">
        <f>Final_Table[[#This Row],[Gross Revenue]]*(1-Final_Table[[#This Row],[Discount %]])</f>
        <v>18360</v>
      </c>
      <c r="Q1373">
        <f>Final_Table[[#This Row],[Net Revenue]]*Final_Table[[#This Row],[Variable Cost %]]</f>
        <v>3304.7999999999997</v>
      </c>
      <c r="R1373">
        <f>Final_Table[[#This Row],[Variable Cost]]+Final_Table[[#This Row],[Fixed Monthly Cost]]</f>
        <v>21304.799999999999</v>
      </c>
      <c r="S1373" s="5">
        <f>Final_Table[[#This Row],[Net Revenue]]-Final_Table[[#This Row],[Total Cost (COGS)]]</f>
        <v>-2944.7999999999993</v>
      </c>
      <c r="T1373">
        <f>Final_Table[[#This Row],[Gross Profit]]*Final_Table[[#This Row],[Tax Rate]]</f>
        <v>-883.43999999999971</v>
      </c>
      <c r="U1373" s="5">
        <f>Final_Table[[#This Row],[Gross Profit]]-Final_Table[[#This Row],[Tax]]</f>
        <v>-2061.3599999999997</v>
      </c>
      <c r="V1373" s="12">
        <f>Final_Table[[#This Row],[Net Profit]]/Final_Table[[#This Row],[Gross Revenue]]</f>
        <v>-0.10104705882352939</v>
      </c>
    </row>
    <row r="1374" spans="1:22">
      <c r="A1374" s="18" t="s">
        <v>77</v>
      </c>
      <c r="B1374">
        <v>2014</v>
      </c>
      <c r="C1374" t="s">
        <v>128</v>
      </c>
      <c r="D1374">
        <v>1</v>
      </c>
      <c r="E1374" s="18" t="s">
        <v>32</v>
      </c>
      <c r="F1374" s="18" t="s">
        <v>114</v>
      </c>
      <c r="G1374" s="18" t="s">
        <v>21</v>
      </c>
      <c r="H1374" s="18" t="str">
        <f>Assumptions!$B$2</f>
        <v>Worst</v>
      </c>
      <c r="I1374" s="18">
        <f>_xlfn.XLOOKUP(Assumptions!$B$2,Assumptions!$F$4:$H$4,Assumptions!$F$5:$H$5)</f>
        <v>1200</v>
      </c>
      <c r="J1374" s="18">
        <f>_xlfn.XLOOKUP(Assumptions!$B$2,Assumptions!$F$4:$H$4,Assumptions!$F$6:$H$6)</f>
        <v>17</v>
      </c>
      <c r="K1374" s="12">
        <f>_xlfn.XLOOKUP(Assumptions!$B$2,Assumptions!$F$4:$H$4,Assumptions!$F$8:$H$8)</f>
        <v>0.1</v>
      </c>
      <c r="L1374" s="12">
        <f>_xlfn.XLOOKUP(Assumptions!$B$2,Assumptions!$F$4:$H$4,Assumptions!$F$9:$H$9)</f>
        <v>0.18</v>
      </c>
      <c r="M1374" s="18">
        <f>_xlfn.XLOOKUP(Assumptions!$B$2,Assumptions!$F$4:$H$4,Assumptions!$F$10:$H$10)</f>
        <v>18000</v>
      </c>
      <c r="N1374" s="12">
        <f>_xlfn.XLOOKUP(Assumptions!$B$2,Assumptions!$F$4:$H$4,Assumptions!$F$11:$H$11)</f>
        <v>0.3</v>
      </c>
      <c r="O1374" s="14">
        <f>Final_Table[[#This Row],[Units Sold]]*Final_Table[[#This Row],[Sale Price]]</f>
        <v>20400</v>
      </c>
      <c r="P1374" s="14">
        <f>Final_Table[[#This Row],[Gross Revenue]]*(1-Final_Table[[#This Row],[Discount %]])</f>
        <v>18360</v>
      </c>
      <c r="Q1374">
        <f>Final_Table[[#This Row],[Net Revenue]]*Final_Table[[#This Row],[Variable Cost %]]</f>
        <v>3304.7999999999997</v>
      </c>
      <c r="R1374">
        <f>Final_Table[[#This Row],[Variable Cost]]+Final_Table[[#This Row],[Fixed Monthly Cost]]</f>
        <v>21304.799999999999</v>
      </c>
      <c r="S1374" s="5">
        <f>Final_Table[[#This Row],[Net Revenue]]-Final_Table[[#This Row],[Total Cost (COGS)]]</f>
        <v>-2944.7999999999993</v>
      </c>
      <c r="T1374">
        <f>Final_Table[[#This Row],[Gross Profit]]*Final_Table[[#This Row],[Tax Rate]]</f>
        <v>-883.43999999999971</v>
      </c>
      <c r="U1374" s="5">
        <f>Final_Table[[#This Row],[Gross Profit]]-Final_Table[[#This Row],[Tax]]</f>
        <v>-2061.3599999999997</v>
      </c>
      <c r="V1374" s="12">
        <f>Final_Table[[#This Row],[Net Profit]]/Final_Table[[#This Row],[Gross Revenue]]</f>
        <v>-0.10104705882352939</v>
      </c>
    </row>
    <row r="1375" spans="1:22">
      <c r="A1375" s="18" t="s">
        <v>77</v>
      </c>
      <c r="B1375">
        <v>2014</v>
      </c>
      <c r="C1375" t="s">
        <v>128</v>
      </c>
      <c r="D1375">
        <v>1</v>
      </c>
      <c r="E1375" s="18" t="s">
        <v>32</v>
      </c>
      <c r="F1375" s="18" t="s">
        <v>114</v>
      </c>
      <c r="G1375" s="18" t="s">
        <v>25</v>
      </c>
      <c r="H1375" s="18" t="str">
        <f>Assumptions!$B$2</f>
        <v>Worst</v>
      </c>
      <c r="I1375" s="18">
        <f>_xlfn.XLOOKUP(Assumptions!$B$2,Assumptions!$F$4:$H$4,Assumptions!$F$5:$H$5)</f>
        <v>1200</v>
      </c>
      <c r="J1375" s="18">
        <f>_xlfn.XLOOKUP(Assumptions!$B$2,Assumptions!$F$4:$H$4,Assumptions!$F$6:$H$6)</f>
        <v>17</v>
      </c>
      <c r="K1375" s="12">
        <f>_xlfn.XLOOKUP(Assumptions!$B$2,Assumptions!$F$4:$H$4,Assumptions!$F$8:$H$8)</f>
        <v>0.1</v>
      </c>
      <c r="L1375" s="12">
        <f>_xlfn.XLOOKUP(Assumptions!$B$2,Assumptions!$F$4:$H$4,Assumptions!$F$9:$H$9)</f>
        <v>0.18</v>
      </c>
      <c r="M1375" s="18">
        <f>_xlfn.XLOOKUP(Assumptions!$B$2,Assumptions!$F$4:$H$4,Assumptions!$F$10:$H$10)</f>
        <v>18000</v>
      </c>
      <c r="N1375" s="12">
        <f>_xlfn.XLOOKUP(Assumptions!$B$2,Assumptions!$F$4:$H$4,Assumptions!$F$11:$H$11)</f>
        <v>0.3</v>
      </c>
      <c r="O1375" s="14">
        <f>Final_Table[[#This Row],[Units Sold]]*Final_Table[[#This Row],[Sale Price]]</f>
        <v>20400</v>
      </c>
      <c r="P1375" s="14">
        <f>Final_Table[[#This Row],[Gross Revenue]]*(1-Final_Table[[#This Row],[Discount %]])</f>
        <v>18360</v>
      </c>
      <c r="Q1375">
        <f>Final_Table[[#This Row],[Net Revenue]]*Final_Table[[#This Row],[Variable Cost %]]</f>
        <v>3304.7999999999997</v>
      </c>
      <c r="R1375">
        <f>Final_Table[[#This Row],[Variable Cost]]+Final_Table[[#This Row],[Fixed Monthly Cost]]</f>
        <v>21304.799999999999</v>
      </c>
      <c r="S1375" s="5">
        <f>Final_Table[[#This Row],[Net Revenue]]-Final_Table[[#This Row],[Total Cost (COGS)]]</f>
        <v>-2944.7999999999993</v>
      </c>
      <c r="T1375">
        <f>Final_Table[[#This Row],[Gross Profit]]*Final_Table[[#This Row],[Tax Rate]]</f>
        <v>-883.43999999999971</v>
      </c>
      <c r="U1375" s="5">
        <f>Final_Table[[#This Row],[Gross Profit]]-Final_Table[[#This Row],[Tax]]</f>
        <v>-2061.3599999999997</v>
      </c>
      <c r="V1375" s="12">
        <f>Final_Table[[#This Row],[Net Profit]]/Final_Table[[#This Row],[Gross Revenue]]</f>
        <v>-0.10104705882352939</v>
      </c>
    </row>
    <row r="1376" spans="1:22">
      <c r="A1376" s="18" t="s">
        <v>77</v>
      </c>
      <c r="B1376">
        <v>2014</v>
      </c>
      <c r="C1376" t="s">
        <v>128</v>
      </c>
      <c r="D1376">
        <v>1</v>
      </c>
      <c r="E1376" s="18" t="s">
        <v>32</v>
      </c>
      <c r="F1376" s="18" t="s">
        <v>114</v>
      </c>
      <c r="G1376" s="18" t="s">
        <v>17</v>
      </c>
      <c r="H1376" s="18" t="str">
        <f>Assumptions!$B$2</f>
        <v>Worst</v>
      </c>
      <c r="I1376" s="18">
        <f>_xlfn.XLOOKUP(Assumptions!$B$2,Assumptions!$F$4:$H$4,Assumptions!$F$5:$H$5)</f>
        <v>1200</v>
      </c>
      <c r="J1376" s="18">
        <f>_xlfn.XLOOKUP(Assumptions!$B$2,Assumptions!$F$4:$H$4,Assumptions!$F$6:$H$6)</f>
        <v>17</v>
      </c>
      <c r="K1376" s="12">
        <f>_xlfn.XLOOKUP(Assumptions!$B$2,Assumptions!$F$4:$H$4,Assumptions!$F$8:$H$8)</f>
        <v>0.1</v>
      </c>
      <c r="L1376" s="12">
        <f>_xlfn.XLOOKUP(Assumptions!$B$2,Assumptions!$F$4:$H$4,Assumptions!$F$9:$H$9)</f>
        <v>0.18</v>
      </c>
      <c r="M1376" s="18">
        <f>_xlfn.XLOOKUP(Assumptions!$B$2,Assumptions!$F$4:$H$4,Assumptions!$F$10:$H$10)</f>
        <v>18000</v>
      </c>
      <c r="N1376" s="12">
        <f>_xlfn.XLOOKUP(Assumptions!$B$2,Assumptions!$F$4:$H$4,Assumptions!$F$11:$H$11)</f>
        <v>0.3</v>
      </c>
      <c r="O1376" s="14">
        <f>Final_Table[[#This Row],[Units Sold]]*Final_Table[[#This Row],[Sale Price]]</f>
        <v>20400</v>
      </c>
      <c r="P1376" s="14">
        <f>Final_Table[[#This Row],[Gross Revenue]]*(1-Final_Table[[#This Row],[Discount %]])</f>
        <v>18360</v>
      </c>
      <c r="Q1376">
        <f>Final_Table[[#This Row],[Net Revenue]]*Final_Table[[#This Row],[Variable Cost %]]</f>
        <v>3304.7999999999997</v>
      </c>
      <c r="R1376">
        <f>Final_Table[[#This Row],[Variable Cost]]+Final_Table[[#This Row],[Fixed Monthly Cost]]</f>
        <v>21304.799999999999</v>
      </c>
      <c r="S1376" s="5">
        <f>Final_Table[[#This Row],[Net Revenue]]-Final_Table[[#This Row],[Total Cost (COGS)]]</f>
        <v>-2944.7999999999993</v>
      </c>
      <c r="T1376">
        <f>Final_Table[[#This Row],[Gross Profit]]*Final_Table[[#This Row],[Tax Rate]]</f>
        <v>-883.43999999999971</v>
      </c>
      <c r="U1376" s="5">
        <f>Final_Table[[#This Row],[Gross Profit]]-Final_Table[[#This Row],[Tax]]</f>
        <v>-2061.3599999999997</v>
      </c>
      <c r="V1376" s="12">
        <f>Final_Table[[#This Row],[Net Profit]]/Final_Table[[#This Row],[Gross Revenue]]</f>
        <v>-0.10104705882352939</v>
      </c>
    </row>
    <row r="1377" spans="1:22">
      <c r="A1377" s="18" t="s">
        <v>78</v>
      </c>
      <c r="B1377">
        <v>2014</v>
      </c>
      <c r="C1377" t="s">
        <v>129</v>
      </c>
      <c r="D1377">
        <v>1</v>
      </c>
      <c r="E1377" s="18" t="s">
        <v>30</v>
      </c>
      <c r="F1377" s="18" t="s">
        <v>80</v>
      </c>
      <c r="G1377" s="18" t="s">
        <v>36</v>
      </c>
      <c r="H1377" s="18" t="str">
        <f>Assumptions!$B$2</f>
        <v>Worst</v>
      </c>
      <c r="I1377" s="18">
        <f>_xlfn.XLOOKUP(Assumptions!$B$2,Assumptions!$F$4:$H$4,Assumptions!$F$5:$H$5)</f>
        <v>1200</v>
      </c>
      <c r="J1377" s="18">
        <f>_xlfn.XLOOKUP(Assumptions!$B$2,Assumptions!$F$4:$H$4,Assumptions!$F$6:$H$6)</f>
        <v>17</v>
      </c>
      <c r="K1377" s="12">
        <f>_xlfn.XLOOKUP(Assumptions!$B$2,Assumptions!$F$4:$H$4,Assumptions!$F$8:$H$8)</f>
        <v>0.1</v>
      </c>
      <c r="L1377" s="12">
        <f>_xlfn.XLOOKUP(Assumptions!$B$2,Assumptions!$F$4:$H$4,Assumptions!$F$9:$H$9)</f>
        <v>0.18</v>
      </c>
      <c r="M1377" s="18">
        <f>_xlfn.XLOOKUP(Assumptions!$B$2,Assumptions!$F$4:$H$4,Assumptions!$F$10:$H$10)</f>
        <v>18000</v>
      </c>
      <c r="N1377" s="12">
        <f>_xlfn.XLOOKUP(Assumptions!$B$2,Assumptions!$F$4:$H$4,Assumptions!$F$11:$H$11)</f>
        <v>0.3</v>
      </c>
      <c r="O1377" s="14">
        <f>Final_Table[[#This Row],[Units Sold]]*Final_Table[[#This Row],[Sale Price]]</f>
        <v>20400</v>
      </c>
      <c r="P1377" s="14">
        <f>Final_Table[[#This Row],[Gross Revenue]]*(1-Final_Table[[#This Row],[Discount %]])</f>
        <v>18360</v>
      </c>
      <c r="Q1377">
        <f>Final_Table[[#This Row],[Net Revenue]]*Final_Table[[#This Row],[Variable Cost %]]</f>
        <v>3304.7999999999997</v>
      </c>
      <c r="R1377">
        <f>Final_Table[[#This Row],[Variable Cost]]+Final_Table[[#This Row],[Fixed Monthly Cost]]</f>
        <v>21304.799999999999</v>
      </c>
      <c r="S1377" s="5">
        <f>Final_Table[[#This Row],[Net Revenue]]-Final_Table[[#This Row],[Total Cost (COGS)]]</f>
        <v>-2944.7999999999993</v>
      </c>
      <c r="T1377">
        <f>Final_Table[[#This Row],[Gross Profit]]*Final_Table[[#This Row],[Tax Rate]]</f>
        <v>-883.43999999999971</v>
      </c>
      <c r="U1377" s="5">
        <f>Final_Table[[#This Row],[Gross Profit]]-Final_Table[[#This Row],[Tax]]</f>
        <v>-2061.3599999999997</v>
      </c>
      <c r="V1377" s="12">
        <f>Final_Table[[#This Row],[Net Profit]]/Final_Table[[#This Row],[Gross Revenue]]</f>
        <v>-0.10104705882352939</v>
      </c>
    </row>
    <row r="1378" spans="1:22">
      <c r="A1378" s="18" t="s">
        <v>78</v>
      </c>
      <c r="B1378">
        <v>2014</v>
      </c>
      <c r="C1378" t="s">
        <v>129</v>
      </c>
      <c r="D1378">
        <v>1</v>
      </c>
      <c r="E1378" s="18" t="s">
        <v>30</v>
      </c>
      <c r="F1378" s="18" t="s">
        <v>80</v>
      </c>
      <c r="G1378" s="18" t="s">
        <v>23</v>
      </c>
      <c r="H1378" s="18" t="str">
        <f>Assumptions!$B$2</f>
        <v>Worst</v>
      </c>
      <c r="I1378" s="18">
        <f>_xlfn.XLOOKUP(Assumptions!$B$2,Assumptions!$F$4:$H$4,Assumptions!$F$5:$H$5)</f>
        <v>1200</v>
      </c>
      <c r="J1378" s="18">
        <f>_xlfn.XLOOKUP(Assumptions!$B$2,Assumptions!$F$4:$H$4,Assumptions!$F$6:$H$6)</f>
        <v>17</v>
      </c>
      <c r="K1378" s="12">
        <f>_xlfn.XLOOKUP(Assumptions!$B$2,Assumptions!$F$4:$H$4,Assumptions!$F$8:$H$8)</f>
        <v>0.1</v>
      </c>
      <c r="L1378" s="12">
        <f>_xlfn.XLOOKUP(Assumptions!$B$2,Assumptions!$F$4:$H$4,Assumptions!$F$9:$H$9)</f>
        <v>0.18</v>
      </c>
      <c r="M1378" s="18">
        <f>_xlfn.XLOOKUP(Assumptions!$B$2,Assumptions!$F$4:$H$4,Assumptions!$F$10:$H$10)</f>
        <v>18000</v>
      </c>
      <c r="N1378" s="12">
        <f>_xlfn.XLOOKUP(Assumptions!$B$2,Assumptions!$F$4:$H$4,Assumptions!$F$11:$H$11)</f>
        <v>0.3</v>
      </c>
      <c r="O1378" s="14">
        <f>Final_Table[[#This Row],[Units Sold]]*Final_Table[[#This Row],[Sale Price]]</f>
        <v>20400</v>
      </c>
      <c r="P1378" s="14">
        <f>Final_Table[[#This Row],[Gross Revenue]]*(1-Final_Table[[#This Row],[Discount %]])</f>
        <v>18360</v>
      </c>
      <c r="Q1378">
        <f>Final_Table[[#This Row],[Net Revenue]]*Final_Table[[#This Row],[Variable Cost %]]</f>
        <v>3304.7999999999997</v>
      </c>
      <c r="R1378">
        <f>Final_Table[[#This Row],[Variable Cost]]+Final_Table[[#This Row],[Fixed Monthly Cost]]</f>
        <v>21304.799999999999</v>
      </c>
      <c r="S1378" s="5">
        <f>Final_Table[[#This Row],[Net Revenue]]-Final_Table[[#This Row],[Total Cost (COGS)]]</f>
        <v>-2944.7999999999993</v>
      </c>
      <c r="T1378">
        <f>Final_Table[[#This Row],[Gross Profit]]*Final_Table[[#This Row],[Tax Rate]]</f>
        <v>-883.43999999999971</v>
      </c>
      <c r="U1378" s="5">
        <f>Final_Table[[#This Row],[Gross Profit]]-Final_Table[[#This Row],[Tax]]</f>
        <v>-2061.3599999999997</v>
      </c>
      <c r="V1378" s="12">
        <f>Final_Table[[#This Row],[Net Profit]]/Final_Table[[#This Row],[Gross Revenue]]</f>
        <v>-0.10104705882352939</v>
      </c>
    </row>
    <row r="1379" spans="1:22">
      <c r="A1379" s="18" t="s">
        <v>78</v>
      </c>
      <c r="B1379">
        <v>2014</v>
      </c>
      <c r="C1379" t="s">
        <v>129</v>
      </c>
      <c r="D1379">
        <v>1</v>
      </c>
      <c r="E1379" s="18" t="s">
        <v>30</v>
      </c>
      <c r="F1379" s="18" t="s">
        <v>80</v>
      </c>
      <c r="G1379" s="18" t="s">
        <v>21</v>
      </c>
      <c r="H1379" s="18" t="str">
        <f>Assumptions!$B$2</f>
        <v>Worst</v>
      </c>
      <c r="I1379" s="18">
        <f>_xlfn.XLOOKUP(Assumptions!$B$2,Assumptions!$F$4:$H$4,Assumptions!$F$5:$H$5)</f>
        <v>1200</v>
      </c>
      <c r="J1379" s="18">
        <f>_xlfn.XLOOKUP(Assumptions!$B$2,Assumptions!$F$4:$H$4,Assumptions!$F$6:$H$6)</f>
        <v>17</v>
      </c>
      <c r="K1379" s="12">
        <f>_xlfn.XLOOKUP(Assumptions!$B$2,Assumptions!$F$4:$H$4,Assumptions!$F$8:$H$8)</f>
        <v>0.1</v>
      </c>
      <c r="L1379" s="12">
        <f>_xlfn.XLOOKUP(Assumptions!$B$2,Assumptions!$F$4:$H$4,Assumptions!$F$9:$H$9)</f>
        <v>0.18</v>
      </c>
      <c r="M1379" s="18">
        <f>_xlfn.XLOOKUP(Assumptions!$B$2,Assumptions!$F$4:$H$4,Assumptions!$F$10:$H$10)</f>
        <v>18000</v>
      </c>
      <c r="N1379" s="12">
        <f>_xlfn.XLOOKUP(Assumptions!$B$2,Assumptions!$F$4:$H$4,Assumptions!$F$11:$H$11)</f>
        <v>0.3</v>
      </c>
      <c r="O1379" s="14">
        <f>Final_Table[[#This Row],[Units Sold]]*Final_Table[[#This Row],[Sale Price]]</f>
        <v>20400</v>
      </c>
      <c r="P1379" s="14">
        <f>Final_Table[[#This Row],[Gross Revenue]]*(1-Final_Table[[#This Row],[Discount %]])</f>
        <v>18360</v>
      </c>
      <c r="Q1379">
        <f>Final_Table[[#This Row],[Net Revenue]]*Final_Table[[#This Row],[Variable Cost %]]</f>
        <v>3304.7999999999997</v>
      </c>
      <c r="R1379">
        <f>Final_Table[[#This Row],[Variable Cost]]+Final_Table[[#This Row],[Fixed Monthly Cost]]</f>
        <v>21304.799999999999</v>
      </c>
      <c r="S1379" s="5">
        <f>Final_Table[[#This Row],[Net Revenue]]-Final_Table[[#This Row],[Total Cost (COGS)]]</f>
        <v>-2944.7999999999993</v>
      </c>
      <c r="T1379">
        <f>Final_Table[[#This Row],[Gross Profit]]*Final_Table[[#This Row],[Tax Rate]]</f>
        <v>-883.43999999999971</v>
      </c>
      <c r="U1379" s="5">
        <f>Final_Table[[#This Row],[Gross Profit]]-Final_Table[[#This Row],[Tax]]</f>
        <v>-2061.3599999999997</v>
      </c>
      <c r="V1379" s="12">
        <f>Final_Table[[#This Row],[Net Profit]]/Final_Table[[#This Row],[Gross Revenue]]</f>
        <v>-0.10104705882352939</v>
      </c>
    </row>
    <row r="1380" spans="1:22">
      <c r="A1380" s="18" t="s">
        <v>78</v>
      </c>
      <c r="B1380">
        <v>2014</v>
      </c>
      <c r="C1380" t="s">
        <v>129</v>
      </c>
      <c r="D1380">
        <v>1</v>
      </c>
      <c r="E1380" s="18" t="s">
        <v>30</v>
      </c>
      <c r="F1380" s="18" t="s">
        <v>80</v>
      </c>
      <c r="G1380" s="18" t="s">
        <v>25</v>
      </c>
      <c r="H1380" s="18" t="str">
        <f>Assumptions!$B$2</f>
        <v>Worst</v>
      </c>
      <c r="I1380" s="18">
        <f>_xlfn.XLOOKUP(Assumptions!$B$2,Assumptions!$F$4:$H$4,Assumptions!$F$5:$H$5)</f>
        <v>1200</v>
      </c>
      <c r="J1380" s="18">
        <f>_xlfn.XLOOKUP(Assumptions!$B$2,Assumptions!$F$4:$H$4,Assumptions!$F$6:$H$6)</f>
        <v>17</v>
      </c>
      <c r="K1380" s="12">
        <f>_xlfn.XLOOKUP(Assumptions!$B$2,Assumptions!$F$4:$H$4,Assumptions!$F$8:$H$8)</f>
        <v>0.1</v>
      </c>
      <c r="L1380" s="12">
        <f>_xlfn.XLOOKUP(Assumptions!$B$2,Assumptions!$F$4:$H$4,Assumptions!$F$9:$H$9)</f>
        <v>0.18</v>
      </c>
      <c r="M1380" s="18">
        <f>_xlfn.XLOOKUP(Assumptions!$B$2,Assumptions!$F$4:$H$4,Assumptions!$F$10:$H$10)</f>
        <v>18000</v>
      </c>
      <c r="N1380" s="12">
        <f>_xlfn.XLOOKUP(Assumptions!$B$2,Assumptions!$F$4:$H$4,Assumptions!$F$11:$H$11)</f>
        <v>0.3</v>
      </c>
      <c r="O1380" s="14">
        <f>Final_Table[[#This Row],[Units Sold]]*Final_Table[[#This Row],[Sale Price]]</f>
        <v>20400</v>
      </c>
      <c r="P1380" s="14">
        <f>Final_Table[[#This Row],[Gross Revenue]]*(1-Final_Table[[#This Row],[Discount %]])</f>
        <v>18360</v>
      </c>
      <c r="Q1380">
        <f>Final_Table[[#This Row],[Net Revenue]]*Final_Table[[#This Row],[Variable Cost %]]</f>
        <v>3304.7999999999997</v>
      </c>
      <c r="R1380">
        <f>Final_Table[[#This Row],[Variable Cost]]+Final_Table[[#This Row],[Fixed Monthly Cost]]</f>
        <v>21304.799999999999</v>
      </c>
      <c r="S1380" s="5">
        <f>Final_Table[[#This Row],[Net Revenue]]-Final_Table[[#This Row],[Total Cost (COGS)]]</f>
        <v>-2944.7999999999993</v>
      </c>
      <c r="T1380">
        <f>Final_Table[[#This Row],[Gross Profit]]*Final_Table[[#This Row],[Tax Rate]]</f>
        <v>-883.43999999999971</v>
      </c>
      <c r="U1380" s="5">
        <f>Final_Table[[#This Row],[Gross Profit]]-Final_Table[[#This Row],[Tax]]</f>
        <v>-2061.3599999999997</v>
      </c>
      <c r="V1380" s="12">
        <f>Final_Table[[#This Row],[Net Profit]]/Final_Table[[#This Row],[Gross Revenue]]</f>
        <v>-0.10104705882352939</v>
      </c>
    </row>
    <row r="1381" spans="1:22">
      <c r="A1381" s="18" t="s">
        <v>78</v>
      </c>
      <c r="B1381">
        <v>2014</v>
      </c>
      <c r="C1381" t="s">
        <v>129</v>
      </c>
      <c r="D1381">
        <v>1</v>
      </c>
      <c r="E1381" s="18" t="s">
        <v>30</v>
      </c>
      <c r="F1381" s="18" t="s">
        <v>80</v>
      </c>
      <c r="G1381" s="18" t="s">
        <v>17</v>
      </c>
      <c r="H1381" s="18" t="str">
        <f>Assumptions!$B$2</f>
        <v>Worst</v>
      </c>
      <c r="I1381" s="18">
        <f>_xlfn.XLOOKUP(Assumptions!$B$2,Assumptions!$F$4:$H$4,Assumptions!$F$5:$H$5)</f>
        <v>1200</v>
      </c>
      <c r="J1381" s="18">
        <f>_xlfn.XLOOKUP(Assumptions!$B$2,Assumptions!$F$4:$H$4,Assumptions!$F$6:$H$6)</f>
        <v>17</v>
      </c>
      <c r="K1381" s="12">
        <f>_xlfn.XLOOKUP(Assumptions!$B$2,Assumptions!$F$4:$H$4,Assumptions!$F$8:$H$8)</f>
        <v>0.1</v>
      </c>
      <c r="L1381" s="12">
        <f>_xlfn.XLOOKUP(Assumptions!$B$2,Assumptions!$F$4:$H$4,Assumptions!$F$9:$H$9)</f>
        <v>0.18</v>
      </c>
      <c r="M1381" s="18">
        <f>_xlfn.XLOOKUP(Assumptions!$B$2,Assumptions!$F$4:$H$4,Assumptions!$F$10:$H$10)</f>
        <v>18000</v>
      </c>
      <c r="N1381" s="12">
        <f>_xlfn.XLOOKUP(Assumptions!$B$2,Assumptions!$F$4:$H$4,Assumptions!$F$11:$H$11)</f>
        <v>0.3</v>
      </c>
      <c r="O1381" s="14">
        <f>Final_Table[[#This Row],[Units Sold]]*Final_Table[[#This Row],[Sale Price]]</f>
        <v>20400</v>
      </c>
      <c r="P1381" s="14">
        <f>Final_Table[[#This Row],[Gross Revenue]]*(1-Final_Table[[#This Row],[Discount %]])</f>
        <v>18360</v>
      </c>
      <c r="Q1381">
        <f>Final_Table[[#This Row],[Net Revenue]]*Final_Table[[#This Row],[Variable Cost %]]</f>
        <v>3304.7999999999997</v>
      </c>
      <c r="R1381">
        <f>Final_Table[[#This Row],[Variable Cost]]+Final_Table[[#This Row],[Fixed Monthly Cost]]</f>
        <v>21304.799999999999</v>
      </c>
      <c r="S1381" s="5">
        <f>Final_Table[[#This Row],[Net Revenue]]-Final_Table[[#This Row],[Total Cost (COGS)]]</f>
        <v>-2944.7999999999993</v>
      </c>
      <c r="T1381">
        <f>Final_Table[[#This Row],[Gross Profit]]*Final_Table[[#This Row],[Tax Rate]]</f>
        <v>-883.43999999999971</v>
      </c>
      <c r="U1381" s="5">
        <f>Final_Table[[#This Row],[Gross Profit]]-Final_Table[[#This Row],[Tax]]</f>
        <v>-2061.3599999999997</v>
      </c>
      <c r="V1381" s="12">
        <f>Final_Table[[#This Row],[Net Profit]]/Final_Table[[#This Row],[Gross Revenue]]</f>
        <v>-0.10104705882352939</v>
      </c>
    </row>
    <row r="1382" spans="1:22">
      <c r="A1382" s="18" t="s">
        <v>78</v>
      </c>
      <c r="B1382">
        <v>2014</v>
      </c>
      <c r="C1382" t="s">
        <v>129</v>
      </c>
      <c r="D1382">
        <v>1</v>
      </c>
      <c r="E1382" s="18" t="s">
        <v>30</v>
      </c>
      <c r="F1382" s="18" t="s">
        <v>108</v>
      </c>
      <c r="G1382" s="18" t="s">
        <v>36</v>
      </c>
      <c r="H1382" s="18" t="str">
        <f>Assumptions!$B$2</f>
        <v>Worst</v>
      </c>
      <c r="I1382" s="18">
        <f>_xlfn.XLOOKUP(Assumptions!$B$2,Assumptions!$F$4:$H$4,Assumptions!$F$5:$H$5)</f>
        <v>1200</v>
      </c>
      <c r="J1382" s="18">
        <f>_xlfn.XLOOKUP(Assumptions!$B$2,Assumptions!$F$4:$H$4,Assumptions!$F$6:$H$6)</f>
        <v>17</v>
      </c>
      <c r="K1382" s="12">
        <f>_xlfn.XLOOKUP(Assumptions!$B$2,Assumptions!$F$4:$H$4,Assumptions!$F$8:$H$8)</f>
        <v>0.1</v>
      </c>
      <c r="L1382" s="12">
        <f>_xlfn.XLOOKUP(Assumptions!$B$2,Assumptions!$F$4:$H$4,Assumptions!$F$9:$H$9)</f>
        <v>0.18</v>
      </c>
      <c r="M1382" s="18">
        <f>_xlfn.XLOOKUP(Assumptions!$B$2,Assumptions!$F$4:$H$4,Assumptions!$F$10:$H$10)</f>
        <v>18000</v>
      </c>
      <c r="N1382" s="12">
        <f>_xlfn.XLOOKUP(Assumptions!$B$2,Assumptions!$F$4:$H$4,Assumptions!$F$11:$H$11)</f>
        <v>0.3</v>
      </c>
      <c r="O1382" s="14">
        <f>Final_Table[[#This Row],[Units Sold]]*Final_Table[[#This Row],[Sale Price]]</f>
        <v>20400</v>
      </c>
      <c r="P1382" s="14">
        <f>Final_Table[[#This Row],[Gross Revenue]]*(1-Final_Table[[#This Row],[Discount %]])</f>
        <v>18360</v>
      </c>
      <c r="Q1382">
        <f>Final_Table[[#This Row],[Net Revenue]]*Final_Table[[#This Row],[Variable Cost %]]</f>
        <v>3304.7999999999997</v>
      </c>
      <c r="R1382">
        <f>Final_Table[[#This Row],[Variable Cost]]+Final_Table[[#This Row],[Fixed Monthly Cost]]</f>
        <v>21304.799999999999</v>
      </c>
      <c r="S1382" s="5">
        <f>Final_Table[[#This Row],[Net Revenue]]-Final_Table[[#This Row],[Total Cost (COGS)]]</f>
        <v>-2944.7999999999993</v>
      </c>
      <c r="T1382">
        <f>Final_Table[[#This Row],[Gross Profit]]*Final_Table[[#This Row],[Tax Rate]]</f>
        <v>-883.43999999999971</v>
      </c>
      <c r="U1382" s="5">
        <f>Final_Table[[#This Row],[Gross Profit]]-Final_Table[[#This Row],[Tax]]</f>
        <v>-2061.3599999999997</v>
      </c>
      <c r="V1382" s="12">
        <f>Final_Table[[#This Row],[Net Profit]]/Final_Table[[#This Row],[Gross Revenue]]</f>
        <v>-0.10104705882352939</v>
      </c>
    </row>
    <row r="1383" spans="1:22">
      <c r="A1383" s="18" t="s">
        <v>78</v>
      </c>
      <c r="B1383">
        <v>2014</v>
      </c>
      <c r="C1383" t="s">
        <v>129</v>
      </c>
      <c r="D1383">
        <v>1</v>
      </c>
      <c r="E1383" s="18" t="s">
        <v>30</v>
      </c>
      <c r="F1383" s="18" t="s">
        <v>108</v>
      </c>
      <c r="G1383" s="18" t="s">
        <v>23</v>
      </c>
      <c r="H1383" s="18" t="str">
        <f>Assumptions!$B$2</f>
        <v>Worst</v>
      </c>
      <c r="I1383" s="18">
        <f>_xlfn.XLOOKUP(Assumptions!$B$2,Assumptions!$F$4:$H$4,Assumptions!$F$5:$H$5)</f>
        <v>1200</v>
      </c>
      <c r="J1383" s="18">
        <f>_xlfn.XLOOKUP(Assumptions!$B$2,Assumptions!$F$4:$H$4,Assumptions!$F$6:$H$6)</f>
        <v>17</v>
      </c>
      <c r="K1383" s="12">
        <f>_xlfn.XLOOKUP(Assumptions!$B$2,Assumptions!$F$4:$H$4,Assumptions!$F$8:$H$8)</f>
        <v>0.1</v>
      </c>
      <c r="L1383" s="12">
        <f>_xlfn.XLOOKUP(Assumptions!$B$2,Assumptions!$F$4:$H$4,Assumptions!$F$9:$H$9)</f>
        <v>0.18</v>
      </c>
      <c r="M1383" s="18">
        <f>_xlfn.XLOOKUP(Assumptions!$B$2,Assumptions!$F$4:$H$4,Assumptions!$F$10:$H$10)</f>
        <v>18000</v>
      </c>
      <c r="N1383" s="12">
        <f>_xlfn.XLOOKUP(Assumptions!$B$2,Assumptions!$F$4:$H$4,Assumptions!$F$11:$H$11)</f>
        <v>0.3</v>
      </c>
      <c r="O1383" s="14">
        <f>Final_Table[[#This Row],[Units Sold]]*Final_Table[[#This Row],[Sale Price]]</f>
        <v>20400</v>
      </c>
      <c r="P1383" s="14">
        <f>Final_Table[[#This Row],[Gross Revenue]]*(1-Final_Table[[#This Row],[Discount %]])</f>
        <v>18360</v>
      </c>
      <c r="Q1383">
        <f>Final_Table[[#This Row],[Net Revenue]]*Final_Table[[#This Row],[Variable Cost %]]</f>
        <v>3304.7999999999997</v>
      </c>
      <c r="R1383">
        <f>Final_Table[[#This Row],[Variable Cost]]+Final_Table[[#This Row],[Fixed Monthly Cost]]</f>
        <v>21304.799999999999</v>
      </c>
      <c r="S1383" s="5">
        <f>Final_Table[[#This Row],[Net Revenue]]-Final_Table[[#This Row],[Total Cost (COGS)]]</f>
        <v>-2944.7999999999993</v>
      </c>
      <c r="T1383">
        <f>Final_Table[[#This Row],[Gross Profit]]*Final_Table[[#This Row],[Tax Rate]]</f>
        <v>-883.43999999999971</v>
      </c>
      <c r="U1383" s="5">
        <f>Final_Table[[#This Row],[Gross Profit]]-Final_Table[[#This Row],[Tax]]</f>
        <v>-2061.3599999999997</v>
      </c>
      <c r="V1383" s="12">
        <f>Final_Table[[#This Row],[Net Profit]]/Final_Table[[#This Row],[Gross Revenue]]</f>
        <v>-0.10104705882352939</v>
      </c>
    </row>
    <row r="1384" spans="1:22">
      <c r="A1384" s="18" t="s">
        <v>78</v>
      </c>
      <c r="B1384">
        <v>2014</v>
      </c>
      <c r="C1384" t="s">
        <v>129</v>
      </c>
      <c r="D1384">
        <v>1</v>
      </c>
      <c r="E1384" s="18" t="s">
        <v>30</v>
      </c>
      <c r="F1384" s="18" t="s">
        <v>108</v>
      </c>
      <c r="G1384" s="18" t="s">
        <v>21</v>
      </c>
      <c r="H1384" s="18" t="str">
        <f>Assumptions!$B$2</f>
        <v>Worst</v>
      </c>
      <c r="I1384" s="18">
        <f>_xlfn.XLOOKUP(Assumptions!$B$2,Assumptions!$F$4:$H$4,Assumptions!$F$5:$H$5)</f>
        <v>1200</v>
      </c>
      <c r="J1384" s="18">
        <f>_xlfn.XLOOKUP(Assumptions!$B$2,Assumptions!$F$4:$H$4,Assumptions!$F$6:$H$6)</f>
        <v>17</v>
      </c>
      <c r="K1384" s="12">
        <f>_xlfn.XLOOKUP(Assumptions!$B$2,Assumptions!$F$4:$H$4,Assumptions!$F$8:$H$8)</f>
        <v>0.1</v>
      </c>
      <c r="L1384" s="12">
        <f>_xlfn.XLOOKUP(Assumptions!$B$2,Assumptions!$F$4:$H$4,Assumptions!$F$9:$H$9)</f>
        <v>0.18</v>
      </c>
      <c r="M1384" s="18">
        <f>_xlfn.XLOOKUP(Assumptions!$B$2,Assumptions!$F$4:$H$4,Assumptions!$F$10:$H$10)</f>
        <v>18000</v>
      </c>
      <c r="N1384" s="12">
        <f>_xlfn.XLOOKUP(Assumptions!$B$2,Assumptions!$F$4:$H$4,Assumptions!$F$11:$H$11)</f>
        <v>0.3</v>
      </c>
      <c r="O1384" s="14">
        <f>Final_Table[[#This Row],[Units Sold]]*Final_Table[[#This Row],[Sale Price]]</f>
        <v>20400</v>
      </c>
      <c r="P1384" s="14">
        <f>Final_Table[[#This Row],[Gross Revenue]]*(1-Final_Table[[#This Row],[Discount %]])</f>
        <v>18360</v>
      </c>
      <c r="Q1384">
        <f>Final_Table[[#This Row],[Net Revenue]]*Final_Table[[#This Row],[Variable Cost %]]</f>
        <v>3304.7999999999997</v>
      </c>
      <c r="R1384">
        <f>Final_Table[[#This Row],[Variable Cost]]+Final_Table[[#This Row],[Fixed Monthly Cost]]</f>
        <v>21304.799999999999</v>
      </c>
      <c r="S1384" s="5">
        <f>Final_Table[[#This Row],[Net Revenue]]-Final_Table[[#This Row],[Total Cost (COGS)]]</f>
        <v>-2944.7999999999993</v>
      </c>
      <c r="T1384">
        <f>Final_Table[[#This Row],[Gross Profit]]*Final_Table[[#This Row],[Tax Rate]]</f>
        <v>-883.43999999999971</v>
      </c>
      <c r="U1384" s="5">
        <f>Final_Table[[#This Row],[Gross Profit]]-Final_Table[[#This Row],[Tax]]</f>
        <v>-2061.3599999999997</v>
      </c>
      <c r="V1384" s="12">
        <f>Final_Table[[#This Row],[Net Profit]]/Final_Table[[#This Row],[Gross Revenue]]</f>
        <v>-0.10104705882352939</v>
      </c>
    </row>
    <row r="1385" spans="1:22">
      <c r="A1385" s="18" t="s">
        <v>78</v>
      </c>
      <c r="B1385">
        <v>2014</v>
      </c>
      <c r="C1385" t="s">
        <v>129</v>
      </c>
      <c r="D1385">
        <v>1</v>
      </c>
      <c r="E1385" s="18" t="s">
        <v>30</v>
      </c>
      <c r="F1385" s="18" t="s">
        <v>108</v>
      </c>
      <c r="G1385" s="18" t="s">
        <v>25</v>
      </c>
      <c r="H1385" s="18" t="str">
        <f>Assumptions!$B$2</f>
        <v>Worst</v>
      </c>
      <c r="I1385" s="18">
        <f>_xlfn.XLOOKUP(Assumptions!$B$2,Assumptions!$F$4:$H$4,Assumptions!$F$5:$H$5)</f>
        <v>1200</v>
      </c>
      <c r="J1385" s="18">
        <f>_xlfn.XLOOKUP(Assumptions!$B$2,Assumptions!$F$4:$H$4,Assumptions!$F$6:$H$6)</f>
        <v>17</v>
      </c>
      <c r="K1385" s="12">
        <f>_xlfn.XLOOKUP(Assumptions!$B$2,Assumptions!$F$4:$H$4,Assumptions!$F$8:$H$8)</f>
        <v>0.1</v>
      </c>
      <c r="L1385" s="12">
        <f>_xlfn.XLOOKUP(Assumptions!$B$2,Assumptions!$F$4:$H$4,Assumptions!$F$9:$H$9)</f>
        <v>0.18</v>
      </c>
      <c r="M1385" s="18">
        <f>_xlfn.XLOOKUP(Assumptions!$B$2,Assumptions!$F$4:$H$4,Assumptions!$F$10:$H$10)</f>
        <v>18000</v>
      </c>
      <c r="N1385" s="12">
        <f>_xlfn.XLOOKUP(Assumptions!$B$2,Assumptions!$F$4:$H$4,Assumptions!$F$11:$H$11)</f>
        <v>0.3</v>
      </c>
      <c r="O1385" s="14">
        <f>Final_Table[[#This Row],[Units Sold]]*Final_Table[[#This Row],[Sale Price]]</f>
        <v>20400</v>
      </c>
      <c r="P1385" s="14">
        <f>Final_Table[[#This Row],[Gross Revenue]]*(1-Final_Table[[#This Row],[Discount %]])</f>
        <v>18360</v>
      </c>
      <c r="Q1385">
        <f>Final_Table[[#This Row],[Net Revenue]]*Final_Table[[#This Row],[Variable Cost %]]</f>
        <v>3304.7999999999997</v>
      </c>
      <c r="R1385">
        <f>Final_Table[[#This Row],[Variable Cost]]+Final_Table[[#This Row],[Fixed Monthly Cost]]</f>
        <v>21304.799999999999</v>
      </c>
      <c r="S1385" s="5">
        <f>Final_Table[[#This Row],[Net Revenue]]-Final_Table[[#This Row],[Total Cost (COGS)]]</f>
        <v>-2944.7999999999993</v>
      </c>
      <c r="T1385">
        <f>Final_Table[[#This Row],[Gross Profit]]*Final_Table[[#This Row],[Tax Rate]]</f>
        <v>-883.43999999999971</v>
      </c>
      <c r="U1385" s="5">
        <f>Final_Table[[#This Row],[Gross Profit]]-Final_Table[[#This Row],[Tax]]</f>
        <v>-2061.3599999999997</v>
      </c>
      <c r="V1385" s="12">
        <f>Final_Table[[#This Row],[Net Profit]]/Final_Table[[#This Row],[Gross Revenue]]</f>
        <v>-0.10104705882352939</v>
      </c>
    </row>
    <row r="1386" spans="1:22">
      <c r="A1386" s="18" t="s">
        <v>78</v>
      </c>
      <c r="B1386">
        <v>2014</v>
      </c>
      <c r="C1386" t="s">
        <v>129</v>
      </c>
      <c r="D1386">
        <v>1</v>
      </c>
      <c r="E1386" s="18" t="s">
        <v>30</v>
      </c>
      <c r="F1386" s="18" t="s">
        <v>108</v>
      </c>
      <c r="G1386" s="18" t="s">
        <v>17</v>
      </c>
      <c r="H1386" s="18" t="str">
        <f>Assumptions!$B$2</f>
        <v>Worst</v>
      </c>
      <c r="I1386" s="18">
        <f>_xlfn.XLOOKUP(Assumptions!$B$2,Assumptions!$F$4:$H$4,Assumptions!$F$5:$H$5)</f>
        <v>1200</v>
      </c>
      <c r="J1386" s="18">
        <f>_xlfn.XLOOKUP(Assumptions!$B$2,Assumptions!$F$4:$H$4,Assumptions!$F$6:$H$6)</f>
        <v>17</v>
      </c>
      <c r="K1386" s="12">
        <f>_xlfn.XLOOKUP(Assumptions!$B$2,Assumptions!$F$4:$H$4,Assumptions!$F$8:$H$8)</f>
        <v>0.1</v>
      </c>
      <c r="L1386" s="12">
        <f>_xlfn.XLOOKUP(Assumptions!$B$2,Assumptions!$F$4:$H$4,Assumptions!$F$9:$H$9)</f>
        <v>0.18</v>
      </c>
      <c r="M1386" s="18">
        <f>_xlfn.XLOOKUP(Assumptions!$B$2,Assumptions!$F$4:$H$4,Assumptions!$F$10:$H$10)</f>
        <v>18000</v>
      </c>
      <c r="N1386" s="12">
        <f>_xlfn.XLOOKUP(Assumptions!$B$2,Assumptions!$F$4:$H$4,Assumptions!$F$11:$H$11)</f>
        <v>0.3</v>
      </c>
      <c r="O1386" s="14">
        <f>Final_Table[[#This Row],[Units Sold]]*Final_Table[[#This Row],[Sale Price]]</f>
        <v>20400</v>
      </c>
      <c r="P1386" s="14">
        <f>Final_Table[[#This Row],[Gross Revenue]]*(1-Final_Table[[#This Row],[Discount %]])</f>
        <v>18360</v>
      </c>
      <c r="Q1386">
        <f>Final_Table[[#This Row],[Net Revenue]]*Final_Table[[#This Row],[Variable Cost %]]</f>
        <v>3304.7999999999997</v>
      </c>
      <c r="R1386">
        <f>Final_Table[[#This Row],[Variable Cost]]+Final_Table[[#This Row],[Fixed Monthly Cost]]</f>
        <v>21304.799999999999</v>
      </c>
      <c r="S1386" s="5">
        <f>Final_Table[[#This Row],[Net Revenue]]-Final_Table[[#This Row],[Total Cost (COGS)]]</f>
        <v>-2944.7999999999993</v>
      </c>
      <c r="T1386">
        <f>Final_Table[[#This Row],[Gross Profit]]*Final_Table[[#This Row],[Tax Rate]]</f>
        <v>-883.43999999999971</v>
      </c>
      <c r="U1386" s="5">
        <f>Final_Table[[#This Row],[Gross Profit]]-Final_Table[[#This Row],[Tax]]</f>
        <v>-2061.3599999999997</v>
      </c>
      <c r="V1386" s="12">
        <f>Final_Table[[#This Row],[Net Profit]]/Final_Table[[#This Row],[Gross Revenue]]</f>
        <v>-0.10104705882352939</v>
      </c>
    </row>
    <row r="1387" spans="1:22">
      <c r="A1387" s="18" t="s">
        <v>78</v>
      </c>
      <c r="B1387">
        <v>2014</v>
      </c>
      <c r="C1387" t="s">
        <v>129</v>
      </c>
      <c r="D1387">
        <v>1</v>
      </c>
      <c r="E1387" s="18" t="s">
        <v>30</v>
      </c>
      <c r="F1387" s="18" t="s">
        <v>112</v>
      </c>
      <c r="G1387" s="18" t="s">
        <v>36</v>
      </c>
      <c r="H1387" s="18" t="str">
        <f>Assumptions!$B$2</f>
        <v>Worst</v>
      </c>
      <c r="I1387" s="18">
        <f>_xlfn.XLOOKUP(Assumptions!$B$2,Assumptions!$F$4:$H$4,Assumptions!$F$5:$H$5)</f>
        <v>1200</v>
      </c>
      <c r="J1387" s="18">
        <f>_xlfn.XLOOKUP(Assumptions!$B$2,Assumptions!$F$4:$H$4,Assumptions!$F$6:$H$6)</f>
        <v>17</v>
      </c>
      <c r="K1387" s="12">
        <f>_xlfn.XLOOKUP(Assumptions!$B$2,Assumptions!$F$4:$H$4,Assumptions!$F$8:$H$8)</f>
        <v>0.1</v>
      </c>
      <c r="L1387" s="12">
        <f>_xlfn.XLOOKUP(Assumptions!$B$2,Assumptions!$F$4:$H$4,Assumptions!$F$9:$H$9)</f>
        <v>0.18</v>
      </c>
      <c r="M1387" s="18">
        <f>_xlfn.XLOOKUP(Assumptions!$B$2,Assumptions!$F$4:$H$4,Assumptions!$F$10:$H$10)</f>
        <v>18000</v>
      </c>
      <c r="N1387" s="12">
        <f>_xlfn.XLOOKUP(Assumptions!$B$2,Assumptions!$F$4:$H$4,Assumptions!$F$11:$H$11)</f>
        <v>0.3</v>
      </c>
      <c r="O1387" s="14">
        <f>Final_Table[[#This Row],[Units Sold]]*Final_Table[[#This Row],[Sale Price]]</f>
        <v>20400</v>
      </c>
      <c r="P1387" s="14">
        <f>Final_Table[[#This Row],[Gross Revenue]]*(1-Final_Table[[#This Row],[Discount %]])</f>
        <v>18360</v>
      </c>
      <c r="Q1387">
        <f>Final_Table[[#This Row],[Net Revenue]]*Final_Table[[#This Row],[Variable Cost %]]</f>
        <v>3304.7999999999997</v>
      </c>
      <c r="R1387">
        <f>Final_Table[[#This Row],[Variable Cost]]+Final_Table[[#This Row],[Fixed Monthly Cost]]</f>
        <v>21304.799999999999</v>
      </c>
      <c r="S1387" s="5">
        <f>Final_Table[[#This Row],[Net Revenue]]-Final_Table[[#This Row],[Total Cost (COGS)]]</f>
        <v>-2944.7999999999993</v>
      </c>
      <c r="T1387">
        <f>Final_Table[[#This Row],[Gross Profit]]*Final_Table[[#This Row],[Tax Rate]]</f>
        <v>-883.43999999999971</v>
      </c>
      <c r="U1387" s="5">
        <f>Final_Table[[#This Row],[Gross Profit]]-Final_Table[[#This Row],[Tax]]</f>
        <v>-2061.3599999999997</v>
      </c>
      <c r="V1387" s="12">
        <f>Final_Table[[#This Row],[Net Profit]]/Final_Table[[#This Row],[Gross Revenue]]</f>
        <v>-0.10104705882352939</v>
      </c>
    </row>
    <row r="1388" spans="1:22">
      <c r="A1388" s="18" t="s">
        <v>78</v>
      </c>
      <c r="B1388">
        <v>2014</v>
      </c>
      <c r="C1388" t="s">
        <v>129</v>
      </c>
      <c r="D1388">
        <v>1</v>
      </c>
      <c r="E1388" s="18" t="s">
        <v>30</v>
      </c>
      <c r="F1388" s="18" t="s">
        <v>112</v>
      </c>
      <c r="G1388" s="18" t="s">
        <v>23</v>
      </c>
      <c r="H1388" s="18" t="str">
        <f>Assumptions!$B$2</f>
        <v>Worst</v>
      </c>
      <c r="I1388" s="18">
        <f>_xlfn.XLOOKUP(Assumptions!$B$2,Assumptions!$F$4:$H$4,Assumptions!$F$5:$H$5)</f>
        <v>1200</v>
      </c>
      <c r="J1388" s="18">
        <f>_xlfn.XLOOKUP(Assumptions!$B$2,Assumptions!$F$4:$H$4,Assumptions!$F$6:$H$6)</f>
        <v>17</v>
      </c>
      <c r="K1388" s="12">
        <f>_xlfn.XLOOKUP(Assumptions!$B$2,Assumptions!$F$4:$H$4,Assumptions!$F$8:$H$8)</f>
        <v>0.1</v>
      </c>
      <c r="L1388" s="12">
        <f>_xlfn.XLOOKUP(Assumptions!$B$2,Assumptions!$F$4:$H$4,Assumptions!$F$9:$H$9)</f>
        <v>0.18</v>
      </c>
      <c r="M1388" s="18">
        <f>_xlfn.XLOOKUP(Assumptions!$B$2,Assumptions!$F$4:$H$4,Assumptions!$F$10:$H$10)</f>
        <v>18000</v>
      </c>
      <c r="N1388" s="12">
        <f>_xlfn.XLOOKUP(Assumptions!$B$2,Assumptions!$F$4:$H$4,Assumptions!$F$11:$H$11)</f>
        <v>0.3</v>
      </c>
      <c r="O1388" s="14">
        <f>Final_Table[[#This Row],[Units Sold]]*Final_Table[[#This Row],[Sale Price]]</f>
        <v>20400</v>
      </c>
      <c r="P1388" s="14">
        <f>Final_Table[[#This Row],[Gross Revenue]]*(1-Final_Table[[#This Row],[Discount %]])</f>
        <v>18360</v>
      </c>
      <c r="Q1388">
        <f>Final_Table[[#This Row],[Net Revenue]]*Final_Table[[#This Row],[Variable Cost %]]</f>
        <v>3304.7999999999997</v>
      </c>
      <c r="R1388">
        <f>Final_Table[[#This Row],[Variable Cost]]+Final_Table[[#This Row],[Fixed Monthly Cost]]</f>
        <v>21304.799999999999</v>
      </c>
      <c r="S1388" s="5">
        <f>Final_Table[[#This Row],[Net Revenue]]-Final_Table[[#This Row],[Total Cost (COGS)]]</f>
        <v>-2944.7999999999993</v>
      </c>
      <c r="T1388">
        <f>Final_Table[[#This Row],[Gross Profit]]*Final_Table[[#This Row],[Tax Rate]]</f>
        <v>-883.43999999999971</v>
      </c>
      <c r="U1388" s="5">
        <f>Final_Table[[#This Row],[Gross Profit]]-Final_Table[[#This Row],[Tax]]</f>
        <v>-2061.3599999999997</v>
      </c>
      <c r="V1388" s="12">
        <f>Final_Table[[#This Row],[Net Profit]]/Final_Table[[#This Row],[Gross Revenue]]</f>
        <v>-0.10104705882352939</v>
      </c>
    </row>
    <row r="1389" spans="1:22">
      <c r="A1389" s="18" t="s">
        <v>78</v>
      </c>
      <c r="B1389">
        <v>2014</v>
      </c>
      <c r="C1389" t="s">
        <v>129</v>
      </c>
      <c r="D1389">
        <v>1</v>
      </c>
      <c r="E1389" s="18" t="s">
        <v>30</v>
      </c>
      <c r="F1389" s="18" t="s">
        <v>112</v>
      </c>
      <c r="G1389" s="18" t="s">
        <v>21</v>
      </c>
      <c r="H1389" s="18" t="str">
        <f>Assumptions!$B$2</f>
        <v>Worst</v>
      </c>
      <c r="I1389" s="18">
        <f>_xlfn.XLOOKUP(Assumptions!$B$2,Assumptions!$F$4:$H$4,Assumptions!$F$5:$H$5)</f>
        <v>1200</v>
      </c>
      <c r="J1389" s="18">
        <f>_xlfn.XLOOKUP(Assumptions!$B$2,Assumptions!$F$4:$H$4,Assumptions!$F$6:$H$6)</f>
        <v>17</v>
      </c>
      <c r="K1389" s="12">
        <f>_xlfn.XLOOKUP(Assumptions!$B$2,Assumptions!$F$4:$H$4,Assumptions!$F$8:$H$8)</f>
        <v>0.1</v>
      </c>
      <c r="L1389" s="12">
        <f>_xlfn.XLOOKUP(Assumptions!$B$2,Assumptions!$F$4:$H$4,Assumptions!$F$9:$H$9)</f>
        <v>0.18</v>
      </c>
      <c r="M1389" s="18">
        <f>_xlfn.XLOOKUP(Assumptions!$B$2,Assumptions!$F$4:$H$4,Assumptions!$F$10:$H$10)</f>
        <v>18000</v>
      </c>
      <c r="N1389" s="12">
        <f>_xlfn.XLOOKUP(Assumptions!$B$2,Assumptions!$F$4:$H$4,Assumptions!$F$11:$H$11)</f>
        <v>0.3</v>
      </c>
      <c r="O1389" s="14">
        <f>Final_Table[[#This Row],[Units Sold]]*Final_Table[[#This Row],[Sale Price]]</f>
        <v>20400</v>
      </c>
      <c r="P1389" s="14">
        <f>Final_Table[[#This Row],[Gross Revenue]]*(1-Final_Table[[#This Row],[Discount %]])</f>
        <v>18360</v>
      </c>
      <c r="Q1389">
        <f>Final_Table[[#This Row],[Net Revenue]]*Final_Table[[#This Row],[Variable Cost %]]</f>
        <v>3304.7999999999997</v>
      </c>
      <c r="R1389">
        <f>Final_Table[[#This Row],[Variable Cost]]+Final_Table[[#This Row],[Fixed Monthly Cost]]</f>
        <v>21304.799999999999</v>
      </c>
      <c r="S1389" s="5">
        <f>Final_Table[[#This Row],[Net Revenue]]-Final_Table[[#This Row],[Total Cost (COGS)]]</f>
        <v>-2944.7999999999993</v>
      </c>
      <c r="T1389">
        <f>Final_Table[[#This Row],[Gross Profit]]*Final_Table[[#This Row],[Tax Rate]]</f>
        <v>-883.43999999999971</v>
      </c>
      <c r="U1389" s="5">
        <f>Final_Table[[#This Row],[Gross Profit]]-Final_Table[[#This Row],[Tax]]</f>
        <v>-2061.3599999999997</v>
      </c>
      <c r="V1389" s="12">
        <f>Final_Table[[#This Row],[Net Profit]]/Final_Table[[#This Row],[Gross Revenue]]</f>
        <v>-0.10104705882352939</v>
      </c>
    </row>
    <row r="1390" spans="1:22">
      <c r="A1390" s="18" t="s">
        <v>78</v>
      </c>
      <c r="B1390">
        <v>2014</v>
      </c>
      <c r="C1390" t="s">
        <v>129</v>
      </c>
      <c r="D1390">
        <v>1</v>
      </c>
      <c r="E1390" s="18" t="s">
        <v>30</v>
      </c>
      <c r="F1390" s="18" t="s">
        <v>112</v>
      </c>
      <c r="G1390" s="18" t="s">
        <v>25</v>
      </c>
      <c r="H1390" s="18" t="str">
        <f>Assumptions!$B$2</f>
        <v>Worst</v>
      </c>
      <c r="I1390" s="18">
        <f>_xlfn.XLOOKUP(Assumptions!$B$2,Assumptions!$F$4:$H$4,Assumptions!$F$5:$H$5)</f>
        <v>1200</v>
      </c>
      <c r="J1390" s="18">
        <f>_xlfn.XLOOKUP(Assumptions!$B$2,Assumptions!$F$4:$H$4,Assumptions!$F$6:$H$6)</f>
        <v>17</v>
      </c>
      <c r="K1390" s="12">
        <f>_xlfn.XLOOKUP(Assumptions!$B$2,Assumptions!$F$4:$H$4,Assumptions!$F$8:$H$8)</f>
        <v>0.1</v>
      </c>
      <c r="L1390" s="12">
        <f>_xlfn.XLOOKUP(Assumptions!$B$2,Assumptions!$F$4:$H$4,Assumptions!$F$9:$H$9)</f>
        <v>0.18</v>
      </c>
      <c r="M1390" s="18">
        <f>_xlfn.XLOOKUP(Assumptions!$B$2,Assumptions!$F$4:$H$4,Assumptions!$F$10:$H$10)</f>
        <v>18000</v>
      </c>
      <c r="N1390" s="12">
        <f>_xlfn.XLOOKUP(Assumptions!$B$2,Assumptions!$F$4:$H$4,Assumptions!$F$11:$H$11)</f>
        <v>0.3</v>
      </c>
      <c r="O1390" s="14">
        <f>Final_Table[[#This Row],[Units Sold]]*Final_Table[[#This Row],[Sale Price]]</f>
        <v>20400</v>
      </c>
      <c r="P1390" s="14">
        <f>Final_Table[[#This Row],[Gross Revenue]]*(1-Final_Table[[#This Row],[Discount %]])</f>
        <v>18360</v>
      </c>
      <c r="Q1390">
        <f>Final_Table[[#This Row],[Net Revenue]]*Final_Table[[#This Row],[Variable Cost %]]</f>
        <v>3304.7999999999997</v>
      </c>
      <c r="R1390">
        <f>Final_Table[[#This Row],[Variable Cost]]+Final_Table[[#This Row],[Fixed Monthly Cost]]</f>
        <v>21304.799999999999</v>
      </c>
      <c r="S1390" s="5">
        <f>Final_Table[[#This Row],[Net Revenue]]-Final_Table[[#This Row],[Total Cost (COGS)]]</f>
        <v>-2944.7999999999993</v>
      </c>
      <c r="T1390">
        <f>Final_Table[[#This Row],[Gross Profit]]*Final_Table[[#This Row],[Tax Rate]]</f>
        <v>-883.43999999999971</v>
      </c>
      <c r="U1390" s="5">
        <f>Final_Table[[#This Row],[Gross Profit]]-Final_Table[[#This Row],[Tax]]</f>
        <v>-2061.3599999999997</v>
      </c>
      <c r="V1390" s="12">
        <f>Final_Table[[#This Row],[Net Profit]]/Final_Table[[#This Row],[Gross Revenue]]</f>
        <v>-0.10104705882352939</v>
      </c>
    </row>
    <row r="1391" spans="1:22">
      <c r="A1391" s="18" t="s">
        <v>78</v>
      </c>
      <c r="B1391">
        <v>2014</v>
      </c>
      <c r="C1391" t="s">
        <v>129</v>
      </c>
      <c r="D1391">
        <v>1</v>
      </c>
      <c r="E1391" s="18" t="s">
        <v>30</v>
      </c>
      <c r="F1391" s="18" t="s">
        <v>112</v>
      </c>
      <c r="G1391" s="18" t="s">
        <v>17</v>
      </c>
      <c r="H1391" s="18" t="str">
        <f>Assumptions!$B$2</f>
        <v>Worst</v>
      </c>
      <c r="I1391" s="18">
        <f>_xlfn.XLOOKUP(Assumptions!$B$2,Assumptions!$F$4:$H$4,Assumptions!$F$5:$H$5)</f>
        <v>1200</v>
      </c>
      <c r="J1391" s="18">
        <f>_xlfn.XLOOKUP(Assumptions!$B$2,Assumptions!$F$4:$H$4,Assumptions!$F$6:$H$6)</f>
        <v>17</v>
      </c>
      <c r="K1391" s="12">
        <f>_xlfn.XLOOKUP(Assumptions!$B$2,Assumptions!$F$4:$H$4,Assumptions!$F$8:$H$8)</f>
        <v>0.1</v>
      </c>
      <c r="L1391" s="12">
        <f>_xlfn.XLOOKUP(Assumptions!$B$2,Assumptions!$F$4:$H$4,Assumptions!$F$9:$H$9)</f>
        <v>0.18</v>
      </c>
      <c r="M1391" s="18">
        <f>_xlfn.XLOOKUP(Assumptions!$B$2,Assumptions!$F$4:$H$4,Assumptions!$F$10:$H$10)</f>
        <v>18000</v>
      </c>
      <c r="N1391" s="12">
        <f>_xlfn.XLOOKUP(Assumptions!$B$2,Assumptions!$F$4:$H$4,Assumptions!$F$11:$H$11)</f>
        <v>0.3</v>
      </c>
      <c r="O1391" s="14">
        <f>Final_Table[[#This Row],[Units Sold]]*Final_Table[[#This Row],[Sale Price]]</f>
        <v>20400</v>
      </c>
      <c r="P1391" s="14">
        <f>Final_Table[[#This Row],[Gross Revenue]]*(1-Final_Table[[#This Row],[Discount %]])</f>
        <v>18360</v>
      </c>
      <c r="Q1391">
        <f>Final_Table[[#This Row],[Net Revenue]]*Final_Table[[#This Row],[Variable Cost %]]</f>
        <v>3304.7999999999997</v>
      </c>
      <c r="R1391">
        <f>Final_Table[[#This Row],[Variable Cost]]+Final_Table[[#This Row],[Fixed Monthly Cost]]</f>
        <v>21304.799999999999</v>
      </c>
      <c r="S1391" s="5">
        <f>Final_Table[[#This Row],[Net Revenue]]-Final_Table[[#This Row],[Total Cost (COGS)]]</f>
        <v>-2944.7999999999993</v>
      </c>
      <c r="T1391">
        <f>Final_Table[[#This Row],[Gross Profit]]*Final_Table[[#This Row],[Tax Rate]]</f>
        <v>-883.43999999999971</v>
      </c>
      <c r="U1391" s="5">
        <f>Final_Table[[#This Row],[Gross Profit]]-Final_Table[[#This Row],[Tax]]</f>
        <v>-2061.3599999999997</v>
      </c>
      <c r="V1391" s="12">
        <f>Final_Table[[#This Row],[Net Profit]]/Final_Table[[#This Row],[Gross Revenue]]</f>
        <v>-0.10104705882352939</v>
      </c>
    </row>
    <row r="1392" spans="1:22">
      <c r="A1392" s="18" t="s">
        <v>78</v>
      </c>
      <c r="B1392">
        <v>2014</v>
      </c>
      <c r="C1392" t="s">
        <v>129</v>
      </c>
      <c r="D1392">
        <v>1</v>
      </c>
      <c r="E1392" s="18" t="s">
        <v>30</v>
      </c>
      <c r="F1392" s="18" t="s">
        <v>113</v>
      </c>
      <c r="G1392" s="18" t="s">
        <v>36</v>
      </c>
      <c r="H1392" s="18" t="str">
        <f>Assumptions!$B$2</f>
        <v>Worst</v>
      </c>
      <c r="I1392" s="18">
        <f>_xlfn.XLOOKUP(Assumptions!$B$2,Assumptions!$F$4:$H$4,Assumptions!$F$5:$H$5)</f>
        <v>1200</v>
      </c>
      <c r="J1392" s="18">
        <f>_xlfn.XLOOKUP(Assumptions!$B$2,Assumptions!$F$4:$H$4,Assumptions!$F$6:$H$6)</f>
        <v>17</v>
      </c>
      <c r="K1392" s="12">
        <f>_xlfn.XLOOKUP(Assumptions!$B$2,Assumptions!$F$4:$H$4,Assumptions!$F$8:$H$8)</f>
        <v>0.1</v>
      </c>
      <c r="L1392" s="12">
        <f>_xlfn.XLOOKUP(Assumptions!$B$2,Assumptions!$F$4:$H$4,Assumptions!$F$9:$H$9)</f>
        <v>0.18</v>
      </c>
      <c r="M1392" s="18">
        <f>_xlfn.XLOOKUP(Assumptions!$B$2,Assumptions!$F$4:$H$4,Assumptions!$F$10:$H$10)</f>
        <v>18000</v>
      </c>
      <c r="N1392" s="12">
        <f>_xlfn.XLOOKUP(Assumptions!$B$2,Assumptions!$F$4:$H$4,Assumptions!$F$11:$H$11)</f>
        <v>0.3</v>
      </c>
      <c r="O1392" s="14">
        <f>Final_Table[[#This Row],[Units Sold]]*Final_Table[[#This Row],[Sale Price]]</f>
        <v>20400</v>
      </c>
      <c r="P1392" s="14">
        <f>Final_Table[[#This Row],[Gross Revenue]]*(1-Final_Table[[#This Row],[Discount %]])</f>
        <v>18360</v>
      </c>
      <c r="Q1392">
        <f>Final_Table[[#This Row],[Net Revenue]]*Final_Table[[#This Row],[Variable Cost %]]</f>
        <v>3304.7999999999997</v>
      </c>
      <c r="R1392">
        <f>Final_Table[[#This Row],[Variable Cost]]+Final_Table[[#This Row],[Fixed Monthly Cost]]</f>
        <v>21304.799999999999</v>
      </c>
      <c r="S1392" s="5">
        <f>Final_Table[[#This Row],[Net Revenue]]-Final_Table[[#This Row],[Total Cost (COGS)]]</f>
        <v>-2944.7999999999993</v>
      </c>
      <c r="T1392">
        <f>Final_Table[[#This Row],[Gross Profit]]*Final_Table[[#This Row],[Tax Rate]]</f>
        <v>-883.43999999999971</v>
      </c>
      <c r="U1392" s="5">
        <f>Final_Table[[#This Row],[Gross Profit]]-Final_Table[[#This Row],[Tax]]</f>
        <v>-2061.3599999999997</v>
      </c>
      <c r="V1392" s="12">
        <f>Final_Table[[#This Row],[Net Profit]]/Final_Table[[#This Row],[Gross Revenue]]</f>
        <v>-0.10104705882352939</v>
      </c>
    </row>
    <row r="1393" spans="1:22">
      <c r="A1393" s="18" t="s">
        <v>78</v>
      </c>
      <c r="B1393">
        <v>2014</v>
      </c>
      <c r="C1393" t="s">
        <v>129</v>
      </c>
      <c r="D1393">
        <v>1</v>
      </c>
      <c r="E1393" s="18" t="s">
        <v>30</v>
      </c>
      <c r="F1393" s="18" t="s">
        <v>113</v>
      </c>
      <c r="G1393" s="18" t="s">
        <v>23</v>
      </c>
      <c r="H1393" s="18" t="str">
        <f>Assumptions!$B$2</f>
        <v>Worst</v>
      </c>
      <c r="I1393" s="18">
        <f>_xlfn.XLOOKUP(Assumptions!$B$2,Assumptions!$F$4:$H$4,Assumptions!$F$5:$H$5)</f>
        <v>1200</v>
      </c>
      <c r="J1393" s="18">
        <f>_xlfn.XLOOKUP(Assumptions!$B$2,Assumptions!$F$4:$H$4,Assumptions!$F$6:$H$6)</f>
        <v>17</v>
      </c>
      <c r="K1393" s="12">
        <f>_xlfn.XLOOKUP(Assumptions!$B$2,Assumptions!$F$4:$H$4,Assumptions!$F$8:$H$8)</f>
        <v>0.1</v>
      </c>
      <c r="L1393" s="12">
        <f>_xlfn.XLOOKUP(Assumptions!$B$2,Assumptions!$F$4:$H$4,Assumptions!$F$9:$H$9)</f>
        <v>0.18</v>
      </c>
      <c r="M1393" s="18">
        <f>_xlfn.XLOOKUP(Assumptions!$B$2,Assumptions!$F$4:$H$4,Assumptions!$F$10:$H$10)</f>
        <v>18000</v>
      </c>
      <c r="N1393" s="12">
        <f>_xlfn.XLOOKUP(Assumptions!$B$2,Assumptions!$F$4:$H$4,Assumptions!$F$11:$H$11)</f>
        <v>0.3</v>
      </c>
      <c r="O1393" s="14">
        <f>Final_Table[[#This Row],[Units Sold]]*Final_Table[[#This Row],[Sale Price]]</f>
        <v>20400</v>
      </c>
      <c r="P1393" s="14">
        <f>Final_Table[[#This Row],[Gross Revenue]]*(1-Final_Table[[#This Row],[Discount %]])</f>
        <v>18360</v>
      </c>
      <c r="Q1393">
        <f>Final_Table[[#This Row],[Net Revenue]]*Final_Table[[#This Row],[Variable Cost %]]</f>
        <v>3304.7999999999997</v>
      </c>
      <c r="R1393">
        <f>Final_Table[[#This Row],[Variable Cost]]+Final_Table[[#This Row],[Fixed Monthly Cost]]</f>
        <v>21304.799999999999</v>
      </c>
      <c r="S1393" s="5">
        <f>Final_Table[[#This Row],[Net Revenue]]-Final_Table[[#This Row],[Total Cost (COGS)]]</f>
        <v>-2944.7999999999993</v>
      </c>
      <c r="T1393">
        <f>Final_Table[[#This Row],[Gross Profit]]*Final_Table[[#This Row],[Tax Rate]]</f>
        <v>-883.43999999999971</v>
      </c>
      <c r="U1393" s="5">
        <f>Final_Table[[#This Row],[Gross Profit]]-Final_Table[[#This Row],[Tax]]</f>
        <v>-2061.3599999999997</v>
      </c>
      <c r="V1393" s="12">
        <f>Final_Table[[#This Row],[Net Profit]]/Final_Table[[#This Row],[Gross Revenue]]</f>
        <v>-0.10104705882352939</v>
      </c>
    </row>
    <row r="1394" spans="1:22">
      <c r="A1394" s="18" t="s">
        <v>78</v>
      </c>
      <c r="B1394">
        <v>2014</v>
      </c>
      <c r="C1394" t="s">
        <v>129</v>
      </c>
      <c r="D1394">
        <v>1</v>
      </c>
      <c r="E1394" s="18" t="s">
        <v>30</v>
      </c>
      <c r="F1394" s="18" t="s">
        <v>113</v>
      </c>
      <c r="G1394" s="18" t="s">
        <v>21</v>
      </c>
      <c r="H1394" s="18" t="str">
        <f>Assumptions!$B$2</f>
        <v>Worst</v>
      </c>
      <c r="I1394" s="18">
        <f>_xlfn.XLOOKUP(Assumptions!$B$2,Assumptions!$F$4:$H$4,Assumptions!$F$5:$H$5)</f>
        <v>1200</v>
      </c>
      <c r="J1394" s="18">
        <f>_xlfn.XLOOKUP(Assumptions!$B$2,Assumptions!$F$4:$H$4,Assumptions!$F$6:$H$6)</f>
        <v>17</v>
      </c>
      <c r="K1394" s="12">
        <f>_xlfn.XLOOKUP(Assumptions!$B$2,Assumptions!$F$4:$H$4,Assumptions!$F$8:$H$8)</f>
        <v>0.1</v>
      </c>
      <c r="L1394" s="12">
        <f>_xlfn.XLOOKUP(Assumptions!$B$2,Assumptions!$F$4:$H$4,Assumptions!$F$9:$H$9)</f>
        <v>0.18</v>
      </c>
      <c r="M1394" s="18">
        <f>_xlfn.XLOOKUP(Assumptions!$B$2,Assumptions!$F$4:$H$4,Assumptions!$F$10:$H$10)</f>
        <v>18000</v>
      </c>
      <c r="N1394" s="12">
        <f>_xlfn.XLOOKUP(Assumptions!$B$2,Assumptions!$F$4:$H$4,Assumptions!$F$11:$H$11)</f>
        <v>0.3</v>
      </c>
      <c r="O1394" s="14">
        <f>Final_Table[[#This Row],[Units Sold]]*Final_Table[[#This Row],[Sale Price]]</f>
        <v>20400</v>
      </c>
      <c r="P1394" s="14">
        <f>Final_Table[[#This Row],[Gross Revenue]]*(1-Final_Table[[#This Row],[Discount %]])</f>
        <v>18360</v>
      </c>
      <c r="Q1394">
        <f>Final_Table[[#This Row],[Net Revenue]]*Final_Table[[#This Row],[Variable Cost %]]</f>
        <v>3304.7999999999997</v>
      </c>
      <c r="R1394">
        <f>Final_Table[[#This Row],[Variable Cost]]+Final_Table[[#This Row],[Fixed Monthly Cost]]</f>
        <v>21304.799999999999</v>
      </c>
      <c r="S1394" s="5">
        <f>Final_Table[[#This Row],[Net Revenue]]-Final_Table[[#This Row],[Total Cost (COGS)]]</f>
        <v>-2944.7999999999993</v>
      </c>
      <c r="T1394">
        <f>Final_Table[[#This Row],[Gross Profit]]*Final_Table[[#This Row],[Tax Rate]]</f>
        <v>-883.43999999999971</v>
      </c>
      <c r="U1394" s="5">
        <f>Final_Table[[#This Row],[Gross Profit]]-Final_Table[[#This Row],[Tax]]</f>
        <v>-2061.3599999999997</v>
      </c>
      <c r="V1394" s="12">
        <f>Final_Table[[#This Row],[Net Profit]]/Final_Table[[#This Row],[Gross Revenue]]</f>
        <v>-0.10104705882352939</v>
      </c>
    </row>
    <row r="1395" spans="1:22">
      <c r="A1395" s="18" t="s">
        <v>78</v>
      </c>
      <c r="B1395">
        <v>2014</v>
      </c>
      <c r="C1395" t="s">
        <v>129</v>
      </c>
      <c r="D1395">
        <v>1</v>
      </c>
      <c r="E1395" s="18" t="s">
        <v>30</v>
      </c>
      <c r="F1395" s="18" t="s">
        <v>113</v>
      </c>
      <c r="G1395" s="18" t="s">
        <v>25</v>
      </c>
      <c r="H1395" s="18" t="str">
        <f>Assumptions!$B$2</f>
        <v>Worst</v>
      </c>
      <c r="I1395" s="18">
        <f>_xlfn.XLOOKUP(Assumptions!$B$2,Assumptions!$F$4:$H$4,Assumptions!$F$5:$H$5)</f>
        <v>1200</v>
      </c>
      <c r="J1395" s="18">
        <f>_xlfn.XLOOKUP(Assumptions!$B$2,Assumptions!$F$4:$H$4,Assumptions!$F$6:$H$6)</f>
        <v>17</v>
      </c>
      <c r="K1395" s="12">
        <f>_xlfn.XLOOKUP(Assumptions!$B$2,Assumptions!$F$4:$H$4,Assumptions!$F$8:$H$8)</f>
        <v>0.1</v>
      </c>
      <c r="L1395" s="12">
        <f>_xlfn.XLOOKUP(Assumptions!$B$2,Assumptions!$F$4:$H$4,Assumptions!$F$9:$H$9)</f>
        <v>0.18</v>
      </c>
      <c r="M1395" s="18">
        <f>_xlfn.XLOOKUP(Assumptions!$B$2,Assumptions!$F$4:$H$4,Assumptions!$F$10:$H$10)</f>
        <v>18000</v>
      </c>
      <c r="N1395" s="12">
        <f>_xlfn.XLOOKUP(Assumptions!$B$2,Assumptions!$F$4:$H$4,Assumptions!$F$11:$H$11)</f>
        <v>0.3</v>
      </c>
      <c r="O1395" s="14">
        <f>Final_Table[[#This Row],[Units Sold]]*Final_Table[[#This Row],[Sale Price]]</f>
        <v>20400</v>
      </c>
      <c r="P1395" s="14">
        <f>Final_Table[[#This Row],[Gross Revenue]]*(1-Final_Table[[#This Row],[Discount %]])</f>
        <v>18360</v>
      </c>
      <c r="Q1395">
        <f>Final_Table[[#This Row],[Net Revenue]]*Final_Table[[#This Row],[Variable Cost %]]</f>
        <v>3304.7999999999997</v>
      </c>
      <c r="R1395">
        <f>Final_Table[[#This Row],[Variable Cost]]+Final_Table[[#This Row],[Fixed Monthly Cost]]</f>
        <v>21304.799999999999</v>
      </c>
      <c r="S1395" s="5">
        <f>Final_Table[[#This Row],[Net Revenue]]-Final_Table[[#This Row],[Total Cost (COGS)]]</f>
        <v>-2944.7999999999993</v>
      </c>
      <c r="T1395">
        <f>Final_Table[[#This Row],[Gross Profit]]*Final_Table[[#This Row],[Tax Rate]]</f>
        <v>-883.43999999999971</v>
      </c>
      <c r="U1395" s="5">
        <f>Final_Table[[#This Row],[Gross Profit]]-Final_Table[[#This Row],[Tax]]</f>
        <v>-2061.3599999999997</v>
      </c>
      <c r="V1395" s="12">
        <f>Final_Table[[#This Row],[Net Profit]]/Final_Table[[#This Row],[Gross Revenue]]</f>
        <v>-0.10104705882352939</v>
      </c>
    </row>
    <row r="1396" spans="1:22">
      <c r="A1396" s="18" t="s">
        <v>78</v>
      </c>
      <c r="B1396">
        <v>2014</v>
      </c>
      <c r="C1396" t="s">
        <v>129</v>
      </c>
      <c r="D1396">
        <v>1</v>
      </c>
      <c r="E1396" s="18" t="s">
        <v>30</v>
      </c>
      <c r="F1396" s="18" t="s">
        <v>113</v>
      </c>
      <c r="G1396" s="18" t="s">
        <v>17</v>
      </c>
      <c r="H1396" s="18" t="str">
        <f>Assumptions!$B$2</f>
        <v>Worst</v>
      </c>
      <c r="I1396" s="18">
        <f>_xlfn.XLOOKUP(Assumptions!$B$2,Assumptions!$F$4:$H$4,Assumptions!$F$5:$H$5)</f>
        <v>1200</v>
      </c>
      <c r="J1396" s="18">
        <f>_xlfn.XLOOKUP(Assumptions!$B$2,Assumptions!$F$4:$H$4,Assumptions!$F$6:$H$6)</f>
        <v>17</v>
      </c>
      <c r="K1396" s="12">
        <f>_xlfn.XLOOKUP(Assumptions!$B$2,Assumptions!$F$4:$H$4,Assumptions!$F$8:$H$8)</f>
        <v>0.1</v>
      </c>
      <c r="L1396" s="12">
        <f>_xlfn.XLOOKUP(Assumptions!$B$2,Assumptions!$F$4:$H$4,Assumptions!$F$9:$H$9)</f>
        <v>0.18</v>
      </c>
      <c r="M1396" s="18">
        <f>_xlfn.XLOOKUP(Assumptions!$B$2,Assumptions!$F$4:$H$4,Assumptions!$F$10:$H$10)</f>
        <v>18000</v>
      </c>
      <c r="N1396" s="12">
        <f>_xlfn.XLOOKUP(Assumptions!$B$2,Assumptions!$F$4:$H$4,Assumptions!$F$11:$H$11)</f>
        <v>0.3</v>
      </c>
      <c r="O1396" s="14">
        <f>Final_Table[[#This Row],[Units Sold]]*Final_Table[[#This Row],[Sale Price]]</f>
        <v>20400</v>
      </c>
      <c r="P1396" s="14">
        <f>Final_Table[[#This Row],[Gross Revenue]]*(1-Final_Table[[#This Row],[Discount %]])</f>
        <v>18360</v>
      </c>
      <c r="Q1396">
        <f>Final_Table[[#This Row],[Net Revenue]]*Final_Table[[#This Row],[Variable Cost %]]</f>
        <v>3304.7999999999997</v>
      </c>
      <c r="R1396">
        <f>Final_Table[[#This Row],[Variable Cost]]+Final_Table[[#This Row],[Fixed Monthly Cost]]</f>
        <v>21304.799999999999</v>
      </c>
      <c r="S1396" s="5">
        <f>Final_Table[[#This Row],[Net Revenue]]-Final_Table[[#This Row],[Total Cost (COGS)]]</f>
        <v>-2944.7999999999993</v>
      </c>
      <c r="T1396">
        <f>Final_Table[[#This Row],[Gross Profit]]*Final_Table[[#This Row],[Tax Rate]]</f>
        <v>-883.43999999999971</v>
      </c>
      <c r="U1396" s="5">
        <f>Final_Table[[#This Row],[Gross Profit]]-Final_Table[[#This Row],[Tax]]</f>
        <v>-2061.3599999999997</v>
      </c>
      <c r="V1396" s="12">
        <f>Final_Table[[#This Row],[Net Profit]]/Final_Table[[#This Row],[Gross Revenue]]</f>
        <v>-0.10104705882352939</v>
      </c>
    </row>
    <row r="1397" spans="1:22">
      <c r="A1397" s="18" t="s">
        <v>78</v>
      </c>
      <c r="B1397">
        <v>2014</v>
      </c>
      <c r="C1397" t="s">
        <v>129</v>
      </c>
      <c r="D1397">
        <v>1</v>
      </c>
      <c r="E1397" s="18" t="s">
        <v>30</v>
      </c>
      <c r="F1397" s="18" t="s">
        <v>114</v>
      </c>
      <c r="G1397" s="18" t="s">
        <v>36</v>
      </c>
      <c r="H1397" s="18" t="str">
        <f>Assumptions!$B$2</f>
        <v>Worst</v>
      </c>
      <c r="I1397" s="18">
        <f>_xlfn.XLOOKUP(Assumptions!$B$2,Assumptions!$F$4:$H$4,Assumptions!$F$5:$H$5)</f>
        <v>1200</v>
      </c>
      <c r="J1397" s="18">
        <f>_xlfn.XLOOKUP(Assumptions!$B$2,Assumptions!$F$4:$H$4,Assumptions!$F$6:$H$6)</f>
        <v>17</v>
      </c>
      <c r="K1397" s="12">
        <f>_xlfn.XLOOKUP(Assumptions!$B$2,Assumptions!$F$4:$H$4,Assumptions!$F$8:$H$8)</f>
        <v>0.1</v>
      </c>
      <c r="L1397" s="12">
        <f>_xlfn.XLOOKUP(Assumptions!$B$2,Assumptions!$F$4:$H$4,Assumptions!$F$9:$H$9)</f>
        <v>0.18</v>
      </c>
      <c r="M1397" s="18">
        <f>_xlfn.XLOOKUP(Assumptions!$B$2,Assumptions!$F$4:$H$4,Assumptions!$F$10:$H$10)</f>
        <v>18000</v>
      </c>
      <c r="N1397" s="12">
        <f>_xlfn.XLOOKUP(Assumptions!$B$2,Assumptions!$F$4:$H$4,Assumptions!$F$11:$H$11)</f>
        <v>0.3</v>
      </c>
      <c r="O1397" s="14">
        <f>Final_Table[[#This Row],[Units Sold]]*Final_Table[[#This Row],[Sale Price]]</f>
        <v>20400</v>
      </c>
      <c r="P1397" s="14">
        <f>Final_Table[[#This Row],[Gross Revenue]]*(1-Final_Table[[#This Row],[Discount %]])</f>
        <v>18360</v>
      </c>
      <c r="Q1397">
        <f>Final_Table[[#This Row],[Net Revenue]]*Final_Table[[#This Row],[Variable Cost %]]</f>
        <v>3304.7999999999997</v>
      </c>
      <c r="R1397">
        <f>Final_Table[[#This Row],[Variable Cost]]+Final_Table[[#This Row],[Fixed Monthly Cost]]</f>
        <v>21304.799999999999</v>
      </c>
      <c r="S1397" s="5">
        <f>Final_Table[[#This Row],[Net Revenue]]-Final_Table[[#This Row],[Total Cost (COGS)]]</f>
        <v>-2944.7999999999993</v>
      </c>
      <c r="T1397">
        <f>Final_Table[[#This Row],[Gross Profit]]*Final_Table[[#This Row],[Tax Rate]]</f>
        <v>-883.43999999999971</v>
      </c>
      <c r="U1397" s="5">
        <f>Final_Table[[#This Row],[Gross Profit]]-Final_Table[[#This Row],[Tax]]</f>
        <v>-2061.3599999999997</v>
      </c>
      <c r="V1397" s="12">
        <f>Final_Table[[#This Row],[Net Profit]]/Final_Table[[#This Row],[Gross Revenue]]</f>
        <v>-0.10104705882352939</v>
      </c>
    </row>
    <row r="1398" spans="1:22">
      <c r="A1398" s="18" t="s">
        <v>78</v>
      </c>
      <c r="B1398">
        <v>2014</v>
      </c>
      <c r="C1398" t="s">
        <v>129</v>
      </c>
      <c r="D1398">
        <v>1</v>
      </c>
      <c r="E1398" s="18" t="s">
        <v>30</v>
      </c>
      <c r="F1398" s="18" t="s">
        <v>114</v>
      </c>
      <c r="G1398" s="18" t="s">
        <v>23</v>
      </c>
      <c r="H1398" s="18" t="str">
        <f>Assumptions!$B$2</f>
        <v>Worst</v>
      </c>
      <c r="I1398" s="18">
        <f>_xlfn.XLOOKUP(Assumptions!$B$2,Assumptions!$F$4:$H$4,Assumptions!$F$5:$H$5)</f>
        <v>1200</v>
      </c>
      <c r="J1398" s="18">
        <f>_xlfn.XLOOKUP(Assumptions!$B$2,Assumptions!$F$4:$H$4,Assumptions!$F$6:$H$6)</f>
        <v>17</v>
      </c>
      <c r="K1398" s="12">
        <f>_xlfn.XLOOKUP(Assumptions!$B$2,Assumptions!$F$4:$H$4,Assumptions!$F$8:$H$8)</f>
        <v>0.1</v>
      </c>
      <c r="L1398" s="12">
        <f>_xlfn.XLOOKUP(Assumptions!$B$2,Assumptions!$F$4:$H$4,Assumptions!$F$9:$H$9)</f>
        <v>0.18</v>
      </c>
      <c r="M1398" s="18">
        <f>_xlfn.XLOOKUP(Assumptions!$B$2,Assumptions!$F$4:$H$4,Assumptions!$F$10:$H$10)</f>
        <v>18000</v>
      </c>
      <c r="N1398" s="12">
        <f>_xlfn.XLOOKUP(Assumptions!$B$2,Assumptions!$F$4:$H$4,Assumptions!$F$11:$H$11)</f>
        <v>0.3</v>
      </c>
      <c r="O1398" s="14">
        <f>Final_Table[[#This Row],[Units Sold]]*Final_Table[[#This Row],[Sale Price]]</f>
        <v>20400</v>
      </c>
      <c r="P1398" s="14">
        <f>Final_Table[[#This Row],[Gross Revenue]]*(1-Final_Table[[#This Row],[Discount %]])</f>
        <v>18360</v>
      </c>
      <c r="Q1398">
        <f>Final_Table[[#This Row],[Net Revenue]]*Final_Table[[#This Row],[Variable Cost %]]</f>
        <v>3304.7999999999997</v>
      </c>
      <c r="R1398">
        <f>Final_Table[[#This Row],[Variable Cost]]+Final_Table[[#This Row],[Fixed Monthly Cost]]</f>
        <v>21304.799999999999</v>
      </c>
      <c r="S1398" s="5">
        <f>Final_Table[[#This Row],[Net Revenue]]-Final_Table[[#This Row],[Total Cost (COGS)]]</f>
        <v>-2944.7999999999993</v>
      </c>
      <c r="T1398">
        <f>Final_Table[[#This Row],[Gross Profit]]*Final_Table[[#This Row],[Tax Rate]]</f>
        <v>-883.43999999999971</v>
      </c>
      <c r="U1398" s="5">
        <f>Final_Table[[#This Row],[Gross Profit]]-Final_Table[[#This Row],[Tax]]</f>
        <v>-2061.3599999999997</v>
      </c>
      <c r="V1398" s="12">
        <f>Final_Table[[#This Row],[Net Profit]]/Final_Table[[#This Row],[Gross Revenue]]</f>
        <v>-0.10104705882352939</v>
      </c>
    </row>
    <row r="1399" spans="1:22">
      <c r="A1399" s="18" t="s">
        <v>78</v>
      </c>
      <c r="B1399">
        <v>2014</v>
      </c>
      <c r="C1399" t="s">
        <v>129</v>
      </c>
      <c r="D1399">
        <v>1</v>
      </c>
      <c r="E1399" s="18" t="s">
        <v>30</v>
      </c>
      <c r="F1399" s="18" t="s">
        <v>114</v>
      </c>
      <c r="G1399" s="18" t="s">
        <v>21</v>
      </c>
      <c r="H1399" s="18" t="str">
        <f>Assumptions!$B$2</f>
        <v>Worst</v>
      </c>
      <c r="I1399" s="18">
        <f>_xlfn.XLOOKUP(Assumptions!$B$2,Assumptions!$F$4:$H$4,Assumptions!$F$5:$H$5)</f>
        <v>1200</v>
      </c>
      <c r="J1399" s="18">
        <f>_xlfn.XLOOKUP(Assumptions!$B$2,Assumptions!$F$4:$H$4,Assumptions!$F$6:$H$6)</f>
        <v>17</v>
      </c>
      <c r="K1399" s="12">
        <f>_xlfn.XLOOKUP(Assumptions!$B$2,Assumptions!$F$4:$H$4,Assumptions!$F$8:$H$8)</f>
        <v>0.1</v>
      </c>
      <c r="L1399" s="12">
        <f>_xlfn.XLOOKUP(Assumptions!$B$2,Assumptions!$F$4:$H$4,Assumptions!$F$9:$H$9)</f>
        <v>0.18</v>
      </c>
      <c r="M1399" s="18">
        <f>_xlfn.XLOOKUP(Assumptions!$B$2,Assumptions!$F$4:$H$4,Assumptions!$F$10:$H$10)</f>
        <v>18000</v>
      </c>
      <c r="N1399" s="12">
        <f>_xlfn.XLOOKUP(Assumptions!$B$2,Assumptions!$F$4:$H$4,Assumptions!$F$11:$H$11)</f>
        <v>0.3</v>
      </c>
      <c r="O1399" s="14">
        <f>Final_Table[[#This Row],[Units Sold]]*Final_Table[[#This Row],[Sale Price]]</f>
        <v>20400</v>
      </c>
      <c r="P1399" s="14">
        <f>Final_Table[[#This Row],[Gross Revenue]]*(1-Final_Table[[#This Row],[Discount %]])</f>
        <v>18360</v>
      </c>
      <c r="Q1399">
        <f>Final_Table[[#This Row],[Net Revenue]]*Final_Table[[#This Row],[Variable Cost %]]</f>
        <v>3304.7999999999997</v>
      </c>
      <c r="R1399">
        <f>Final_Table[[#This Row],[Variable Cost]]+Final_Table[[#This Row],[Fixed Monthly Cost]]</f>
        <v>21304.799999999999</v>
      </c>
      <c r="S1399" s="5">
        <f>Final_Table[[#This Row],[Net Revenue]]-Final_Table[[#This Row],[Total Cost (COGS)]]</f>
        <v>-2944.7999999999993</v>
      </c>
      <c r="T1399">
        <f>Final_Table[[#This Row],[Gross Profit]]*Final_Table[[#This Row],[Tax Rate]]</f>
        <v>-883.43999999999971</v>
      </c>
      <c r="U1399" s="5">
        <f>Final_Table[[#This Row],[Gross Profit]]-Final_Table[[#This Row],[Tax]]</f>
        <v>-2061.3599999999997</v>
      </c>
      <c r="V1399" s="12">
        <f>Final_Table[[#This Row],[Net Profit]]/Final_Table[[#This Row],[Gross Revenue]]</f>
        <v>-0.10104705882352939</v>
      </c>
    </row>
    <row r="1400" spans="1:22">
      <c r="A1400" s="18" t="s">
        <v>78</v>
      </c>
      <c r="B1400">
        <v>2014</v>
      </c>
      <c r="C1400" t="s">
        <v>129</v>
      </c>
      <c r="D1400">
        <v>1</v>
      </c>
      <c r="E1400" s="18" t="s">
        <v>30</v>
      </c>
      <c r="F1400" s="18" t="s">
        <v>114</v>
      </c>
      <c r="G1400" s="18" t="s">
        <v>25</v>
      </c>
      <c r="H1400" s="18" t="str">
        <f>Assumptions!$B$2</f>
        <v>Worst</v>
      </c>
      <c r="I1400" s="18">
        <f>_xlfn.XLOOKUP(Assumptions!$B$2,Assumptions!$F$4:$H$4,Assumptions!$F$5:$H$5)</f>
        <v>1200</v>
      </c>
      <c r="J1400" s="18">
        <f>_xlfn.XLOOKUP(Assumptions!$B$2,Assumptions!$F$4:$H$4,Assumptions!$F$6:$H$6)</f>
        <v>17</v>
      </c>
      <c r="K1400" s="12">
        <f>_xlfn.XLOOKUP(Assumptions!$B$2,Assumptions!$F$4:$H$4,Assumptions!$F$8:$H$8)</f>
        <v>0.1</v>
      </c>
      <c r="L1400" s="12">
        <f>_xlfn.XLOOKUP(Assumptions!$B$2,Assumptions!$F$4:$H$4,Assumptions!$F$9:$H$9)</f>
        <v>0.18</v>
      </c>
      <c r="M1400" s="18">
        <f>_xlfn.XLOOKUP(Assumptions!$B$2,Assumptions!$F$4:$H$4,Assumptions!$F$10:$H$10)</f>
        <v>18000</v>
      </c>
      <c r="N1400" s="12">
        <f>_xlfn.XLOOKUP(Assumptions!$B$2,Assumptions!$F$4:$H$4,Assumptions!$F$11:$H$11)</f>
        <v>0.3</v>
      </c>
      <c r="O1400" s="14">
        <f>Final_Table[[#This Row],[Units Sold]]*Final_Table[[#This Row],[Sale Price]]</f>
        <v>20400</v>
      </c>
      <c r="P1400" s="14">
        <f>Final_Table[[#This Row],[Gross Revenue]]*(1-Final_Table[[#This Row],[Discount %]])</f>
        <v>18360</v>
      </c>
      <c r="Q1400">
        <f>Final_Table[[#This Row],[Net Revenue]]*Final_Table[[#This Row],[Variable Cost %]]</f>
        <v>3304.7999999999997</v>
      </c>
      <c r="R1400">
        <f>Final_Table[[#This Row],[Variable Cost]]+Final_Table[[#This Row],[Fixed Monthly Cost]]</f>
        <v>21304.799999999999</v>
      </c>
      <c r="S1400" s="5">
        <f>Final_Table[[#This Row],[Net Revenue]]-Final_Table[[#This Row],[Total Cost (COGS)]]</f>
        <v>-2944.7999999999993</v>
      </c>
      <c r="T1400">
        <f>Final_Table[[#This Row],[Gross Profit]]*Final_Table[[#This Row],[Tax Rate]]</f>
        <v>-883.43999999999971</v>
      </c>
      <c r="U1400" s="5">
        <f>Final_Table[[#This Row],[Gross Profit]]-Final_Table[[#This Row],[Tax]]</f>
        <v>-2061.3599999999997</v>
      </c>
      <c r="V1400" s="12">
        <f>Final_Table[[#This Row],[Net Profit]]/Final_Table[[#This Row],[Gross Revenue]]</f>
        <v>-0.10104705882352939</v>
      </c>
    </row>
    <row r="1401" spans="1:22">
      <c r="A1401" s="18" t="s">
        <v>78</v>
      </c>
      <c r="B1401">
        <v>2014</v>
      </c>
      <c r="C1401" t="s">
        <v>129</v>
      </c>
      <c r="D1401">
        <v>1</v>
      </c>
      <c r="E1401" s="18" t="s">
        <v>30</v>
      </c>
      <c r="F1401" s="18" t="s">
        <v>114</v>
      </c>
      <c r="G1401" s="18" t="s">
        <v>17</v>
      </c>
      <c r="H1401" s="18" t="str">
        <f>Assumptions!$B$2</f>
        <v>Worst</v>
      </c>
      <c r="I1401" s="18">
        <f>_xlfn.XLOOKUP(Assumptions!$B$2,Assumptions!$F$4:$H$4,Assumptions!$F$5:$H$5)</f>
        <v>1200</v>
      </c>
      <c r="J1401" s="18">
        <f>_xlfn.XLOOKUP(Assumptions!$B$2,Assumptions!$F$4:$H$4,Assumptions!$F$6:$H$6)</f>
        <v>17</v>
      </c>
      <c r="K1401" s="12">
        <f>_xlfn.XLOOKUP(Assumptions!$B$2,Assumptions!$F$4:$H$4,Assumptions!$F$8:$H$8)</f>
        <v>0.1</v>
      </c>
      <c r="L1401" s="12">
        <f>_xlfn.XLOOKUP(Assumptions!$B$2,Assumptions!$F$4:$H$4,Assumptions!$F$9:$H$9)</f>
        <v>0.18</v>
      </c>
      <c r="M1401" s="18">
        <f>_xlfn.XLOOKUP(Assumptions!$B$2,Assumptions!$F$4:$H$4,Assumptions!$F$10:$H$10)</f>
        <v>18000</v>
      </c>
      <c r="N1401" s="12">
        <f>_xlfn.XLOOKUP(Assumptions!$B$2,Assumptions!$F$4:$H$4,Assumptions!$F$11:$H$11)</f>
        <v>0.3</v>
      </c>
      <c r="O1401" s="14">
        <f>Final_Table[[#This Row],[Units Sold]]*Final_Table[[#This Row],[Sale Price]]</f>
        <v>20400</v>
      </c>
      <c r="P1401" s="14">
        <f>Final_Table[[#This Row],[Gross Revenue]]*(1-Final_Table[[#This Row],[Discount %]])</f>
        <v>18360</v>
      </c>
      <c r="Q1401">
        <f>Final_Table[[#This Row],[Net Revenue]]*Final_Table[[#This Row],[Variable Cost %]]</f>
        <v>3304.7999999999997</v>
      </c>
      <c r="R1401">
        <f>Final_Table[[#This Row],[Variable Cost]]+Final_Table[[#This Row],[Fixed Monthly Cost]]</f>
        <v>21304.799999999999</v>
      </c>
      <c r="S1401" s="5">
        <f>Final_Table[[#This Row],[Net Revenue]]-Final_Table[[#This Row],[Total Cost (COGS)]]</f>
        <v>-2944.7999999999993</v>
      </c>
      <c r="T1401">
        <f>Final_Table[[#This Row],[Gross Profit]]*Final_Table[[#This Row],[Tax Rate]]</f>
        <v>-883.43999999999971</v>
      </c>
      <c r="U1401" s="5">
        <f>Final_Table[[#This Row],[Gross Profit]]-Final_Table[[#This Row],[Tax]]</f>
        <v>-2061.3599999999997</v>
      </c>
      <c r="V1401" s="12">
        <f>Final_Table[[#This Row],[Net Profit]]/Final_Table[[#This Row],[Gross Revenue]]</f>
        <v>-0.10104705882352939</v>
      </c>
    </row>
    <row r="1402" spans="1:22">
      <c r="A1402" s="18" t="s">
        <v>78</v>
      </c>
      <c r="B1402">
        <v>2014</v>
      </c>
      <c r="C1402" t="s">
        <v>129</v>
      </c>
      <c r="D1402">
        <v>1</v>
      </c>
      <c r="E1402" s="18" t="s">
        <v>29</v>
      </c>
      <c r="F1402" s="18" t="s">
        <v>80</v>
      </c>
      <c r="G1402" s="18" t="s">
        <v>36</v>
      </c>
      <c r="H1402" s="18" t="str">
        <f>Assumptions!$B$2</f>
        <v>Worst</v>
      </c>
      <c r="I1402" s="18">
        <f>_xlfn.XLOOKUP(Assumptions!$B$2,Assumptions!$F$4:$H$4,Assumptions!$F$5:$H$5)</f>
        <v>1200</v>
      </c>
      <c r="J1402" s="18">
        <f>_xlfn.XLOOKUP(Assumptions!$B$2,Assumptions!$F$4:$H$4,Assumptions!$F$6:$H$6)</f>
        <v>17</v>
      </c>
      <c r="K1402" s="12">
        <f>_xlfn.XLOOKUP(Assumptions!$B$2,Assumptions!$F$4:$H$4,Assumptions!$F$8:$H$8)</f>
        <v>0.1</v>
      </c>
      <c r="L1402" s="12">
        <f>_xlfn.XLOOKUP(Assumptions!$B$2,Assumptions!$F$4:$H$4,Assumptions!$F$9:$H$9)</f>
        <v>0.18</v>
      </c>
      <c r="M1402" s="18">
        <f>_xlfn.XLOOKUP(Assumptions!$B$2,Assumptions!$F$4:$H$4,Assumptions!$F$10:$H$10)</f>
        <v>18000</v>
      </c>
      <c r="N1402" s="12">
        <f>_xlfn.XLOOKUP(Assumptions!$B$2,Assumptions!$F$4:$H$4,Assumptions!$F$11:$H$11)</f>
        <v>0.3</v>
      </c>
      <c r="O1402" s="14">
        <f>Final_Table[[#This Row],[Units Sold]]*Final_Table[[#This Row],[Sale Price]]</f>
        <v>20400</v>
      </c>
      <c r="P1402" s="14">
        <f>Final_Table[[#This Row],[Gross Revenue]]*(1-Final_Table[[#This Row],[Discount %]])</f>
        <v>18360</v>
      </c>
      <c r="Q1402">
        <f>Final_Table[[#This Row],[Net Revenue]]*Final_Table[[#This Row],[Variable Cost %]]</f>
        <v>3304.7999999999997</v>
      </c>
      <c r="R1402">
        <f>Final_Table[[#This Row],[Variable Cost]]+Final_Table[[#This Row],[Fixed Monthly Cost]]</f>
        <v>21304.799999999999</v>
      </c>
      <c r="S1402" s="5">
        <f>Final_Table[[#This Row],[Net Revenue]]-Final_Table[[#This Row],[Total Cost (COGS)]]</f>
        <v>-2944.7999999999993</v>
      </c>
      <c r="T1402">
        <f>Final_Table[[#This Row],[Gross Profit]]*Final_Table[[#This Row],[Tax Rate]]</f>
        <v>-883.43999999999971</v>
      </c>
      <c r="U1402" s="5">
        <f>Final_Table[[#This Row],[Gross Profit]]-Final_Table[[#This Row],[Tax]]</f>
        <v>-2061.3599999999997</v>
      </c>
      <c r="V1402" s="12">
        <f>Final_Table[[#This Row],[Net Profit]]/Final_Table[[#This Row],[Gross Revenue]]</f>
        <v>-0.10104705882352939</v>
      </c>
    </row>
    <row r="1403" spans="1:22">
      <c r="A1403" s="18" t="s">
        <v>78</v>
      </c>
      <c r="B1403">
        <v>2014</v>
      </c>
      <c r="C1403" t="s">
        <v>129</v>
      </c>
      <c r="D1403">
        <v>1</v>
      </c>
      <c r="E1403" s="18" t="s">
        <v>29</v>
      </c>
      <c r="F1403" s="18" t="s">
        <v>80</v>
      </c>
      <c r="G1403" s="18" t="s">
        <v>23</v>
      </c>
      <c r="H1403" s="18" t="str">
        <f>Assumptions!$B$2</f>
        <v>Worst</v>
      </c>
      <c r="I1403" s="18">
        <f>_xlfn.XLOOKUP(Assumptions!$B$2,Assumptions!$F$4:$H$4,Assumptions!$F$5:$H$5)</f>
        <v>1200</v>
      </c>
      <c r="J1403" s="18">
        <f>_xlfn.XLOOKUP(Assumptions!$B$2,Assumptions!$F$4:$H$4,Assumptions!$F$6:$H$6)</f>
        <v>17</v>
      </c>
      <c r="K1403" s="12">
        <f>_xlfn.XLOOKUP(Assumptions!$B$2,Assumptions!$F$4:$H$4,Assumptions!$F$8:$H$8)</f>
        <v>0.1</v>
      </c>
      <c r="L1403" s="12">
        <f>_xlfn.XLOOKUP(Assumptions!$B$2,Assumptions!$F$4:$H$4,Assumptions!$F$9:$H$9)</f>
        <v>0.18</v>
      </c>
      <c r="M1403" s="18">
        <f>_xlfn.XLOOKUP(Assumptions!$B$2,Assumptions!$F$4:$H$4,Assumptions!$F$10:$H$10)</f>
        <v>18000</v>
      </c>
      <c r="N1403" s="12">
        <f>_xlfn.XLOOKUP(Assumptions!$B$2,Assumptions!$F$4:$H$4,Assumptions!$F$11:$H$11)</f>
        <v>0.3</v>
      </c>
      <c r="O1403" s="14">
        <f>Final_Table[[#This Row],[Units Sold]]*Final_Table[[#This Row],[Sale Price]]</f>
        <v>20400</v>
      </c>
      <c r="P1403" s="14">
        <f>Final_Table[[#This Row],[Gross Revenue]]*(1-Final_Table[[#This Row],[Discount %]])</f>
        <v>18360</v>
      </c>
      <c r="Q1403">
        <f>Final_Table[[#This Row],[Net Revenue]]*Final_Table[[#This Row],[Variable Cost %]]</f>
        <v>3304.7999999999997</v>
      </c>
      <c r="R1403">
        <f>Final_Table[[#This Row],[Variable Cost]]+Final_Table[[#This Row],[Fixed Monthly Cost]]</f>
        <v>21304.799999999999</v>
      </c>
      <c r="S1403" s="5">
        <f>Final_Table[[#This Row],[Net Revenue]]-Final_Table[[#This Row],[Total Cost (COGS)]]</f>
        <v>-2944.7999999999993</v>
      </c>
      <c r="T1403">
        <f>Final_Table[[#This Row],[Gross Profit]]*Final_Table[[#This Row],[Tax Rate]]</f>
        <v>-883.43999999999971</v>
      </c>
      <c r="U1403" s="5">
        <f>Final_Table[[#This Row],[Gross Profit]]-Final_Table[[#This Row],[Tax]]</f>
        <v>-2061.3599999999997</v>
      </c>
      <c r="V1403" s="12">
        <f>Final_Table[[#This Row],[Net Profit]]/Final_Table[[#This Row],[Gross Revenue]]</f>
        <v>-0.10104705882352939</v>
      </c>
    </row>
    <row r="1404" spans="1:22">
      <c r="A1404" s="18" t="s">
        <v>78</v>
      </c>
      <c r="B1404">
        <v>2014</v>
      </c>
      <c r="C1404" t="s">
        <v>129</v>
      </c>
      <c r="D1404">
        <v>1</v>
      </c>
      <c r="E1404" s="18" t="s">
        <v>29</v>
      </c>
      <c r="F1404" s="18" t="s">
        <v>80</v>
      </c>
      <c r="G1404" s="18" t="s">
        <v>21</v>
      </c>
      <c r="H1404" s="18" t="str">
        <f>Assumptions!$B$2</f>
        <v>Worst</v>
      </c>
      <c r="I1404" s="18">
        <f>_xlfn.XLOOKUP(Assumptions!$B$2,Assumptions!$F$4:$H$4,Assumptions!$F$5:$H$5)</f>
        <v>1200</v>
      </c>
      <c r="J1404" s="18">
        <f>_xlfn.XLOOKUP(Assumptions!$B$2,Assumptions!$F$4:$H$4,Assumptions!$F$6:$H$6)</f>
        <v>17</v>
      </c>
      <c r="K1404" s="12">
        <f>_xlfn.XLOOKUP(Assumptions!$B$2,Assumptions!$F$4:$H$4,Assumptions!$F$8:$H$8)</f>
        <v>0.1</v>
      </c>
      <c r="L1404" s="12">
        <f>_xlfn.XLOOKUP(Assumptions!$B$2,Assumptions!$F$4:$H$4,Assumptions!$F$9:$H$9)</f>
        <v>0.18</v>
      </c>
      <c r="M1404" s="18">
        <f>_xlfn.XLOOKUP(Assumptions!$B$2,Assumptions!$F$4:$H$4,Assumptions!$F$10:$H$10)</f>
        <v>18000</v>
      </c>
      <c r="N1404" s="12">
        <f>_xlfn.XLOOKUP(Assumptions!$B$2,Assumptions!$F$4:$H$4,Assumptions!$F$11:$H$11)</f>
        <v>0.3</v>
      </c>
      <c r="O1404" s="14">
        <f>Final_Table[[#This Row],[Units Sold]]*Final_Table[[#This Row],[Sale Price]]</f>
        <v>20400</v>
      </c>
      <c r="P1404" s="14">
        <f>Final_Table[[#This Row],[Gross Revenue]]*(1-Final_Table[[#This Row],[Discount %]])</f>
        <v>18360</v>
      </c>
      <c r="Q1404">
        <f>Final_Table[[#This Row],[Net Revenue]]*Final_Table[[#This Row],[Variable Cost %]]</f>
        <v>3304.7999999999997</v>
      </c>
      <c r="R1404">
        <f>Final_Table[[#This Row],[Variable Cost]]+Final_Table[[#This Row],[Fixed Monthly Cost]]</f>
        <v>21304.799999999999</v>
      </c>
      <c r="S1404" s="5">
        <f>Final_Table[[#This Row],[Net Revenue]]-Final_Table[[#This Row],[Total Cost (COGS)]]</f>
        <v>-2944.7999999999993</v>
      </c>
      <c r="T1404">
        <f>Final_Table[[#This Row],[Gross Profit]]*Final_Table[[#This Row],[Tax Rate]]</f>
        <v>-883.43999999999971</v>
      </c>
      <c r="U1404" s="5">
        <f>Final_Table[[#This Row],[Gross Profit]]-Final_Table[[#This Row],[Tax]]</f>
        <v>-2061.3599999999997</v>
      </c>
      <c r="V1404" s="12">
        <f>Final_Table[[#This Row],[Net Profit]]/Final_Table[[#This Row],[Gross Revenue]]</f>
        <v>-0.10104705882352939</v>
      </c>
    </row>
    <row r="1405" spans="1:22">
      <c r="A1405" s="18" t="s">
        <v>78</v>
      </c>
      <c r="B1405">
        <v>2014</v>
      </c>
      <c r="C1405" t="s">
        <v>129</v>
      </c>
      <c r="D1405">
        <v>1</v>
      </c>
      <c r="E1405" s="18" t="s">
        <v>29</v>
      </c>
      <c r="F1405" s="18" t="s">
        <v>80</v>
      </c>
      <c r="G1405" s="18" t="s">
        <v>25</v>
      </c>
      <c r="H1405" s="18" t="str">
        <f>Assumptions!$B$2</f>
        <v>Worst</v>
      </c>
      <c r="I1405" s="18">
        <f>_xlfn.XLOOKUP(Assumptions!$B$2,Assumptions!$F$4:$H$4,Assumptions!$F$5:$H$5)</f>
        <v>1200</v>
      </c>
      <c r="J1405" s="18">
        <f>_xlfn.XLOOKUP(Assumptions!$B$2,Assumptions!$F$4:$H$4,Assumptions!$F$6:$H$6)</f>
        <v>17</v>
      </c>
      <c r="K1405" s="12">
        <f>_xlfn.XLOOKUP(Assumptions!$B$2,Assumptions!$F$4:$H$4,Assumptions!$F$8:$H$8)</f>
        <v>0.1</v>
      </c>
      <c r="L1405" s="12">
        <f>_xlfn.XLOOKUP(Assumptions!$B$2,Assumptions!$F$4:$H$4,Assumptions!$F$9:$H$9)</f>
        <v>0.18</v>
      </c>
      <c r="M1405" s="18">
        <f>_xlfn.XLOOKUP(Assumptions!$B$2,Assumptions!$F$4:$H$4,Assumptions!$F$10:$H$10)</f>
        <v>18000</v>
      </c>
      <c r="N1405" s="12">
        <f>_xlfn.XLOOKUP(Assumptions!$B$2,Assumptions!$F$4:$H$4,Assumptions!$F$11:$H$11)</f>
        <v>0.3</v>
      </c>
      <c r="O1405" s="14">
        <f>Final_Table[[#This Row],[Units Sold]]*Final_Table[[#This Row],[Sale Price]]</f>
        <v>20400</v>
      </c>
      <c r="P1405" s="14">
        <f>Final_Table[[#This Row],[Gross Revenue]]*(1-Final_Table[[#This Row],[Discount %]])</f>
        <v>18360</v>
      </c>
      <c r="Q1405">
        <f>Final_Table[[#This Row],[Net Revenue]]*Final_Table[[#This Row],[Variable Cost %]]</f>
        <v>3304.7999999999997</v>
      </c>
      <c r="R1405">
        <f>Final_Table[[#This Row],[Variable Cost]]+Final_Table[[#This Row],[Fixed Monthly Cost]]</f>
        <v>21304.799999999999</v>
      </c>
      <c r="S1405" s="5">
        <f>Final_Table[[#This Row],[Net Revenue]]-Final_Table[[#This Row],[Total Cost (COGS)]]</f>
        <v>-2944.7999999999993</v>
      </c>
      <c r="T1405">
        <f>Final_Table[[#This Row],[Gross Profit]]*Final_Table[[#This Row],[Tax Rate]]</f>
        <v>-883.43999999999971</v>
      </c>
      <c r="U1405" s="5">
        <f>Final_Table[[#This Row],[Gross Profit]]-Final_Table[[#This Row],[Tax]]</f>
        <v>-2061.3599999999997</v>
      </c>
      <c r="V1405" s="12">
        <f>Final_Table[[#This Row],[Net Profit]]/Final_Table[[#This Row],[Gross Revenue]]</f>
        <v>-0.10104705882352939</v>
      </c>
    </row>
    <row r="1406" spans="1:22">
      <c r="A1406" s="18" t="s">
        <v>78</v>
      </c>
      <c r="B1406">
        <v>2014</v>
      </c>
      <c r="C1406" t="s">
        <v>129</v>
      </c>
      <c r="D1406">
        <v>1</v>
      </c>
      <c r="E1406" s="18" t="s">
        <v>29</v>
      </c>
      <c r="F1406" s="18" t="s">
        <v>80</v>
      </c>
      <c r="G1406" s="18" t="s">
        <v>17</v>
      </c>
      <c r="H1406" s="18" t="str">
        <f>Assumptions!$B$2</f>
        <v>Worst</v>
      </c>
      <c r="I1406" s="18">
        <f>_xlfn.XLOOKUP(Assumptions!$B$2,Assumptions!$F$4:$H$4,Assumptions!$F$5:$H$5)</f>
        <v>1200</v>
      </c>
      <c r="J1406" s="18">
        <f>_xlfn.XLOOKUP(Assumptions!$B$2,Assumptions!$F$4:$H$4,Assumptions!$F$6:$H$6)</f>
        <v>17</v>
      </c>
      <c r="K1406" s="12">
        <f>_xlfn.XLOOKUP(Assumptions!$B$2,Assumptions!$F$4:$H$4,Assumptions!$F$8:$H$8)</f>
        <v>0.1</v>
      </c>
      <c r="L1406" s="12">
        <f>_xlfn.XLOOKUP(Assumptions!$B$2,Assumptions!$F$4:$H$4,Assumptions!$F$9:$H$9)</f>
        <v>0.18</v>
      </c>
      <c r="M1406" s="18">
        <f>_xlfn.XLOOKUP(Assumptions!$B$2,Assumptions!$F$4:$H$4,Assumptions!$F$10:$H$10)</f>
        <v>18000</v>
      </c>
      <c r="N1406" s="12">
        <f>_xlfn.XLOOKUP(Assumptions!$B$2,Assumptions!$F$4:$H$4,Assumptions!$F$11:$H$11)</f>
        <v>0.3</v>
      </c>
      <c r="O1406" s="14">
        <f>Final_Table[[#This Row],[Units Sold]]*Final_Table[[#This Row],[Sale Price]]</f>
        <v>20400</v>
      </c>
      <c r="P1406" s="14">
        <f>Final_Table[[#This Row],[Gross Revenue]]*(1-Final_Table[[#This Row],[Discount %]])</f>
        <v>18360</v>
      </c>
      <c r="Q1406">
        <f>Final_Table[[#This Row],[Net Revenue]]*Final_Table[[#This Row],[Variable Cost %]]</f>
        <v>3304.7999999999997</v>
      </c>
      <c r="R1406">
        <f>Final_Table[[#This Row],[Variable Cost]]+Final_Table[[#This Row],[Fixed Monthly Cost]]</f>
        <v>21304.799999999999</v>
      </c>
      <c r="S1406" s="5">
        <f>Final_Table[[#This Row],[Net Revenue]]-Final_Table[[#This Row],[Total Cost (COGS)]]</f>
        <v>-2944.7999999999993</v>
      </c>
      <c r="T1406">
        <f>Final_Table[[#This Row],[Gross Profit]]*Final_Table[[#This Row],[Tax Rate]]</f>
        <v>-883.43999999999971</v>
      </c>
      <c r="U1406" s="5">
        <f>Final_Table[[#This Row],[Gross Profit]]-Final_Table[[#This Row],[Tax]]</f>
        <v>-2061.3599999999997</v>
      </c>
      <c r="V1406" s="12">
        <f>Final_Table[[#This Row],[Net Profit]]/Final_Table[[#This Row],[Gross Revenue]]</f>
        <v>-0.10104705882352939</v>
      </c>
    </row>
    <row r="1407" spans="1:22">
      <c r="A1407" s="18" t="s">
        <v>78</v>
      </c>
      <c r="B1407">
        <v>2014</v>
      </c>
      <c r="C1407" t="s">
        <v>129</v>
      </c>
      <c r="D1407">
        <v>1</v>
      </c>
      <c r="E1407" s="18" t="s">
        <v>29</v>
      </c>
      <c r="F1407" s="18" t="s">
        <v>108</v>
      </c>
      <c r="G1407" s="18" t="s">
        <v>36</v>
      </c>
      <c r="H1407" s="18" t="str">
        <f>Assumptions!$B$2</f>
        <v>Worst</v>
      </c>
      <c r="I1407" s="18">
        <f>_xlfn.XLOOKUP(Assumptions!$B$2,Assumptions!$F$4:$H$4,Assumptions!$F$5:$H$5)</f>
        <v>1200</v>
      </c>
      <c r="J1407" s="18">
        <f>_xlfn.XLOOKUP(Assumptions!$B$2,Assumptions!$F$4:$H$4,Assumptions!$F$6:$H$6)</f>
        <v>17</v>
      </c>
      <c r="K1407" s="12">
        <f>_xlfn.XLOOKUP(Assumptions!$B$2,Assumptions!$F$4:$H$4,Assumptions!$F$8:$H$8)</f>
        <v>0.1</v>
      </c>
      <c r="L1407" s="12">
        <f>_xlfn.XLOOKUP(Assumptions!$B$2,Assumptions!$F$4:$H$4,Assumptions!$F$9:$H$9)</f>
        <v>0.18</v>
      </c>
      <c r="M1407" s="18">
        <f>_xlfn.XLOOKUP(Assumptions!$B$2,Assumptions!$F$4:$H$4,Assumptions!$F$10:$H$10)</f>
        <v>18000</v>
      </c>
      <c r="N1407" s="12">
        <f>_xlfn.XLOOKUP(Assumptions!$B$2,Assumptions!$F$4:$H$4,Assumptions!$F$11:$H$11)</f>
        <v>0.3</v>
      </c>
      <c r="O1407" s="14">
        <f>Final_Table[[#This Row],[Units Sold]]*Final_Table[[#This Row],[Sale Price]]</f>
        <v>20400</v>
      </c>
      <c r="P1407" s="14">
        <f>Final_Table[[#This Row],[Gross Revenue]]*(1-Final_Table[[#This Row],[Discount %]])</f>
        <v>18360</v>
      </c>
      <c r="Q1407">
        <f>Final_Table[[#This Row],[Net Revenue]]*Final_Table[[#This Row],[Variable Cost %]]</f>
        <v>3304.7999999999997</v>
      </c>
      <c r="R1407">
        <f>Final_Table[[#This Row],[Variable Cost]]+Final_Table[[#This Row],[Fixed Monthly Cost]]</f>
        <v>21304.799999999999</v>
      </c>
      <c r="S1407" s="5">
        <f>Final_Table[[#This Row],[Net Revenue]]-Final_Table[[#This Row],[Total Cost (COGS)]]</f>
        <v>-2944.7999999999993</v>
      </c>
      <c r="T1407">
        <f>Final_Table[[#This Row],[Gross Profit]]*Final_Table[[#This Row],[Tax Rate]]</f>
        <v>-883.43999999999971</v>
      </c>
      <c r="U1407" s="5">
        <f>Final_Table[[#This Row],[Gross Profit]]-Final_Table[[#This Row],[Tax]]</f>
        <v>-2061.3599999999997</v>
      </c>
      <c r="V1407" s="12">
        <f>Final_Table[[#This Row],[Net Profit]]/Final_Table[[#This Row],[Gross Revenue]]</f>
        <v>-0.10104705882352939</v>
      </c>
    </row>
    <row r="1408" spans="1:22">
      <c r="A1408" s="18" t="s">
        <v>78</v>
      </c>
      <c r="B1408">
        <v>2014</v>
      </c>
      <c r="C1408" t="s">
        <v>129</v>
      </c>
      <c r="D1408">
        <v>1</v>
      </c>
      <c r="E1408" s="18" t="s">
        <v>29</v>
      </c>
      <c r="F1408" s="18" t="s">
        <v>108</v>
      </c>
      <c r="G1408" s="18" t="s">
        <v>23</v>
      </c>
      <c r="H1408" s="18" t="str">
        <f>Assumptions!$B$2</f>
        <v>Worst</v>
      </c>
      <c r="I1408" s="18">
        <f>_xlfn.XLOOKUP(Assumptions!$B$2,Assumptions!$F$4:$H$4,Assumptions!$F$5:$H$5)</f>
        <v>1200</v>
      </c>
      <c r="J1408" s="18">
        <f>_xlfn.XLOOKUP(Assumptions!$B$2,Assumptions!$F$4:$H$4,Assumptions!$F$6:$H$6)</f>
        <v>17</v>
      </c>
      <c r="K1408" s="12">
        <f>_xlfn.XLOOKUP(Assumptions!$B$2,Assumptions!$F$4:$H$4,Assumptions!$F$8:$H$8)</f>
        <v>0.1</v>
      </c>
      <c r="L1408" s="12">
        <f>_xlfn.XLOOKUP(Assumptions!$B$2,Assumptions!$F$4:$H$4,Assumptions!$F$9:$H$9)</f>
        <v>0.18</v>
      </c>
      <c r="M1408" s="18">
        <f>_xlfn.XLOOKUP(Assumptions!$B$2,Assumptions!$F$4:$H$4,Assumptions!$F$10:$H$10)</f>
        <v>18000</v>
      </c>
      <c r="N1408" s="12">
        <f>_xlfn.XLOOKUP(Assumptions!$B$2,Assumptions!$F$4:$H$4,Assumptions!$F$11:$H$11)</f>
        <v>0.3</v>
      </c>
      <c r="O1408" s="14">
        <f>Final_Table[[#This Row],[Units Sold]]*Final_Table[[#This Row],[Sale Price]]</f>
        <v>20400</v>
      </c>
      <c r="P1408" s="14">
        <f>Final_Table[[#This Row],[Gross Revenue]]*(1-Final_Table[[#This Row],[Discount %]])</f>
        <v>18360</v>
      </c>
      <c r="Q1408">
        <f>Final_Table[[#This Row],[Net Revenue]]*Final_Table[[#This Row],[Variable Cost %]]</f>
        <v>3304.7999999999997</v>
      </c>
      <c r="R1408">
        <f>Final_Table[[#This Row],[Variable Cost]]+Final_Table[[#This Row],[Fixed Monthly Cost]]</f>
        <v>21304.799999999999</v>
      </c>
      <c r="S1408" s="5">
        <f>Final_Table[[#This Row],[Net Revenue]]-Final_Table[[#This Row],[Total Cost (COGS)]]</f>
        <v>-2944.7999999999993</v>
      </c>
      <c r="T1408">
        <f>Final_Table[[#This Row],[Gross Profit]]*Final_Table[[#This Row],[Tax Rate]]</f>
        <v>-883.43999999999971</v>
      </c>
      <c r="U1408" s="5">
        <f>Final_Table[[#This Row],[Gross Profit]]-Final_Table[[#This Row],[Tax]]</f>
        <v>-2061.3599999999997</v>
      </c>
      <c r="V1408" s="12">
        <f>Final_Table[[#This Row],[Net Profit]]/Final_Table[[#This Row],[Gross Revenue]]</f>
        <v>-0.10104705882352939</v>
      </c>
    </row>
    <row r="1409" spans="1:22">
      <c r="A1409" s="18" t="s">
        <v>78</v>
      </c>
      <c r="B1409">
        <v>2014</v>
      </c>
      <c r="C1409" t="s">
        <v>129</v>
      </c>
      <c r="D1409">
        <v>1</v>
      </c>
      <c r="E1409" s="18" t="s">
        <v>29</v>
      </c>
      <c r="F1409" s="18" t="s">
        <v>108</v>
      </c>
      <c r="G1409" s="18" t="s">
        <v>21</v>
      </c>
      <c r="H1409" s="18" t="str">
        <f>Assumptions!$B$2</f>
        <v>Worst</v>
      </c>
      <c r="I1409" s="18">
        <f>_xlfn.XLOOKUP(Assumptions!$B$2,Assumptions!$F$4:$H$4,Assumptions!$F$5:$H$5)</f>
        <v>1200</v>
      </c>
      <c r="J1409" s="18">
        <f>_xlfn.XLOOKUP(Assumptions!$B$2,Assumptions!$F$4:$H$4,Assumptions!$F$6:$H$6)</f>
        <v>17</v>
      </c>
      <c r="K1409" s="12">
        <f>_xlfn.XLOOKUP(Assumptions!$B$2,Assumptions!$F$4:$H$4,Assumptions!$F$8:$H$8)</f>
        <v>0.1</v>
      </c>
      <c r="L1409" s="12">
        <f>_xlfn.XLOOKUP(Assumptions!$B$2,Assumptions!$F$4:$H$4,Assumptions!$F$9:$H$9)</f>
        <v>0.18</v>
      </c>
      <c r="M1409" s="18">
        <f>_xlfn.XLOOKUP(Assumptions!$B$2,Assumptions!$F$4:$H$4,Assumptions!$F$10:$H$10)</f>
        <v>18000</v>
      </c>
      <c r="N1409" s="12">
        <f>_xlfn.XLOOKUP(Assumptions!$B$2,Assumptions!$F$4:$H$4,Assumptions!$F$11:$H$11)</f>
        <v>0.3</v>
      </c>
      <c r="O1409" s="14">
        <f>Final_Table[[#This Row],[Units Sold]]*Final_Table[[#This Row],[Sale Price]]</f>
        <v>20400</v>
      </c>
      <c r="P1409" s="14">
        <f>Final_Table[[#This Row],[Gross Revenue]]*(1-Final_Table[[#This Row],[Discount %]])</f>
        <v>18360</v>
      </c>
      <c r="Q1409">
        <f>Final_Table[[#This Row],[Net Revenue]]*Final_Table[[#This Row],[Variable Cost %]]</f>
        <v>3304.7999999999997</v>
      </c>
      <c r="R1409">
        <f>Final_Table[[#This Row],[Variable Cost]]+Final_Table[[#This Row],[Fixed Monthly Cost]]</f>
        <v>21304.799999999999</v>
      </c>
      <c r="S1409" s="5">
        <f>Final_Table[[#This Row],[Net Revenue]]-Final_Table[[#This Row],[Total Cost (COGS)]]</f>
        <v>-2944.7999999999993</v>
      </c>
      <c r="T1409">
        <f>Final_Table[[#This Row],[Gross Profit]]*Final_Table[[#This Row],[Tax Rate]]</f>
        <v>-883.43999999999971</v>
      </c>
      <c r="U1409" s="5">
        <f>Final_Table[[#This Row],[Gross Profit]]-Final_Table[[#This Row],[Tax]]</f>
        <v>-2061.3599999999997</v>
      </c>
      <c r="V1409" s="12">
        <f>Final_Table[[#This Row],[Net Profit]]/Final_Table[[#This Row],[Gross Revenue]]</f>
        <v>-0.10104705882352939</v>
      </c>
    </row>
    <row r="1410" spans="1:22">
      <c r="A1410" s="18" t="s">
        <v>78</v>
      </c>
      <c r="B1410">
        <v>2014</v>
      </c>
      <c r="C1410" t="s">
        <v>129</v>
      </c>
      <c r="D1410">
        <v>1</v>
      </c>
      <c r="E1410" s="18" t="s">
        <v>29</v>
      </c>
      <c r="F1410" s="18" t="s">
        <v>108</v>
      </c>
      <c r="G1410" s="18" t="s">
        <v>25</v>
      </c>
      <c r="H1410" s="18" t="str">
        <f>Assumptions!$B$2</f>
        <v>Worst</v>
      </c>
      <c r="I1410" s="18">
        <f>_xlfn.XLOOKUP(Assumptions!$B$2,Assumptions!$F$4:$H$4,Assumptions!$F$5:$H$5)</f>
        <v>1200</v>
      </c>
      <c r="J1410" s="18">
        <f>_xlfn.XLOOKUP(Assumptions!$B$2,Assumptions!$F$4:$H$4,Assumptions!$F$6:$H$6)</f>
        <v>17</v>
      </c>
      <c r="K1410" s="12">
        <f>_xlfn.XLOOKUP(Assumptions!$B$2,Assumptions!$F$4:$H$4,Assumptions!$F$8:$H$8)</f>
        <v>0.1</v>
      </c>
      <c r="L1410" s="12">
        <f>_xlfn.XLOOKUP(Assumptions!$B$2,Assumptions!$F$4:$H$4,Assumptions!$F$9:$H$9)</f>
        <v>0.18</v>
      </c>
      <c r="M1410" s="18">
        <f>_xlfn.XLOOKUP(Assumptions!$B$2,Assumptions!$F$4:$H$4,Assumptions!$F$10:$H$10)</f>
        <v>18000</v>
      </c>
      <c r="N1410" s="12">
        <f>_xlfn.XLOOKUP(Assumptions!$B$2,Assumptions!$F$4:$H$4,Assumptions!$F$11:$H$11)</f>
        <v>0.3</v>
      </c>
      <c r="O1410" s="14">
        <f>Final_Table[[#This Row],[Units Sold]]*Final_Table[[#This Row],[Sale Price]]</f>
        <v>20400</v>
      </c>
      <c r="P1410" s="14">
        <f>Final_Table[[#This Row],[Gross Revenue]]*(1-Final_Table[[#This Row],[Discount %]])</f>
        <v>18360</v>
      </c>
      <c r="Q1410">
        <f>Final_Table[[#This Row],[Net Revenue]]*Final_Table[[#This Row],[Variable Cost %]]</f>
        <v>3304.7999999999997</v>
      </c>
      <c r="R1410">
        <f>Final_Table[[#This Row],[Variable Cost]]+Final_Table[[#This Row],[Fixed Monthly Cost]]</f>
        <v>21304.799999999999</v>
      </c>
      <c r="S1410" s="5">
        <f>Final_Table[[#This Row],[Net Revenue]]-Final_Table[[#This Row],[Total Cost (COGS)]]</f>
        <v>-2944.7999999999993</v>
      </c>
      <c r="T1410">
        <f>Final_Table[[#This Row],[Gross Profit]]*Final_Table[[#This Row],[Tax Rate]]</f>
        <v>-883.43999999999971</v>
      </c>
      <c r="U1410" s="5">
        <f>Final_Table[[#This Row],[Gross Profit]]-Final_Table[[#This Row],[Tax]]</f>
        <v>-2061.3599999999997</v>
      </c>
      <c r="V1410" s="12">
        <f>Final_Table[[#This Row],[Net Profit]]/Final_Table[[#This Row],[Gross Revenue]]</f>
        <v>-0.10104705882352939</v>
      </c>
    </row>
    <row r="1411" spans="1:22">
      <c r="A1411" s="18" t="s">
        <v>78</v>
      </c>
      <c r="B1411">
        <v>2014</v>
      </c>
      <c r="C1411" t="s">
        <v>129</v>
      </c>
      <c r="D1411">
        <v>1</v>
      </c>
      <c r="E1411" s="18" t="s">
        <v>29</v>
      </c>
      <c r="F1411" s="18" t="s">
        <v>108</v>
      </c>
      <c r="G1411" s="18" t="s">
        <v>17</v>
      </c>
      <c r="H1411" s="18" t="str">
        <f>Assumptions!$B$2</f>
        <v>Worst</v>
      </c>
      <c r="I1411" s="18">
        <f>_xlfn.XLOOKUP(Assumptions!$B$2,Assumptions!$F$4:$H$4,Assumptions!$F$5:$H$5)</f>
        <v>1200</v>
      </c>
      <c r="J1411" s="18">
        <f>_xlfn.XLOOKUP(Assumptions!$B$2,Assumptions!$F$4:$H$4,Assumptions!$F$6:$H$6)</f>
        <v>17</v>
      </c>
      <c r="K1411" s="12">
        <f>_xlfn.XLOOKUP(Assumptions!$B$2,Assumptions!$F$4:$H$4,Assumptions!$F$8:$H$8)</f>
        <v>0.1</v>
      </c>
      <c r="L1411" s="12">
        <f>_xlfn.XLOOKUP(Assumptions!$B$2,Assumptions!$F$4:$H$4,Assumptions!$F$9:$H$9)</f>
        <v>0.18</v>
      </c>
      <c r="M1411" s="18">
        <f>_xlfn.XLOOKUP(Assumptions!$B$2,Assumptions!$F$4:$H$4,Assumptions!$F$10:$H$10)</f>
        <v>18000</v>
      </c>
      <c r="N1411" s="12">
        <f>_xlfn.XLOOKUP(Assumptions!$B$2,Assumptions!$F$4:$H$4,Assumptions!$F$11:$H$11)</f>
        <v>0.3</v>
      </c>
      <c r="O1411" s="14">
        <f>Final_Table[[#This Row],[Units Sold]]*Final_Table[[#This Row],[Sale Price]]</f>
        <v>20400</v>
      </c>
      <c r="P1411" s="14">
        <f>Final_Table[[#This Row],[Gross Revenue]]*(1-Final_Table[[#This Row],[Discount %]])</f>
        <v>18360</v>
      </c>
      <c r="Q1411">
        <f>Final_Table[[#This Row],[Net Revenue]]*Final_Table[[#This Row],[Variable Cost %]]</f>
        <v>3304.7999999999997</v>
      </c>
      <c r="R1411">
        <f>Final_Table[[#This Row],[Variable Cost]]+Final_Table[[#This Row],[Fixed Monthly Cost]]</f>
        <v>21304.799999999999</v>
      </c>
      <c r="S1411" s="5">
        <f>Final_Table[[#This Row],[Net Revenue]]-Final_Table[[#This Row],[Total Cost (COGS)]]</f>
        <v>-2944.7999999999993</v>
      </c>
      <c r="T1411">
        <f>Final_Table[[#This Row],[Gross Profit]]*Final_Table[[#This Row],[Tax Rate]]</f>
        <v>-883.43999999999971</v>
      </c>
      <c r="U1411" s="5">
        <f>Final_Table[[#This Row],[Gross Profit]]-Final_Table[[#This Row],[Tax]]</f>
        <v>-2061.3599999999997</v>
      </c>
      <c r="V1411" s="12">
        <f>Final_Table[[#This Row],[Net Profit]]/Final_Table[[#This Row],[Gross Revenue]]</f>
        <v>-0.10104705882352939</v>
      </c>
    </row>
    <row r="1412" spans="1:22">
      <c r="A1412" s="18" t="s">
        <v>78</v>
      </c>
      <c r="B1412">
        <v>2014</v>
      </c>
      <c r="C1412" t="s">
        <v>129</v>
      </c>
      <c r="D1412">
        <v>1</v>
      </c>
      <c r="E1412" s="18" t="s">
        <v>29</v>
      </c>
      <c r="F1412" s="18" t="s">
        <v>112</v>
      </c>
      <c r="G1412" s="18" t="s">
        <v>36</v>
      </c>
      <c r="H1412" s="18" t="str">
        <f>Assumptions!$B$2</f>
        <v>Worst</v>
      </c>
      <c r="I1412" s="18">
        <f>_xlfn.XLOOKUP(Assumptions!$B$2,Assumptions!$F$4:$H$4,Assumptions!$F$5:$H$5)</f>
        <v>1200</v>
      </c>
      <c r="J1412" s="18">
        <f>_xlfn.XLOOKUP(Assumptions!$B$2,Assumptions!$F$4:$H$4,Assumptions!$F$6:$H$6)</f>
        <v>17</v>
      </c>
      <c r="K1412" s="12">
        <f>_xlfn.XLOOKUP(Assumptions!$B$2,Assumptions!$F$4:$H$4,Assumptions!$F$8:$H$8)</f>
        <v>0.1</v>
      </c>
      <c r="L1412" s="12">
        <f>_xlfn.XLOOKUP(Assumptions!$B$2,Assumptions!$F$4:$H$4,Assumptions!$F$9:$H$9)</f>
        <v>0.18</v>
      </c>
      <c r="M1412" s="18">
        <f>_xlfn.XLOOKUP(Assumptions!$B$2,Assumptions!$F$4:$H$4,Assumptions!$F$10:$H$10)</f>
        <v>18000</v>
      </c>
      <c r="N1412" s="12">
        <f>_xlfn.XLOOKUP(Assumptions!$B$2,Assumptions!$F$4:$H$4,Assumptions!$F$11:$H$11)</f>
        <v>0.3</v>
      </c>
      <c r="O1412" s="14">
        <f>Final_Table[[#This Row],[Units Sold]]*Final_Table[[#This Row],[Sale Price]]</f>
        <v>20400</v>
      </c>
      <c r="P1412" s="14">
        <f>Final_Table[[#This Row],[Gross Revenue]]*(1-Final_Table[[#This Row],[Discount %]])</f>
        <v>18360</v>
      </c>
      <c r="Q1412">
        <f>Final_Table[[#This Row],[Net Revenue]]*Final_Table[[#This Row],[Variable Cost %]]</f>
        <v>3304.7999999999997</v>
      </c>
      <c r="R1412">
        <f>Final_Table[[#This Row],[Variable Cost]]+Final_Table[[#This Row],[Fixed Monthly Cost]]</f>
        <v>21304.799999999999</v>
      </c>
      <c r="S1412" s="5">
        <f>Final_Table[[#This Row],[Net Revenue]]-Final_Table[[#This Row],[Total Cost (COGS)]]</f>
        <v>-2944.7999999999993</v>
      </c>
      <c r="T1412">
        <f>Final_Table[[#This Row],[Gross Profit]]*Final_Table[[#This Row],[Tax Rate]]</f>
        <v>-883.43999999999971</v>
      </c>
      <c r="U1412" s="5">
        <f>Final_Table[[#This Row],[Gross Profit]]-Final_Table[[#This Row],[Tax]]</f>
        <v>-2061.3599999999997</v>
      </c>
      <c r="V1412" s="12">
        <f>Final_Table[[#This Row],[Net Profit]]/Final_Table[[#This Row],[Gross Revenue]]</f>
        <v>-0.10104705882352939</v>
      </c>
    </row>
    <row r="1413" spans="1:22">
      <c r="A1413" s="18" t="s">
        <v>78</v>
      </c>
      <c r="B1413">
        <v>2014</v>
      </c>
      <c r="C1413" t="s">
        <v>129</v>
      </c>
      <c r="D1413">
        <v>1</v>
      </c>
      <c r="E1413" s="18" t="s">
        <v>29</v>
      </c>
      <c r="F1413" s="18" t="s">
        <v>112</v>
      </c>
      <c r="G1413" s="18" t="s">
        <v>23</v>
      </c>
      <c r="H1413" s="18" t="str">
        <f>Assumptions!$B$2</f>
        <v>Worst</v>
      </c>
      <c r="I1413" s="18">
        <f>_xlfn.XLOOKUP(Assumptions!$B$2,Assumptions!$F$4:$H$4,Assumptions!$F$5:$H$5)</f>
        <v>1200</v>
      </c>
      <c r="J1413" s="18">
        <f>_xlfn.XLOOKUP(Assumptions!$B$2,Assumptions!$F$4:$H$4,Assumptions!$F$6:$H$6)</f>
        <v>17</v>
      </c>
      <c r="K1413" s="12">
        <f>_xlfn.XLOOKUP(Assumptions!$B$2,Assumptions!$F$4:$H$4,Assumptions!$F$8:$H$8)</f>
        <v>0.1</v>
      </c>
      <c r="L1413" s="12">
        <f>_xlfn.XLOOKUP(Assumptions!$B$2,Assumptions!$F$4:$H$4,Assumptions!$F$9:$H$9)</f>
        <v>0.18</v>
      </c>
      <c r="M1413" s="18">
        <f>_xlfn.XLOOKUP(Assumptions!$B$2,Assumptions!$F$4:$H$4,Assumptions!$F$10:$H$10)</f>
        <v>18000</v>
      </c>
      <c r="N1413" s="12">
        <f>_xlfn.XLOOKUP(Assumptions!$B$2,Assumptions!$F$4:$H$4,Assumptions!$F$11:$H$11)</f>
        <v>0.3</v>
      </c>
      <c r="O1413" s="14">
        <f>Final_Table[[#This Row],[Units Sold]]*Final_Table[[#This Row],[Sale Price]]</f>
        <v>20400</v>
      </c>
      <c r="P1413" s="14">
        <f>Final_Table[[#This Row],[Gross Revenue]]*(1-Final_Table[[#This Row],[Discount %]])</f>
        <v>18360</v>
      </c>
      <c r="Q1413">
        <f>Final_Table[[#This Row],[Net Revenue]]*Final_Table[[#This Row],[Variable Cost %]]</f>
        <v>3304.7999999999997</v>
      </c>
      <c r="R1413">
        <f>Final_Table[[#This Row],[Variable Cost]]+Final_Table[[#This Row],[Fixed Monthly Cost]]</f>
        <v>21304.799999999999</v>
      </c>
      <c r="S1413" s="5">
        <f>Final_Table[[#This Row],[Net Revenue]]-Final_Table[[#This Row],[Total Cost (COGS)]]</f>
        <v>-2944.7999999999993</v>
      </c>
      <c r="T1413">
        <f>Final_Table[[#This Row],[Gross Profit]]*Final_Table[[#This Row],[Tax Rate]]</f>
        <v>-883.43999999999971</v>
      </c>
      <c r="U1413" s="5">
        <f>Final_Table[[#This Row],[Gross Profit]]-Final_Table[[#This Row],[Tax]]</f>
        <v>-2061.3599999999997</v>
      </c>
      <c r="V1413" s="12">
        <f>Final_Table[[#This Row],[Net Profit]]/Final_Table[[#This Row],[Gross Revenue]]</f>
        <v>-0.10104705882352939</v>
      </c>
    </row>
    <row r="1414" spans="1:22">
      <c r="A1414" s="18" t="s">
        <v>78</v>
      </c>
      <c r="B1414">
        <v>2014</v>
      </c>
      <c r="C1414" t="s">
        <v>129</v>
      </c>
      <c r="D1414">
        <v>1</v>
      </c>
      <c r="E1414" s="18" t="s">
        <v>29</v>
      </c>
      <c r="F1414" s="18" t="s">
        <v>112</v>
      </c>
      <c r="G1414" s="18" t="s">
        <v>21</v>
      </c>
      <c r="H1414" s="18" t="str">
        <f>Assumptions!$B$2</f>
        <v>Worst</v>
      </c>
      <c r="I1414" s="18">
        <f>_xlfn.XLOOKUP(Assumptions!$B$2,Assumptions!$F$4:$H$4,Assumptions!$F$5:$H$5)</f>
        <v>1200</v>
      </c>
      <c r="J1414" s="18">
        <f>_xlfn.XLOOKUP(Assumptions!$B$2,Assumptions!$F$4:$H$4,Assumptions!$F$6:$H$6)</f>
        <v>17</v>
      </c>
      <c r="K1414" s="12">
        <f>_xlfn.XLOOKUP(Assumptions!$B$2,Assumptions!$F$4:$H$4,Assumptions!$F$8:$H$8)</f>
        <v>0.1</v>
      </c>
      <c r="L1414" s="12">
        <f>_xlfn.XLOOKUP(Assumptions!$B$2,Assumptions!$F$4:$H$4,Assumptions!$F$9:$H$9)</f>
        <v>0.18</v>
      </c>
      <c r="M1414" s="18">
        <f>_xlfn.XLOOKUP(Assumptions!$B$2,Assumptions!$F$4:$H$4,Assumptions!$F$10:$H$10)</f>
        <v>18000</v>
      </c>
      <c r="N1414" s="12">
        <f>_xlfn.XLOOKUP(Assumptions!$B$2,Assumptions!$F$4:$H$4,Assumptions!$F$11:$H$11)</f>
        <v>0.3</v>
      </c>
      <c r="O1414" s="14">
        <f>Final_Table[[#This Row],[Units Sold]]*Final_Table[[#This Row],[Sale Price]]</f>
        <v>20400</v>
      </c>
      <c r="P1414" s="14">
        <f>Final_Table[[#This Row],[Gross Revenue]]*(1-Final_Table[[#This Row],[Discount %]])</f>
        <v>18360</v>
      </c>
      <c r="Q1414">
        <f>Final_Table[[#This Row],[Net Revenue]]*Final_Table[[#This Row],[Variable Cost %]]</f>
        <v>3304.7999999999997</v>
      </c>
      <c r="R1414">
        <f>Final_Table[[#This Row],[Variable Cost]]+Final_Table[[#This Row],[Fixed Monthly Cost]]</f>
        <v>21304.799999999999</v>
      </c>
      <c r="S1414" s="5">
        <f>Final_Table[[#This Row],[Net Revenue]]-Final_Table[[#This Row],[Total Cost (COGS)]]</f>
        <v>-2944.7999999999993</v>
      </c>
      <c r="T1414">
        <f>Final_Table[[#This Row],[Gross Profit]]*Final_Table[[#This Row],[Tax Rate]]</f>
        <v>-883.43999999999971</v>
      </c>
      <c r="U1414" s="5">
        <f>Final_Table[[#This Row],[Gross Profit]]-Final_Table[[#This Row],[Tax]]</f>
        <v>-2061.3599999999997</v>
      </c>
      <c r="V1414" s="12">
        <f>Final_Table[[#This Row],[Net Profit]]/Final_Table[[#This Row],[Gross Revenue]]</f>
        <v>-0.10104705882352939</v>
      </c>
    </row>
    <row r="1415" spans="1:22">
      <c r="A1415" s="18" t="s">
        <v>78</v>
      </c>
      <c r="B1415">
        <v>2014</v>
      </c>
      <c r="C1415" t="s">
        <v>129</v>
      </c>
      <c r="D1415">
        <v>1</v>
      </c>
      <c r="E1415" s="18" t="s">
        <v>29</v>
      </c>
      <c r="F1415" s="18" t="s">
        <v>112</v>
      </c>
      <c r="G1415" s="18" t="s">
        <v>25</v>
      </c>
      <c r="H1415" s="18" t="str">
        <f>Assumptions!$B$2</f>
        <v>Worst</v>
      </c>
      <c r="I1415" s="18">
        <f>_xlfn.XLOOKUP(Assumptions!$B$2,Assumptions!$F$4:$H$4,Assumptions!$F$5:$H$5)</f>
        <v>1200</v>
      </c>
      <c r="J1415" s="18">
        <f>_xlfn.XLOOKUP(Assumptions!$B$2,Assumptions!$F$4:$H$4,Assumptions!$F$6:$H$6)</f>
        <v>17</v>
      </c>
      <c r="K1415" s="12">
        <f>_xlfn.XLOOKUP(Assumptions!$B$2,Assumptions!$F$4:$H$4,Assumptions!$F$8:$H$8)</f>
        <v>0.1</v>
      </c>
      <c r="L1415" s="12">
        <f>_xlfn.XLOOKUP(Assumptions!$B$2,Assumptions!$F$4:$H$4,Assumptions!$F$9:$H$9)</f>
        <v>0.18</v>
      </c>
      <c r="M1415" s="18">
        <f>_xlfn.XLOOKUP(Assumptions!$B$2,Assumptions!$F$4:$H$4,Assumptions!$F$10:$H$10)</f>
        <v>18000</v>
      </c>
      <c r="N1415" s="12">
        <f>_xlfn.XLOOKUP(Assumptions!$B$2,Assumptions!$F$4:$H$4,Assumptions!$F$11:$H$11)</f>
        <v>0.3</v>
      </c>
      <c r="O1415" s="14">
        <f>Final_Table[[#This Row],[Units Sold]]*Final_Table[[#This Row],[Sale Price]]</f>
        <v>20400</v>
      </c>
      <c r="P1415" s="14">
        <f>Final_Table[[#This Row],[Gross Revenue]]*(1-Final_Table[[#This Row],[Discount %]])</f>
        <v>18360</v>
      </c>
      <c r="Q1415">
        <f>Final_Table[[#This Row],[Net Revenue]]*Final_Table[[#This Row],[Variable Cost %]]</f>
        <v>3304.7999999999997</v>
      </c>
      <c r="R1415">
        <f>Final_Table[[#This Row],[Variable Cost]]+Final_Table[[#This Row],[Fixed Monthly Cost]]</f>
        <v>21304.799999999999</v>
      </c>
      <c r="S1415" s="5">
        <f>Final_Table[[#This Row],[Net Revenue]]-Final_Table[[#This Row],[Total Cost (COGS)]]</f>
        <v>-2944.7999999999993</v>
      </c>
      <c r="T1415">
        <f>Final_Table[[#This Row],[Gross Profit]]*Final_Table[[#This Row],[Tax Rate]]</f>
        <v>-883.43999999999971</v>
      </c>
      <c r="U1415" s="5">
        <f>Final_Table[[#This Row],[Gross Profit]]-Final_Table[[#This Row],[Tax]]</f>
        <v>-2061.3599999999997</v>
      </c>
      <c r="V1415" s="12">
        <f>Final_Table[[#This Row],[Net Profit]]/Final_Table[[#This Row],[Gross Revenue]]</f>
        <v>-0.10104705882352939</v>
      </c>
    </row>
    <row r="1416" spans="1:22">
      <c r="A1416" s="18" t="s">
        <v>78</v>
      </c>
      <c r="B1416">
        <v>2014</v>
      </c>
      <c r="C1416" t="s">
        <v>129</v>
      </c>
      <c r="D1416">
        <v>1</v>
      </c>
      <c r="E1416" s="18" t="s">
        <v>29</v>
      </c>
      <c r="F1416" s="18" t="s">
        <v>112</v>
      </c>
      <c r="G1416" s="18" t="s">
        <v>17</v>
      </c>
      <c r="H1416" s="18" t="str">
        <f>Assumptions!$B$2</f>
        <v>Worst</v>
      </c>
      <c r="I1416" s="18">
        <f>_xlfn.XLOOKUP(Assumptions!$B$2,Assumptions!$F$4:$H$4,Assumptions!$F$5:$H$5)</f>
        <v>1200</v>
      </c>
      <c r="J1416" s="18">
        <f>_xlfn.XLOOKUP(Assumptions!$B$2,Assumptions!$F$4:$H$4,Assumptions!$F$6:$H$6)</f>
        <v>17</v>
      </c>
      <c r="K1416" s="12">
        <f>_xlfn.XLOOKUP(Assumptions!$B$2,Assumptions!$F$4:$H$4,Assumptions!$F$8:$H$8)</f>
        <v>0.1</v>
      </c>
      <c r="L1416" s="12">
        <f>_xlfn.XLOOKUP(Assumptions!$B$2,Assumptions!$F$4:$H$4,Assumptions!$F$9:$H$9)</f>
        <v>0.18</v>
      </c>
      <c r="M1416" s="18">
        <f>_xlfn.XLOOKUP(Assumptions!$B$2,Assumptions!$F$4:$H$4,Assumptions!$F$10:$H$10)</f>
        <v>18000</v>
      </c>
      <c r="N1416" s="12">
        <f>_xlfn.XLOOKUP(Assumptions!$B$2,Assumptions!$F$4:$H$4,Assumptions!$F$11:$H$11)</f>
        <v>0.3</v>
      </c>
      <c r="O1416" s="14">
        <f>Final_Table[[#This Row],[Units Sold]]*Final_Table[[#This Row],[Sale Price]]</f>
        <v>20400</v>
      </c>
      <c r="P1416" s="14">
        <f>Final_Table[[#This Row],[Gross Revenue]]*(1-Final_Table[[#This Row],[Discount %]])</f>
        <v>18360</v>
      </c>
      <c r="Q1416">
        <f>Final_Table[[#This Row],[Net Revenue]]*Final_Table[[#This Row],[Variable Cost %]]</f>
        <v>3304.7999999999997</v>
      </c>
      <c r="R1416">
        <f>Final_Table[[#This Row],[Variable Cost]]+Final_Table[[#This Row],[Fixed Monthly Cost]]</f>
        <v>21304.799999999999</v>
      </c>
      <c r="S1416" s="5">
        <f>Final_Table[[#This Row],[Net Revenue]]-Final_Table[[#This Row],[Total Cost (COGS)]]</f>
        <v>-2944.7999999999993</v>
      </c>
      <c r="T1416">
        <f>Final_Table[[#This Row],[Gross Profit]]*Final_Table[[#This Row],[Tax Rate]]</f>
        <v>-883.43999999999971</v>
      </c>
      <c r="U1416" s="5">
        <f>Final_Table[[#This Row],[Gross Profit]]-Final_Table[[#This Row],[Tax]]</f>
        <v>-2061.3599999999997</v>
      </c>
      <c r="V1416" s="12">
        <f>Final_Table[[#This Row],[Net Profit]]/Final_Table[[#This Row],[Gross Revenue]]</f>
        <v>-0.10104705882352939</v>
      </c>
    </row>
    <row r="1417" spans="1:22">
      <c r="A1417" s="18" t="s">
        <v>78</v>
      </c>
      <c r="B1417">
        <v>2014</v>
      </c>
      <c r="C1417" t="s">
        <v>129</v>
      </c>
      <c r="D1417">
        <v>1</v>
      </c>
      <c r="E1417" s="18" t="s">
        <v>29</v>
      </c>
      <c r="F1417" s="18" t="s">
        <v>113</v>
      </c>
      <c r="G1417" s="18" t="s">
        <v>36</v>
      </c>
      <c r="H1417" s="18" t="str">
        <f>Assumptions!$B$2</f>
        <v>Worst</v>
      </c>
      <c r="I1417" s="18">
        <f>_xlfn.XLOOKUP(Assumptions!$B$2,Assumptions!$F$4:$H$4,Assumptions!$F$5:$H$5)</f>
        <v>1200</v>
      </c>
      <c r="J1417" s="18">
        <f>_xlfn.XLOOKUP(Assumptions!$B$2,Assumptions!$F$4:$H$4,Assumptions!$F$6:$H$6)</f>
        <v>17</v>
      </c>
      <c r="K1417" s="12">
        <f>_xlfn.XLOOKUP(Assumptions!$B$2,Assumptions!$F$4:$H$4,Assumptions!$F$8:$H$8)</f>
        <v>0.1</v>
      </c>
      <c r="L1417" s="12">
        <f>_xlfn.XLOOKUP(Assumptions!$B$2,Assumptions!$F$4:$H$4,Assumptions!$F$9:$H$9)</f>
        <v>0.18</v>
      </c>
      <c r="M1417" s="18">
        <f>_xlfn.XLOOKUP(Assumptions!$B$2,Assumptions!$F$4:$H$4,Assumptions!$F$10:$H$10)</f>
        <v>18000</v>
      </c>
      <c r="N1417" s="12">
        <f>_xlfn.XLOOKUP(Assumptions!$B$2,Assumptions!$F$4:$H$4,Assumptions!$F$11:$H$11)</f>
        <v>0.3</v>
      </c>
      <c r="O1417" s="14">
        <f>Final_Table[[#This Row],[Units Sold]]*Final_Table[[#This Row],[Sale Price]]</f>
        <v>20400</v>
      </c>
      <c r="P1417" s="14">
        <f>Final_Table[[#This Row],[Gross Revenue]]*(1-Final_Table[[#This Row],[Discount %]])</f>
        <v>18360</v>
      </c>
      <c r="Q1417">
        <f>Final_Table[[#This Row],[Net Revenue]]*Final_Table[[#This Row],[Variable Cost %]]</f>
        <v>3304.7999999999997</v>
      </c>
      <c r="R1417">
        <f>Final_Table[[#This Row],[Variable Cost]]+Final_Table[[#This Row],[Fixed Monthly Cost]]</f>
        <v>21304.799999999999</v>
      </c>
      <c r="S1417" s="5">
        <f>Final_Table[[#This Row],[Net Revenue]]-Final_Table[[#This Row],[Total Cost (COGS)]]</f>
        <v>-2944.7999999999993</v>
      </c>
      <c r="T1417">
        <f>Final_Table[[#This Row],[Gross Profit]]*Final_Table[[#This Row],[Tax Rate]]</f>
        <v>-883.43999999999971</v>
      </c>
      <c r="U1417" s="5">
        <f>Final_Table[[#This Row],[Gross Profit]]-Final_Table[[#This Row],[Tax]]</f>
        <v>-2061.3599999999997</v>
      </c>
      <c r="V1417" s="12">
        <f>Final_Table[[#This Row],[Net Profit]]/Final_Table[[#This Row],[Gross Revenue]]</f>
        <v>-0.10104705882352939</v>
      </c>
    </row>
    <row r="1418" spans="1:22">
      <c r="A1418" s="18" t="s">
        <v>78</v>
      </c>
      <c r="B1418">
        <v>2014</v>
      </c>
      <c r="C1418" t="s">
        <v>129</v>
      </c>
      <c r="D1418">
        <v>1</v>
      </c>
      <c r="E1418" s="18" t="s">
        <v>29</v>
      </c>
      <c r="F1418" s="18" t="s">
        <v>113</v>
      </c>
      <c r="G1418" s="18" t="s">
        <v>23</v>
      </c>
      <c r="H1418" s="18" t="str">
        <f>Assumptions!$B$2</f>
        <v>Worst</v>
      </c>
      <c r="I1418" s="18">
        <f>_xlfn.XLOOKUP(Assumptions!$B$2,Assumptions!$F$4:$H$4,Assumptions!$F$5:$H$5)</f>
        <v>1200</v>
      </c>
      <c r="J1418" s="18">
        <f>_xlfn.XLOOKUP(Assumptions!$B$2,Assumptions!$F$4:$H$4,Assumptions!$F$6:$H$6)</f>
        <v>17</v>
      </c>
      <c r="K1418" s="12">
        <f>_xlfn.XLOOKUP(Assumptions!$B$2,Assumptions!$F$4:$H$4,Assumptions!$F$8:$H$8)</f>
        <v>0.1</v>
      </c>
      <c r="L1418" s="12">
        <f>_xlfn.XLOOKUP(Assumptions!$B$2,Assumptions!$F$4:$H$4,Assumptions!$F$9:$H$9)</f>
        <v>0.18</v>
      </c>
      <c r="M1418" s="18">
        <f>_xlfn.XLOOKUP(Assumptions!$B$2,Assumptions!$F$4:$H$4,Assumptions!$F$10:$H$10)</f>
        <v>18000</v>
      </c>
      <c r="N1418" s="12">
        <f>_xlfn.XLOOKUP(Assumptions!$B$2,Assumptions!$F$4:$H$4,Assumptions!$F$11:$H$11)</f>
        <v>0.3</v>
      </c>
      <c r="O1418" s="14">
        <f>Final_Table[[#This Row],[Units Sold]]*Final_Table[[#This Row],[Sale Price]]</f>
        <v>20400</v>
      </c>
      <c r="P1418" s="14">
        <f>Final_Table[[#This Row],[Gross Revenue]]*(1-Final_Table[[#This Row],[Discount %]])</f>
        <v>18360</v>
      </c>
      <c r="Q1418">
        <f>Final_Table[[#This Row],[Net Revenue]]*Final_Table[[#This Row],[Variable Cost %]]</f>
        <v>3304.7999999999997</v>
      </c>
      <c r="R1418">
        <f>Final_Table[[#This Row],[Variable Cost]]+Final_Table[[#This Row],[Fixed Monthly Cost]]</f>
        <v>21304.799999999999</v>
      </c>
      <c r="S1418" s="5">
        <f>Final_Table[[#This Row],[Net Revenue]]-Final_Table[[#This Row],[Total Cost (COGS)]]</f>
        <v>-2944.7999999999993</v>
      </c>
      <c r="T1418">
        <f>Final_Table[[#This Row],[Gross Profit]]*Final_Table[[#This Row],[Tax Rate]]</f>
        <v>-883.43999999999971</v>
      </c>
      <c r="U1418" s="5">
        <f>Final_Table[[#This Row],[Gross Profit]]-Final_Table[[#This Row],[Tax]]</f>
        <v>-2061.3599999999997</v>
      </c>
      <c r="V1418" s="12">
        <f>Final_Table[[#This Row],[Net Profit]]/Final_Table[[#This Row],[Gross Revenue]]</f>
        <v>-0.10104705882352939</v>
      </c>
    </row>
    <row r="1419" spans="1:22">
      <c r="A1419" s="18" t="s">
        <v>78</v>
      </c>
      <c r="B1419">
        <v>2014</v>
      </c>
      <c r="C1419" t="s">
        <v>129</v>
      </c>
      <c r="D1419">
        <v>1</v>
      </c>
      <c r="E1419" s="18" t="s">
        <v>29</v>
      </c>
      <c r="F1419" s="18" t="s">
        <v>113</v>
      </c>
      <c r="G1419" s="18" t="s">
        <v>21</v>
      </c>
      <c r="H1419" s="18" t="str">
        <f>Assumptions!$B$2</f>
        <v>Worst</v>
      </c>
      <c r="I1419" s="18">
        <f>_xlfn.XLOOKUP(Assumptions!$B$2,Assumptions!$F$4:$H$4,Assumptions!$F$5:$H$5)</f>
        <v>1200</v>
      </c>
      <c r="J1419" s="18">
        <f>_xlfn.XLOOKUP(Assumptions!$B$2,Assumptions!$F$4:$H$4,Assumptions!$F$6:$H$6)</f>
        <v>17</v>
      </c>
      <c r="K1419" s="12">
        <f>_xlfn.XLOOKUP(Assumptions!$B$2,Assumptions!$F$4:$H$4,Assumptions!$F$8:$H$8)</f>
        <v>0.1</v>
      </c>
      <c r="L1419" s="12">
        <f>_xlfn.XLOOKUP(Assumptions!$B$2,Assumptions!$F$4:$H$4,Assumptions!$F$9:$H$9)</f>
        <v>0.18</v>
      </c>
      <c r="M1419" s="18">
        <f>_xlfn.XLOOKUP(Assumptions!$B$2,Assumptions!$F$4:$H$4,Assumptions!$F$10:$H$10)</f>
        <v>18000</v>
      </c>
      <c r="N1419" s="12">
        <f>_xlfn.XLOOKUP(Assumptions!$B$2,Assumptions!$F$4:$H$4,Assumptions!$F$11:$H$11)</f>
        <v>0.3</v>
      </c>
      <c r="O1419" s="14">
        <f>Final_Table[[#This Row],[Units Sold]]*Final_Table[[#This Row],[Sale Price]]</f>
        <v>20400</v>
      </c>
      <c r="P1419" s="14">
        <f>Final_Table[[#This Row],[Gross Revenue]]*(1-Final_Table[[#This Row],[Discount %]])</f>
        <v>18360</v>
      </c>
      <c r="Q1419">
        <f>Final_Table[[#This Row],[Net Revenue]]*Final_Table[[#This Row],[Variable Cost %]]</f>
        <v>3304.7999999999997</v>
      </c>
      <c r="R1419">
        <f>Final_Table[[#This Row],[Variable Cost]]+Final_Table[[#This Row],[Fixed Monthly Cost]]</f>
        <v>21304.799999999999</v>
      </c>
      <c r="S1419" s="5">
        <f>Final_Table[[#This Row],[Net Revenue]]-Final_Table[[#This Row],[Total Cost (COGS)]]</f>
        <v>-2944.7999999999993</v>
      </c>
      <c r="T1419">
        <f>Final_Table[[#This Row],[Gross Profit]]*Final_Table[[#This Row],[Tax Rate]]</f>
        <v>-883.43999999999971</v>
      </c>
      <c r="U1419" s="5">
        <f>Final_Table[[#This Row],[Gross Profit]]-Final_Table[[#This Row],[Tax]]</f>
        <v>-2061.3599999999997</v>
      </c>
      <c r="V1419" s="12">
        <f>Final_Table[[#This Row],[Net Profit]]/Final_Table[[#This Row],[Gross Revenue]]</f>
        <v>-0.10104705882352939</v>
      </c>
    </row>
    <row r="1420" spans="1:22">
      <c r="A1420" s="18" t="s">
        <v>78</v>
      </c>
      <c r="B1420">
        <v>2014</v>
      </c>
      <c r="C1420" t="s">
        <v>129</v>
      </c>
      <c r="D1420">
        <v>1</v>
      </c>
      <c r="E1420" s="18" t="s">
        <v>29</v>
      </c>
      <c r="F1420" s="18" t="s">
        <v>113</v>
      </c>
      <c r="G1420" s="18" t="s">
        <v>25</v>
      </c>
      <c r="H1420" s="18" t="str">
        <f>Assumptions!$B$2</f>
        <v>Worst</v>
      </c>
      <c r="I1420" s="18">
        <f>_xlfn.XLOOKUP(Assumptions!$B$2,Assumptions!$F$4:$H$4,Assumptions!$F$5:$H$5)</f>
        <v>1200</v>
      </c>
      <c r="J1420" s="18">
        <f>_xlfn.XLOOKUP(Assumptions!$B$2,Assumptions!$F$4:$H$4,Assumptions!$F$6:$H$6)</f>
        <v>17</v>
      </c>
      <c r="K1420" s="12">
        <f>_xlfn.XLOOKUP(Assumptions!$B$2,Assumptions!$F$4:$H$4,Assumptions!$F$8:$H$8)</f>
        <v>0.1</v>
      </c>
      <c r="L1420" s="12">
        <f>_xlfn.XLOOKUP(Assumptions!$B$2,Assumptions!$F$4:$H$4,Assumptions!$F$9:$H$9)</f>
        <v>0.18</v>
      </c>
      <c r="M1420" s="18">
        <f>_xlfn.XLOOKUP(Assumptions!$B$2,Assumptions!$F$4:$H$4,Assumptions!$F$10:$H$10)</f>
        <v>18000</v>
      </c>
      <c r="N1420" s="12">
        <f>_xlfn.XLOOKUP(Assumptions!$B$2,Assumptions!$F$4:$H$4,Assumptions!$F$11:$H$11)</f>
        <v>0.3</v>
      </c>
      <c r="O1420" s="14">
        <f>Final_Table[[#This Row],[Units Sold]]*Final_Table[[#This Row],[Sale Price]]</f>
        <v>20400</v>
      </c>
      <c r="P1420" s="14">
        <f>Final_Table[[#This Row],[Gross Revenue]]*(1-Final_Table[[#This Row],[Discount %]])</f>
        <v>18360</v>
      </c>
      <c r="Q1420">
        <f>Final_Table[[#This Row],[Net Revenue]]*Final_Table[[#This Row],[Variable Cost %]]</f>
        <v>3304.7999999999997</v>
      </c>
      <c r="R1420">
        <f>Final_Table[[#This Row],[Variable Cost]]+Final_Table[[#This Row],[Fixed Monthly Cost]]</f>
        <v>21304.799999999999</v>
      </c>
      <c r="S1420" s="5">
        <f>Final_Table[[#This Row],[Net Revenue]]-Final_Table[[#This Row],[Total Cost (COGS)]]</f>
        <v>-2944.7999999999993</v>
      </c>
      <c r="T1420">
        <f>Final_Table[[#This Row],[Gross Profit]]*Final_Table[[#This Row],[Tax Rate]]</f>
        <v>-883.43999999999971</v>
      </c>
      <c r="U1420" s="5">
        <f>Final_Table[[#This Row],[Gross Profit]]-Final_Table[[#This Row],[Tax]]</f>
        <v>-2061.3599999999997</v>
      </c>
      <c r="V1420" s="12">
        <f>Final_Table[[#This Row],[Net Profit]]/Final_Table[[#This Row],[Gross Revenue]]</f>
        <v>-0.10104705882352939</v>
      </c>
    </row>
    <row r="1421" spans="1:22">
      <c r="A1421" s="18" t="s">
        <v>78</v>
      </c>
      <c r="B1421">
        <v>2014</v>
      </c>
      <c r="C1421" t="s">
        <v>129</v>
      </c>
      <c r="D1421">
        <v>1</v>
      </c>
      <c r="E1421" s="18" t="s">
        <v>29</v>
      </c>
      <c r="F1421" s="18" t="s">
        <v>113</v>
      </c>
      <c r="G1421" s="18" t="s">
        <v>17</v>
      </c>
      <c r="H1421" s="18" t="str">
        <f>Assumptions!$B$2</f>
        <v>Worst</v>
      </c>
      <c r="I1421" s="18">
        <f>_xlfn.XLOOKUP(Assumptions!$B$2,Assumptions!$F$4:$H$4,Assumptions!$F$5:$H$5)</f>
        <v>1200</v>
      </c>
      <c r="J1421" s="18">
        <f>_xlfn.XLOOKUP(Assumptions!$B$2,Assumptions!$F$4:$H$4,Assumptions!$F$6:$H$6)</f>
        <v>17</v>
      </c>
      <c r="K1421" s="12">
        <f>_xlfn.XLOOKUP(Assumptions!$B$2,Assumptions!$F$4:$H$4,Assumptions!$F$8:$H$8)</f>
        <v>0.1</v>
      </c>
      <c r="L1421" s="12">
        <f>_xlfn.XLOOKUP(Assumptions!$B$2,Assumptions!$F$4:$H$4,Assumptions!$F$9:$H$9)</f>
        <v>0.18</v>
      </c>
      <c r="M1421" s="18">
        <f>_xlfn.XLOOKUP(Assumptions!$B$2,Assumptions!$F$4:$H$4,Assumptions!$F$10:$H$10)</f>
        <v>18000</v>
      </c>
      <c r="N1421" s="12">
        <f>_xlfn.XLOOKUP(Assumptions!$B$2,Assumptions!$F$4:$H$4,Assumptions!$F$11:$H$11)</f>
        <v>0.3</v>
      </c>
      <c r="O1421" s="14">
        <f>Final_Table[[#This Row],[Units Sold]]*Final_Table[[#This Row],[Sale Price]]</f>
        <v>20400</v>
      </c>
      <c r="P1421" s="14">
        <f>Final_Table[[#This Row],[Gross Revenue]]*(1-Final_Table[[#This Row],[Discount %]])</f>
        <v>18360</v>
      </c>
      <c r="Q1421">
        <f>Final_Table[[#This Row],[Net Revenue]]*Final_Table[[#This Row],[Variable Cost %]]</f>
        <v>3304.7999999999997</v>
      </c>
      <c r="R1421">
        <f>Final_Table[[#This Row],[Variable Cost]]+Final_Table[[#This Row],[Fixed Monthly Cost]]</f>
        <v>21304.799999999999</v>
      </c>
      <c r="S1421" s="5">
        <f>Final_Table[[#This Row],[Net Revenue]]-Final_Table[[#This Row],[Total Cost (COGS)]]</f>
        <v>-2944.7999999999993</v>
      </c>
      <c r="T1421">
        <f>Final_Table[[#This Row],[Gross Profit]]*Final_Table[[#This Row],[Tax Rate]]</f>
        <v>-883.43999999999971</v>
      </c>
      <c r="U1421" s="5">
        <f>Final_Table[[#This Row],[Gross Profit]]-Final_Table[[#This Row],[Tax]]</f>
        <v>-2061.3599999999997</v>
      </c>
      <c r="V1421" s="12">
        <f>Final_Table[[#This Row],[Net Profit]]/Final_Table[[#This Row],[Gross Revenue]]</f>
        <v>-0.10104705882352939</v>
      </c>
    </row>
    <row r="1422" spans="1:22">
      <c r="A1422" s="18" t="s">
        <v>78</v>
      </c>
      <c r="B1422">
        <v>2014</v>
      </c>
      <c r="C1422" t="s">
        <v>129</v>
      </c>
      <c r="D1422">
        <v>1</v>
      </c>
      <c r="E1422" s="18" t="s">
        <v>29</v>
      </c>
      <c r="F1422" s="18" t="s">
        <v>114</v>
      </c>
      <c r="G1422" s="18" t="s">
        <v>36</v>
      </c>
      <c r="H1422" s="18" t="str">
        <f>Assumptions!$B$2</f>
        <v>Worst</v>
      </c>
      <c r="I1422" s="18">
        <f>_xlfn.XLOOKUP(Assumptions!$B$2,Assumptions!$F$4:$H$4,Assumptions!$F$5:$H$5)</f>
        <v>1200</v>
      </c>
      <c r="J1422" s="18">
        <f>_xlfn.XLOOKUP(Assumptions!$B$2,Assumptions!$F$4:$H$4,Assumptions!$F$6:$H$6)</f>
        <v>17</v>
      </c>
      <c r="K1422" s="12">
        <f>_xlfn.XLOOKUP(Assumptions!$B$2,Assumptions!$F$4:$H$4,Assumptions!$F$8:$H$8)</f>
        <v>0.1</v>
      </c>
      <c r="L1422" s="12">
        <f>_xlfn.XLOOKUP(Assumptions!$B$2,Assumptions!$F$4:$H$4,Assumptions!$F$9:$H$9)</f>
        <v>0.18</v>
      </c>
      <c r="M1422" s="18">
        <f>_xlfn.XLOOKUP(Assumptions!$B$2,Assumptions!$F$4:$H$4,Assumptions!$F$10:$H$10)</f>
        <v>18000</v>
      </c>
      <c r="N1422" s="12">
        <f>_xlfn.XLOOKUP(Assumptions!$B$2,Assumptions!$F$4:$H$4,Assumptions!$F$11:$H$11)</f>
        <v>0.3</v>
      </c>
      <c r="O1422" s="14">
        <f>Final_Table[[#This Row],[Units Sold]]*Final_Table[[#This Row],[Sale Price]]</f>
        <v>20400</v>
      </c>
      <c r="P1422" s="14">
        <f>Final_Table[[#This Row],[Gross Revenue]]*(1-Final_Table[[#This Row],[Discount %]])</f>
        <v>18360</v>
      </c>
      <c r="Q1422">
        <f>Final_Table[[#This Row],[Net Revenue]]*Final_Table[[#This Row],[Variable Cost %]]</f>
        <v>3304.7999999999997</v>
      </c>
      <c r="R1422">
        <f>Final_Table[[#This Row],[Variable Cost]]+Final_Table[[#This Row],[Fixed Monthly Cost]]</f>
        <v>21304.799999999999</v>
      </c>
      <c r="S1422" s="5">
        <f>Final_Table[[#This Row],[Net Revenue]]-Final_Table[[#This Row],[Total Cost (COGS)]]</f>
        <v>-2944.7999999999993</v>
      </c>
      <c r="T1422">
        <f>Final_Table[[#This Row],[Gross Profit]]*Final_Table[[#This Row],[Tax Rate]]</f>
        <v>-883.43999999999971</v>
      </c>
      <c r="U1422" s="5">
        <f>Final_Table[[#This Row],[Gross Profit]]-Final_Table[[#This Row],[Tax]]</f>
        <v>-2061.3599999999997</v>
      </c>
      <c r="V1422" s="12">
        <f>Final_Table[[#This Row],[Net Profit]]/Final_Table[[#This Row],[Gross Revenue]]</f>
        <v>-0.10104705882352939</v>
      </c>
    </row>
    <row r="1423" spans="1:22">
      <c r="A1423" s="18" t="s">
        <v>78</v>
      </c>
      <c r="B1423">
        <v>2014</v>
      </c>
      <c r="C1423" t="s">
        <v>129</v>
      </c>
      <c r="D1423">
        <v>1</v>
      </c>
      <c r="E1423" s="18" t="s">
        <v>29</v>
      </c>
      <c r="F1423" s="18" t="s">
        <v>114</v>
      </c>
      <c r="G1423" s="18" t="s">
        <v>23</v>
      </c>
      <c r="H1423" s="18" t="str">
        <f>Assumptions!$B$2</f>
        <v>Worst</v>
      </c>
      <c r="I1423" s="18">
        <f>_xlfn.XLOOKUP(Assumptions!$B$2,Assumptions!$F$4:$H$4,Assumptions!$F$5:$H$5)</f>
        <v>1200</v>
      </c>
      <c r="J1423" s="18">
        <f>_xlfn.XLOOKUP(Assumptions!$B$2,Assumptions!$F$4:$H$4,Assumptions!$F$6:$H$6)</f>
        <v>17</v>
      </c>
      <c r="K1423" s="12">
        <f>_xlfn.XLOOKUP(Assumptions!$B$2,Assumptions!$F$4:$H$4,Assumptions!$F$8:$H$8)</f>
        <v>0.1</v>
      </c>
      <c r="L1423" s="12">
        <f>_xlfn.XLOOKUP(Assumptions!$B$2,Assumptions!$F$4:$H$4,Assumptions!$F$9:$H$9)</f>
        <v>0.18</v>
      </c>
      <c r="M1423" s="18">
        <f>_xlfn.XLOOKUP(Assumptions!$B$2,Assumptions!$F$4:$H$4,Assumptions!$F$10:$H$10)</f>
        <v>18000</v>
      </c>
      <c r="N1423" s="12">
        <f>_xlfn.XLOOKUP(Assumptions!$B$2,Assumptions!$F$4:$H$4,Assumptions!$F$11:$H$11)</f>
        <v>0.3</v>
      </c>
      <c r="O1423" s="14">
        <f>Final_Table[[#This Row],[Units Sold]]*Final_Table[[#This Row],[Sale Price]]</f>
        <v>20400</v>
      </c>
      <c r="P1423" s="14">
        <f>Final_Table[[#This Row],[Gross Revenue]]*(1-Final_Table[[#This Row],[Discount %]])</f>
        <v>18360</v>
      </c>
      <c r="Q1423">
        <f>Final_Table[[#This Row],[Net Revenue]]*Final_Table[[#This Row],[Variable Cost %]]</f>
        <v>3304.7999999999997</v>
      </c>
      <c r="R1423">
        <f>Final_Table[[#This Row],[Variable Cost]]+Final_Table[[#This Row],[Fixed Monthly Cost]]</f>
        <v>21304.799999999999</v>
      </c>
      <c r="S1423" s="5">
        <f>Final_Table[[#This Row],[Net Revenue]]-Final_Table[[#This Row],[Total Cost (COGS)]]</f>
        <v>-2944.7999999999993</v>
      </c>
      <c r="T1423">
        <f>Final_Table[[#This Row],[Gross Profit]]*Final_Table[[#This Row],[Tax Rate]]</f>
        <v>-883.43999999999971</v>
      </c>
      <c r="U1423" s="5">
        <f>Final_Table[[#This Row],[Gross Profit]]-Final_Table[[#This Row],[Tax]]</f>
        <v>-2061.3599999999997</v>
      </c>
      <c r="V1423" s="12">
        <f>Final_Table[[#This Row],[Net Profit]]/Final_Table[[#This Row],[Gross Revenue]]</f>
        <v>-0.10104705882352939</v>
      </c>
    </row>
    <row r="1424" spans="1:22">
      <c r="A1424" s="18" t="s">
        <v>78</v>
      </c>
      <c r="B1424">
        <v>2014</v>
      </c>
      <c r="C1424" t="s">
        <v>129</v>
      </c>
      <c r="D1424">
        <v>1</v>
      </c>
      <c r="E1424" s="18" t="s">
        <v>29</v>
      </c>
      <c r="F1424" s="18" t="s">
        <v>114</v>
      </c>
      <c r="G1424" s="18" t="s">
        <v>21</v>
      </c>
      <c r="H1424" s="18" t="str">
        <f>Assumptions!$B$2</f>
        <v>Worst</v>
      </c>
      <c r="I1424" s="18">
        <f>_xlfn.XLOOKUP(Assumptions!$B$2,Assumptions!$F$4:$H$4,Assumptions!$F$5:$H$5)</f>
        <v>1200</v>
      </c>
      <c r="J1424" s="18">
        <f>_xlfn.XLOOKUP(Assumptions!$B$2,Assumptions!$F$4:$H$4,Assumptions!$F$6:$H$6)</f>
        <v>17</v>
      </c>
      <c r="K1424" s="12">
        <f>_xlfn.XLOOKUP(Assumptions!$B$2,Assumptions!$F$4:$H$4,Assumptions!$F$8:$H$8)</f>
        <v>0.1</v>
      </c>
      <c r="L1424" s="12">
        <f>_xlfn.XLOOKUP(Assumptions!$B$2,Assumptions!$F$4:$H$4,Assumptions!$F$9:$H$9)</f>
        <v>0.18</v>
      </c>
      <c r="M1424" s="18">
        <f>_xlfn.XLOOKUP(Assumptions!$B$2,Assumptions!$F$4:$H$4,Assumptions!$F$10:$H$10)</f>
        <v>18000</v>
      </c>
      <c r="N1424" s="12">
        <f>_xlfn.XLOOKUP(Assumptions!$B$2,Assumptions!$F$4:$H$4,Assumptions!$F$11:$H$11)</f>
        <v>0.3</v>
      </c>
      <c r="O1424" s="14">
        <f>Final_Table[[#This Row],[Units Sold]]*Final_Table[[#This Row],[Sale Price]]</f>
        <v>20400</v>
      </c>
      <c r="P1424" s="14">
        <f>Final_Table[[#This Row],[Gross Revenue]]*(1-Final_Table[[#This Row],[Discount %]])</f>
        <v>18360</v>
      </c>
      <c r="Q1424">
        <f>Final_Table[[#This Row],[Net Revenue]]*Final_Table[[#This Row],[Variable Cost %]]</f>
        <v>3304.7999999999997</v>
      </c>
      <c r="R1424">
        <f>Final_Table[[#This Row],[Variable Cost]]+Final_Table[[#This Row],[Fixed Monthly Cost]]</f>
        <v>21304.799999999999</v>
      </c>
      <c r="S1424" s="5">
        <f>Final_Table[[#This Row],[Net Revenue]]-Final_Table[[#This Row],[Total Cost (COGS)]]</f>
        <v>-2944.7999999999993</v>
      </c>
      <c r="T1424">
        <f>Final_Table[[#This Row],[Gross Profit]]*Final_Table[[#This Row],[Tax Rate]]</f>
        <v>-883.43999999999971</v>
      </c>
      <c r="U1424" s="5">
        <f>Final_Table[[#This Row],[Gross Profit]]-Final_Table[[#This Row],[Tax]]</f>
        <v>-2061.3599999999997</v>
      </c>
      <c r="V1424" s="12">
        <f>Final_Table[[#This Row],[Net Profit]]/Final_Table[[#This Row],[Gross Revenue]]</f>
        <v>-0.10104705882352939</v>
      </c>
    </row>
    <row r="1425" spans="1:22">
      <c r="A1425" s="18" t="s">
        <v>78</v>
      </c>
      <c r="B1425">
        <v>2014</v>
      </c>
      <c r="C1425" t="s">
        <v>129</v>
      </c>
      <c r="D1425">
        <v>1</v>
      </c>
      <c r="E1425" s="18" t="s">
        <v>29</v>
      </c>
      <c r="F1425" s="18" t="s">
        <v>114</v>
      </c>
      <c r="G1425" s="18" t="s">
        <v>25</v>
      </c>
      <c r="H1425" s="18" t="str">
        <f>Assumptions!$B$2</f>
        <v>Worst</v>
      </c>
      <c r="I1425" s="18">
        <f>_xlfn.XLOOKUP(Assumptions!$B$2,Assumptions!$F$4:$H$4,Assumptions!$F$5:$H$5)</f>
        <v>1200</v>
      </c>
      <c r="J1425" s="18">
        <f>_xlfn.XLOOKUP(Assumptions!$B$2,Assumptions!$F$4:$H$4,Assumptions!$F$6:$H$6)</f>
        <v>17</v>
      </c>
      <c r="K1425" s="12">
        <f>_xlfn.XLOOKUP(Assumptions!$B$2,Assumptions!$F$4:$H$4,Assumptions!$F$8:$H$8)</f>
        <v>0.1</v>
      </c>
      <c r="L1425" s="12">
        <f>_xlfn.XLOOKUP(Assumptions!$B$2,Assumptions!$F$4:$H$4,Assumptions!$F$9:$H$9)</f>
        <v>0.18</v>
      </c>
      <c r="M1425" s="18">
        <f>_xlfn.XLOOKUP(Assumptions!$B$2,Assumptions!$F$4:$H$4,Assumptions!$F$10:$H$10)</f>
        <v>18000</v>
      </c>
      <c r="N1425" s="12">
        <f>_xlfn.XLOOKUP(Assumptions!$B$2,Assumptions!$F$4:$H$4,Assumptions!$F$11:$H$11)</f>
        <v>0.3</v>
      </c>
      <c r="O1425" s="14">
        <f>Final_Table[[#This Row],[Units Sold]]*Final_Table[[#This Row],[Sale Price]]</f>
        <v>20400</v>
      </c>
      <c r="P1425" s="14">
        <f>Final_Table[[#This Row],[Gross Revenue]]*(1-Final_Table[[#This Row],[Discount %]])</f>
        <v>18360</v>
      </c>
      <c r="Q1425">
        <f>Final_Table[[#This Row],[Net Revenue]]*Final_Table[[#This Row],[Variable Cost %]]</f>
        <v>3304.7999999999997</v>
      </c>
      <c r="R1425">
        <f>Final_Table[[#This Row],[Variable Cost]]+Final_Table[[#This Row],[Fixed Monthly Cost]]</f>
        <v>21304.799999999999</v>
      </c>
      <c r="S1425" s="5">
        <f>Final_Table[[#This Row],[Net Revenue]]-Final_Table[[#This Row],[Total Cost (COGS)]]</f>
        <v>-2944.7999999999993</v>
      </c>
      <c r="T1425">
        <f>Final_Table[[#This Row],[Gross Profit]]*Final_Table[[#This Row],[Tax Rate]]</f>
        <v>-883.43999999999971</v>
      </c>
      <c r="U1425" s="5">
        <f>Final_Table[[#This Row],[Gross Profit]]-Final_Table[[#This Row],[Tax]]</f>
        <v>-2061.3599999999997</v>
      </c>
      <c r="V1425" s="12">
        <f>Final_Table[[#This Row],[Net Profit]]/Final_Table[[#This Row],[Gross Revenue]]</f>
        <v>-0.10104705882352939</v>
      </c>
    </row>
    <row r="1426" spans="1:22">
      <c r="A1426" s="18" t="s">
        <v>78</v>
      </c>
      <c r="B1426">
        <v>2014</v>
      </c>
      <c r="C1426" t="s">
        <v>129</v>
      </c>
      <c r="D1426">
        <v>1</v>
      </c>
      <c r="E1426" s="18" t="s">
        <v>29</v>
      </c>
      <c r="F1426" s="18" t="s">
        <v>114</v>
      </c>
      <c r="G1426" s="18" t="s">
        <v>17</v>
      </c>
      <c r="H1426" s="18" t="str">
        <f>Assumptions!$B$2</f>
        <v>Worst</v>
      </c>
      <c r="I1426" s="18">
        <f>_xlfn.XLOOKUP(Assumptions!$B$2,Assumptions!$F$4:$H$4,Assumptions!$F$5:$H$5)</f>
        <v>1200</v>
      </c>
      <c r="J1426" s="18">
        <f>_xlfn.XLOOKUP(Assumptions!$B$2,Assumptions!$F$4:$H$4,Assumptions!$F$6:$H$6)</f>
        <v>17</v>
      </c>
      <c r="K1426" s="12">
        <f>_xlfn.XLOOKUP(Assumptions!$B$2,Assumptions!$F$4:$H$4,Assumptions!$F$8:$H$8)</f>
        <v>0.1</v>
      </c>
      <c r="L1426" s="12">
        <f>_xlfn.XLOOKUP(Assumptions!$B$2,Assumptions!$F$4:$H$4,Assumptions!$F$9:$H$9)</f>
        <v>0.18</v>
      </c>
      <c r="M1426" s="18">
        <f>_xlfn.XLOOKUP(Assumptions!$B$2,Assumptions!$F$4:$H$4,Assumptions!$F$10:$H$10)</f>
        <v>18000</v>
      </c>
      <c r="N1426" s="12">
        <f>_xlfn.XLOOKUP(Assumptions!$B$2,Assumptions!$F$4:$H$4,Assumptions!$F$11:$H$11)</f>
        <v>0.3</v>
      </c>
      <c r="O1426" s="14">
        <f>Final_Table[[#This Row],[Units Sold]]*Final_Table[[#This Row],[Sale Price]]</f>
        <v>20400</v>
      </c>
      <c r="P1426" s="14">
        <f>Final_Table[[#This Row],[Gross Revenue]]*(1-Final_Table[[#This Row],[Discount %]])</f>
        <v>18360</v>
      </c>
      <c r="Q1426">
        <f>Final_Table[[#This Row],[Net Revenue]]*Final_Table[[#This Row],[Variable Cost %]]</f>
        <v>3304.7999999999997</v>
      </c>
      <c r="R1426">
        <f>Final_Table[[#This Row],[Variable Cost]]+Final_Table[[#This Row],[Fixed Monthly Cost]]</f>
        <v>21304.799999999999</v>
      </c>
      <c r="S1426" s="5">
        <f>Final_Table[[#This Row],[Net Revenue]]-Final_Table[[#This Row],[Total Cost (COGS)]]</f>
        <v>-2944.7999999999993</v>
      </c>
      <c r="T1426">
        <f>Final_Table[[#This Row],[Gross Profit]]*Final_Table[[#This Row],[Tax Rate]]</f>
        <v>-883.43999999999971</v>
      </c>
      <c r="U1426" s="5">
        <f>Final_Table[[#This Row],[Gross Profit]]-Final_Table[[#This Row],[Tax]]</f>
        <v>-2061.3599999999997</v>
      </c>
      <c r="V1426" s="12">
        <f>Final_Table[[#This Row],[Net Profit]]/Final_Table[[#This Row],[Gross Revenue]]</f>
        <v>-0.10104705882352939</v>
      </c>
    </row>
    <row r="1427" spans="1:22">
      <c r="A1427" s="18" t="s">
        <v>78</v>
      </c>
      <c r="B1427">
        <v>2014</v>
      </c>
      <c r="C1427" t="s">
        <v>129</v>
      </c>
      <c r="D1427">
        <v>1</v>
      </c>
      <c r="E1427" s="18" t="s">
        <v>22</v>
      </c>
      <c r="F1427" s="18" t="s">
        <v>80</v>
      </c>
      <c r="G1427" s="18" t="s">
        <v>36</v>
      </c>
      <c r="H1427" s="18" t="str">
        <f>Assumptions!$B$2</f>
        <v>Worst</v>
      </c>
      <c r="I1427" s="18">
        <f>_xlfn.XLOOKUP(Assumptions!$B$2,Assumptions!$F$4:$H$4,Assumptions!$F$5:$H$5)</f>
        <v>1200</v>
      </c>
      <c r="J1427" s="18">
        <f>_xlfn.XLOOKUP(Assumptions!$B$2,Assumptions!$F$4:$H$4,Assumptions!$F$6:$H$6)</f>
        <v>17</v>
      </c>
      <c r="K1427" s="12">
        <f>_xlfn.XLOOKUP(Assumptions!$B$2,Assumptions!$F$4:$H$4,Assumptions!$F$8:$H$8)</f>
        <v>0.1</v>
      </c>
      <c r="L1427" s="12">
        <f>_xlfn.XLOOKUP(Assumptions!$B$2,Assumptions!$F$4:$H$4,Assumptions!$F$9:$H$9)</f>
        <v>0.18</v>
      </c>
      <c r="M1427" s="18">
        <f>_xlfn.XLOOKUP(Assumptions!$B$2,Assumptions!$F$4:$H$4,Assumptions!$F$10:$H$10)</f>
        <v>18000</v>
      </c>
      <c r="N1427" s="12">
        <f>_xlfn.XLOOKUP(Assumptions!$B$2,Assumptions!$F$4:$H$4,Assumptions!$F$11:$H$11)</f>
        <v>0.3</v>
      </c>
      <c r="O1427" s="14">
        <f>Final_Table[[#This Row],[Units Sold]]*Final_Table[[#This Row],[Sale Price]]</f>
        <v>20400</v>
      </c>
      <c r="P1427" s="14">
        <f>Final_Table[[#This Row],[Gross Revenue]]*(1-Final_Table[[#This Row],[Discount %]])</f>
        <v>18360</v>
      </c>
      <c r="Q1427">
        <f>Final_Table[[#This Row],[Net Revenue]]*Final_Table[[#This Row],[Variable Cost %]]</f>
        <v>3304.7999999999997</v>
      </c>
      <c r="R1427">
        <f>Final_Table[[#This Row],[Variable Cost]]+Final_Table[[#This Row],[Fixed Monthly Cost]]</f>
        <v>21304.799999999999</v>
      </c>
      <c r="S1427" s="5">
        <f>Final_Table[[#This Row],[Net Revenue]]-Final_Table[[#This Row],[Total Cost (COGS)]]</f>
        <v>-2944.7999999999993</v>
      </c>
      <c r="T1427">
        <f>Final_Table[[#This Row],[Gross Profit]]*Final_Table[[#This Row],[Tax Rate]]</f>
        <v>-883.43999999999971</v>
      </c>
      <c r="U1427" s="5">
        <f>Final_Table[[#This Row],[Gross Profit]]-Final_Table[[#This Row],[Tax]]</f>
        <v>-2061.3599999999997</v>
      </c>
      <c r="V1427" s="12">
        <f>Final_Table[[#This Row],[Net Profit]]/Final_Table[[#This Row],[Gross Revenue]]</f>
        <v>-0.10104705882352939</v>
      </c>
    </row>
    <row r="1428" spans="1:22">
      <c r="A1428" s="18" t="s">
        <v>78</v>
      </c>
      <c r="B1428">
        <v>2014</v>
      </c>
      <c r="C1428" t="s">
        <v>129</v>
      </c>
      <c r="D1428">
        <v>1</v>
      </c>
      <c r="E1428" s="18" t="s">
        <v>22</v>
      </c>
      <c r="F1428" s="18" t="s">
        <v>80</v>
      </c>
      <c r="G1428" s="18" t="s">
        <v>23</v>
      </c>
      <c r="H1428" s="18" t="str">
        <f>Assumptions!$B$2</f>
        <v>Worst</v>
      </c>
      <c r="I1428" s="18">
        <f>_xlfn.XLOOKUP(Assumptions!$B$2,Assumptions!$F$4:$H$4,Assumptions!$F$5:$H$5)</f>
        <v>1200</v>
      </c>
      <c r="J1428" s="18">
        <f>_xlfn.XLOOKUP(Assumptions!$B$2,Assumptions!$F$4:$H$4,Assumptions!$F$6:$H$6)</f>
        <v>17</v>
      </c>
      <c r="K1428" s="12">
        <f>_xlfn.XLOOKUP(Assumptions!$B$2,Assumptions!$F$4:$H$4,Assumptions!$F$8:$H$8)</f>
        <v>0.1</v>
      </c>
      <c r="L1428" s="12">
        <f>_xlfn.XLOOKUP(Assumptions!$B$2,Assumptions!$F$4:$H$4,Assumptions!$F$9:$H$9)</f>
        <v>0.18</v>
      </c>
      <c r="M1428" s="18">
        <f>_xlfn.XLOOKUP(Assumptions!$B$2,Assumptions!$F$4:$H$4,Assumptions!$F$10:$H$10)</f>
        <v>18000</v>
      </c>
      <c r="N1428" s="12">
        <f>_xlfn.XLOOKUP(Assumptions!$B$2,Assumptions!$F$4:$H$4,Assumptions!$F$11:$H$11)</f>
        <v>0.3</v>
      </c>
      <c r="O1428" s="14">
        <f>Final_Table[[#This Row],[Units Sold]]*Final_Table[[#This Row],[Sale Price]]</f>
        <v>20400</v>
      </c>
      <c r="P1428" s="14">
        <f>Final_Table[[#This Row],[Gross Revenue]]*(1-Final_Table[[#This Row],[Discount %]])</f>
        <v>18360</v>
      </c>
      <c r="Q1428">
        <f>Final_Table[[#This Row],[Net Revenue]]*Final_Table[[#This Row],[Variable Cost %]]</f>
        <v>3304.7999999999997</v>
      </c>
      <c r="R1428">
        <f>Final_Table[[#This Row],[Variable Cost]]+Final_Table[[#This Row],[Fixed Monthly Cost]]</f>
        <v>21304.799999999999</v>
      </c>
      <c r="S1428" s="5">
        <f>Final_Table[[#This Row],[Net Revenue]]-Final_Table[[#This Row],[Total Cost (COGS)]]</f>
        <v>-2944.7999999999993</v>
      </c>
      <c r="T1428">
        <f>Final_Table[[#This Row],[Gross Profit]]*Final_Table[[#This Row],[Tax Rate]]</f>
        <v>-883.43999999999971</v>
      </c>
      <c r="U1428" s="5">
        <f>Final_Table[[#This Row],[Gross Profit]]-Final_Table[[#This Row],[Tax]]</f>
        <v>-2061.3599999999997</v>
      </c>
      <c r="V1428" s="12">
        <f>Final_Table[[#This Row],[Net Profit]]/Final_Table[[#This Row],[Gross Revenue]]</f>
        <v>-0.10104705882352939</v>
      </c>
    </row>
    <row r="1429" spans="1:22">
      <c r="A1429" s="18" t="s">
        <v>78</v>
      </c>
      <c r="B1429">
        <v>2014</v>
      </c>
      <c r="C1429" t="s">
        <v>129</v>
      </c>
      <c r="D1429">
        <v>1</v>
      </c>
      <c r="E1429" s="18" t="s">
        <v>22</v>
      </c>
      <c r="F1429" s="18" t="s">
        <v>80</v>
      </c>
      <c r="G1429" s="18" t="s">
        <v>21</v>
      </c>
      <c r="H1429" s="18" t="str">
        <f>Assumptions!$B$2</f>
        <v>Worst</v>
      </c>
      <c r="I1429" s="18">
        <f>_xlfn.XLOOKUP(Assumptions!$B$2,Assumptions!$F$4:$H$4,Assumptions!$F$5:$H$5)</f>
        <v>1200</v>
      </c>
      <c r="J1429" s="18">
        <f>_xlfn.XLOOKUP(Assumptions!$B$2,Assumptions!$F$4:$H$4,Assumptions!$F$6:$H$6)</f>
        <v>17</v>
      </c>
      <c r="K1429" s="12">
        <f>_xlfn.XLOOKUP(Assumptions!$B$2,Assumptions!$F$4:$H$4,Assumptions!$F$8:$H$8)</f>
        <v>0.1</v>
      </c>
      <c r="L1429" s="12">
        <f>_xlfn.XLOOKUP(Assumptions!$B$2,Assumptions!$F$4:$H$4,Assumptions!$F$9:$H$9)</f>
        <v>0.18</v>
      </c>
      <c r="M1429" s="18">
        <f>_xlfn.XLOOKUP(Assumptions!$B$2,Assumptions!$F$4:$H$4,Assumptions!$F$10:$H$10)</f>
        <v>18000</v>
      </c>
      <c r="N1429" s="12">
        <f>_xlfn.XLOOKUP(Assumptions!$B$2,Assumptions!$F$4:$H$4,Assumptions!$F$11:$H$11)</f>
        <v>0.3</v>
      </c>
      <c r="O1429" s="14">
        <f>Final_Table[[#This Row],[Units Sold]]*Final_Table[[#This Row],[Sale Price]]</f>
        <v>20400</v>
      </c>
      <c r="P1429" s="14">
        <f>Final_Table[[#This Row],[Gross Revenue]]*(1-Final_Table[[#This Row],[Discount %]])</f>
        <v>18360</v>
      </c>
      <c r="Q1429">
        <f>Final_Table[[#This Row],[Net Revenue]]*Final_Table[[#This Row],[Variable Cost %]]</f>
        <v>3304.7999999999997</v>
      </c>
      <c r="R1429">
        <f>Final_Table[[#This Row],[Variable Cost]]+Final_Table[[#This Row],[Fixed Monthly Cost]]</f>
        <v>21304.799999999999</v>
      </c>
      <c r="S1429" s="5">
        <f>Final_Table[[#This Row],[Net Revenue]]-Final_Table[[#This Row],[Total Cost (COGS)]]</f>
        <v>-2944.7999999999993</v>
      </c>
      <c r="T1429">
        <f>Final_Table[[#This Row],[Gross Profit]]*Final_Table[[#This Row],[Tax Rate]]</f>
        <v>-883.43999999999971</v>
      </c>
      <c r="U1429" s="5">
        <f>Final_Table[[#This Row],[Gross Profit]]-Final_Table[[#This Row],[Tax]]</f>
        <v>-2061.3599999999997</v>
      </c>
      <c r="V1429" s="12">
        <f>Final_Table[[#This Row],[Net Profit]]/Final_Table[[#This Row],[Gross Revenue]]</f>
        <v>-0.10104705882352939</v>
      </c>
    </row>
    <row r="1430" spans="1:22">
      <c r="A1430" s="18" t="s">
        <v>78</v>
      </c>
      <c r="B1430">
        <v>2014</v>
      </c>
      <c r="C1430" t="s">
        <v>129</v>
      </c>
      <c r="D1430">
        <v>1</v>
      </c>
      <c r="E1430" s="18" t="s">
        <v>22</v>
      </c>
      <c r="F1430" s="18" t="s">
        <v>80</v>
      </c>
      <c r="G1430" s="18" t="s">
        <v>25</v>
      </c>
      <c r="H1430" s="18" t="str">
        <f>Assumptions!$B$2</f>
        <v>Worst</v>
      </c>
      <c r="I1430" s="18">
        <f>_xlfn.XLOOKUP(Assumptions!$B$2,Assumptions!$F$4:$H$4,Assumptions!$F$5:$H$5)</f>
        <v>1200</v>
      </c>
      <c r="J1430" s="18">
        <f>_xlfn.XLOOKUP(Assumptions!$B$2,Assumptions!$F$4:$H$4,Assumptions!$F$6:$H$6)</f>
        <v>17</v>
      </c>
      <c r="K1430" s="12">
        <f>_xlfn.XLOOKUP(Assumptions!$B$2,Assumptions!$F$4:$H$4,Assumptions!$F$8:$H$8)</f>
        <v>0.1</v>
      </c>
      <c r="L1430" s="12">
        <f>_xlfn.XLOOKUP(Assumptions!$B$2,Assumptions!$F$4:$H$4,Assumptions!$F$9:$H$9)</f>
        <v>0.18</v>
      </c>
      <c r="M1430" s="18">
        <f>_xlfn.XLOOKUP(Assumptions!$B$2,Assumptions!$F$4:$H$4,Assumptions!$F$10:$H$10)</f>
        <v>18000</v>
      </c>
      <c r="N1430" s="12">
        <f>_xlfn.XLOOKUP(Assumptions!$B$2,Assumptions!$F$4:$H$4,Assumptions!$F$11:$H$11)</f>
        <v>0.3</v>
      </c>
      <c r="O1430" s="14">
        <f>Final_Table[[#This Row],[Units Sold]]*Final_Table[[#This Row],[Sale Price]]</f>
        <v>20400</v>
      </c>
      <c r="P1430" s="14">
        <f>Final_Table[[#This Row],[Gross Revenue]]*(1-Final_Table[[#This Row],[Discount %]])</f>
        <v>18360</v>
      </c>
      <c r="Q1430">
        <f>Final_Table[[#This Row],[Net Revenue]]*Final_Table[[#This Row],[Variable Cost %]]</f>
        <v>3304.7999999999997</v>
      </c>
      <c r="R1430">
        <f>Final_Table[[#This Row],[Variable Cost]]+Final_Table[[#This Row],[Fixed Monthly Cost]]</f>
        <v>21304.799999999999</v>
      </c>
      <c r="S1430" s="5">
        <f>Final_Table[[#This Row],[Net Revenue]]-Final_Table[[#This Row],[Total Cost (COGS)]]</f>
        <v>-2944.7999999999993</v>
      </c>
      <c r="T1430">
        <f>Final_Table[[#This Row],[Gross Profit]]*Final_Table[[#This Row],[Tax Rate]]</f>
        <v>-883.43999999999971</v>
      </c>
      <c r="U1430" s="5">
        <f>Final_Table[[#This Row],[Gross Profit]]-Final_Table[[#This Row],[Tax]]</f>
        <v>-2061.3599999999997</v>
      </c>
      <c r="V1430" s="12">
        <f>Final_Table[[#This Row],[Net Profit]]/Final_Table[[#This Row],[Gross Revenue]]</f>
        <v>-0.10104705882352939</v>
      </c>
    </row>
    <row r="1431" spans="1:22">
      <c r="A1431" s="18" t="s">
        <v>78</v>
      </c>
      <c r="B1431">
        <v>2014</v>
      </c>
      <c r="C1431" t="s">
        <v>129</v>
      </c>
      <c r="D1431">
        <v>1</v>
      </c>
      <c r="E1431" s="18" t="s">
        <v>22</v>
      </c>
      <c r="F1431" s="18" t="s">
        <v>80</v>
      </c>
      <c r="G1431" s="18" t="s">
        <v>17</v>
      </c>
      <c r="H1431" s="18" t="str">
        <f>Assumptions!$B$2</f>
        <v>Worst</v>
      </c>
      <c r="I1431" s="18">
        <f>_xlfn.XLOOKUP(Assumptions!$B$2,Assumptions!$F$4:$H$4,Assumptions!$F$5:$H$5)</f>
        <v>1200</v>
      </c>
      <c r="J1431" s="18">
        <f>_xlfn.XLOOKUP(Assumptions!$B$2,Assumptions!$F$4:$H$4,Assumptions!$F$6:$H$6)</f>
        <v>17</v>
      </c>
      <c r="K1431" s="12">
        <f>_xlfn.XLOOKUP(Assumptions!$B$2,Assumptions!$F$4:$H$4,Assumptions!$F$8:$H$8)</f>
        <v>0.1</v>
      </c>
      <c r="L1431" s="12">
        <f>_xlfn.XLOOKUP(Assumptions!$B$2,Assumptions!$F$4:$H$4,Assumptions!$F$9:$H$9)</f>
        <v>0.18</v>
      </c>
      <c r="M1431" s="18">
        <f>_xlfn.XLOOKUP(Assumptions!$B$2,Assumptions!$F$4:$H$4,Assumptions!$F$10:$H$10)</f>
        <v>18000</v>
      </c>
      <c r="N1431" s="12">
        <f>_xlfn.XLOOKUP(Assumptions!$B$2,Assumptions!$F$4:$H$4,Assumptions!$F$11:$H$11)</f>
        <v>0.3</v>
      </c>
      <c r="O1431" s="14">
        <f>Final_Table[[#This Row],[Units Sold]]*Final_Table[[#This Row],[Sale Price]]</f>
        <v>20400</v>
      </c>
      <c r="P1431" s="14">
        <f>Final_Table[[#This Row],[Gross Revenue]]*(1-Final_Table[[#This Row],[Discount %]])</f>
        <v>18360</v>
      </c>
      <c r="Q1431">
        <f>Final_Table[[#This Row],[Net Revenue]]*Final_Table[[#This Row],[Variable Cost %]]</f>
        <v>3304.7999999999997</v>
      </c>
      <c r="R1431">
        <f>Final_Table[[#This Row],[Variable Cost]]+Final_Table[[#This Row],[Fixed Monthly Cost]]</f>
        <v>21304.799999999999</v>
      </c>
      <c r="S1431" s="5">
        <f>Final_Table[[#This Row],[Net Revenue]]-Final_Table[[#This Row],[Total Cost (COGS)]]</f>
        <v>-2944.7999999999993</v>
      </c>
      <c r="T1431">
        <f>Final_Table[[#This Row],[Gross Profit]]*Final_Table[[#This Row],[Tax Rate]]</f>
        <v>-883.43999999999971</v>
      </c>
      <c r="U1431" s="5">
        <f>Final_Table[[#This Row],[Gross Profit]]-Final_Table[[#This Row],[Tax]]</f>
        <v>-2061.3599999999997</v>
      </c>
      <c r="V1431" s="12">
        <f>Final_Table[[#This Row],[Net Profit]]/Final_Table[[#This Row],[Gross Revenue]]</f>
        <v>-0.10104705882352939</v>
      </c>
    </row>
    <row r="1432" spans="1:22">
      <c r="A1432" s="18" t="s">
        <v>78</v>
      </c>
      <c r="B1432">
        <v>2014</v>
      </c>
      <c r="C1432" t="s">
        <v>129</v>
      </c>
      <c r="D1432">
        <v>1</v>
      </c>
      <c r="E1432" s="18" t="s">
        <v>22</v>
      </c>
      <c r="F1432" s="18" t="s">
        <v>108</v>
      </c>
      <c r="G1432" s="18" t="s">
        <v>36</v>
      </c>
      <c r="H1432" s="18" t="str">
        <f>Assumptions!$B$2</f>
        <v>Worst</v>
      </c>
      <c r="I1432" s="18">
        <f>_xlfn.XLOOKUP(Assumptions!$B$2,Assumptions!$F$4:$H$4,Assumptions!$F$5:$H$5)</f>
        <v>1200</v>
      </c>
      <c r="J1432" s="18">
        <f>_xlfn.XLOOKUP(Assumptions!$B$2,Assumptions!$F$4:$H$4,Assumptions!$F$6:$H$6)</f>
        <v>17</v>
      </c>
      <c r="K1432" s="12">
        <f>_xlfn.XLOOKUP(Assumptions!$B$2,Assumptions!$F$4:$H$4,Assumptions!$F$8:$H$8)</f>
        <v>0.1</v>
      </c>
      <c r="L1432" s="12">
        <f>_xlfn.XLOOKUP(Assumptions!$B$2,Assumptions!$F$4:$H$4,Assumptions!$F$9:$H$9)</f>
        <v>0.18</v>
      </c>
      <c r="M1432" s="18">
        <f>_xlfn.XLOOKUP(Assumptions!$B$2,Assumptions!$F$4:$H$4,Assumptions!$F$10:$H$10)</f>
        <v>18000</v>
      </c>
      <c r="N1432" s="12">
        <f>_xlfn.XLOOKUP(Assumptions!$B$2,Assumptions!$F$4:$H$4,Assumptions!$F$11:$H$11)</f>
        <v>0.3</v>
      </c>
      <c r="O1432" s="14">
        <f>Final_Table[[#This Row],[Units Sold]]*Final_Table[[#This Row],[Sale Price]]</f>
        <v>20400</v>
      </c>
      <c r="P1432" s="14">
        <f>Final_Table[[#This Row],[Gross Revenue]]*(1-Final_Table[[#This Row],[Discount %]])</f>
        <v>18360</v>
      </c>
      <c r="Q1432">
        <f>Final_Table[[#This Row],[Net Revenue]]*Final_Table[[#This Row],[Variable Cost %]]</f>
        <v>3304.7999999999997</v>
      </c>
      <c r="R1432">
        <f>Final_Table[[#This Row],[Variable Cost]]+Final_Table[[#This Row],[Fixed Monthly Cost]]</f>
        <v>21304.799999999999</v>
      </c>
      <c r="S1432" s="5">
        <f>Final_Table[[#This Row],[Net Revenue]]-Final_Table[[#This Row],[Total Cost (COGS)]]</f>
        <v>-2944.7999999999993</v>
      </c>
      <c r="T1432">
        <f>Final_Table[[#This Row],[Gross Profit]]*Final_Table[[#This Row],[Tax Rate]]</f>
        <v>-883.43999999999971</v>
      </c>
      <c r="U1432" s="5">
        <f>Final_Table[[#This Row],[Gross Profit]]-Final_Table[[#This Row],[Tax]]</f>
        <v>-2061.3599999999997</v>
      </c>
      <c r="V1432" s="12">
        <f>Final_Table[[#This Row],[Net Profit]]/Final_Table[[#This Row],[Gross Revenue]]</f>
        <v>-0.10104705882352939</v>
      </c>
    </row>
    <row r="1433" spans="1:22">
      <c r="A1433" s="18" t="s">
        <v>78</v>
      </c>
      <c r="B1433">
        <v>2014</v>
      </c>
      <c r="C1433" t="s">
        <v>129</v>
      </c>
      <c r="D1433">
        <v>1</v>
      </c>
      <c r="E1433" s="18" t="s">
        <v>22</v>
      </c>
      <c r="F1433" s="18" t="s">
        <v>108</v>
      </c>
      <c r="G1433" s="18" t="s">
        <v>23</v>
      </c>
      <c r="H1433" s="18" t="str">
        <f>Assumptions!$B$2</f>
        <v>Worst</v>
      </c>
      <c r="I1433" s="18">
        <f>_xlfn.XLOOKUP(Assumptions!$B$2,Assumptions!$F$4:$H$4,Assumptions!$F$5:$H$5)</f>
        <v>1200</v>
      </c>
      <c r="J1433" s="18">
        <f>_xlfn.XLOOKUP(Assumptions!$B$2,Assumptions!$F$4:$H$4,Assumptions!$F$6:$H$6)</f>
        <v>17</v>
      </c>
      <c r="K1433" s="12">
        <f>_xlfn.XLOOKUP(Assumptions!$B$2,Assumptions!$F$4:$H$4,Assumptions!$F$8:$H$8)</f>
        <v>0.1</v>
      </c>
      <c r="L1433" s="12">
        <f>_xlfn.XLOOKUP(Assumptions!$B$2,Assumptions!$F$4:$H$4,Assumptions!$F$9:$H$9)</f>
        <v>0.18</v>
      </c>
      <c r="M1433" s="18">
        <f>_xlfn.XLOOKUP(Assumptions!$B$2,Assumptions!$F$4:$H$4,Assumptions!$F$10:$H$10)</f>
        <v>18000</v>
      </c>
      <c r="N1433" s="12">
        <f>_xlfn.XLOOKUP(Assumptions!$B$2,Assumptions!$F$4:$H$4,Assumptions!$F$11:$H$11)</f>
        <v>0.3</v>
      </c>
      <c r="O1433" s="14">
        <f>Final_Table[[#This Row],[Units Sold]]*Final_Table[[#This Row],[Sale Price]]</f>
        <v>20400</v>
      </c>
      <c r="P1433" s="14">
        <f>Final_Table[[#This Row],[Gross Revenue]]*(1-Final_Table[[#This Row],[Discount %]])</f>
        <v>18360</v>
      </c>
      <c r="Q1433">
        <f>Final_Table[[#This Row],[Net Revenue]]*Final_Table[[#This Row],[Variable Cost %]]</f>
        <v>3304.7999999999997</v>
      </c>
      <c r="R1433">
        <f>Final_Table[[#This Row],[Variable Cost]]+Final_Table[[#This Row],[Fixed Monthly Cost]]</f>
        <v>21304.799999999999</v>
      </c>
      <c r="S1433" s="5">
        <f>Final_Table[[#This Row],[Net Revenue]]-Final_Table[[#This Row],[Total Cost (COGS)]]</f>
        <v>-2944.7999999999993</v>
      </c>
      <c r="T1433">
        <f>Final_Table[[#This Row],[Gross Profit]]*Final_Table[[#This Row],[Tax Rate]]</f>
        <v>-883.43999999999971</v>
      </c>
      <c r="U1433" s="5">
        <f>Final_Table[[#This Row],[Gross Profit]]-Final_Table[[#This Row],[Tax]]</f>
        <v>-2061.3599999999997</v>
      </c>
      <c r="V1433" s="12">
        <f>Final_Table[[#This Row],[Net Profit]]/Final_Table[[#This Row],[Gross Revenue]]</f>
        <v>-0.10104705882352939</v>
      </c>
    </row>
    <row r="1434" spans="1:22">
      <c r="A1434" s="18" t="s">
        <v>78</v>
      </c>
      <c r="B1434">
        <v>2014</v>
      </c>
      <c r="C1434" t="s">
        <v>129</v>
      </c>
      <c r="D1434">
        <v>1</v>
      </c>
      <c r="E1434" s="18" t="s">
        <v>22</v>
      </c>
      <c r="F1434" s="18" t="s">
        <v>108</v>
      </c>
      <c r="G1434" s="18" t="s">
        <v>21</v>
      </c>
      <c r="H1434" s="18" t="str">
        <f>Assumptions!$B$2</f>
        <v>Worst</v>
      </c>
      <c r="I1434" s="18">
        <f>_xlfn.XLOOKUP(Assumptions!$B$2,Assumptions!$F$4:$H$4,Assumptions!$F$5:$H$5)</f>
        <v>1200</v>
      </c>
      <c r="J1434" s="18">
        <f>_xlfn.XLOOKUP(Assumptions!$B$2,Assumptions!$F$4:$H$4,Assumptions!$F$6:$H$6)</f>
        <v>17</v>
      </c>
      <c r="K1434" s="12">
        <f>_xlfn.XLOOKUP(Assumptions!$B$2,Assumptions!$F$4:$H$4,Assumptions!$F$8:$H$8)</f>
        <v>0.1</v>
      </c>
      <c r="L1434" s="12">
        <f>_xlfn.XLOOKUP(Assumptions!$B$2,Assumptions!$F$4:$H$4,Assumptions!$F$9:$H$9)</f>
        <v>0.18</v>
      </c>
      <c r="M1434" s="18">
        <f>_xlfn.XLOOKUP(Assumptions!$B$2,Assumptions!$F$4:$H$4,Assumptions!$F$10:$H$10)</f>
        <v>18000</v>
      </c>
      <c r="N1434" s="12">
        <f>_xlfn.XLOOKUP(Assumptions!$B$2,Assumptions!$F$4:$H$4,Assumptions!$F$11:$H$11)</f>
        <v>0.3</v>
      </c>
      <c r="O1434" s="14">
        <f>Final_Table[[#This Row],[Units Sold]]*Final_Table[[#This Row],[Sale Price]]</f>
        <v>20400</v>
      </c>
      <c r="P1434" s="14">
        <f>Final_Table[[#This Row],[Gross Revenue]]*(1-Final_Table[[#This Row],[Discount %]])</f>
        <v>18360</v>
      </c>
      <c r="Q1434">
        <f>Final_Table[[#This Row],[Net Revenue]]*Final_Table[[#This Row],[Variable Cost %]]</f>
        <v>3304.7999999999997</v>
      </c>
      <c r="R1434">
        <f>Final_Table[[#This Row],[Variable Cost]]+Final_Table[[#This Row],[Fixed Monthly Cost]]</f>
        <v>21304.799999999999</v>
      </c>
      <c r="S1434" s="5">
        <f>Final_Table[[#This Row],[Net Revenue]]-Final_Table[[#This Row],[Total Cost (COGS)]]</f>
        <v>-2944.7999999999993</v>
      </c>
      <c r="T1434">
        <f>Final_Table[[#This Row],[Gross Profit]]*Final_Table[[#This Row],[Tax Rate]]</f>
        <v>-883.43999999999971</v>
      </c>
      <c r="U1434" s="5">
        <f>Final_Table[[#This Row],[Gross Profit]]-Final_Table[[#This Row],[Tax]]</f>
        <v>-2061.3599999999997</v>
      </c>
      <c r="V1434" s="12">
        <f>Final_Table[[#This Row],[Net Profit]]/Final_Table[[#This Row],[Gross Revenue]]</f>
        <v>-0.10104705882352939</v>
      </c>
    </row>
    <row r="1435" spans="1:22">
      <c r="A1435" s="18" t="s">
        <v>78</v>
      </c>
      <c r="B1435">
        <v>2014</v>
      </c>
      <c r="C1435" t="s">
        <v>129</v>
      </c>
      <c r="D1435">
        <v>1</v>
      </c>
      <c r="E1435" s="18" t="s">
        <v>22</v>
      </c>
      <c r="F1435" s="18" t="s">
        <v>108</v>
      </c>
      <c r="G1435" s="18" t="s">
        <v>25</v>
      </c>
      <c r="H1435" s="18" t="str">
        <f>Assumptions!$B$2</f>
        <v>Worst</v>
      </c>
      <c r="I1435" s="18">
        <f>_xlfn.XLOOKUP(Assumptions!$B$2,Assumptions!$F$4:$H$4,Assumptions!$F$5:$H$5)</f>
        <v>1200</v>
      </c>
      <c r="J1435" s="18">
        <f>_xlfn.XLOOKUP(Assumptions!$B$2,Assumptions!$F$4:$H$4,Assumptions!$F$6:$H$6)</f>
        <v>17</v>
      </c>
      <c r="K1435" s="12">
        <f>_xlfn.XLOOKUP(Assumptions!$B$2,Assumptions!$F$4:$H$4,Assumptions!$F$8:$H$8)</f>
        <v>0.1</v>
      </c>
      <c r="L1435" s="12">
        <f>_xlfn.XLOOKUP(Assumptions!$B$2,Assumptions!$F$4:$H$4,Assumptions!$F$9:$H$9)</f>
        <v>0.18</v>
      </c>
      <c r="M1435" s="18">
        <f>_xlfn.XLOOKUP(Assumptions!$B$2,Assumptions!$F$4:$H$4,Assumptions!$F$10:$H$10)</f>
        <v>18000</v>
      </c>
      <c r="N1435" s="12">
        <f>_xlfn.XLOOKUP(Assumptions!$B$2,Assumptions!$F$4:$H$4,Assumptions!$F$11:$H$11)</f>
        <v>0.3</v>
      </c>
      <c r="O1435" s="14">
        <f>Final_Table[[#This Row],[Units Sold]]*Final_Table[[#This Row],[Sale Price]]</f>
        <v>20400</v>
      </c>
      <c r="P1435" s="14">
        <f>Final_Table[[#This Row],[Gross Revenue]]*(1-Final_Table[[#This Row],[Discount %]])</f>
        <v>18360</v>
      </c>
      <c r="Q1435">
        <f>Final_Table[[#This Row],[Net Revenue]]*Final_Table[[#This Row],[Variable Cost %]]</f>
        <v>3304.7999999999997</v>
      </c>
      <c r="R1435">
        <f>Final_Table[[#This Row],[Variable Cost]]+Final_Table[[#This Row],[Fixed Monthly Cost]]</f>
        <v>21304.799999999999</v>
      </c>
      <c r="S1435" s="5">
        <f>Final_Table[[#This Row],[Net Revenue]]-Final_Table[[#This Row],[Total Cost (COGS)]]</f>
        <v>-2944.7999999999993</v>
      </c>
      <c r="T1435">
        <f>Final_Table[[#This Row],[Gross Profit]]*Final_Table[[#This Row],[Tax Rate]]</f>
        <v>-883.43999999999971</v>
      </c>
      <c r="U1435" s="5">
        <f>Final_Table[[#This Row],[Gross Profit]]-Final_Table[[#This Row],[Tax]]</f>
        <v>-2061.3599999999997</v>
      </c>
      <c r="V1435" s="12">
        <f>Final_Table[[#This Row],[Net Profit]]/Final_Table[[#This Row],[Gross Revenue]]</f>
        <v>-0.10104705882352939</v>
      </c>
    </row>
    <row r="1436" spans="1:22">
      <c r="A1436" s="18" t="s">
        <v>78</v>
      </c>
      <c r="B1436">
        <v>2014</v>
      </c>
      <c r="C1436" t="s">
        <v>129</v>
      </c>
      <c r="D1436">
        <v>1</v>
      </c>
      <c r="E1436" s="18" t="s">
        <v>22</v>
      </c>
      <c r="F1436" s="18" t="s">
        <v>108</v>
      </c>
      <c r="G1436" s="18" t="s">
        <v>17</v>
      </c>
      <c r="H1436" s="18" t="str">
        <f>Assumptions!$B$2</f>
        <v>Worst</v>
      </c>
      <c r="I1436" s="18">
        <f>_xlfn.XLOOKUP(Assumptions!$B$2,Assumptions!$F$4:$H$4,Assumptions!$F$5:$H$5)</f>
        <v>1200</v>
      </c>
      <c r="J1436" s="18">
        <f>_xlfn.XLOOKUP(Assumptions!$B$2,Assumptions!$F$4:$H$4,Assumptions!$F$6:$H$6)</f>
        <v>17</v>
      </c>
      <c r="K1436" s="12">
        <f>_xlfn.XLOOKUP(Assumptions!$B$2,Assumptions!$F$4:$H$4,Assumptions!$F$8:$H$8)</f>
        <v>0.1</v>
      </c>
      <c r="L1436" s="12">
        <f>_xlfn.XLOOKUP(Assumptions!$B$2,Assumptions!$F$4:$H$4,Assumptions!$F$9:$H$9)</f>
        <v>0.18</v>
      </c>
      <c r="M1436" s="18">
        <f>_xlfn.XLOOKUP(Assumptions!$B$2,Assumptions!$F$4:$H$4,Assumptions!$F$10:$H$10)</f>
        <v>18000</v>
      </c>
      <c r="N1436" s="12">
        <f>_xlfn.XLOOKUP(Assumptions!$B$2,Assumptions!$F$4:$H$4,Assumptions!$F$11:$H$11)</f>
        <v>0.3</v>
      </c>
      <c r="O1436" s="14">
        <f>Final_Table[[#This Row],[Units Sold]]*Final_Table[[#This Row],[Sale Price]]</f>
        <v>20400</v>
      </c>
      <c r="P1436" s="14">
        <f>Final_Table[[#This Row],[Gross Revenue]]*(1-Final_Table[[#This Row],[Discount %]])</f>
        <v>18360</v>
      </c>
      <c r="Q1436">
        <f>Final_Table[[#This Row],[Net Revenue]]*Final_Table[[#This Row],[Variable Cost %]]</f>
        <v>3304.7999999999997</v>
      </c>
      <c r="R1436">
        <f>Final_Table[[#This Row],[Variable Cost]]+Final_Table[[#This Row],[Fixed Monthly Cost]]</f>
        <v>21304.799999999999</v>
      </c>
      <c r="S1436" s="5">
        <f>Final_Table[[#This Row],[Net Revenue]]-Final_Table[[#This Row],[Total Cost (COGS)]]</f>
        <v>-2944.7999999999993</v>
      </c>
      <c r="T1436">
        <f>Final_Table[[#This Row],[Gross Profit]]*Final_Table[[#This Row],[Tax Rate]]</f>
        <v>-883.43999999999971</v>
      </c>
      <c r="U1436" s="5">
        <f>Final_Table[[#This Row],[Gross Profit]]-Final_Table[[#This Row],[Tax]]</f>
        <v>-2061.3599999999997</v>
      </c>
      <c r="V1436" s="12">
        <f>Final_Table[[#This Row],[Net Profit]]/Final_Table[[#This Row],[Gross Revenue]]</f>
        <v>-0.10104705882352939</v>
      </c>
    </row>
    <row r="1437" spans="1:22">
      <c r="A1437" s="18" t="s">
        <v>78</v>
      </c>
      <c r="B1437">
        <v>2014</v>
      </c>
      <c r="C1437" t="s">
        <v>129</v>
      </c>
      <c r="D1437">
        <v>1</v>
      </c>
      <c r="E1437" s="18" t="s">
        <v>22</v>
      </c>
      <c r="F1437" s="18" t="s">
        <v>112</v>
      </c>
      <c r="G1437" s="18" t="s">
        <v>36</v>
      </c>
      <c r="H1437" s="18" t="str">
        <f>Assumptions!$B$2</f>
        <v>Worst</v>
      </c>
      <c r="I1437" s="18">
        <f>_xlfn.XLOOKUP(Assumptions!$B$2,Assumptions!$F$4:$H$4,Assumptions!$F$5:$H$5)</f>
        <v>1200</v>
      </c>
      <c r="J1437" s="18">
        <f>_xlfn.XLOOKUP(Assumptions!$B$2,Assumptions!$F$4:$H$4,Assumptions!$F$6:$H$6)</f>
        <v>17</v>
      </c>
      <c r="K1437" s="12">
        <f>_xlfn.XLOOKUP(Assumptions!$B$2,Assumptions!$F$4:$H$4,Assumptions!$F$8:$H$8)</f>
        <v>0.1</v>
      </c>
      <c r="L1437" s="12">
        <f>_xlfn.XLOOKUP(Assumptions!$B$2,Assumptions!$F$4:$H$4,Assumptions!$F$9:$H$9)</f>
        <v>0.18</v>
      </c>
      <c r="M1437" s="18">
        <f>_xlfn.XLOOKUP(Assumptions!$B$2,Assumptions!$F$4:$H$4,Assumptions!$F$10:$H$10)</f>
        <v>18000</v>
      </c>
      <c r="N1437" s="12">
        <f>_xlfn.XLOOKUP(Assumptions!$B$2,Assumptions!$F$4:$H$4,Assumptions!$F$11:$H$11)</f>
        <v>0.3</v>
      </c>
      <c r="O1437" s="14">
        <f>Final_Table[[#This Row],[Units Sold]]*Final_Table[[#This Row],[Sale Price]]</f>
        <v>20400</v>
      </c>
      <c r="P1437" s="14">
        <f>Final_Table[[#This Row],[Gross Revenue]]*(1-Final_Table[[#This Row],[Discount %]])</f>
        <v>18360</v>
      </c>
      <c r="Q1437">
        <f>Final_Table[[#This Row],[Net Revenue]]*Final_Table[[#This Row],[Variable Cost %]]</f>
        <v>3304.7999999999997</v>
      </c>
      <c r="R1437">
        <f>Final_Table[[#This Row],[Variable Cost]]+Final_Table[[#This Row],[Fixed Monthly Cost]]</f>
        <v>21304.799999999999</v>
      </c>
      <c r="S1437" s="5">
        <f>Final_Table[[#This Row],[Net Revenue]]-Final_Table[[#This Row],[Total Cost (COGS)]]</f>
        <v>-2944.7999999999993</v>
      </c>
      <c r="T1437">
        <f>Final_Table[[#This Row],[Gross Profit]]*Final_Table[[#This Row],[Tax Rate]]</f>
        <v>-883.43999999999971</v>
      </c>
      <c r="U1437" s="5">
        <f>Final_Table[[#This Row],[Gross Profit]]-Final_Table[[#This Row],[Tax]]</f>
        <v>-2061.3599999999997</v>
      </c>
      <c r="V1437" s="12">
        <f>Final_Table[[#This Row],[Net Profit]]/Final_Table[[#This Row],[Gross Revenue]]</f>
        <v>-0.10104705882352939</v>
      </c>
    </row>
    <row r="1438" spans="1:22">
      <c r="A1438" s="18" t="s">
        <v>78</v>
      </c>
      <c r="B1438">
        <v>2014</v>
      </c>
      <c r="C1438" t="s">
        <v>129</v>
      </c>
      <c r="D1438">
        <v>1</v>
      </c>
      <c r="E1438" s="18" t="s">
        <v>22</v>
      </c>
      <c r="F1438" s="18" t="s">
        <v>112</v>
      </c>
      <c r="G1438" s="18" t="s">
        <v>23</v>
      </c>
      <c r="H1438" s="18" t="str">
        <f>Assumptions!$B$2</f>
        <v>Worst</v>
      </c>
      <c r="I1438" s="18">
        <f>_xlfn.XLOOKUP(Assumptions!$B$2,Assumptions!$F$4:$H$4,Assumptions!$F$5:$H$5)</f>
        <v>1200</v>
      </c>
      <c r="J1438" s="18">
        <f>_xlfn.XLOOKUP(Assumptions!$B$2,Assumptions!$F$4:$H$4,Assumptions!$F$6:$H$6)</f>
        <v>17</v>
      </c>
      <c r="K1438" s="12">
        <f>_xlfn.XLOOKUP(Assumptions!$B$2,Assumptions!$F$4:$H$4,Assumptions!$F$8:$H$8)</f>
        <v>0.1</v>
      </c>
      <c r="L1438" s="12">
        <f>_xlfn.XLOOKUP(Assumptions!$B$2,Assumptions!$F$4:$H$4,Assumptions!$F$9:$H$9)</f>
        <v>0.18</v>
      </c>
      <c r="M1438" s="18">
        <f>_xlfn.XLOOKUP(Assumptions!$B$2,Assumptions!$F$4:$H$4,Assumptions!$F$10:$H$10)</f>
        <v>18000</v>
      </c>
      <c r="N1438" s="12">
        <f>_xlfn.XLOOKUP(Assumptions!$B$2,Assumptions!$F$4:$H$4,Assumptions!$F$11:$H$11)</f>
        <v>0.3</v>
      </c>
      <c r="O1438" s="14">
        <f>Final_Table[[#This Row],[Units Sold]]*Final_Table[[#This Row],[Sale Price]]</f>
        <v>20400</v>
      </c>
      <c r="P1438" s="14">
        <f>Final_Table[[#This Row],[Gross Revenue]]*(1-Final_Table[[#This Row],[Discount %]])</f>
        <v>18360</v>
      </c>
      <c r="Q1438">
        <f>Final_Table[[#This Row],[Net Revenue]]*Final_Table[[#This Row],[Variable Cost %]]</f>
        <v>3304.7999999999997</v>
      </c>
      <c r="R1438">
        <f>Final_Table[[#This Row],[Variable Cost]]+Final_Table[[#This Row],[Fixed Monthly Cost]]</f>
        <v>21304.799999999999</v>
      </c>
      <c r="S1438" s="5">
        <f>Final_Table[[#This Row],[Net Revenue]]-Final_Table[[#This Row],[Total Cost (COGS)]]</f>
        <v>-2944.7999999999993</v>
      </c>
      <c r="T1438">
        <f>Final_Table[[#This Row],[Gross Profit]]*Final_Table[[#This Row],[Tax Rate]]</f>
        <v>-883.43999999999971</v>
      </c>
      <c r="U1438" s="5">
        <f>Final_Table[[#This Row],[Gross Profit]]-Final_Table[[#This Row],[Tax]]</f>
        <v>-2061.3599999999997</v>
      </c>
      <c r="V1438" s="12">
        <f>Final_Table[[#This Row],[Net Profit]]/Final_Table[[#This Row],[Gross Revenue]]</f>
        <v>-0.10104705882352939</v>
      </c>
    </row>
    <row r="1439" spans="1:22">
      <c r="A1439" s="18" t="s">
        <v>78</v>
      </c>
      <c r="B1439">
        <v>2014</v>
      </c>
      <c r="C1439" t="s">
        <v>129</v>
      </c>
      <c r="D1439">
        <v>1</v>
      </c>
      <c r="E1439" s="18" t="s">
        <v>22</v>
      </c>
      <c r="F1439" s="18" t="s">
        <v>112</v>
      </c>
      <c r="G1439" s="18" t="s">
        <v>21</v>
      </c>
      <c r="H1439" s="18" t="str">
        <f>Assumptions!$B$2</f>
        <v>Worst</v>
      </c>
      <c r="I1439" s="18">
        <f>_xlfn.XLOOKUP(Assumptions!$B$2,Assumptions!$F$4:$H$4,Assumptions!$F$5:$H$5)</f>
        <v>1200</v>
      </c>
      <c r="J1439" s="18">
        <f>_xlfn.XLOOKUP(Assumptions!$B$2,Assumptions!$F$4:$H$4,Assumptions!$F$6:$H$6)</f>
        <v>17</v>
      </c>
      <c r="K1439" s="12">
        <f>_xlfn.XLOOKUP(Assumptions!$B$2,Assumptions!$F$4:$H$4,Assumptions!$F$8:$H$8)</f>
        <v>0.1</v>
      </c>
      <c r="L1439" s="12">
        <f>_xlfn.XLOOKUP(Assumptions!$B$2,Assumptions!$F$4:$H$4,Assumptions!$F$9:$H$9)</f>
        <v>0.18</v>
      </c>
      <c r="M1439" s="18">
        <f>_xlfn.XLOOKUP(Assumptions!$B$2,Assumptions!$F$4:$H$4,Assumptions!$F$10:$H$10)</f>
        <v>18000</v>
      </c>
      <c r="N1439" s="12">
        <f>_xlfn.XLOOKUP(Assumptions!$B$2,Assumptions!$F$4:$H$4,Assumptions!$F$11:$H$11)</f>
        <v>0.3</v>
      </c>
      <c r="O1439" s="14">
        <f>Final_Table[[#This Row],[Units Sold]]*Final_Table[[#This Row],[Sale Price]]</f>
        <v>20400</v>
      </c>
      <c r="P1439" s="14">
        <f>Final_Table[[#This Row],[Gross Revenue]]*(1-Final_Table[[#This Row],[Discount %]])</f>
        <v>18360</v>
      </c>
      <c r="Q1439">
        <f>Final_Table[[#This Row],[Net Revenue]]*Final_Table[[#This Row],[Variable Cost %]]</f>
        <v>3304.7999999999997</v>
      </c>
      <c r="R1439">
        <f>Final_Table[[#This Row],[Variable Cost]]+Final_Table[[#This Row],[Fixed Monthly Cost]]</f>
        <v>21304.799999999999</v>
      </c>
      <c r="S1439" s="5">
        <f>Final_Table[[#This Row],[Net Revenue]]-Final_Table[[#This Row],[Total Cost (COGS)]]</f>
        <v>-2944.7999999999993</v>
      </c>
      <c r="T1439">
        <f>Final_Table[[#This Row],[Gross Profit]]*Final_Table[[#This Row],[Tax Rate]]</f>
        <v>-883.43999999999971</v>
      </c>
      <c r="U1439" s="5">
        <f>Final_Table[[#This Row],[Gross Profit]]-Final_Table[[#This Row],[Tax]]</f>
        <v>-2061.3599999999997</v>
      </c>
      <c r="V1439" s="12">
        <f>Final_Table[[#This Row],[Net Profit]]/Final_Table[[#This Row],[Gross Revenue]]</f>
        <v>-0.10104705882352939</v>
      </c>
    </row>
    <row r="1440" spans="1:22">
      <c r="A1440" s="18" t="s">
        <v>78</v>
      </c>
      <c r="B1440">
        <v>2014</v>
      </c>
      <c r="C1440" t="s">
        <v>129</v>
      </c>
      <c r="D1440">
        <v>1</v>
      </c>
      <c r="E1440" s="18" t="s">
        <v>22</v>
      </c>
      <c r="F1440" s="18" t="s">
        <v>112</v>
      </c>
      <c r="G1440" s="18" t="s">
        <v>25</v>
      </c>
      <c r="H1440" s="18" t="str">
        <f>Assumptions!$B$2</f>
        <v>Worst</v>
      </c>
      <c r="I1440" s="18">
        <f>_xlfn.XLOOKUP(Assumptions!$B$2,Assumptions!$F$4:$H$4,Assumptions!$F$5:$H$5)</f>
        <v>1200</v>
      </c>
      <c r="J1440" s="18">
        <f>_xlfn.XLOOKUP(Assumptions!$B$2,Assumptions!$F$4:$H$4,Assumptions!$F$6:$H$6)</f>
        <v>17</v>
      </c>
      <c r="K1440" s="12">
        <f>_xlfn.XLOOKUP(Assumptions!$B$2,Assumptions!$F$4:$H$4,Assumptions!$F$8:$H$8)</f>
        <v>0.1</v>
      </c>
      <c r="L1440" s="12">
        <f>_xlfn.XLOOKUP(Assumptions!$B$2,Assumptions!$F$4:$H$4,Assumptions!$F$9:$H$9)</f>
        <v>0.18</v>
      </c>
      <c r="M1440" s="18">
        <f>_xlfn.XLOOKUP(Assumptions!$B$2,Assumptions!$F$4:$H$4,Assumptions!$F$10:$H$10)</f>
        <v>18000</v>
      </c>
      <c r="N1440" s="12">
        <f>_xlfn.XLOOKUP(Assumptions!$B$2,Assumptions!$F$4:$H$4,Assumptions!$F$11:$H$11)</f>
        <v>0.3</v>
      </c>
      <c r="O1440" s="14">
        <f>Final_Table[[#This Row],[Units Sold]]*Final_Table[[#This Row],[Sale Price]]</f>
        <v>20400</v>
      </c>
      <c r="P1440" s="14">
        <f>Final_Table[[#This Row],[Gross Revenue]]*(1-Final_Table[[#This Row],[Discount %]])</f>
        <v>18360</v>
      </c>
      <c r="Q1440">
        <f>Final_Table[[#This Row],[Net Revenue]]*Final_Table[[#This Row],[Variable Cost %]]</f>
        <v>3304.7999999999997</v>
      </c>
      <c r="R1440">
        <f>Final_Table[[#This Row],[Variable Cost]]+Final_Table[[#This Row],[Fixed Monthly Cost]]</f>
        <v>21304.799999999999</v>
      </c>
      <c r="S1440" s="5">
        <f>Final_Table[[#This Row],[Net Revenue]]-Final_Table[[#This Row],[Total Cost (COGS)]]</f>
        <v>-2944.7999999999993</v>
      </c>
      <c r="T1440">
        <f>Final_Table[[#This Row],[Gross Profit]]*Final_Table[[#This Row],[Tax Rate]]</f>
        <v>-883.43999999999971</v>
      </c>
      <c r="U1440" s="5">
        <f>Final_Table[[#This Row],[Gross Profit]]-Final_Table[[#This Row],[Tax]]</f>
        <v>-2061.3599999999997</v>
      </c>
      <c r="V1440" s="12">
        <f>Final_Table[[#This Row],[Net Profit]]/Final_Table[[#This Row],[Gross Revenue]]</f>
        <v>-0.10104705882352939</v>
      </c>
    </row>
    <row r="1441" spans="1:22">
      <c r="A1441" s="18" t="s">
        <v>78</v>
      </c>
      <c r="B1441">
        <v>2014</v>
      </c>
      <c r="C1441" t="s">
        <v>129</v>
      </c>
      <c r="D1441">
        <v>1</v>
      </c>
      <c r="E1441" s="18" t="s">
        <v>22</v>
      </c>
      <c r="F1441" s="18" t="s">
        <v>112</v>
      </c>
      <c r="G1441" s="18" t="s">
        <v>17</v>
      </c>
      <c r="H1441" s="18" t="str">
        <f>Assumptions!$B$2</f>
        <v>Worst</v>
      </c>
      <c r="I1441" s="18">
        <f>_xlfn.XLOOKUP(Assumptions!$B$2,Assumptions!$F$4:$H$4,Assumptions!$F$5:$H$5)</f>
        <v>1200</v>
      </c>
      <c r="J1441" s="18">
        <f>_xlfn.XLOOKUP(Assumptions!$B$2,Assumptions!$F$4:$H$4,Assumptions!$F$6:$H$6)</f>
        <v>17</v>
      </c>
      <c r="K1441" s="12">
        <f>_xlfn.XLOOKUP(Assumptions!$B$2,Assumptions!$F$4:$H$4,Assumptions!$F$8:$H$8)</f>
        <v>0.1</v>
      </c>
      <c r="L1441" s="12">
        <f>_xlfn.XLOOKUP(Assumptions!$B$2,Assumptions!$F$4:$H$4,Assumptions!$F$9:$H$9)</f>
        <v>0.18</v>
      </c>
      <c r="M1441" s="18">
        <f>_xlfn.XLOOKUP(Assumptions!$B$2,Assumptions!$F$4:$H$4,Assumptions!$F$10:$H$10)</f>
        <v>18000</v>
      </c>
      <c r="N1441" s="12">
        <f>_xlfn.XLOOKUP(Assumptions!$B$2,Assumptions!$F$4:$H$4,Assumptions!$F$11:$H$11)</f>
        <v>0.3</v>
      </c>
      <c r="O1441" s="14">
        <f>Final_Table[[#This Row],[Units Sold]]*Final_Table[[#This Row],[Sale Price]]</f>
        <v>20400</v>
      </c>
      <c r="P1441" s="14">
        <f>Final_Table[[#This Row],[Gross Revenue]]*(1-Final_Table[[#This Row],[Discount %]])</f>
        <v>18360</v>
      </c>
      <c r="Q1441">
        <f>Final_Table[[#This Row],[Net Revenue]]*Final_Table[[#This Row],[Variable Cost %]]</f>
        <v>3304.7999999999997</v>
      </c>
      <c r="R1441">
        <f>Final_Table[[#This Row],[Variable Cost]]+Final_Table[[#This Row],[Fixed Monthly Cost]]</f>
        <v>21304.799999999999</v>
      </c>
      <c r="S1441" s="5">
        <f>Final_Table[[#This Row],[Net Revenue]]-Final_Table[[#This Row],[Total Cost (COGS)]]</f>
        <v>-2944.7999999999993</v>
      </c>
      <c r="T1441">
        <f>Final_Table[[#This Row],[Gross Profit]]*Final_Table[[#This Row],[Tax Rate]]</f>
        <v>-883.43999999999971</v>
      </c>
      <c r="U1441" s="5">
        <f>Final_Table[[#This Row],[Gross Profit]]-Final_Table[[#This Row],[Tax]]</f>
        <v>-2061.3599999999997</v>
      </c>
      <c r="V1441" s="12">
        <f>Final_Table[[#This Row],[Net Profit]]/Final_Table[[#This Row],[Gross Revenue]]</f>
        <v>-0.10104705882352939</v>
      </c>
    </row>
    <row r="1442" spans="1:22">
      <c r="A1442" s="18" t="s">
        <v>78</v>
      </c>
      <c r="B1442">
        <v>2014</v>
      </c>
      <c r="C1442" t="s">
        <v>129</v>
      </c>
      <c r="D1442">
        <v>1</v>
      </c>
      <c r="E1442" s="18" t="s">
        <v>22</v>
      </c>
      <c r="F1442" s="18" t="s">
        <v>113</v>
      </c>
      <c r="G1442" s="18" t="s">
        <v>36</v>
      </c>
      <c r="H1442" s="18" t="str">
        <f>Assumptions!$B$2</f>
        <v>Worst</v>
      </c>
      <c r="I1442" s="18">
        <f>_xlfn.XLOOKUP(Assumptions!$B$2,Assumptions!$F$4:$H$4,Assumptions!$F$5:$H$5)</f>
        <v>1200</v>
      </c>
      <c r="J1442" s="18">
        <f>_xlfn.XLOOKUP(Assumptions!$B$2,Assumptions!$F$4:$H$4,Assumptions!$F$6:$H$6)</f>
        <v>17</v>
      </c>
      <c r="K1442" s="12">
        <f>_xlfn.XLOOKUP(Assumptions!$B$2,Assumptions!$F$4:$H$4,Assumptions!$F$8:$H$8)</f>
        <v>0.1</v>
      </c>
      <c r="L1442" s="12">
        <f>_xlfn.XLOOKUP(Assumptions!$B$2,Assumptions!$F$4:$H$4,Assumptions!$F$9:$H$9)</f>
        <v>0.18</v>
      </c>
      <c r="M1442" s="18">
        <f>_xlfn.XLOOKUP(Assumptions!$B$2,Assumptions!$F$4:$H$4,Assumptions!$F$10:$H$10)</f>
        <v>18000</v>
      </c>
      <c r="N1442" s="12">
        <f>_xlfn.XLOOKUP(Assumptions!$B$2,Assumptions!$F$4:$H$4,Assumptions!$F$11:$H$11)</f>
        <v>0.3</v>
      </c>
      <c r="O1442" s="14">
        <f>Final_Table[[#This Row],[Units Sold]]*Final_Table[[#This Row],[Sale Price]]</f>
        <v>20400</v>
      </c>
      <c r="P1442" s="14">
        <f>Final_Table[[#This Row],[Gross Revenue]]*(1-Final_Table[[#This Row],[Discount %]])</f>
        <v>18360</v>
      </c>
      <c r="Q1442">
        <f>Final_Table[[#This Row],[Net Revenue]]*Final_Table[[#This Row],[Variable Cost %]]</f>
        <v>3304.7999999999997</v>
      </c>
      <c r="R1442">
        <f>Final_Table[[#This Row],[Variable Cost]]+Final_Table[[#This Row],[Fixed Monthly Cost]]</f>
        <v>21304.799999999999</v>
      </c>
      <c r="S1442" s="5">
        <f>Final_Table[[#This Row],[Net Revenue]]-Final_Table[[#This Row],[Total Cost (COGS)]]</f>
        <v>-2944.7999999999993</v>
      </c>
      <c r="T1442">
        <f>Final_Table[[#This Row],[Gross Profit]]*Final_Table[[#This Row],[Tax Rate]]</f>
        <v>-883.43999999999971</v>
      </c>
      <c r="U1442" s="5">
        <f>Final_Table[[#This Row],[Gross Profit]]-Final_Table[[#This Row],[Tax]]</f>
        <v>-2061.3599999999997</v>
      </c>
      <c r="V1442" s="12">
        <f>Final_Table[[#This Row],[Net Profit]]/Final_Table[[#This Row],[Gross Revenue]]</f>
        <v>-0.10104705882352939</v>
      </c>
    </row>
    <row r="1443" spans="1:22">
      <c r="A1443" s="18" t="s">
        <v>78</v>
      </c>
      <c r="B1443">
        <v>2014</v>
      </c>
      <c r="C1443" t="s">
        <v>129</v>
      </c>
      <c r="D1443">
        <v>1</v>
      </c>
      <c r="E1443" s="18" t="s">
        <v>22</v>
      </c>
      <c r="F1443" s="18" t="s">
        <v>113</v>
      </c>
      <c r="G1443" s="18" t="s">
        <v>23</v>
      </c>
      <c r="H1443" s="18" t="str">
        <f>Assumptions!$B$2</f>
        <v>Worst</v>
      </c>
      <c r="I1443" s="18">
        <f>_xlfn.XLOOKUP(Assumptions!$B$2,Assumptions!$F$4:$H$4,Assumptions!$F$5:$H$5)</f>
        <v>1200</v>
      </c>
      <c r="J1443" s="18">
        <f>_xlfn.XLOOKUP(Assumptions!$B$2,Assumptions!$F$4:$H$4,Assumptions!$F$6:$H$6)</f>
        <v>17</v>
      </c>
      <c r="K1443" s="12">
        <f>_xlfn.XLOOKUP(Assumptions!$B$2,Assumptions!$F$4:$H$4,Assumptions!$F$8:$H$8)</f>
        <v>0.1</v>
      </c>
      <c r="L1443" s="12">
        <f>_xlfn.XLOOKUP(Assumptions!$B$2,Assumptions!$F$4:$H$4,Assumptions!$F$9:$H$9)</f>
        <v>0.18</v>
      </c>
      <c r="M1443" s="18">
        <f>_xlfn.XLOOKUP(Assumptions!$B$2,Assumptions!$F$4:$H$4,Assumptions!$F$10:$H$10)</f>
        <v>18000</v>
      </c>
      <c r="N1443" s="12">
        <f>_xlfn.XLOOKUP(Assumptions!$B$2,Assumptions!$F$4:$H$4,Assumptions!$F$11:$H$11)</f>
        <v>0.3</v>
      </c>
      <c r="O1443" s="14">
        <f>Final_Table[[#This Row],[Units Sold]]*Final_Table[[#This Row],[Sale Price]]</f>
        <v>20400</v>
      </c>
      <c r="P1443" s="14">
        <f>Final_Table[[#This Row],[Gross Revenue]]*(1-Final_Table[[#This Row],[Discount %]])</f>
        <v>18360</v>
      </c>
      <c r="Q1443">
        <f>Final_Table[[#This Row],[Net Revenue]]*Final_Table[[#This Row],[Variable Cost %]]</f>
        <v>3304.7999999999997</v>
      </c>
      <c r="R1443">
        <f>Final_Table[[#This Row],[Variable Cost]]+Final_Table[[#This Row],[Fixed Monthly Cost]]</f>
        <v>21304.799999999999</v>
      </c>
      <c r="S1443" s="5">
        <f>Final_Table[[#This Row],[Net Revenue]]-Final_Table[[#This Row],[Total Cost (COGS)]]</f>
        <v>-2944.7999999999993</v>
      </c>
      <c r="T1443">
        <f>Final_Table[[#This Row],[Gross Profit]]*Final_Table[[#This Row],[Tax Rate]]</f>
        <v>-883.43999999999971</v>
      </c>
      <c r="U1443" s="5">
        <f>Final_Table[[#This Row],[Gross Profit]]-Final_Table[[#This Row],[Tax]]</f>
        <v>-2061.3599999999997</v>
      </c>
      <c r="V1443" s="12">
        <f>Final_Table[[#This Row],[Net Profit]]/Final_Table[[#This Row],[Gross Revenue]]</f>
        <v>-0.10104705882352939</v>
      </c>
    </row>
    <row r="1444" spans="1:22">
      <c r="A1444" s="18" t="s">
        <v>78</v>
      </c>
      <c r="B1444">
        <v>2014</v>
      </c>
      <c r="C1444" t="s">
        <v>129</v>
      </c>
      <c r="D1444">
        <v>1</v>
      </c>
      <c r="E1444" s="18" t="s">
        <v>22</v>
      </c>
      <c r="F1444" s="18" t="s">
        <v>113</v>
      </c>
      <c r="G1444" s="18" t="s">
        <v>21</v>
      </c>
      <c r="H1444" s="18" t="str">
        <f>Assumptions!$B$2</f>
        <v>Worst</v>
      </c>
      <c r="I1444" s="18">
        <f>_xlfn.XLOOKUP(Assumptions!$B$2,Assumptions!$F$4:$H$4,Assumptions!$F$5:$H$5)</f>
        <v>1200</v>
      </c>
      <c r="J1444" s="18">
        <f>_xlfn.XLOOKUP(Assumptions!$B$2,Assumptions!$F$4:$H$4,Assumptions!$F$6:$H$6)</f>
        <v>17</v>
      </c>
      <c r="K1444" s="12">
        <f>_xlfn.XLOOKUP(Assumptions!$B$2,Assumptions!$F$4:$H$4,Assumptions!$F$8:$H$8)</f>
        <v>0.1</v>
      </c>
      <c r="L1444" s="12">
        <f>_xlfn.XLOOKUP(Assumptions!$B$2,Assumptions!$F$4:$H$4,Assumptions!$F$9:$H$9)</f>
        <v>0.18</v>
      </c>
      <c r="M1444" s="18">
        <f>_xlfn.XLOOKUP(Assumptions!$B$2,Assumptions!$F$4:$H$4,Assumptions!$F$10:$H$10)</f>
        <v>18000</v>
      </c>
      <c r="N1444" s="12">
        <f>_xlfn.XLOOKUP(Assumptions!$B$2,Assumptions!$F$4:$H$4,Assumptions!$F$11:$H$11)</f>
        <v>0.3</v>
      </c>
      <c r="O1444" s="14">
        <f>Final_Table[[#This Row],[Units Sold]]*Final_Table[[#This Row],[Sale Price]]</f>
        <v>20400</v>
      </c>
      <c r="P1444" s="14">
        <f>Final_Table[[#This Row],[Gross Revenue]]*(1-Final_Table[[#This Row],[Discount %]])</f>
        <v>18360</v>
      </c>
      <c r="Q1444">
        <f>Final_Table[[#This Row],[Net Revenue]]*Final_Table[[#This Row],[Variable Cost %]]</f>
        <v>3304.7999999999997</v>
      </c>
      <c r="R1444">
        <f>Final_Table[[#This Row],[Variable Cost]]+Final_Table[[#This Row],[Fixed Monthly Cost]]</f>
        <v>21304.799999999999</v>
      </c>
      <c r="S1444" s="5">
        <f>Final_Table[[#This Row],[Net Revenue]]-Final_Table[[#This Row],[Total Cost (COGS)]]</f>
        <v>-2944.7999999999993</v>
      </c>
      <c r="T1444">
        <f>Final_Table[[#This Row],[Gross Profit]]*Final_Table[[#This Row],[Tax Rate]]</f>
        <v>-883.43999999999971</v>
      </c>
      <c r="U1444" s="5">
        <f>Final_Table[[#This Row],[Gross Profit]]-Final_Table[[#This Row],[Tax]]</f>
        <v>-2061.3599999999997</v>
      </c>
      <c r="V1444" s="12">
        <f>Final_Table[[#This Row],[Net Profit]]/Final_Table[[#This Row],[Gross Revenue]]</f>
        <v>-0.10104705882352939</v>
      </c>
    </row>
    <row r="1445" spans="1:22">
      <c r="A1445" s="18" t="s">
        <v>78</v>
      </c>
      <c r="B1445">
        <v>2014</v>
      </c>
      <c r="C1445" t="s">
        <v>129</v>
      </c>
      <c r="D1445">
        <v>1</v>
      </c>
      <c r="E1445" s="18" t="s">
        <v>22</v>
      </c>
      <c r="F1445" s="18" t="s">
        <v>113</v>
      </c>
      <c r="G1445" s="18" t="s">
        <v>25</v>
      </c>
      <c r="H1445" s="18" t="str">
        <f>Assumptions!$B$2</f>
        <v>Worst</v>
      </c>
      <c r="I1445" s="18">
        <f>_xlfn.XLOOKUP(Assumptions!$B$2,Assumptions!$F$4:$H$4,Assumptions!$F$5:$H$5)</f>
        <v>1200</v>
      </c>
      <c r="J1445" s="18">
        <f>_xlfn.XLOOKUP(Assumptions!$B$2,Assumptions!$F$4:$H$4,Assumptions!$F$6:$H$6)</f>
        <v>17</v>
      </c>
      <c r="K1445" s="12">
        <f>_xlfn.XLOOKUP(Assumptions!$B$2,Assumptions!$F$4:$H$4,Assumptions!$F$8:$H$8)</f>
        <v>0.1</v>
      </c>
      <c r="L1445" s="12">
        <f>_xlfn.XLOOKUP(Assumptions!$B$2,Assumptions!$F$4:$H$4,Assumptions!$F$9:$H$9)</f>
        <v>0.18</v>
      </c>
      <c r="M1445" s="18">
        <f>_xlfn.XLOOKUP(Assumptions!$B$2,Assumptions!$F$4:$H$4,Assumptions!$F$10:$H$10)</f>
        <v>18000</v>
      </c>
      <c r="N1445" s="12">
        <f>_xlfn.XLOOKUP(Assumptions!$B$2,Assumptions!$F$4:$H$4,Assumptions!$F$11:$H$11)</f>
        <v>0.3</v>
      </c>
      <c r="O1445" s="14">
        <f>Final_Table[[#This Row],[Units Sold]]*Final_Table[[#This Row],[Sale Price]]</f>
        <v>20400</v>
      </c>
      <c r="P1445" s="14">
        <f>Final_Table[[#This Row],[Gross Revenue]]*(1-Final_Table[[#This Row],[Discount %]])</f>
        <v>18360</v>
      </c>
      <c r="Q1445">
        <f>Final_Table[[#This Row],[Net Revenue]]*Final_Table[[#This Row],[Variable Cost %]]</f>
        <v>3304.7999999999997</v>
      </c>
      <c r="R1445">
        <f>Final_Table[[#This Row],[Variable Cost]]+Final_Table[[#This Row],[Fixed Monthly Cost]]</f>
        <v>21304.799999999999</v>
      </c>
      <c r="S1445" s="5">
        <f>Final_Table[[#This Row],[Net Revenue]]-Final_Table[[#This Row],[Total Cost (COGS)]]</f>
        <v>-2944.7999999999993</v>
      </c>
      <c r="T1445">
        <f>Final_Table[[#This Row],[Gross Profit]]*Final_Table[[#This Row],[Tax Rate]]</f>
        <v>-883.43999999999971</v>
      </c>
      <c r="U1445" s="5">
        <f>Final_Table[[#This Row],[Gross Profit]]-Final_Table[[#This Row],[Tax]]</f>
        <v>-2061.3599999999997</v>
      </c>
      <c r="V1445" s="12">
        <f>Final_Table[[#This Row],[Net Profit]]/Final_Table[[#This Row],[Gross Revenue]]</f>
        <v>-0.10104705882352939</v>
      </c>
    </row>
    <row r="1446" spans="1:22">
      <c r="A1446" s="18" t="s">
        <v>78</v>
      </c>
      <c r="B1446">
        <v>2014</v>
      </c>
      <c r="C1446" t="s">
        <v>129</v>
      </c>
      <c r="D1446">
        <v>1</v>
      </c>
      <c r="E1446" s="18" t="s">
        <v>22</v>
      </c>
      <c r="F1446" s="18" t="s">
        <v>113</v>
      </c>
      <c r="G1446" s="18" t="s">
        <v>17</v>
      </c>
      <c r="H1446" s="18" t="str">
        <f>Assumptions!$B$2</f>
        <v>Worst</v>
      </c>
      <c r="I1446" s="18">
        <f>_xlfn.XLOOKUP(Assumptions!$B$2,Assumptions!$F$4:$H$4,Assumptions!$F$5:$H$5)</f>
        <v>1200</v>
      </c>
      <c r="J1446" s="18">
        <f>_xlfn.XLOOKUP(Assumptions!$B$2,Assumptions!$F$4:$H$4,Assumptions!$F$6:$H$6)</f>
        <v>17</v>
      </c>
      <c r="K1446" s="12">
        <f>_xlfn.XLOOKUP(Assumptions!$B$2,Assumptions!$F$4:$H$4,Assumptions!$F$8:$H$8)</f>
        <v>0.1</v>
      </c>
      <c r="L1446" s="12">
        <f>_xlfn.XLOOKUP(Assumptions!$B$2,Assumptions!$F$4:$H$4,Assumptions!$F$9:$H$9)</f>
        <v>0.18</v>
      </c>
      <c r="M1446" s="18">
        <f>_xlfn.XLOOKUP(Assumptions!$B$2,Assumptions!$F$4:$H$4,Assumptions!$F$10:$H$10)</f>
        <v>18000</v>
      </c>
      <c r="N1446" s="12">
        <f>_xlfn.XLOOKUP(Assumptions!$B$2,Assumptions!$F$4:$H$4,Assumptions!$F$11:$H$11)</f>
        <v>0.3</v>
      </c>
      <c r="O1446" s="14">
        <f>Final_Table[[#This Row],[Units Sold]]*Final_Table[[#This Row],[Sale Price]]</f>
        <v>20400</v>
      </c>
      <c r="P1446" s="14">
        <f>Final_Table[[#This Row],[Gross Revenue]]*(1-Final_Table[[#This Row],[Discount %]])</f>
        <v>18360</v>
      </c>
      <c r="Q1446">
        <f>Final_Table[[#This Row],[Net Revenue]]*Final_Table[[#This Row],[Variable Cost %]]</f>
        <v>3304.7999999999997</v>
      </c>
      <c r="R1446">
        <f>Final_Table[[#This Row],[Variable Cost]]+Final_Table[[#This Row],[Fixed Monthly Cost]]</f>
        <v>21304.799999999999</v>
      </c>
      <c r="S1446" s="5">
        <f>Final_Table[[#This Row],[Net Revenue]]-Final_Table[[#This Row],[Total Cost (COGS)]]</f>
        <v>-2944.7999999999993</v>
      </c>
      <c r="T1446">
        <f>Final_Table[[#This Row],[Gross Profit]]*Final_Table[[#This Row],[Tax Rate]]</f>
        <v>-883.43999999999971</v>
      </c>
      <c r="U1446" s="5">
        <f>Final_Table[[#This Row],[Gross Profit]]-Final_Table[[#This Row],[Tax]]</f>
        <v>-2061.3599999999997</v>
      </c>
      <c r="V1446" s="12">
        <f>Final_Table[[#This Row],[Net Profit]]/Final_Table[[#This Row],[Gross Revenue]]</f>
        <v>-0.10104705882352939</v>
      </c>
    </row>
    <row r="1447" spans="1:22">
      <c r="A1447" s="18" t="s">
        <v>78</v>
      </c>
      <c r="B1447">
        <v>2014</v>
      </c>
      <c r="C1447" t="s">
        <v>129</v>
      </c>
      <c r="D1447">
        <v>1</v>
      </c>
      <c r="E1447" s="18" t="s">
        <v>22</v>
      </c>
      <c r="F1447" s="18" t="s">
        <v>114</v>
      </c>
      <c r="G1447" s="18" t="s">
        <v>36</v>
      </c>
      <c r="H1447" s="18" t="str">
        <f>Assumptions!$B$2</f>
        <v>Worst</v>
      </c>
      <c r="I1447" s="18">
        <f>_xlfn.XLOOKUP(Assumptions!$B$2,Assumptions!$F$4:$H$4,Assumptions!$F$5:$H$5)</f>
        <v>1200</v>
      </c>
      <c r="J1447" s="18">
        <f>_xlfn.XLOOKUP(Assumptions!$B$2,Assumptions!$F$4:$H$4,Assumptions!$F$6:$H$6)</f>
        <v>17</v>
      </c>
      <c r="K1447" s="12">
        <f>_xlfn.XLOOKUP(Assumptions!$B$2,Assumptions!$F$4:$H$4,Assumptions!$F$8:$H$8)</f>
        <v>0.1</v>
      </c>
      <c r="L1447" s="12">
        <f>_xlfn.XLOOKUP(Assumptions!$B$2,Assumptions!$F$4:$H$4,Assumptions!$F$9:$H$9)</f>
        <v>0.18</v>
      </c>
      <c r="M1447" s="18">
        <f>_xlfn.XLOOKUP(Assumptions!$B$2,Assumptions!$F$4:$H$4,Assumptions!$F$10:$H$10)</f>
        <v>18000</v>
      </c>
      <c r="N1447" s="12">
        <f>_xlfn.XLOOKUP(Assumptions!$B$2,Assumptions!$F$4:$H$4,Assumptions!$F$11:$H$11)</f>
        <v>0.3</v>
      </c>
      <c r="O1447" s="14">
        <f>Final_Table[[#This Row],[Units Sold]]*Final_Table[[#This Row],[Sale Price]]</f>
        <v>20400</v>
      </c>
      <c r="P1447" s="14">
        <f>Final_Table[[#This Row],[Gross Revenue]]*(1-Final_Table[[#This Row],[Discount %]])</f>
        <v>18360</v>
      </c>
      <c r="Q1447">
        <f>Final_Table[[#This Row],[Net Revenue]]*Final_Table[[#This Row],[Variable Cost %]]</f>
        <v>3304.7999999999997</v>
      </c>
      <c r="R1447">
        <f>Final_Table[[#This Row],[Variable Cost]]+Final_Table[[#This Row],[Fixed Monthly Cost]]</f>
        <v>21304.799999999999</v>
      </c>
      <c r="S1447" s="5">
        <f>Final_Table[[#This Row],[Net Revenue]]-Final_Table[[#This Row],[Total Cost (COGS)]]</f>
        <v>-2944.7999999999993</v>
      </c>
      <c r="T1447">
        <f>Final_Table[[#This Row],[Gross Profit]]*Final_Table[[#This Row],[Tax Rate]]</f>
        <v>-883.43999999999971</v>
      </c>
      <c r="U1447" s="5">
        <f>Final_Table[[#This Row],[Gross Profit]]-Final_Table[[#This Row],[Tax]]</f>
        <v>-2061.3599999999997</v>
      </c>
      <c r="V1447" s="12">
        <f>Final_Table[[#This Row],[Net Profit]]/Final_Table[[#This Row],[Gross Revenue]]</f>
        <v>-0.10104705882352939</v>
      </c>
    </row>
    <row r="1448" spans="1:22">
      <c r="A1448" s="18" t="s">
        <v>78</v>
      </c>
      <c r="B1448">
        <v>2014</v>
      </c>
      <c r="C1448" t="s">
        <v>129</v>
      </c>
      <c r="D1448">
        <v>1</v>
      </c>
      <c r="E1448" s="18" t="s">
        <v>22</v>
      </c>
      <c r="F1448" s="18" t="s">
        <v>114</v>
      </c>
      <c r="G1448" s="18" t="s">
        <v>23</v>
      </c>
      <c r="H1448" s="18" t="str">
        <f>Assumptions!$B$2</f>
        <v>Worst</v>
      </c>
      <c r="I1448" s="18">
        <f>_xlfn.XLOOKUP(Assumptions!$B$2,Assumptions!$F$4:$H$4,Assumptions!$F$5:$H$5)</f>
        <v>1200</v>
      </c>
      <c r="J1448" s="18">
        <f>_xlfn.XLOOKUP(Assumptions!$B$2,Assumptions!$F$4:$H$4,Assumptions!$F$6:$H$6)</f>
        <v>17</v>
      </c>
      <c r="K1448" s="12">
        <f>_xlfn.XLOOKUP(Assumptions!$B$2,Assumptions!$F$4:$H$4,Assumptions!$F$8:$H$8)</f>
        <v>0.1</v>
      </c>
      <c r="L1448" s="12">
        <f>_xlfn.XLOOKUP(Assumptions!$B$2,Assumptions!$F$4:$H$4,Assumptions!$F$9:$H$9)</f>
        <v>0.18</v>
      </c>
      <c r="M1448" s="18">
        <f>_xlfn.XLOOKUP(Assumptions!$B$2,Assumptions!$F$4:$H$4,Assumptions!$F$10:$H$10)</f>
        <v>18000</v>
      </c>
      <c r="N1448" s="12">
        <f>_xlfn.XLOOKUP(Assumptions!$B$2,Assumptions!$F$4:$H$4,Assumptions!$F$11:$H$11)</f>
        <v>0.3</v>
      </c>
      <c r="O1448" s="14">
        <f>Final_Table[[#This Row],[Units Sold]]*Final_Table[[#This Row],[Sale Price]]</f>
        <v>20400</v>
      </c>
      <c r="P1448" s="14">
        <f>Final_Table[[#This Row],[Gross Revenue]]*(1-Final_Table[[#This Row],[Discount %]])</f>
        <v>18360</v>
      </c>
      <c r="Q1448">
        <f>Final_Table[[#This Row],[Net Revenue]]*Final_Table[[#This Row],[Variable Cost %]]</f>
        <v>3304.7999999999997</v>
      </c>
      <c r="R1448">
        <f>Final_Table[[#This Row],[Variable Cost]]+Final_Table[[#This Row],[Fixed Monthly Cost]]</f>
        <v>21304.799999999999</v>
      </c>
      <c r="S1448" s="5">
        <f>Final_Table[[#This Row],[Net Revenue]]-Final_Table[[#This Row],[Total Cost (COGS)]]</f>
        <v>-2944.7999999999993</v>
      </c>
      <c r="T1448">
        <f>Final_Table[[#This Row],[Gross Profit]]*Final_Table[[#This Row],[Tax Rate]]</f>
        <v>-883.43999999999971</v>
      </c>
      <c r="U1448" s="5">
        <f>Final_Table[[#This Row],[Gross Profit]]-Final_Table[[#This Row],[Tax]]</f>
        <v>-2061.3599999999997</v>
      </c>
      <c r="V1448" s="12">
        <f>Final_Table[[#This Row],[Net Profit]]/Final_Table[[#This Row],[Gross Revenue]]</f>
        <v>-0.10104705882352939</v>
      </c>
    </row>
    <row r="1449" spans="1:22">
      <c r="A1449" s="18" t="s">
        <v>78</v>
      </c>
      <c r="B1449">
        <v>2014</v>
      </c>
      <c r="C1449" t="s">
        <v>129</v>
      </c>
      <c r="D1449">
        <v>1</v>
      </c>
      <c r="E1449" s="18" t="s">
        <v>22</v>
      </c>
      <c r="F1449" s="18" t="s">
        <v>114</v>
      </c>
      <c r="G1449" s="18" t="s">
        <v>21</v>
      </c>
      <c r="H1449" s="18" t="str">
        <f>Assumptions!$B$2</f>
        <v>Worst</v>
      </c>
      <c r="I1449" s="18">
        <f>_xlfn.XLOOKUP(Assumptions!$B$2,Assumptions!$F$4:$H$4,Assumptions!$F$5:$H$5)</f>
        <v>1200</v>
      </c>
      <c r="J1449" s="18">
        <f>_xlfn.XLOOKUP(Assumptions!$B$2,Assumptions!$F$4:$H$4,Assumptions!$F$6:$H$6)</f>
        <v>17</v>
      </c>
      <c r="K1449" s="12">
        <f>_xlfn.XLOOKUP(Assumptions!$B$2,Assumptions!$F$4:$H$4,Assumptions!$F$8:$H$8)</f>
        <v>0.1</v>
      </c>
      <c r="L1449" s="12">
        <f>_xlfn.XLOOKUP(Assumptions!$B$2,Assumptions!$F$4:$H$4,Assumptions!$F$9:$H$9)</f>
        <v>0.18</v>
      </c>
      <c r="M1449" s="18">
        <f>_xlfn.XLOOKUP(Assumptions!$B$2,Assumptions!$F$4:$H$4,Assumptions!$F$10:$H$10)</f>
        <v>18000</v>
      </c>
      <c r="N1449" s="12">
        <f>_xlfn.XLOOKUP(Assumptions!$B$2,Assumptions!$F$4:$H$4,Assumptions!$F$11:$H$11)</f>
        <v>0.3</v>
      </c>
      <c r="O1449" s="14">
        <f>Final_Table[[#This Row],[Units Sold]]*Final_Table[[#This Row],[Sale Price]]</f>
        <v>20400</v>
      </c>
      <c r="P1449" s="14">
        <f>Final_Table[[#This Row],[Gross Revenue]]*(1-Final_Table[[#This Row],[Discount %]])</f>
        <v>18360</v>
      </c>
      <c r="Q1449">
        <f>Final_Table[[#This Row],[Net Revenue]]*Final_Table[[#This Row],[Variable Cost %]]</f>
        <v>3304.7999999999997</v>
      </c>
      <c r="R1449">
        <f>Final_Table[[#This Row],[Variable Cost]]+Final_Table[[#This Row],[Fixed Monthly Cost]]</f>
        <v>21304.799999999999</v>
      </c>
      <c r="S1449" s="5">
        <f>Final_Table[[#This Row],[Net Revenue]]-Final_Table[[#This Row],[Total Cost (COGS)]]</f>
        <v>-2944.7999999999993</v>
      </c>
      <c r="T1449">
        <f>Final_Table[[#This Row],[Gross Profit]]*Final_Table[[#This Row],[Tax Rate]]</f>
        <v>-883.43999999999971</v>
      </c>
      <c r="U1449" s="5">
        <f>Final_Table[[#This Row],[Gross Profit]]-Final_Table[[#This Row],[Tax]]</f>
        <v>-2061.3599999999997</v>
      </c>
      <c r="V1449" s="12">
        <f>Final_Table[[#This Row],[Net Profit]]/Final_Table[[#This Row],[Gross Revenue]]</f>
        <v>-0.10104705882352939</v>
      </c>
    </row>
    <row r="1450" spans="1:22">
      <c r="A1450" s="18" t="s">
        <v>78</v>
      </c>
      <c r="B1450">
        <v>2014</v>
      </c>
      <c r="C1450" t="s">
        <v>129</v>
      </c>
      <c r="D1450">
        <v>1</v>
      </c>
      <c r="E1450" s="18" t="s">
        <v>22</v>
      </c>
      <c r="F1450" s="18" t="s">
        <v>114</v>
      </c>
      <c r="G1450" s="18" t="s">
        <v>25</v>
      </c>
      <c r="H1450" s="18" t="str">
        <f>Assumptions!$B$2</f>
        <v>Worst</v>
      </c>
      <c r="I1450" s="18">
        <f>_xlfn.XLOOKUP(Assumptions!$B$2,Assumptions!$F$4:$H$4,Assumptions!$F$5:$H$5)</f>
        <v>1200</v>
      </c>
      <c r="J1450" s="18">
        <f>_xlfn.XLOOKUP(Assumptions!$B$2,Assumptions!$F$4:$H$4,Assumptions!$F$6:$H$6)</f>
        <v>17</v>
      </c>
      <c r="K1450" s="12">
        <f>_xlfn.XLOOKUP(Assumptions!$B$2,Assumptions!$F$4:$H$4,Assumptions!$F$8:$H$8)</f>
        <v>0.1</v>
      </c>
      <c r="L1450" s="12">
        <f>_xlfn.XLOOKUP(Assumptions!$B$2,Assumptions!$F$4:$H$4,Assumptions!$F$9:$H$9)</f>
        <v>0.18</v>
      </c>
      <c r="M1450" s="18">
        <f>_xlfn.XLOOKUP(Assumptions!$B$2,Assumptions!$F$4:$H$4,Assumptions!$F$10:$H$10)</f>
        <v>18000</v>
      </c>
      <c r="N1450" s="12">
        <f>_xlfn.XLOOKUP(Assumptions!$B$2,Assumptions!$F$4:$H$4,Assumptions!$F$11:$H$11)</f>
        <v>0.3</v>
      </c>
      <c r="O1450" s="14">
        <f>Final_Table[[#This Row],[Units Sold]]*Final_Table[[#This Row],[Sale Price]]</f>
        <v>20400</v>
      </c>
      <c r="P1450" s="14">
        <f>Final_Table[[#This Row],[Gross Revenue]]*(1-Final_Table[[#This Row],[Discount %]])</f>
        <v>18360</v>
      </c>
      <c r="Q1450">
        <f>Final_Table[[#This Row],[Net Revenue]]*Final_Table[[#This Row],[Variable Cost %]]</f>
        <v>3304.7999999999997</v>
      </c>
      <c r="R1450">
        <f>Final_Table[[#This Row],[Variable Cost]]+Final_Table[[#This Row],[Fixed Monthly Cost]]</f>
        <v>21304.799999999999</v>
      </c>
      <c r="S1450" s="5">
        <f>Final_Table[[#This Row],[Net Revenue]]-Final_Table[[#This Row],[Total Cost (COGS)]]</f>
        <v>-2944.7999999999993</v>
      </c>
      <c r="T1450">
        <f>Final_Table[[#This Row],[Gross Profit]]*Final_Table[[#This Row],[Tax Rate]]</f>
        <v>-883.43999999999971</v>
      </c>
      <c r="U1450" s="5">
        <f>Final_Table[[#This Row],[Gross Profit]]-Final_Table[[#This Row],[Tax]]</f>
        <v>-2061.3599999999997</v>
      </c>
      <c r="V1450" s="12">
        <f>Final_Table[[#This Row],[Net Profit]]/Final_Table[[#This Row],[Gross Revenue]]</f>
        <v>-0.10104705882352939</v>
      </c>
    </row>
    <row r="1451" spans="1:22">
      <c r="A1451" s="18" t="s">
        <v>78</v>
      </c>
      <c r="B1451">
        <v>2014</v>
      </c>
      <c r="C1451" t="s">
        <v>129</v>
      </c>
      <c r="D1451">
        <v>1</v>
      </c>
      <c r="E1451" s="18" t="s">
        <v>22</v>
      </c>
      <c r="F1451" s="18" t="s">
        <v>114</v>
      </c>
      <c r="G1451" s="18" t="s">
        <v>17</v>
      </c>
      <c r="H1451" s="18" t="str">
        <f>Assumptions!$B$2</f>
        <v>Worst</v>
      </c>
      <c r="I1451" s="18">
        <f>_xlfn.XLOOKUP(Assumptions!$B$2,Assumptions!$F$4:$H$4,Assumptions!$F$5:$H$5)</f>
        <v>1200</v>
      </c>
      <c r="J1451" s="18">
        <f>_xlfn.XLOOKUP(Assumptions!$B$2,Assumptions!$F$4:$H$4,Assumptions!$F$6:$H$6)</f>
        <v>17</v>
      </c>
      <c r="K1451" s="12">
        <f>_xlfn.XLOOKUP(Assumptions!$B$2,Assumptions!$F$4:$H$4,Assumptions!$F$8:$H$8)</f>
        <v>0.1</v>
      </c>
      <c r="L1451" s="12">
        <f>_xlfn.XLOOKUP(Assumptions!$B$2,Assumptions!$F$4:$H$4,Assumptions!$F$9:$H$9)</f>
        <v>0.18</v>
      </c>
      <c r="M1451" s="18">
        <f>_xlfn.XLOOKUP(Assumptions!$B$2,Assumptions!$F$4:$H$4,Assumptions!$F$10:$H$10)</f>
        <v>18000</v>
      </c>
      <c r="N1451" s="12">
        <f>_xlfn.XLOOKUP(Assumptions!$B$2,Assumptions!$F$4:$H$4,Assumptions!$F$11:$H$11)</f>
        <v>0.3</v>
      </c>
      <c r="O1451" s="14">
        <f>Final_Table[[#This Row],[Units Sold]]*Final_Table[[#This Row],[Sale Price]]</f>
        <v>20400</v>
      </c>
      <c r="P1451" s="14">
        <f>Final_Table[[#This Row],[Gross Revenue]]*(1-Final_Table[[#This Row],[Discount %]])</f>
        <v>18360</v>
      </c>
      <c r="Q1451">
        <f>Final_Table[[#This Row],[Net Revenue]]*Final_Table[[#This Row],[Variable Cost %]]</f>
        <v>3304.7999999999997</v>
      </c>
      <c r="R1451">
        <f>Final_Table[[#This Row],[Variable Cost]]+Final_Table[[#This Row],[Fixed Monthly Cost]]</f>
        <v>21304.799999999999</v>
      </c>
      <c r="S1451" s="5">
        <f>Final_Table[[#This Row],[Net Revenue]]-Final_Table[[#This Row],[Total Cost (COGS)]]</f>
        <v>-2944.7999999999993</v>
      </c>
      <c r="T1451">
        <f>Final_Table[[#This Row],[Gross Profit]]*Final_Table[[#This Row],[Tax Rate]]</f>
        <v>-883.43999999999971</v>
      </c>
      <c r="U1451" s="5">
        <f>Final_Table[[#This Row],[Gross Profit]]-Final_Table[[#This Row],[Tax]]</f>
        <v>-2061.3599999999997</v>
      </c>
      <c r="V1451" s="12">
        <f>Final_Table[[#This Row],[Net Profit]]/Final_Table[[#This Row],[Gross Revenue]]</f>
        <v>-0.10104705882352939</v>
      </c>
    </row>
    <row r="1452" spans="1:22">
      <c r="A1452" s="18" t="s">
        <v>78</v>
      </c>
      <c r="B1452">
        <v>2014</v>
      </c>
      <c r="C1452" t="s">
        <v>129</v>
      </c>
      <c r="D1452">
        <v>1</v>
      </c>
      <c r="E1452" s="18" t="s">
        <v>16</v>
      </c>
      <c r="F1452" s="18" t="s">
        <v>80</v>
      </c>
      <c r="G1452" s="18" t="s">
        <v>36</v>
      </c>
      <c r="H1452" s="18" t="str">
        <f>Assumptions!$B$2</f>
        <v>Worst</v>
      </c>
      <c r="I1452" s="18">
        <f>_xlfn.XLOOKUP(Assumptions!$B$2,Assumptions!$F$4:$H$4,Assumptions!$F$5:$H$5)</f>
        <v>1200</v>
      </c>
      <c r="J1452" s="18">
        <f>_xlfn.XLOOKUP(Assumptions!$B$2,Assumptions!$F$4:$H$4,Assumptions!$F$6:$H$6)</f>
        <v>17</v>
      </c>
      <c r="K1452" s="12">
        <f>_xlfn.XLOOKUP(Assumptions!$B$2,Assumptions!$F$4:$H$4,Assumptions!$F$8:$H$8)</f>
        <v>0.1</v>
      </c>
      <c r="L1452" s="12">
        <f>_xlfn.XLOOKUP(Assumptions!$B$2,Assumptions!$F$4:$H$4,Assumptions!$F$9:$H$9)</f>
        <v>0.18</v>
      </c>
      <c r="M1452" s="18">
        <f>_xlfn.XLOOKUP(Assumptions!$B$2,Assumptions!$F$4:$H$4,Assumptions!$F$10:$H$10)</f>
        <v>18000</v>
      </c>
      <c r="N1452" s="12">
        <f>_xlfn.XLOOKUP(Assumptions!$B$2,Assumptions!$F$4:$H$4,Assumptions!$F$11:$H$11)</f>
        <v>0.3</v>
      </c>
      <c r="O1452" s="14">
        <f>Final_Table[[#This Row],[Units Sold]]*Final_Table[[#This Row],[Sale Price]]</f>
        <v>20400</v>
      </c>
      <c r="P1452" s="14">
        <f>Final_Table[[#This Row],[Gross Revenue]]*(1-Final_Table[[#This Row],[Discount %]])</f>
        <v>18360</v>
      </c>
      <c r="Q1452">
        <f>Final_Table[[#This Row],[Net Revenue]]*Final_Table[[#This Row],[Variable Cost %]]</f>
        <v>3304.7999999999997</v>
      </c>
      <c r="R1452">
        <f>Final_Table[[#This Row],[Variable Cost]]+Final_Table[[#This Row],[Fixed Monthly Cost]]</f>
        <v>21304.799999999999</v>
      </c>
      <c r="S1452" s="5">
        <f>Final_Table[[#This Row],[Net Revenue]]-Final_Table[[#This Row],[Total Cost (COGS)]]</f>
        <v>-2944.7999999999993</v>
      </c>
      <c r="T1452">
        <f>Final_Table[[#This Row],[Gross Profit]]*Final_Table[[#This Row],[Tax Rate]]</f>
        <v>-883.43999999999971</v>
      </c>
      <c r="U1452" s="5">
        <f>Final_Table[[#This Row],[Gross Profit]]-Final_Table[[#This Row],[Tax]]</f>
        <v>-2061.3599999999997</v>
      </c>
      <c r="V1452" s="12">
        <f>Final_Table[[#This Row],[Net Profit]]/Final_Table[[#This Row],[Gross Revenue]]</f>
        <v>-0.10104705882352939</v>
      </c>
    </row>
    <row r="1453" spans="1:22">
      <c r="A1453" s="18" t="s">
        <v>78</v>
      </c>
      <c r="B1453">
        <v>2014</v>
      </c>
      <c r="C1453" t="s">
        <v>129</v>
      </c>
      <c r="D1453">
        <v>1</v>
      </c>
      <c r="E1453" s="18" t="s">
        <v>16</v>
      </c>
      <c r="F1453" s="18" t="s">
        <v>80</v>
      </c>
      <c r="G1453" s="18" t="s">
        <v>23</v>
      </c>
      <c r="H1453" s="18" t="str">
        <f>Assumptions!$B$2</f>
        <v>Worst</v>
      </c>
      <c r="I1453" s="18">
        <f>_xlfn.XLOOKUP(Assumptions!$B$2,Assumptions!$F$4:$H$4,Assumptions!$F$5:$H$5)</f>
        <v>1200</v>
      </c>
      <c r="J1453" s="18">
        <f>_xlfn.XLOOKUP(Assumptions!$B$2,Assumptions!$F$4:$H$4,Assumptions!$F$6:$H$6)</f>
        <v>17</v>
      </c>
      <c r="K1453" s="12">
        <f>_xlfn.XLOOKUP(Assumptions!$B$2,Assumptions!$F$4:$H$4,Assumptions!$F$8:$H$8)</f>
        <v>0.1</v>
      </c>
      <c r="L1453" s="12">
        <f>_xlfn.XLOOKUP(Assumptions!$B$2,Assumptions!$F$4:$H$4,Assumptions!$F$9:$H$9)</f>
        <v>0.18</v>
      </c>
      <c r="M1453" s="18">
        <f>_xlfn.XLOOKUP(Assumptions!$B$2,Assumptions!$F$4:$H$4,Assumptions!$F$10:$H$10)</f>
        <v>18000</v>
      </c>
      <c r="N1453" s="12">
        <f>_xlfn.XLOOKUP(Assumptions!$B$2,Assumptions!$F$4:$H$4,Assumptions!$F$11:$H$11)</f>
        <v>0.3</v>
      </c>
      <c r="O1453" s="14">
        <f>Final_Table[[#This Row],[Units Sold]]*Final_Table[[#This Row],[Sale Price]]</f>
        <v>20400</v>
      </c>
      <c r="P1453" s="14">
        <f>Final_Table[[#This Row],[Gross Revenue]]*(1-Final_Table[[#This Row],[Discount %]])</f>
        <v>18360</v>
      </c>
      <c r="Q1453">
        <f>Final_Table[[#This Row],[Net Revenue]]*Final_Table[[#This Row],[Variable Cost %]]</f>
        <v>3304.7999999999997</v>
      </c>
      <c r="R1453">
        <f>Final_Table[[#This Row],[Variable Cost]]+Final_Table[[#This Row],[Fixed Monthly Cost]]</f>
        <v>21304.799999999999</v>
      </c>
      <c r="S1453" s="5">
        <f>Final_Table[[#This Row],[Net Revenue]]-Final_Table[[#This Row],[Total Cost (COGS)]]</f>
        <v>-2944.7999999999993</v>
      </c>
      <c r="T1453">
        <f>Final_Table[[#This Row],[Gross Profit]]*Final_Table[[#This Row],[Tax Rate]]</f>
        <v>-883.43999999999971</v>
      </c>
      <c r="U1453" s="5">
        <f>Final_Table[[#This Row],[Gross Profit]]-Final_Table[[#This Row],[Tax]]</f>
        <v>-2061.3599999999997</v>
      </c>
      <c r="V1453" s="12">
        <f>Final_Table[[#This Row],[Net Profit]]/Final_Table[[#This Row],[Gross Revenue]]</f>
        <v>-0.10104705882352939</v>
      </c>
    </row>
    <row r="1454" spans="1:22">
      <c r="A1454" s="18" t="s">
        <v>78</v>
      </c>
      <c r="B1454">
        <v>2014</v>
      </c>
      <c r="C1454" t="s">
        <v>129</v>
      </c>
      <c r="D1454">
        <v>1</v>
      </c>
      <c r="E1454" s="18" t="s">
        <v>16</v>
      </c>
      <c r="F1454" s="18" t="s">
        <v>80</v>
      </c>
      <c r="G1454" s="18" t="s">
        <v>21</v>
      </c>
      <c r="H1454" s="18" t="str">
        <f>Assumptions!$B$2</f>
        <v>Worst</v>
      </c>
      <c r="I1454" s="18">
        <f>_xlfn.XLOOKUP(Assumptions!$B$2,Assumptions!$F$4:$H$4,Assumptions!$F$5:$H$5)</f>
        <v>1200</v>
      </c>
      <c r="J1454" s="18">
        <f>_xlfn.XLOOKUP(Assumptions!$B$2,Assumptions!$F$4:$H$4,Assumptions!$F$6:$H$6)</f>
        <v>17</v>
      </c>
      <c r="K1454" s="12">
        <f>_xlfn.XLOOKUP(Assumptions!$B$2,Assumptions!$F$4:$H$4,Assumptions!$F$8:$H$8)</f>
        <v>0.1</v>
      </c>
      <c r="L1454" s="12">
        <f>_xlfn.XLOOKUP(Assumptions!$B$2,Assumptions!$F$4:$H$4,Assumptions!$F$9:$H$9)</f>
        <v>0.18</v>
      </c>
      <c r="M1454" s="18">
        <f>_xlfn.XLOOKUP(Assumptions!$B$2,Assumptions!$F$4:$H$4,Assumptions!$F$10:$H$10)</f>
        <v>18000</v>
      </c>
      <c r="N1454" s="12">
        <f>_xlfn.XLOOKUP(Assumptions!$B$2,Assumptions!$F$4:$H$4,Assumptions!$F$11:$H$11)</f>
        <v>0.3</v>
      </c>
      <c r="O1454" s="14">
        <f>Final_Table[[#This Row],[Units Sold]]*Final_Table[[#This Row],[Sale Price]]</f>
        <v>20400</v>
      </c>
      <c r="P1454" s="14">
        <f>Final_Table[[#This Row],[Gross Revenue]]*(1-Final_Table[[#This Row],[Discount %]])</f>
        <v>18360</v>
      </c>
      <c r="Q1454">
        <f>Final_Table[[#This Row],[Net Revenue]]*Final_Table[[#This Row],[Variable Cost %]]</f>
        <v>3304.7999999999997</v>
      </c>
      <c r="R1454">
        <f>Final_Table[[#This Row],[Variable Cost]]+Final_Table[[#This Row],[Fixed Monthly Cost]]</f>
        <v>21304.799999999999</v>
      </c>
      <c r="S1454" s="5">
        <f>Final_Table[[#This Row],[Net Revenue]]-Final_Table[[#This Row],[Total Cost (COGS)]]</f>
        <v>-2944.7999999999993</v>
      </c>
      <c r="T1454">
        <f>Final_Table[[#This Row],[Gross Profit]]*Final_Table[[#This Row],[Tax Rate]]</f>
        <v>-883.43999999999971</v>
      </c>
      <c r="U1454" s="5">
        <f>Final_Table[[#This Row],[Gross Profit]]-Final_Table[[#This Row],[Tax]]</f>
        <v>-2061.3599999999997</v>
      </c>
      <c r="V1454" s="12">
        <f>Final_Table[[#This Row],[Net Profit]]/Final_Table[[#This Row],[Gross Revenue]]</f>
        <v>-0.10104705882352939</v>
      </c>
    </row>
    <row r="1455" spans="1:22">
      <c r="A1455" s="18" t="s">
        <v>78</v>
      </c>
      <c r="B1455">
        <v>2014</v>
      </c>
      <c r="C1455" t="s">
        <v>129</v>
      </c>
      <c r="D1455">
        <v>1</v>
      </c>
      <c r="E1455" s="18" t="s">
        <v>16</v>
      </c>
      <c r="F1455" s="18" t="s">
        <v>80</v>
      </c>
      <c r="G1455" s="18" t="s">
        <v>25</v>
      </c>
      <c r="H1455" s="18" t="str">
        <f>Assumptions!$B$2</f>
        <v>Worst</v>
      </c>
      <c r="I1455" s="18">
        <f>_xlfn.XLOOKUP(Assumptions!$B$2,Assumptions!$F$4:$H$4,Assumptions!$F$5:$H$5)</f>
        <v>1200</v>
      </c>
      <c r="J1455" s="18">
        <f>_xlfn.XLOOKUP(Assumptions!$B$2,Assumptions!$F$4:$H$4,Assumptions!$F$6:$H$6)</f>
        <v>17</v>
      </c>
      <c r="K1455" s="12">
        <f>_xlfn.XLOOKUP(Assumptions!$B$2,Assumptions!$F$4:$H$4,Assumptions!$F$8:$H$8)</f>
        <v>0.1</v>
      </c>
      <c r="L1455" s="12">
        <f>_xlfn.XLOOKUP(Assumptions!$B$2,Assumptions!$F$4:$H$4,Assumptions!$F$9:$H$9)</f>
        <v>0.18</v>
      </c>
      <c r="M1455" s="18">
        <f>_xlfn.XLOOKUP(Assumptions!$B$2,Assumptions!$F$4:$H$4,Assumptions!$F$10:$H$10)</f>
        <v>18000</v>
      </c>
      <c r="N1455" s="12">
        <f>_xlfn.XLOOKUP(Assumptions!$B$2,Assumptions!$F$4:$H$4,Assumptions!$F$11:$H$11)</f>
        <v>0.3</v>
      </c>
      <c r="O1455" s="14">
        <f>Final_Table[[#This Row],[Units Sold]]*Final_Table[[#This Row],[Sale Price]]</f>
        <v>20400</v>
      </c>
      <c r="P1455" s="14">
        <f>Final_Table[[#This Row],[Gross Revenue]]*(1-Final_Table[[#This Row],[Discount %]])</f>
        <v>18360</v>
      </c>
      <c r="Q1455">
        <f>Final_Table[[#This Row],[Net Revenue]]*Final_Table[[#This Row],[Variable Cost %]]</f>
        <v>3304.7999999999997</v>
      </c>
      <c r="R1455">
        <f>Final_Table[[#This Row],[Variable Cost]]+Final_Table[[#This Row],[Fixed Monthly Cost]]</f>
        <v>21304.799999999999</v>
      </c>
      <c r="S1455" s="5">
        <f>Final_Table[[#This Row],[Net Revenue]]-Final_Table[[#This Row],[Total Cost (COGS)]]</f>
        <v>-2944.7999999999993</v>
      </c>
      <c r="T1455">
        <f>Final_Table[[#This Row],[Gross Profit]]*Final_Table[[#This Row],[Tax Rate]]</f>
        <v>-883.43999999999971</v>
      </c>
      <c r="U1455" s="5">
        <f>Final_Table[[#This Row],[Gross Profit]]-Final_Table[[#This Row],[Tax]]</f>
        <v>-2061.3599999999997</v>
      </c>
      <c r="V1455" s="12">
        <f>Final_Table[[#This Row],[Net Profit]]/Final_Table[[#This Row],[Gross Revenue]]</f>
        <v>-0.10104705882352939</v>
      </c>
    </row>
    <row r="1456" spans="1:22">
      <c r="A1456" s="18" t="s">
        <v>78</v>
      </c>
      <c r="B1456">
        <v>2014</v>
      </c>
      <c r="C1456" t="s">
        <v>129</v>
      </c>
      <c r="D1456">
        <v>1</v>
      </c>
      <c r="E1456" s="18" t="s">
        <v>16</v>
      </c>
      <c r="F1456" s="18" t="s">
        <v>80</v>
      </c>
      <c r="G1456" s="18" t="s">
        <v>17</v>
      </c>
      <c r="H1456" s="18" t="str">
        <f>Assumptions!$B$2</f>
        <v>Worst</v>
      </c>
      <c r="I1456" s="18">
        <f>_xlfn.XLOOKUP(Assumptions!$B$2,Assumptions!$F$4:$H$4,Assumptions!$F$5:$H$5)</f>
        <v>1200</v>
      </c>
      <c r="J1456" s="18">
        <f>_xlfn.XLOOKUP(Assumptions!$B$2,Assumptions!$F$4:$H$4,Assumptions!$F$6:$H$6)</f>
        <v>17</v>
      </c>
      <c r="K1456" s="12">
        <f>_xlfn.XLOOKUP(Assumptions!$B$2,Assumptions!$F$4:$H$4,Assumptions!$F$8:$H$8)</f>
        <v>0.1</v>
      </c>
      <c r="L1456" s="12">
        <f>_xlfn.XLOOKUP(Assumptions!$B$2,Assumptions!$F$4:$H$4,Assumptions!$F$9:$H$9)</f>
        <v>0.18</v>
      </c>
      <c r="M1456" s="18">
        <f>_xlfn.XLOOKUP(Assumptions!$B$2,Assumptions!$F$4:$H$4,Assumptions!$F$10:$H$10)</f>
        <v>18000</v>
      </c>
      <c r="N1456" s="12">
        <f>_xlfn.XLOOKUP(Assumptions!$B$2,Assumptions!$F$4:$H$4,Assumptions!$F$11:$H$11)</f>
        <v>0.3</v>
      </c>
      <c r="O1456" s="14">
        <f>Final_Table[[#This Row],[Units Sold]]*Final_Table[[#This Row],[Sale Price]]</f>
        <v>20400</v>
      </c>
      <c r="P1456" s="14">
        <f>Final_Table[[#This Row],[Gross Revenue]]*(1-Final_Table[[#This Row],[Discount %]])</f>
        <v>18360</v>
      </c>
      <c r="Q1456">
        <f>Final_Table[[#This Row],[Net Revenue]]*Final_Table[[#This Row],[Variable Cost %]]</f>
        <v>3304.7999999999997</v>
      </c>
      <c r="R1456">
        <f>Final_Table[[#This Row],[Variable Cost]]+Final_Table[[#This Row],[Fixed Monthly Cost]]</f>
        <v>21304.799999999999</v>
      </c>
      <c r="S1456" s="5">
        <f>Final_Table[[#This Row],[Net Revenue]]-Final_Table[[#This Row],[Total Cost (COGS)]]</f>
        <v>-2944.7999999999993</v>
      </c>
      <c r="T1456">
        <f>Final_Table[[#This Row],[Gross Profit]]*Final_Table[[#This Row],[Tax Rate]]</f>
        <v>-883.43999999999971</v>
      </c>
      <c r="U1456" s="5">
        <f>Final_Table[[#This Row],[Gross Profit]]-Final_Table[[#This Row],[Tax]]</f>
        <v>-2061.3599999999997</v>
      </c>
      <c r="V1456" s="12">
        <f>Final_Table[[#This Row],[Net Profit]]/Final_Table[[#This Row],[Gross Revenue]]</f>
        <v>-0.10104705882352939</v>
      </c>
    </row>
    <row r="1457" spans="1:22">
      <c r="A1457" s="18" t="s">
        <v>78</v>
      </c>
      <c r="B1457">
        <v>2014</v>
      </c>
      <c r="C1457" t="s">
        <v>129</v>
      </c>
      <c r="D1457">
        <v>1</v>
      </c>
      <c r="E1457" s="18" t="s">
        <v>16</v>
      </c>
      <c r="F1457" s="18" t="s">
        <v>108</v>
      </c>
      <c r="G1457" s="18" t="s">
        <v>36</v>
      </c>
      <c r="H1457" s="18" t="str">
        <f>Assumptions!$B$2</f>
        <v>Worst</v>
      </c>
      <c r="I1457" s="18">
        <f>_xlfn.XLOOKUP(Assumptions!$B$2,Assumptions!$F$4:$H$4,Assumptions!$F$5:$H$5)</f>
        <v>1200</v>
      </c>
      <c r="J1457" s="18">
        <f>_xlfn.XLOOKUP(Assumptions!$B$2,Assumptions!$F$4:$H$4,Assumptions!$F$6:$H$6)</f>
        <v>17</v>
      </c>
      <c r="K1457" s="12">
        <f>_xlfn.XLOOKUP(Assumptions!$B$2,Assumptions!$F$4:$H$4,Assumptions!$F$8:$H$8)</f>
        <v>0.1</v>
      </c>
      <c r="L1457" s="12">
        <f>_xlfn.XLOOKUP(Assumptions!$B$2,Assumptions!$F$4:$H$4,Assumptions!$F$9:$H$9)</f>
        <v>0.18</v>
      </c>
      <c r="M1457" s="18">
        <f>_xlfn.XLOOKUP(Assumptions!$B$2,Assumptions!$F$4:$H$4,Assumptions!$F$10:$H$10)</f>
        <v>18000</v>
      </c>
      <c r="N1457" s="12">
        <f>_xlfn.XLOOKUP(Assumptions!$B$2,Assumptions!$F$4:$H$4,Assumptions!$F$11:$H$11)</f>
        <v>0.3</v>
      </c>
      <c r="O1457" s="14">
        <f>Final_Table[[#This Row],[Units Sold]]*Final_Table[[#This Row],[Sale Price]]</f>
        <v>20400</v>
      </c>
      <c r="P1457" s="14">
        <f>Final_Table[[#This Row],[Gross Revenue]]*(1-Final_Table[[#This Row],[Discount %]])</f>
        <v>18360</v>
      </c>
      <c r="Q1457">
        <f>Final_Table[[#This Row],[Net Revenue]]*Final_Table[[#This Row],[Variable Cost %]]</f>
        <v>3304.7999999999997</v>
      </c>
      <c r="R1457">
        <f>Final_Table[[#This Row],[Variable Cost]]+Final_Table[[#This Row],[Fixed Monthly Cost]]</f>
        <v>21304.799999999999</v>
      </c>
      <c r="S1457" s="5">
        <f>Final_Table[[#This Row],[Net Revenue]]-Final_Table[[#This Row],[Total Cost (COGS)]]</f>
        <v>-2944.7999999999993</v>
      </c>
      <c r="T1457">
        <f>Final_Table[[#This Row],[Gross Profit]]*Final_Table[[#This Row],[Tax Rate]]</f>
        <v>-883.43999999999971</v>
      </c>
      <c r="U1457" s="5">
        <f>Final_Table[[#This Row],[Gross Profit]]-Final_Table[[#This Row],[Tax]]</f>
        <v>-2061.3599999999997</v>
      </c>
      <c r="V1457" s="12">
        <f>Final_Table[[#This Row],[Net Profit]]/Final_Table[[#This Row],[Gross Revenue]]</f>
        <v>-0.10104705882352939</v>
      </c>
    </row>
    <row r="1458" spans="1:22">
      <c r="A1458" s="18" t="s">
        <v>78</v>
      </c>
      <c r="B1458">
        <v>2014</v>
      </c>
      <c r="C1458" t="s">
        <v>129</v>
      </c>
      <c r="D1458">
        <v>1</v>
      </c>
      <c r="E1458" s="18" t="s">
        <v>16</v>
      </c>
      <c r="F1458" s="18" t="s">
        <v>108</v>
      </c>
      <c r="G1458" s="18" t="s">
        <v>23</v>
      </c>
      <c r="H1458" s="18" t="str">
        <f>Assumptions!$B$2</f>
        <v>Worst</v>
      </c>
      <c r="I1458" s="18">
        <f>_xlfn.XLOOKUP(Assumptions!$B$2,Assumptions!$F$4:$H$4,Assumptions!$F$5:$H$5)</f>
        <v>1200</v>
      </c>
      <c r="J1458" s="18">
        <f>_xlfn.XLOOKUP(Assumptions!$B$2,Assumptions!$F$4:$H$4,Assumptions!$F$6:$H$6)</f>
        <v>17</v>
      </c>
      <c r="K1458" s="12">
        <f>_xlfn.XLOOKUP(Assumptions!$B$2,Assumptions!$F$4:$H$4,Assumptions!$F$8:$H$8)</f>
        <v>0.1</v>
      </c>
      <c r="L1458" s="12">
        <f>_xlfn.XLOOKUP(Assumptions!$B$2,Assumptions!$F$4:$H$4,Assumptions!$F$9:$H$9)</f>
        <v>0.18</v>
      </c>
      <c r="M1458" s="18">
        <f>_xlfn.XLOOKUP(Assumptions!$B$2,Assumptions!$F$4:$H$4,Assumptions!$F$10:$H$10)</f>
        <v>18000</v>
      </c>
      <c r="N1458" s="12">
        <f>_xlfn.XLOOKUP(Assumptions!$B$2,Assumptions!$F$4:$H$4,Assumptions!$F$11:$H$11)</f>
        <v>0.3</v>
      </c>
      <c r="O1458" s="14">
        <f>Final_Table[[#This Row],[Units Sold]]*Final_Table[[#This Row],[Sale Price]]</f>
        <v>20400</v>
      </c>
      <c r="P1458" s="14">
        <f>Final_Table[[#This Row],[Gross Revenue]]*(1-Final_Table[[#This Row],[Discount %]])</f>
        <v>18360</v>
      </c>
      <c r="Q1458">
        <f>Final_Table[[#This Row],[Net Revenue]]*Final_Table[[#This Row],[Variable Cost %]]</f>
        <v>3304.7999999999997</v>
      </c>
      <c r="R1458">
        <f>Final_Table[[#This Row],[Variable Cost]]+Final_Table[[#This Row],[Fixed Monthly Cost]]</f>
        <v>21304.799999999999</v>
      </c>
      <c r="S1458" s="5">
        <f>Final_Table[[#This Row],[Net Revenue]]-Final_Table[[#This Row],[Total Cost (COGS)]]</f>
        <v>-2944.7999999999993</v>
      </c>
      <c r="T1458">
        <f>Final_Table[[#This Row],[Gross Profit]]*Final_Table[[#This Row],[Tax Rate]]</f>
        <v>-883.43999999999971</v>
      </c>
      <c r="U1458" s="5">
        <f>Final_Table[[#This Row],[Gross Profit]]-Final_Table[[#This Row],[Tax]]</f>
        <v>-2061.3599999999997</v>
      </c>
      <c r="V1458" s="12">
        <f>Final_Table[[#This Row],[Net Profit]]/Final_Table[[#This Row],[Gross Revenue]]</f>
        <v>-0.10104705882352939</v>
      </c>
    </row>
    <row r="1459" spans="1:22">
      <c r="A1459" s="18" t="s">
        <v>78</v>
      </c>
      <c r="B1459">
        <v>2014</v>
      </c>
      <c r="C1459" t="s">
        <v>129</v>
      </c>
      <c r="D1459">
        <v>1</v>
      </c>
      <c r="E1459" s="18" t="s">
        <v>16</v>
      </c>
      <c r="F1459" s="18" t="s">
        <v>108</v>
      </c>
      <c r="G1459" s="18" t="s">
        <v>21</v>
      </c>
      <c r="H1459" s="18" t="str">
        <f>Assumptions!$B$2</f>
        <v>Worst</v>
      </c>
      <c r="I1459" s="18">
        <f>_xlfn.XLOOKUP(Assumptions!$B$2,Assumptions!$F$4:$H$4,Assumptions!$F$5:$H$5)</f>
        <v>1200</v>
      </c>
      <c r="J1459" s="18">
        <f>_xlfn.XLOOKUP(Assumptions!$B$2,Assumptions!$F$4:$H$4,Assumptions!$F$6:$H$6)</f>
        <v>17</v>
      </c>
      <c r="K1459" s="12">
        <f>_xlfn.XLOOKUP(Assumptions!$B$2,Assumptions!$F$4:$H$4,Assumptions!$F$8:$H$8)</f>
        <v>0.1</v>
      </c>
      <c r="L1459" s="12">
        <f>_xlfn.XLOOKUP(Assumptions!$B$2,Assumptions!$F$4:$H$4,Assumptions!$F$9:$H$9)</f>
        <v>0.18</v>
      </c>
      <c r="M1459" s="18">
        <f>_xlfn.XLOOKUP(Assumptions!$B$2,Assumptions!$F$4:$H$4,Assumptions!$F$10:$H$10)</f>
        <v>18000</v>
      </c>
      <c r="N1459" s="12">
        <f>_xlfn.XLOOKUP(Assumptions!$B$2,Assumptions!$F$4:$H$4,Assumptions!$F$11:$H$11)</f>
        <v>0.3</v>
      </c>
      <c r="O1459" s="14">
        <f>Final_Table[[#This Row],[Units Sold]]*Final_Table[[#This Row],[Sale Price]]</f>
        <v>20400</v>
      </c>
      <c r="P1459" s="14">
        <f>Final_Table[[#This Row],[Gross Revenue]]*(1-Final_Table[[#This Row],[Discount %]])</f>
        <v>18360</v>
      </c>
      <c r="Q1459">
        <f>Final_Table[[#This Row],[Net Revenue]]*Final_Table[[#This Row],[Variable Cost %]]</f>
        <v>3304.7999999999997</v>
      </c>
      <c r="R1459">
        <f>Final_Table[[#This Row],[Variable Cost]]+Final_Table[[#This Row],[Fixed Monthly Cost]]</f>
        <v>21304.799999999999</v>
      </c>
      <c r="S1459" s="5">
        <f>Final_Table[[#This Row],[Net Revenue]]-Final_Table[[#This Row],[Total Cost (COGS)]]</f>
        <v>-2944.7999999999993</v>
      </c>
      <c r="T1459">
        <f>Final_Table[[#This Row],[Gross Profit]]*Final_Table[[#This Row],[Tax Rate]]</f>
        <v>-883.43999999999971</v>
      </c>
      <c r="U1459" s="5">
        <f>Final_Table[[#This Row],[Gross Profit]]-Final_Table[[#This Row],[Tax]]</f>
        <v>-2061.3599999999997</v>
      </c>
      <c r="V1459" s="12">
        <f>Final_Table[[#This Row],[Net Profit]]/Final_Table[[#This Row],[Gross Revenue]]</f>
        <v>-0.10104705882352939</v>
      </c>
    </row>
    <row r="1460" spans="1:22">
      <c r="A1460" s="18" t="s">
        <v>78</v>
      </c>
      <c r="B1460">
        <v>2014</v>
      </c>
      <c r="C1460" t="s">
        <v>129</v>
      </c>
      <c r="D1460">
        <v>1</v>
      </c>
      <c r="E1460" s="18" t="s">
        <v>16</v>
      </c>
      <c r="F1460" s="18" t="s">
        <v>108</v>
      </c>
      <c r="G1460" s="18" t="s">
        <v>25</v>
      </c>
      <c r="H1460" s="18" t="str">
        <f>Assumptions!$B$2</f>
        <v>Worst</v>
      </c>
      <c r="I1460" s="18">
        <f>_xlfn.XLOOKUP(Assumptions!$B$2,Assumptions!$F$4:$H$4,Assumptions!$F$5:$H$5)</f>
        <v>1200</v>
      </c>
      <c r="J1460" s="18">
        <f>_xlfn.XLOOKUP(Assumptions!$B$2,Assumptions!$F$4:$H$4,Assumptions!$F$6:$H$6)</f>
        <v>17</v>
      </c>
      <c r="K1460" s="12">
        <f>_xlfn.XLOOKUP(Assumptions!$B$2,Assumptions!$F$4:$H$4,Assumptions!$F$8:$H$8)</f>
        <v>0.1</v>
      </c>
      <c r="L1460" s="12">
        <f>_xlfn.XLOOKUP(Assumptions!$B$2,Assumptions!$F$4:$H$4,Assumptions!$F$9:$H$9)</f>
        <v>0.18</v>
      </c>
      <c r="M1460" s="18">
        <f>_xlfn.XLOOKUP(Assumptions!$B$2,Assumptions!$F$4:$H$4,Assumptions!$F$10:$H$10)</f>
        <v>18000</v>
      </c>
      <c r="N1460" s="12">
        <f>_xlfn.XLOOKUP(Assumptions!$B$2,Assumptions!$F$4:$H$4,Assumptions!$F$11:$H$11)</f>
        <v>0.3</v>
      </c>
      <c r="O1460" s="14">
        <f>Final_Table[[#This Row],[Units Sold]]*Final_Table[[#This Row],[Sale Price]]</f>
        <v>20400</v>
      </c>
      <c r="P1460" s="14">
        <f>Final_Table[[#This Row],[Gross Revenue]]*(1-Final_Table[[#This Row],[Discount %]])</f>
        <v>18360</v>
      </c>
      <c r="Q1460">
        <f>Final_Table[[#This Row],[Net Revenue]]*Final_Table[[#This Row],[Variable Cost %]]</f>
        <v>3304.7999999999997</v>
      </c>
      <c r="R1460">
        <f>Final_Table[[#This Row],[Variable Cost]]+Final_Table[[#This Row],[Fixed Monthly Cost]]</f>
        <v>21304.799999999999</v>
      </c>
      <c r="S1460" s="5">
        <f>Final_Table[[#This Row],[Net Revenue]]-Final_Table[[#This Row],[Total Cost (COGS)]]</f>
        <v>-2944.7999999999993</v>
      </c>
      <c r="T1460">
        <f>Final_Table[[#This Row],[Gross Profit]]*Final_Table[[#This Row],[Tax Rate]]</f>
        <v>-883.43999999999971</v>
      </c>
      <c r="U1460" s="5">
        <f>Final_Table[[#This Row],[Gross Profit]]-Final_Table[[#This Row],[Tax]]</f>
        <v>-2061.3599999999997</v>
      </c>
      <c r="V1460" s="12">
        <f>Final_Table[[#This Row],[Net Profit]]/Final_Table[[#This Row],[Gross Revenue]]</f>
        <v>-0.10104705882352939</v>
      </c>
    </row>
    <row r="1461" spans="1:22">
      <c r="A1461" s="18" t="s">
        <v>78</v>
      </c>
      <c r="B1461">
        <v>2014</v>
      </c>
      <c r="C1461" t="s">
        <v>129</v>
      </c>
      <c r="D1461">
        <v>1</v>
      </c>
      <c r="E1461" s="18" t="s">
        <v>16</v>
      </c>
      <c r="F1461" s="18" t="s">
        <v>108</v>
      </c>
      <c r="G1461" s="18" t="s">
        <v>17</v>
      </c>
      <c r="H1461" s="18" t="str">
        <f>Assumptions!$B$2</f>
        <v>Worst</v>
      </c>
      <c r="I1461" s="18">
        <f>_xlfn.XLOOKUP(Assumptions!$B$2,Assumptions!$F$4:$H$4,Assumptions!$F$5:$H$5)</f>
        <v>1200</v>
      </c>
      <c r="J1461" s="18">
        <f>_xlfn.XLOOKUP(Assumptions!$B$2,Assumptions!$F$4:$H$4,Assumptions!$F$6:$H$6)</f>
        <v>17</v>
      </c>
      <c r="K1461" s="12">
        <f>_xlfn.XLOOKUP(Assumptions!$B$2,Assumptions!$F$4:$H$4,Assumptions!$F$8:$H$8)</f>
        <v>0.1</v>
      </c>
      <c r="L1461" s="12">
        <f>_xlfn.XLOOKUP(Assumptions!$B$2,Assumptions!$F$4:$H$4,Assumptions!$F$9:$H$9)</f>
        <v>0.18</v>
      </c>
      <c r="M1461" s="18">
        <f>_xlfn.XLOOKUP(Assumptions!$B$2,Assumptions!$F$4:$H$4,Assumptions!$F$10:$H$10)</f>
        <v>18000</v>
      </c>
      <c r="N1461" s="12">
        <f>_xlfn.XLOOKUP(Assumptions!$B$2,Assumptions!$F$4:$H$4,Assumptions!$F$11:$H$11)</f>
        <v>0.3</v>
      </c>
      <c r="O1461" s="14">
        <f>Final_Table[[#This Row],[Units Sold]]*Final_Table[[#This Row],[Sale Price]]</f>
        <v>20400</v>
      </c>
      <c r="P1461" s="14">
        <f>Final_Table[[#This Row],[Gross Revenue]]*(1-Final_Table[[#This Row],[Discount %]])</f>
        <v>18360</v>
      </c>
      <c r="Q1461">
        <f>Final_Table[[#This Row],[Net Revenue]]*Final_Table[[#This Row],[Variable Cost %]]</f>
        <v>3304.7999999999997</v>
      </c>
      <c r="R1461">
        <f>Final_Table[[#This Row],[Variable Cost]]+Final_Table[[#This Row],[Fixed Monthly Cost]]</f>
        <v>21304.799999999999</v>
      </c>
      <c r="S1461" s="5">
        <f>Final_Table[[#This Row],[Net Revenue]]-Final_Table[[#This Row],[Total Cost (COGS)]]</f>
        <v>-2944.7999999999993</v>
      </c>
      <c r="T1461">
        <f>Final_Table[[#This Row],[Gross Profit]]*Final_Table[[#This Row],[Tax Rate]]</f>
        <v>-883.43999999999971</v>
      </c>
      <c r="U1461" s="5">
        <f>Final_Table[[#This Row],[Gross Profit]]-Final_Table[[#This Row],[Tax]]</f>
        <v>-2061.3599999999997</v>
      </c>
      <c r="V1461" s="12">
        <f>Final_Table[[#This Row],[Net Profit]]/Final_Table[[#This Row],[Gross Revenue]]</f>
        <v>-0.10104705882352939</v>
      </c>
    </row>
    <row r="1462" spans="1:22">
      <c r="A1462" s="18" t="s">
        <v>78</v>
      </c>
      <c r="B1462">
        <v>2014</v>
      </c>
      <c r="C1462" t="s">
        <v>129</v>
      </c>
      <c r="D1462">
        <v>1</v>
      </c>
      <c r="E1462" s="18" t="s">
        <v>16</v>
      </c>
      <c r="F1462" s="18" t="s">
        <v>112</v>
      </c>
      <c r="G1462" s="18" t="s">
        <v>36</v>
      </c>
      <c r="H1462" s="18" t="str">
        <f>Assumptions!$B$2</f>
        <v>Worst</v>
      </c>
      <c r="I1462" s="18">
        <f>_xlfn.XLOOKUP(Assumptions!$B$2,Assumptions!$F$4:$H$4,Assumptions!$F$5:$H$5)</f>
        <v>1200</v>
      </c>
      <c r="J1462" s="18">
        <f>_xlfn.XLOOKUP(Assumptions!$B$2,Assumptions!$F$4:$H$4,Assumptions!$F$6:$H$6)</f>
        <v>17</v>
      </c>
      <c r="K1462" s="12">
        <f>_xlfn.XLOOKUP(Assumptions!$B$2,Assumptions!$F$4:$H$4,Assumptions!$F$8:$H$8)</f>
        <v>0.1</v>
      </c>
      <c r="L1462" s="12">
        <f>_xlfn.XLOOKUP(Assumptions!$B$2,Assumptions!$F$4:$H$4,Assumptions!$F$9:$H$9)</f>
        <v>0.18</v>
      </c>
      <c r="M1462" s="18">
        <f>_xlfn.XLOOKUP(Assumptions!$B$2,Assumptions!$F$4:$H$4,Assumptions!$F$10:$H$10)</f>
        <v>18000</v>
      </c>
      <c r="N1462" s="12">
        <f>_xlfn.XLOOKUP(Assumptions!$B$2,Assumptions!$F$4:$H$4,Assumptions!$F$11:$H$11)</f>
        <v>0.3</v>
      </c>
      <c r="O1462" s="14">
        <f>Final_Table[[#This Row],[Units Sold]]*Final_Table[[#This Row],[Sale Price]]</f>
        <v>20400</v>
      </c>
      <c r="P1462" s="14">
        <f>Final_Table[[#This Row],[Gross Revenue]]*(1-Final_Table[[#This Row],[Discount %]])</f>
        <v>18360</v>
      </c>
      <c r="Q1462">
        <f>Final_Table[[#This Row],[Net Revenue]]*Final_Table[[#This Row],[Variable Cost %]]</f>
        <v>3304.7999999999997</v>
      </c>
      <c r="R1462">
        <f>Final_Table[[#This Row],[Variable Cost]]+Final_Table[[#This Row],[Fixed Monthly Cost]]</f>
        <v>21304.799999999999</v>
      </c>
      <c r="S1462" s="5">
        <f>Final_Table[[#This Row],[Net Revenue]]-Final_Table[[#This Row],[Total Cost (COGS)]]</f>
        <v>-2944.7999999999993</v>
      </c>
      <c r="T1462">
        <f>Final_Table[[#This Row],[Gross Profit]]*Final_Table[[#This Row],[Tax Rate]]</f>
        <v>-883.43999999999971</v>
      </c>
      <c r="U1462" s="5">
        <f>Final_Table[[#This Row],[Gross Profit]]-Final_Table[[#This Row],[Tax]]</f>
        <v>-2061.3599999999997</v>
      </c>
      <c r="V1462" s="12">
        <f>Final_Table[[#This Row],[Net Profit]]/Final_Table[[#This Row],[Gross Revenue]]</f>
        <v>-0.10104705882352939</v>
      </c>
    </row>
    <row r="1463" spans="1:22">
      <c r="A1463" s="18" t="s">
        <v>78</v>
      </c>
      <c r="B1463">
        <v>2014</v>
      </c>
      <c r="C1463" t="s">
        <v>129</v>
      </c>
      <c r="D1463">
        <v>1</v>
      </c>
      <c r="E1463" s="18" t="s">
        <v>16</v>
      </c>
      <c r="F1463" s="18" t="s">
        <v>112</v>
      </c>
      <c r="G1463" s="18" t="s">
        <v>23</v>
      </c>
      <c r="H1463" s="18" t="str">
        <f>Assumptions!$B$2</f>
        <v>Worst</v>
      </c>
      <c r="I1463" s="18">
        <f>_xlfn.XLOOKUP(Assumptions!$B$2,Assumptions!$F$4:$H$4,Assumptions!$F$5:$H$5)</f>
        <v>1200</v>
      </c>
      <c r="J1463" s="18">
        <f>_xlfn.XLOOKUP(Assumptions!$B$2,Assumptions!$F$4:$H$4,Assumptions!$F$6:$H$6)</f>
        <v>17</v>
      </c>
      <c r="K1463" s="12">
        <f>_xlfn.XLOOKUP(Assumptions!$B$2,Assumptions!$F$4:$H$4,Assumptions!$F$8:$H$8)</f>
        <v>0.1</v>
      </c>
      <c r="L1463" s="12">
        <f>_xlfn.XLOOKUP(Assumptions!$B$2,Assumptions!$F$4:$H$4,Assumptions!$F$9:$H$9)</f>
        <v>0.18</v>
      </c>
      <c r="M1463" s="18">
        <f>_xlfn.XLOOKUP(Assumptions!$B$2,Assumptions!$F$4:$H$4,Assumptions!$F$10:$H$10)</f>
        <v>18000</v>
      </c>
      <c r="N1463" s="12">
        <f>_xlfn.XLOOKUP(Assumptions!$B$2,Assumptions!$F$4:$H$4,Assumptions!$F$11:$H$11)</f>
        <v>0.3</v>
      </c>
      <c r="O1463" s="14">
        <f>Final_Table[[#This Row],[Units Sold]]*Final_Table[[#This Row],[Sale Price]]</f>
        <v>20400</v>
      </c>
      <c r="P1463" s="14">
        <f>Final_Table[[#This Row],[Gross Revenue]]*(1-Final_Table[[#This Row],[Discount %]])</f>
        <v>18360</v>
      </c>
      <c r="Q1463">
        <f>Final_Table[[#This Row],[Net Revenue]]*Final_Table[[#This Row],[Variable Cost %]]</f>
        <v>3304.7999999999997</v>
      </c>
      <c r="R1463">
        <f>Final_Table[[#This Row],[Variable Cost]]+Final_Table[[#This Row],[Fixed Monthly Cost]]</f>
        <v>21304.799999999999</v>
      </c>
      <c r="S1463" s="5">
        <f>Final_Table[[#This Row],[Net Revenue]]-Final_Table[[#This Row],[Total Cost (COGS)]]</f>
        <v>-2944.7999999999993</v>
      </c>
      <c r="T1463">
        <f>Final_Table[[#This Row],[Gross Profit]]*Final_Table[[#This Row],[Tax Rate]]</f>
        <v>-883.43999999999971</v>
      </c>
      <c r="U1463" s="5">
        <f>Final_Table[[#This Row],[Gross Profit]]-Final_Table[[#This Row],[Tax]]</f>
        <v>-2061.3599999999997</v>
      </c>
      <c r="V1463" s="12">
        <f>Final_Table[[#This Row],[Net Profit]]/Final_Table[[#This Row],[Gross Revenue]]</f>
        <v>-0.10104705882352939</v>
      </c>
    </row>
    <row r="1464" spans="1:22">
      <c r="A1464" s="18" t="s">
        <v>78</v>
      </c>
      <c r="B1464">
        <v>2014</v>
      </c>
      <c r="C1464" t="s">
        <v>129</v>
      </c>
      <c r="D1464">
        <v>1</v>
      </c>
      <c r="E1464" s="18" t="s">
        <v>16</v>
      </c>
      <c r="F1464" s="18" t="s">
        <v>112</v>
      </c>
      <c r="G1464" s="18" t="s">
        <v>21</v>
      </c>
      <c r="H1464" s="18" t="str">
        <f>Assumptions!$B$2</f>
        <v>Worst</v>
      </c>
      <c r="I1464" s="18">
        <f>_xlfn.XLOOKUP(Assumptions!$B$2,Assumptions!$F$4:$H$4,Assumptions!$F$5:$H$5)</f>
        <v>1200</v>
      </c>
      <c r="J1464" s="18">
        <f>_xlfn.XLOOKUP(Assumptions!$B$2,Assumptions!$F$4:$H$4,Assumptions!$F$6:$H$6)</f>
        <v>17</v>
      </c>
      <c r="K1464" s="12">
        <f>_xlfn.XLOOKUP(Assumptions!$B$2,Assumptions!$F$4:$H$4,Assumptions!$F$8:$H$8)</f>
        <v>0.1</v>
      </c>
      <c r="L1464" s="12">
        <f>_xlfn.XLOOKUP(Assumptions!$B$2,Assumptions!$F$4:$H$4,Assumptions!$F$9:$H$9)</f>
        <v>0.18</v>
      </c>
      <c r="M1464" s="18">
        <f>_xlfn.XLOOKUP(Assumptions!$B$2,Assumptions!$F$4:$H$4,Assumptions!$F$10:$H$10)</f>
        <v>18000</v>
      </c>
      <c r="N1464" s="12">
        <f>_xlfn.XLOOKUP(Assumptions!$B$2,Assumptions!$F$4:$H$4,Assumptions!$F$11:$H$11)</f>
        <v>0.3</v>
      </c>
      <c r="O1464" s="14">
        <f>Final_Table[[#This Row],[Units Sold]]*Final_Table[[#This Row],[Sale Price]]</f>
        <v>20400</v>
      </c>
      <c r="P1464" s="14">
        <f>Final_Table[[#This Row],[Gross Revenue]]*(1-Final_Table[[#This Row],[Discount %]])</f>
        <v>18360</v>
      </c>
      <c r="Q1464">
        <f>Final_Table[[#This Row],[Net Revenue]]*Final_Table[[#This Row],[Variable Cost %]]</f>
        <v>3304.7999999999997</v>
      </c>
      <c r="R1464">
        <f>Final_Table[[#This Row],[Variable Cost]]+Final_Table[[#This Row],[Fixed Monthly Cost]]</f>
        <v>21304.799999999999</v>
      </c>
      <c r="S1464" s="5">
        <f>Final_Table[[#This Row],[Net Revenue]]-Final_Table[[#This Row],[Total Cost (COGS)]]</f>
        <v>-2944.7999999999993</v>
      </c>
      <c r="T1464">
        <f>Final_Table[[#This Row],[Gross Profit]]*Final_Table[[#This Row],[Tax Rate]]</f>
        <v>-883.43999999999971</v>
      </c>
      <c r="U1464" s="5">
        <f>Final_Table[[#This Row],[Gross Profit]]-Final_Table[[#This Row],[Tax]]</f>
        <v>-2061.3599999999997</v>
      </c>
      <c r="V1464" s="12">
        <f>Final_Table[[#This Row],[Net Profit]]/Final_Table[[#This Row],[Gross Revenue]]</f>
        <v>-0.10104705882352939</v>
      </c>
    </row>
    <row r="1465" spans="1:22">
      <c r="A1465" s="18" t="s">
        <v>78</v>
      </c>
      <c r="B1465">
        <v>2014</v>
      </c>
      <c r="C1465" t="s">
        <v>129</v>
      </c>
      <c r="D1465">
        <v>1</v>
      </c>
      <c r="E1465" s="18" t="s">
        <v>16</v>
      </c>
      <c r="F1465" s="18" t="s">
        <v>112</v>
      </c>
      <c r="G1465" s="18" t="s">
        <v>25</v>
      </c>
      <c r="H1465" s="18" t="str">
        <f>Assumptions!$B$2</f>
        <v>Worst</v>
      </c>
      <c r="I1465" s="18">
        <f>_xlfn.XLOOKUP(Assumptions!$B$2,Assumptions!$F$4:$H$4,Assumptions!$F$5:$H$5)</f>
        <v>1200</v>
      </c>
      <c r="J1465" s="18">
        <f>_xlfn.XLOOKUP(Assumptions!$B$2,Assumptions!$F$4:$H$4,Assumptions!$F$6:$H$6)</f>
        <v>17</v>
      </c>
      <c r="K1465" s="12">
        <f>_xlfn.XLOOKUP(Assumptions!$B$2,Assumptions!$F$4:$H$4,Assumptions!$F$8:$H$8)</f>
        <v>0.1</v>
      </c>
      <c r="L1465" s="12">
        <f>_xlfn.XLOOKUP(Assumptions!$B$2,Assumptions!$F$4:$H$4,Assumptions!$F$9:$H$9)</f>
        <v>0.18</v>
      </c>
      <c r="M1465" s="18">
        <f>_xlfn.XLOOKUP(Assumptions!$B$2,Assumptions!$F$4:$H$4,Assumptions!$F$10:$H$10)</f>
        <v>18000</v>
      </c>
      <c r="N1465" s="12">
        <f>_xlfn.XLOOKUP(Assumptions!$B$2,Assumptions!$F$4:$H$4,Assumptions!$F$11:$H$11)</f>
        <v>0.3</v>
      </c>
      <c r="O1465" s="14">
        <f>Final_Table[[#This Row],[Units Sold]]*Final_Table[[#This Row],[Sale Price]]</f>
        <v>20400</v>
      </c>
      <c r="P1465" s="14">
        <f>Final_Table[[#This Row],[Gross Revenue]]*(1-Final_Table[[#This Row],[Discount %]])</f>
        <v>18360</v>
      </c>
      <c r="Q1465">
        <f>Final_Table[[#This Row],[Net Revenue]]*Final_Table[[#This Row],[Variable Cost %]]</f>
        <v>3304.7999999999997</v>
      </c>
      <c r="R1465">
        <f>Final_Table[[#This Row],[Variable Cost]]+Final_Table[[#This Row],[Fixed Monthly Cost]]</f>
        <v>21304.799999999999</v>
      </c>
      <c r="S1465" s="5">
        <f>Final_Table[[#This Row],[Net Revenue]]-Final_Table[[#This Row],[Total Cost (COGS)]]</f>
        <v>-2944.7999999999993</v>
      </c>
      <c r="T1465">
        <f>Final_Table[[#This Row],[Gross Profit]]*Final_Table[[#This Row],[Tax Rate]]</f>
        <v>-883.43999999999971</v>
      </c>
      <c r="U1465" s="5">
        <f>Final_Table[[#This Row],[Gross Profit]]-Final_Table[[#This Row],[Tax]]</f>
        <v>-2061.3599999999997</v>
      </c>
      <c r="V1465" s="12">
        <f>Final_Table[[#This Row],[Net Profit]]/Final_Table[[#This Row],[Gross Revenue]]</f>
        <v>-0.10104705882352939</v>
      </c>
    </row>
    <row r="1466" spans="1:22">
      <c r="A1466" s="18" t="s">
        <v>78</v>
      </c>
      <c r="B1466">
        <v>2014</v>
      </c>
      <c r="C1466" t="s">
        <v>129</v>
      </c>
      <c r="D1466">
        <v>1</v>
      </c>
      <c r="E1466" s="18" t="s">
        <v>16</v>
      </c>
      <c r="F1466" s="18" t="s">
        <v>112</v>
      </c>
      <c r="G1466" s="18" t="s">
        <v>17</v>
      </c>
      <c r="H1466" s="18" t="str">
        <f>Assumptions!$B$2</f>
        <v>Worst</v>
      </c>
      <c r="I1466" s="18">
        <f>_xlfn.XLOOKUP(Assumptions!$B$2,Assumptions!$F$4:$H$4,Assumptions!$F$5:$H$5)</f>
        <v>1200</v>
      </c>
      <c r="J1466" s="18">
        <f>_xlfn.XLOOKUP(Assumptions!$B$2,Assumptions!$F$4:$H$4,Assumptions!$F$6:$H$6)</f>
        <v>17</v>
      </c>
      <c r="K1466" s="12">
        <f>_xlfn.XLOOKUP(Assumptions!$B$2,Assumptions!$F$4:$H$4,Assumptions!$F$8:$H$8)</f>
        <v>0.1</v>
      </c>
      <c r="L1466" s="12">
        <f>_xlfn.XLOOKUP(Assumptions!$B$2,Assumptions!$F$4:$H$4,Assumptions!$F$9:$H$9)</f>
        <v>0.18</v>
      </c>
      <c r="M1466" s="18">
        <f>_xlfn.XLOOKUP(Assumptions!$B$2,Assumptions!$F$4:$H$4,Assumptions!$F$10:$H$10)</f>
        <v>18000</v>
      </c>
      <c r="N1466" s="12">
        <f>_xlfn.XLOOKUP(Assumptions!$B$2,Assumptions!$F$4:$H$4,Assumptions!$F$11:$H$11)</f>
        <v>0.3</v>
      </c>
      <c r="O1466" s="14">
        <f>Final_Table[[#This Row],[Units Sold]]*Final_Table[[#This Row],[Sale Price]]</f>
        <v>20400</v>
      </c>
      <c r="P1466" s="14">
        <f>Final_Table[[#This Row],[Gross Revenue]]*(1-Final_Table[[#This Row],[Discount %]])</f>
        <v>18360</v>
      </c>
      <c r="Q1466">
        <f>Final_Table[[#This Row],[Net Revenue]]*Final_Table[[#This Row],[Variable Cost %]]</f>
        <v>3304.7999999999997</v>
      </c>
      <c r="R1466">
        <f>Final_Table[[#This Row],[Variable Cost]]+Final_Table[[#This Row],[Fixed Monthly Cost]]</f>
        <v>21304.799999999999</v>
      </c>
      <c r="S1466" s="5">
        <f>Final_Table[[#This Row],[Net Revenue]]-Final_Table[[#This Row],[Total Cost (COGS)]]</f>
        <v>-2944.7999999999993</v>
      </c>
      <c r="T1466">
        <f>Final_Table[[#This Row],[Gross Profit]]*Final_Table[[#This Row],[Tax Rate]]</f>
        <v>-883.43999999999971</v>
      </c>
      <c r="U1466" s="5">
        <f>Final_Table[[#This Row],[Gross Profit]]-Final_Table[[#This Row],[Tax]]</f>
        <v>-2061.3599999999997</v>
      </c>
      <c r="V1466" s="12">
        <f>Final_Table[[#This Row],[Net Profit]]/Final_Table[[#This Row],[Gross Revenue]]</f>
        <v>-0.10104705882352939</v>
      </c>
    </row>
    <row r="1467" spans="1:22">
      <c r="A1467" s="18" t="s">
        <v>78</v>
      </c>
      <c r="B1467">
        <v>2014</v>
      </c>
      <c r="C1467" t="s">
        <v>129</v>
      </c>
      <c r="D1467">
        <v>1</v>
      </c>
      <c r="E1467" s="18" t="s">
        <v>16</v>
      </c>
      <c r="F1467" s="18" t="s">
        <v>113</v>
      </c>
      <c r="G1467" s="18" t="s">
        <v>36</v>
      </c>
      <c r="H1467" s="18" t="str">
        <f>Assumptions!$B$2</f>
        <v>Worst</v>
      </c>
      <c r="I1467" s="18">
        <f>_xlfn.XLOOKUP(Assumptions!$B$2,Assumptions!$F$4:$H$4,Assumptions!$F$5:$H$5)</f>
        <v>1200</v>
      </c>
      <c r="J1467" s="18">
        <f>_xlfn.XLOOKUP(Assumptions!$B$2,Assumptions!$F$4:$H$4,Assumptions!$F$6:$H$6)</f>
        <v>17</v>
      </c>
      <c r="K1467" s="12">
        <f>_xlfn.XLOOKUP(Assumptions!$B$2,Assumptions!$F$4:$H$4,Assumptions!$F$8:$H$8)</f>
        <v>0.1</v>
      </c>
      <c r="L1467" s="12">
        <f>_xlfn.XLOOKUP(Assumptions!$B$2,Assumptions!$F$4:$H$4,Assumptions!$F$9:$H$9)</f>
        <v>0.18</v>
      </c>
      <c r="M1467" s="18">
        <f>_xlfn.XLOOKUP(Assumptions!$B$2,Assumptions!$F$4:$H$4,Assumptions!$F$10:$H$10)</f>
        <v>18000</v>
      </c>
      <c r="N1467" s="12">
        <f>_xlfn.XLOOKUP(Assumptions!$B$2,Assumptions!$F$4:$H$4,Assumptions!$F$11:$H$11)</f>
        <v>0.3</v>
      </c>
      <c r="O1467" s="14">
        <f>Final_Table[[#This Row],[Units Sold]]*Final_Table[[#This Row],[Sale Price]]</f>
        <v>20400</v>
      </c>
      <c r="P1467" s="14">
        <f>Final_Table[[#This Row],[Gross Revenue]]*(1-Final_Table[[#This Row],[Discount %]])</f>
        <v>18360</v>
      </c>
      <c r="Q1467">
        <f>Final_Table[[#This Row],[Net Revenue]]*Final_Table[[#This Row],[Variable Cost %]]</f>
        <v>3304.7999999999997</v>
      </c>
      <c r="R1467">
        <f>Final_Table[[#This Row],[Variable Cost]]+Final_Table[[#This Row],[Fixed Monthly Cost]]</f>
        <v>21304.799999999999</v>
      </c>
      <c r="S1467" s="5">
        <f>Final_Table[[#This Row],[Net Revenue]]-Final_Table[[#This Row],[Total Cost (COGS)]]</f>
        <v>-2944.7999999999993</v>
      </c>
      <c r="T1467">
        <f>Final_Table[[#This Row],[Gross Profit]]*Final_Table[[#This Row],[Tax Rate]]</f>
        <v>-883.43999999999971</v>
      </c>
      <c r="U1467" s="5">
        <f>Final_Table[[#This Row],[Gross Profit]]-Final_Table[[#This Row],[Tax]]</f>
        <v>-2061.3599999999997</v>
      </c>
      <c r="V1467" s="12">
        <f>Final_Table[[#This Row],[Net Profit]]/Final_Table[[#This Row],[Gross Revenue]]</f>
        <v>-0.10104705882352939</v>
      </c>
    </row>
    <row r="1468" spans="1:22">
      <c r="A1468" s="18" t="s">
        <v>78</v>
      </c>
      <c r="B1468">
        <v>2014</v>
      </c>
      <c r="C1468" t="s">
        <v>129</v>
      </c>
      <c r="D1468">
        <v>1</v>
      </c>
      <c r="E1468" s="18" t="s">
        <v>16</v>
      </c>
      <c r="F1468" s="18" t="s">
        <v>113</v>
      </c>
      <c r="G1468" s="18" t="s">
        <v>23</v>
      </c>
      <c r="H1468" s="18" t="str">
        <f>Assumptions!$B$2</f>
        <v>Worst</v>
      </c>
      <c r="I1468" s="18">
        <f>_xlfn.XLOOKUP(Assumptions!$B$2,Assumptions!$F$4:$H$4,Assumptions!$F$5:$H$5)</f>
        <v>1200</v>
      </c>
      <c r="J1468" s="18">
        <f>_xlfn.XLOOKUP(Assumptions!$B$2,Assumptions!$F$4:$H$4,Assumptions!$F$6:$H$6)</f>
        <v>17</v>
      </c>
      <c r="K1468" s="12">
        <f>_xlfn.XLOOKUP(Assumptions!$B$2,Assumptions!$F$4:$H$4,Assumptions!$F$8:$H$8)</f>
        <v>0.1</v>
      </c>
      <c r="L1468" s="12">
        <f>_xlfn.XLOOKUP(Assumptions!$B$2,Assumptions!$F$4:$H$4,Assumptions!$F$9:$H$9)</f>
        <v>0.18</v>
      </c>
      <c r="M1468" s="18">
        <f>_xlfn.XLOOKUP(Assumptions!$B$2,Assumptions!$F$4:$H$4,Assumptions!$F$10:$H$10)</f>
        <v>18000</v>
      </c>
      <c r="N1468" s="12">
        <f>_xlfn.XLOOKUP(Assumptions!$B$2,Assumptions!$F$4:$H$4,Assumptions!$F$11:$H$11)</f>
        <v>0.3</v>
      </c>
      <c r="O1468" s="14">
        <f>Final_Table[[#This Row],[Units Sold]]*Final_Table[[#This Row],[Sale Price]]</f>
        <v>20400</v>
      </c>
      <c r="P1468" s="14">
        <f>Final_Table[[#This Row],[Gross Revenue]]*(1-Final_Table[[#This Row],[Discount %]])</f>
        <v>18360</v>
      </c>
      <c r="Q1468">
        <f>Final_Table[[#This Row],[Net Revenue]]*Final_Table[[#This Row],[Variable Cost %]]</f>
        <v>3304.7999999999997</v>
      </c>
      <c r="R1468">
        <f>Final_Table[[#This Row],[Variable Cost]]+Final_Table[[#This Row],[Fixed Monthly Cost]]</f>
        <v>21304.799999999999</v>
      </c>
      <c r="S1468" s="5">
        <f>Final_Table[[#This Row],[Net Revenue]]-Final_Table[[#This Row],[Total Cost (COGS)]]</f>
        <v>-2944.7999999999993</v>
      </c>
      <c r="T1468">
        <f>Final_Table[[#This Row],[Gross Profit]]*Final_Table[[#This Row],[Tax Rate]]</f>
        <v>-883.43999999999971</v>
      </c>
      <c r="U1468" s="5">
        <f>Final_Table[[#This Row],[Gross Profit]]-Final_Table[[#This Row],[Tax]]</f>
        <v>-2061.3599999999997</v>
      </c>
      <c r="V1468" s="12">
        <f>Final_Table[[#This Row],[Net Profit]]/Final_Table[[#This Row],[Gross Revenue]]</f>
        <v>-0.10104705882352939</v>
      </c>
    </row>
    <row r="1469" spans="1:22">
      <c r="A1469" s="18" t="s">
        <v>78</v>
      </c>
      <c r="B1469">
        <v>2014</v>
      </c>
      <c r="C1469" t="s">
        <v>129</v>
      </c>
      <c r="D1469">
        <v>1</v>
      </c>
      <c r="E1469" s="18" t="s">
        <v>16</v>
      </c>
      <c r="F1469" s="18" t="s">
        <v>113</v>
      </c>
      <c r="G1469" s="18" t="s">
        <v>21</v>
      </c>
      <c r="H1469" s="18" t="str">
        <f>Assumptions!$B$2</f>
        <v>Worst</v>
      </c>
      <c r="I1469" s="18">
        <f>_xlfn.XLOOKUP(Assumptions!$B$2,Assumptions!$F$4:$H$4,Assumptions!$F$5:$H$5)</f>
        <v>1200</v>
      </c>
      <c r="J1469" s="18">
        <f>_xlfn.XLOOKUP(Assumptions!$B$2,Assumptions!$F$4:$H$4,Assumptions!$F$6:$H$6)</f>
        <v>17</v>
      </c>
      <c r="K1469" s="12">
        <f>_xlfn.XLOOKUP(Assumptions!$B$2,Assumptions!$F$4:$H$4,Assumptions!$F$8:$H$8)</f>
        <v>0.1</v>
      </c>
      <c r="L1469" s="12">
        <f>_xlfn.XLOOKUP(Assumptions!$B$2,Assumptions!$F$4:$H$4,Assumptions!$F$9:$H$9)</f>
        <v>0.18</v>
      </c>
      <c r="M1469" s="18">
        <f>_xlfn.XLOOKUP(Assumptions!$B$2,Assumptions!$F$4:$H$4,Assumptions!$F$10:$H$10)</f>
        <v>18000</v>
      </c>
      <c r="N1469" s="12">
        <f>_xlfn.XLOOKUP(Assumptions!$B$2,Assumptions!$F$4:$H$4,Assumptions!$F$11:$H$11)</f>
        <v>0.3</v>
      </c>
      <c r="O1469" s="14">
        <f>Final_Table[[#This Row],[Units Sold]]*Final_Table[[#This Row],[Sale Price]]</f>
        <v>20400</v>
      </c>
      <c r="P1469" s="14">
        <f>Final_Table[[#This Row],[Gross Revenue]]*(1-Final_Table[[#This Row],[Discount %]])</f>
        <v>18360</v>
      </c>
      <c r="Q1469">
        <f>Final_Table[[#This Row],[Net Revenue]]*Final_Table[[#This Row],[Variable Cost %]]</f>
        <v>3304.7999999999997</v>
      </c>
      <c r="R1469">
        <f>Final_Table[[#This Row],[Variable Cost]]+Final_Table[[#This Row],[Fixed Monthly Cost]]</f>
        <v>21304.799999999999</v>
      </c>
      <c r="S1469" s="5">
        <f>Final_Table[[#This Row],[Net Revenue]]-Final_Table[[#This Row],[Total Cost (COGS)]]</f>
        <v>-2944.7999999999993</v>
      </c>
      <c r="T1469">
        <f>Final_Table[[#This Row],[Gross Profit]]*Final_Table[[#This Row],[Tax Rate]]</f>
        <v>-883.43999999999971</v>
      </c>
      <c r="U1469" s="5">
        <f>Final_Table[[#This Row],[Gross Profit]]-Final_Table[[#This Row],[Tax]]</f>
        <v>-2061.3599999999997</v>
      </c>
      <c r="V1469" s="12">
        <f>Final_Table[[#This Row],[Net Profit]]/Final_Table[[#This Row],[Gross Revenue]]</f>
        <v>-0.10104705882352939</v>
      </c>
    </row>
    <row r="1470" spans="1:22">
      <c r="A1470" s="18" t="s">
        <v>78</v>
      </c>
      <c r="B1470">
        <v>2014</v>
      </c>
      <c r="C1470" t="s">
        <v>129</v>
      </c>
      <c r="D1470">
        <v>1</v>
      </c>
      <c r="E1470" s="18" t="s">
        <v>16</v>
      </c>
      <c r="F1470" s="18" t="s">
        <v>113</v>
      </c>
      <c r="G1470" s="18" t="s">
        <v>25</v>
      </c>
      <c r="H1470" s="18" t="str">
        <f>Assumptions!$B$2</f>
        <v>Worst</v>
      </c>
      <c r="I1470" s="18">
        <f>_xlfn.XLOOKUP(Assumptions!$B$2,Assumptions!$F$4:$H$4,Assumptions!$F$5:$H$5)</f>
        <v>1200</v>
      </c>
      <c r="J1470" s="18">
        <f>_xlfn.XLOOKUP(Assumptions!$B$2,Assumptions!$F$4:$H$4,Assumptions!$F$6:$H$6)</f>
        <v>17</v>
      </c>
      <c r="K1470" s="12">
        <f>_xlfn.XLOOKUP(Assumptions!$B$2,Assumptions!$F$4:$H$4,Assumptions!$F$8:$H$8)</f>
        <v>0.1</v>
      </c>
      <c r="L1470" s="12">
        <f>_xlfn.XLOOKUP(Assumptions!$B$2,Assumptions!$F$4:$H$4,Assumptions!$F$9:$H$9)</f>
        <v>0.18</v>
      </c>
      <c r="M1470" s="18">
        <f>_xlfn.XLOOKUP(Assumptions!$B$2,Assumptions!$F$4:$H$4,Assumptions!$F$10:$H$10)</f>
        <v>18000</v>
      </c>
      <c r="N1470" s="12">
        <f>_xlfn.XLOOKUP(Assumptions!$B$2,Assumptions!$F$4:$H$4,Assumptions!$F$11:$H$11)</f>
        <v>0.3</v>
      </c>
      <c r="O1470" s="14">
        <f>Final_Table[[#This Row],[Units Sold]]*Final_Table[[#This Row],[Sale Price]]</f>
        <v>20400</v>
      </c>
      <c r="P1470" s="14">
        <f>Final_Table[[#This Row],[Gross Revenue]]*(1-Final_Table[[#This Row],[Discount %]])</f>
        <v>18360</v>
      </c>
      <c r="Q1470">
        <f>Final_Table[[#This Row],[Net Revenue]]*Final_Table[[#This Row],[Variable Cost %]]</f>
        <v>3304.7999999999997</v>
      </c>
      <c r="R1470">
        <f>Final_Table[[#This Row],[Variable Cost]]+Final_Table[[#This Row],[Fixed Monthly Cost]]</f>
        <v>21304.799999999999</v>
      </c>
      <c r="S1470" s="5">
        <f>Final_Table[[#This Row],[Net Revenue]]-Final_Table[[#This Row],[Total Cost (COGS)]]</f>
        <v>-2944.7999999999993</v>
      </c>
      <c r="T1470">
        <f>Final_Table[[#This Row],[Gross Profit]]*Final_Table[[#This Row],[Tax Rate]]</f>
        <v>-883.43999999999971</v>
      </c>
      <c r="U1470" s="5">
        <f>Final_Table[[#This Row],[Gross Profit]]-Final_Table[[#This Row],[Tax]]</f>
        <v>-2061.3599999999997</v>
      </c>
      <c r="V1470" s="12">
        <f>Final_Table[[#This Row],[Net Profit]]/Final_Table[[#This Row],[Gross Revenue]]</f>
        <v>-0.10104705882352939</v>
      </c>
    </row>
    <row r="1471" spans="1:22">
      <c r="A1471" s="18" t="s">
        <v>78</v>
      </c>
      <c r="B1471">
        <v>2014</v>
      </c>
      <c r="C1471" t="s">
        <v>129</v>
      </c>
      <c r="D1471">
        <v>1</v>
      </c>
      <c r="E1471" s="18" t="s">
        <v>16</v>
      </c>
      <c r="F1471" s="18" t="s">
        <v>113</v>
      </c>
      <c r="G1471" s="18" t="s">
        <v>17</v>
      </c>
      <c r="H1471" s="18" t="str">
        <f>Assumptions!$B$2</f>
        <v>Worst</v>
      </c>
      <c r="I1471" s="18">
        <f>_xlfn.XLOOKUP(Assumptions!$B$2,Assumptions!$F$4:$H$4,Assumptions!$F$5:$H$5)</f>
        <v>1200</v>
      </c>
      <c r="J1471" s="18">
        <f>_xlfn.XLOOKUP(Assumptions!$B$2,Assumptions!$F$4:$H$4,Assumptions!$F$6:$H$6)</f>
        <v>17</v>
      </c>
      <c r="K1471" s="12">
        <f>_xlfn.XLOOKUP(Assumptions!$B$2,Assumptions!$F$4:$H$4,Assumptions!$F$8:$H$8)</f>
        <v>0.1</v>
      </c>
      <c r="L1471" s="12">
        <f>_xlfn.XLOOKUP(Assumptions!$B$2,Assumptions!$F$4:$H$4,Assumptions!$F$9:$H$9)</f>
        <v>0.18</v>
      </c>
      <c r="M1471" s="18">
        <f>_xlfn.XLOOKUP(Assumptions!$B$2,Assumptions!$F$4:$H$4,Assumptions!$F$10:$H$10)</f>
        <v>18000</v>
      </c>
      <c r="N1471" s="12">
        <f>_xlfn.XLOOKUP(Assumptions!$B$2,Assumptions!$F$4:$H$4,Assumptions!$F$11:$H$11)</f>
        <v>0.3</v>
      </c>
      <c r="O1471" s="14">
        <f>Final_Table[[#This Row],[Units Sold]]*Final_Table[[#This Row],[Sale Price]]</f>
        <v>20400</v>
      </c>
      <c r="P1471" s="14">
        <f>Final_Table[[#This Row],[Gross Revenue]]*(1-Final_Table[[#This Row],[Discount %]])</f>
        <v>18360</v>
      </c>
      <c r="Q1471">
        <f>Final_Table[[#This Row],[Net Revenue]]*Final_Table[[#This Row],[Variable Cost %]]</f>
        <v>3304.7999999999997</v>
      </c>
      <c r="R1471">
        <f>Final_Table[[#This Row],[Variable Cost]]+Final_Table[[#This Row],[Fixed Monthly Cost]]</f>
        <v>21304.799999999999</v>
      </c>
      <c r="S1471" s="5">
        <f>Final_Table[[#This Row],[Net Revenue]]-Final_Table[[#This Row],[Total Cost (COGS)]]</f>
        <v>-2944.7999999999993</v>
      </c>
      <c r="T1471">
        <f>Final_Table[[#This Row],[Gross Profit]]*Final_Table[[#This Row],[Tax Rate]]</f>
        <v>-883.43999999999971</v>
      </c>
      <c r="U1471" s="5">
        <f>Final_Table[[#This Row],[Gross Profit]]-Final_Table[[#This Row],[Tax]]</f>
        <v>-2061.3599999999997</v>
      </c>
      <c r="V1471" s="12">
        <f>Final_Table[[#This Row],[Net Profit]]/Final_Table[[#This Row],[Gross Revenue]]</f>
        <v>-0.10104705882352939</v>
      </c>
    </row>
    <row r="1472" spans="1:22">
      <c r="A1472" s="18" t="s">
        <v>78</v>
      </c>
      <c r="B1472">
        <v>2014</v>
      </c>
      <c r="C1472" t="s">
        <v>129</v>
      </c>
      <c r="D1472">
        <v>1</v>
      </c>
      <c r="E1472" s="18" t="s">
        <v>16</v>
      </c>
      <c r="F1472" s="18" t="s">
        <v>114</v>
      </c>
      <c r="G1472" s="18" t="s">
        <v>36</v>
      </c>
      <c r="H1472" s="18" t="str">
        <f>Assumptions!$B$2</f>
        <v>Worst</v>
      </c>
      <c r="I1472" s="18">
        <f>_xlfn.XLOOKUP(Assumptions!$B$2,Assumptions!$F$4:$H$4,Assumptions!$F$5:$H$5)</f>
        <v>1200</v>
      </c>
      <c r="J1472" s="18">
        <f>_xlfn.XLOOKUP(Assumptions!$B$2,Assumptions!$F$4:$H$4,Assumptions!$F$6:$H$6)</f>
        <v>17</v>
      </c>
      <c r="K1472" s="12">
        <f>_xlfn.XLOOKUP(Assumptions!$B$2,Assumptions!$F$4:$H$4,Assumptions!$F$8:$H$8)</f>
        <v>0.1</v>
      </c>
      <c r="L1472" s="12">
        <f>_xlfn.XLOOKUP(Assumptions!$B$2,Assumptions!$F$4:$H$4,Assumptions!$F$9:$H$9)</f>
        <v>0.18</v>
      </c>
      <c r="M1472" s="18">
        <f>_xlfn.XLOOKUP(Assumptions!$B$2,Assumptions!$F$4:$H$4,Assumptions!$F$10:$H$10)</f>
        <v>18000</v>
      </c>
      <c r="N1472" s="12">
        <f>_xlfn.XLOOKUP(Assumptions!$B$2,Assumptions!$F$4:$H$4,Assumptions!$F$11:$H$11)</f>
        <v>0.3</v>
      </c>
      <c r="O1472" s="14">
        <f>Final_Table[[#This Row],[Units Sold]]*Final_Table[[#This Row],[Sale Price]]</f>
        <v>20400</v>
      </c>
      <c r="P1472" s="14">
        <f>Final_Table[[#This Row],[Gross Revenue]]*(1-Final_Table[[#This Row],[Discount %]])</f>
        <v>18360</v>
      </c>
      <c r="Q1472">
        <f>Final_Table[[#This Row],[Net Revenue]]*Final_Table[[#This Row],[Variable Cost %]]</f>
        <v>3304.7999999999997</v>
      </c>
      <c r="R1472">
        <f>Final_Table[[#This Row],[Variable Cost]]+Final_Table[[#This Row],[Fixed Monthly Cost]]</f>
        <v>21304.799999999999</v>
      </c>
      <c r="S1472" s="5">
        <f>Final_Table[[#This Row],[Net Revenue]]-Final_Table[[#This Row],[Total Cost (COGS)]]</f>
        <v>-2944.7999999999993</v>
      </c>
      <c r="T1472">
        <f>Final_Table[[#This Row],[Gross Profit]]*Final_Table[[#This Row],[Tax Rate]]</f>
        <v>-883.43999999999971</v>
      </c>
      <c r="U1472" s="5">
        <f>Final_Table[[#This Row],[Gross Profit]]-Final_Table[[#This Row],[Tax]]</f>
        <v>-2061.3599999999997</v>
      </c>
      <c r="V1472" s="12">
        <f>Final_Table[[#This Row],[Net Profit]]/Final_Table[[#This Row],[Gross Revenue]]</f>
        <v>-0.10104705882352939</v>
      </c>
    </row>
    <row r="1473" spans="1:22">
      <c r="A1473" s="18" t="s">
        <v>78</v>
      </c>
      <c r="B1473">
        <v>2014</v>
      </c>
      <c r="C1473" t="s">
        <v>129</v>
      </c>
      <c r="D1473">
        <v>1</v>
      </c>
      <c r="E1473" s="18" t="s">
        <v>16</v>
      </c>
      <c r="F1473" s="18" t="s">
        <v>114</v>
      </c>
      <c r="G1473" s="18" t="s">
        <v>23</v>
      </c>
      <c r="H1473" s="18" t="str">
        <f>Assumptions!$B$2</f>
        <v>Worst</v>
      </c>
      <c r="I1473" s="18">
        <f>_xlfn.XLOOKUP(Assumptions!$B$2,Assumptions!$F$4:$H$4,Assumptions!$F$5:$H$5)</f>
        <v>1200</v>
      </c>
      <c r="J1473" s="18">
        <f>_xlfn.XLOOKUP(Assumptions!$B$2,Assumptions!$F$4:$H$4,Assumptions!$F$6:$H$6)</f>
        <v>17</v>
      </c>
      <c r="K1473" s="12">
        <f>_xlfn.XLOOKUP(Assumptions!$B$2,Assumptions!$F$4:$H$4,Assumptions!$F$8:$H$8)</f>
        <v>0.1</v>
      </c>
      <c r="L1473" s="12">
        <f>_xlfn.XLOOKUP(Assumptions!$B$2,Assumptions!$F$4:$H$4,Assumptions!$F$9:$H$9)</f>
        <v>0.18</v>
      </c>
      <c r="M1473" s="18">
        <f>_xlfn.XLOOKUP(Assumptions!$B$2,Assumptions!$F$4:$H$4,Assumptions!$F$10:$H$10)</f>
        <v>18000</v>
      </c>
      <c r="N1473" s="12">
        <f>_xlfn.XLOOKUP(Assumptions!$B$2,Assumptions!$F$4:$H$4,Assumptions!$F$11:$H$11)</f>
        <v>0.3</v>
      </c>
      <c r="O1473" s="14">
        <f>Final_Table[[#This Row],[Units Sold]]*Final_Table[[#This Row],[Sale Price]]</f>
        <v>20400</v>
      </c>
      <c r="P1473" s="14">
        <f>Final_Table[[#This Row],[Gross Revenue]]*(1-Final_Table[[#This Row],[Discount %]])</f>
        <v>18360</v>
      </c>
      <c r="Q1473">
        <f>Final_Table[[#This Row],[Net Revenue]]*Final_Table[[#This Row],[Variable Cost %]]</f>
        <v>3304.7999999999997</v>
      </c>
      <c r="R1473">
        <f>Final_Table[[#This Row],[Variable Cost]]+Final_Table[[#This Row],[Fixed Monthly Cost]]</f>
        <v>21304.799999999999</v>
      </c>
      <c r="S1473" s="5">
        <f>Final_Table[[#This Row],[Net Revenue]]-Final_Table[[#This Row],[Total Cost (COGS)]]</f>
        <v>-2944.7999999999993</v>
      </c>
      <c r="T1473">
        <f>Final_Table[[#This Row],[Gross Profit]]*Final_Table[[#This Row],[Tax Rate]]</f>
        <v>-883.43999999999971</v>
      </c>
      <c r="U1473" s="5">
        <f>Final_Table[[#This Row],[Gross Profit]]-Final_Table[[#This Row],[Tax]]</f>
        <v>-2061.3599999999997</v>
      </c>
      <c r="V1473" s="12">
        <f>Final_Table[[#This Row],[Net Profit]]/Final_Table[[#This Row],[Gross Revenue]]</f>
        <v>-0.10104705882352939</v>
      </c>
    </row>
    <row r="1474" spans="1:22">
      <c r="A1474" s="18" t="s">
        <v>78</v>
      </c>
      <c r="B1474">
        <v>2014</v>
      </c>
      <c r="C1474" t="s">
        <v>129</v>
      </c>
      <c r="D1474">
        <v>1</v>
      </c>
      <c r="E1474" s="18" t="s">
        <v>16</v>
      </c>
      <c r="F1474" s="18" t="s">
        <v>114</v>
      </c>
      <c r="G1474" s="18" t="s">
        <v>21</v>
      </c>
      <c r="H1474" s="18" t="str">
        <f>Assumptions!$B$2</f>
        <v>Worst</v>
      </c>
      <c r="I1474" s="18">
        <f>_xlfn.XLOOKUP(Assumptions!$B$2,Assumptions!$F$4:$H$4,Assumptions!$F$5:$H$5)</f>
        <v>1200</v>
      </c>
      <c r="J1474" s="18">
        <f>_xlfn.XLOOKUP(Assumptions!$B$2,Assumptions!$F$4:$H$4,Assumptions!$F$6:$H$6)</f>
        <v>17</v>
      </c>
      <c r="K1474" s="12">
        <f>_xlfn.XLOOKUP(Assumptions!$B$2,Assumptions!$F$4:$H$4,Assumptions!$F$8:$H$8)</f>
        <v>0.1</v>
      </c>
      <c r="L1474" s="12">
        <f>_xlfn.XLOOKUP(Assumptions!$B$2,Assumptions!$F$4:$H$4,Assumptions!$F$9:$H$9)</f>
        <v>0.18</v>
      </c>
      <c r="M1474" s="18">
        <f>_xlfn.XLOOKUP(Assumptions!$B$2,Assumptions!$F$4:$H$4,Assumptions!$F$10:$H$10)</f>
        <v>18000</v>
      </c>
      <c r="N1474" s="12">
        <f>_xlfn.XLOOKUP(Assumptions!$B$2,Assumptions!$F$4:$H$4,Assumptions!$F$11:$H$11)</f>
        <v>0.3</v>
      </c>
      <c r="O1474" s="14">
        <f>Final_Table[[#This Row],[Units Sold]]*Final_Table[[#This Row],[Sale Price]]</f>
        <v>20400</v>
      </c>
      <c r="P1474" s="14">
        <f>Final_Table[[#This Row],[Gross Revenue]]*(1-Final_Table[[#This Row],[Discount %]])</f>
        <v>18360</v>
      </c>
      <c r="Q1474">
        <f>Final_Table[[#This Row],[Net Revenue]]*Final_Table[[#This Row],[Variable Cost %]]</f>
        <v>3304.7999999999997</v>
      </c>
      <c r="R1474">
        <f>Final_Table[[#This Row],[Variable Cost]]+Final_Table[[#This Row],[Fixed Monthly Cost]]</f>
        <v>21304.799999999999</v>
      </c>
      <c r="S1474" s="5">
        <f>Final_Table[[#This Row],[Net Revenue]]-Final_Table[[#This Row],[Total Cost (COGS)]]</f>
        <v>-2944.7999999999993</v>
      </c>
      <c r="T1474">
        <f>Final_Table[[#This Row],[Gross Profit]]*Final_Table[[#This Row],[Tax Rate]]</f>
        <v>-883.43999999999971</v>
      </c>
      <c r="U1474" s="5">
        <f>Final_Table[[#This Row],[Gross Profit]]-Final_Table[[#This Row],[Tax]]</f>
        <v>-2061.3599999999997</v>
      </c>
      <c r="V1474" s="12">
        <f>Final_Table[[#This Row],[Net Profit]]/Final_Table[[#This Row],[Gross Revenue]]</f>
        <v>-0.10104705882352939</v>
      </c>
    </row>
    <row r="1475" spans="1:22">
      <c r="A1475" s="18" t="s">
        <v>78</v>
      </c>
      <c r="B1475">
        <v>2014</v>
      </c>
      <c r="C1475" t="s">
        <v>129</v>
      </c>
      <c r="D1475">
        <v>1</v>
      </c>
      <c r="E1475" s="18" t="s">
        <v>16</v>
      </c>
      <c r="F1475" s="18" t="s">
        <v>114</v>
      </c>
      <c r="G1475" s="18" t="s">
        <v>25</v>
      </c>
      <c r="H1475" s="18" t="str">
        <f>Assumptions!$B$2</f>
        <v>Worst</v>
      </c>
      <c r="I1475" s="18">
        <f>_xlfn.XLOOKUP(Assumptions!$B$2,Assumptions!$F$4:$H$4,Assumptions!$F$5:$H$5)</f>
        <v>1200</v>
      </c>
      <c r="J1475" s="18">
        <f>_xlfn.XLOOKUP(Assumptions!$B$2,Assumptions!$F$4:$H$4,Assumptions!$F$6:$H$6)</f>
        <v>17</v>
      </c>
      <c r="K1475" s="12">
        <f>_xlfn.XLOOKUP(Assumptions!$B$2,Assumptions!$F$4:$H$4,Assumptions!$F$8:$H$8)</f>
        <v>0.1</v>
      </c>
      <c r="L1475" s="12">
        <f>_xlfn.XLOOKUP(Assumptions!$B$2,Assumptions!$F$4:$H$4,Assumptions!$F$9:$H$9)</f>
        <v>0.18</v>
      </c>
      <c r="M1475" s="18">
        <f>_xlfn.XLOOKUP(Assumptions!$B$2,Assumptions!$F$4:$H$4,Assumptions!$F$10:$H$10)</f>
        <v>18000</v>
      </c>
      <c r="N1475" s="12">
        <f>_xlfn.XLOOKUP(Assumptions!$B$2,Assumptions!$F$4:$H$4,Assumptions!$F$11:$H$11)</f>
        <v>0.3</v>
      </c>
      <c r="O1475" s="14">
        <f>Final_Table[[#This Row],[Units Sold]]*Final_Table[[#This Row],[Sale Price]]</f>
        <v>20400</v>
      </c>
      <c r="P1475" s="14">
        <f>Final_Table[[#This Row],[Gross Revenue]]*(1-Final_Table[[#This Row],[Discount %]])</f>
        <v>18360</v>
      </c>
      <c r="Q1475">
        <f>Final_Table[[#This Row],[Net Revenue]]*Final_Table[[#This Row],[Variable Cost %]]</f>
        <v>3304.7999999999997</v>
      </c>
      <c r="R1475">
        <f>Final_Table[[#This Row],[Variable Cost]]+Final_Table[[#This Row],[Fixed Monthly Cost]]</f>
        <v>21304.799999999999</v>
      </c>
      <c r="S1475" s="5">
        <f>Final_Table[[#This Row],[Net Revenue]]-Final_Table[[#This Row],[Total Cost (COGS)]]</f>
        <v>-2944.7999999999993</v>
      </c>
      <c r="T1475">
        <f>Final_Table[[#This Row],[Gross Profit]]*Final_Table[[#This Row],[Tax Rate]]</f>
        <v>-883.43999999999971</v>
      </c>
      <c r="U1475" s="5">
        <f>Final_Table[[#This Row],[Gross Profit]]-Final_Table[[#This Row],[Tax]]</f>
        <v>-2061.3599999999997</v>
      </c>
      <c r="V1475" s="12">
        <f>Final_Table[[#This Row],[Net Profit]]/Final_Table[[#This Row],[Gross Revenue]]</f>
        <v>-0.10104705882352939</v>
      </c>
    </row>
    <row r="1476" spans="1:22">
      <c r="A1476" s="18" t="s">
        <v>78</v>
      </c>
      <c r="B1476">
        <v>2014</v>
      </c>
      <c r="C1476" t="s">
        <v>129</v>
      </c>
      <c r="D1476">
        <v>1</v>
      </c>
      <c r="E1476" s="18" t="s">
        <v>16</v>
      </c>
      <c r="F1476" s="18" t="s">
        <v>114</v>
      </c>
      <c r="G1476" s="18" t="s">
        <v>17</v>
      </c>
      <c r="H1476" s="18" t="str">
        <f>Assumptions!$B$2</f>
        <v>Worst</v>
      </c>
      <c r="I1476" s="18">
        <f>_xlfn.XLOOKUP(Assumptions!$B$2,Assumptions!$F$4:$H$4,Assumptions!$F$5:$H$5)</f>
        <v>1200</v>
      </c>
      <c r="J1476" s="18">
        <f>_xlfn.XLOOKUP(Assumptions!$B$2,Assumptions!$F$4:$H$4,Assumptions!$F$6:$H$6)</f>
        <v>17</v>
      </c>
      <c r="K1476" s="12">
        <f>_xlfn.XLOOKUP(Assumptions!$B$2,Assumptions!$F$4:$H$4,Assumptions!$F$8:$H$8)</f>
        <v>0.1</v>
      </c>
      <c r="L1476" s="12">
        <f>_xlfn.XLOOKUP(Assumptions!$B$2,Assumptions!$F$4:$H$4,Assumptions!$F$9:$H$9)</f>
        <v>0.18</v>
      </c>
      <c r="M1476" s="18">
        <f>_xlfn.XLOOKUP(Assumptions!$B$2,Assumptions!$F$4:$H$4,Assumptions!$F$10:$H$10)</f>
        <v>18000</v>
      </c>
      <c r="N1476" s="12">
        <f>_xlfn.XLOOKUP(Assumptions!$B$2,Assumptions!$F$4:$H$4,Assumptions!$F$11:$H$11)</f>
        <v>0.3</v>
      </c>
      <c r="O1476" s="14">
        <f>Final_Table[[#This Row],[Units Sold]]*Final_Table[[#This Row],[Sale Price]]</f>
        <v>20400</v>
      </c>
      <c r="P1476" s="14">
        <f>Final_Table[[#This Row],[Gross Revenue]]*(1-Final_Table[[#This Row],[Discount %]])</f>
        <v>18360</v>
      </c>
      <c r="Q1476">
        <f>Final_Table[[#This Row],[Net Revenue]]*Final_Table[[#This Row],[Variable Cost %]]</f>
        <v>3304.7999999999997</v>
      </c>
      <c r="R1476">
        <f>Final_Table[[#This Row],[Variable Cost]]+Final_Table[[#This Row],[Fixed Monthly Cost]]</f>
        <v>21304.799999999999</v>
      </c>
      <c r="S1476" s="5">
        <f>Final_Table[[#This Row],[Net Revenue]]-Final_Table[[#This Row],[Total Cost (COGS)]]</f>
        <v>-2944.7999999999993</v>
      </c>
      <c r="T1476">
        <f>Final_Table[[#This Row],[Gross Profit]]*Final_Table[[#This Row],[Tax Rate]]</f>
        <v>-883.43999999999971</v>
      </c>
      <c r="U1476" s="5">
        <f>Final_Table[[#This Row],[Gross Profit]]-Final_Table[[#This Row],[Tax]]</f>
        <v>-2061.3599999999997</v>
      </c>
      <c r="V1476" s="12">
        <f>Final_Table[[#This Row],[Net Profit]]/Final_Table[[#This Row],[Gross Revenue]]</f>
        <v>-0.10104705882352939</v>
      </c>
    </row>
    <row r="1477" spans="1:22">
      <c r="A1477" s="18" t="s">
        <v>78</v>
      </c>
      <c r="B1477">
        <v>2014</v>
      </c>
      <c r="C1477" t="s">
        <v>129</v>
      </c>
      <c r="D1477">
        <v>1</v>
      </c>
      <c r="E1477" s="18" t="s">
        <v>32</v>
      </c>
      <c r="F1477" s="18" t="s">
        <v>80</v>
      </c>
      <c r="G1477" s="18" t="s">
        <v>36</v>
      </c>
      <c r="H1477" s="18" t="str">
        <f>Assumptions!$B$2</f>
        <v>Worst</v>
      </c>
      <c r="I1477" s="18">
        <f>_xlfn.XLOOKUP(Assumptions!$B$2,Assumptions!$F$4:$H$4,Assumptions!$F$5:$H$5)</f>
        <v>1200</v>
      </c>
      <c r="J1477" s="18">
        <f>_xlfn.XLOOKUP(Assumptions!$B$2,Assumptions!$F$4:$H$4,Assumptions!$F$6:$H$6)</f>
        <v>17</v>
      </c>
      <c r="K1477" s="12">
        <f>_xlfn.XLOOKUP(Assumptions!$B$2,Assumptions!$F$4:$H$4,Assumptions!$F$8:$H$8)</f>
        <v>0.1</v>
      </c>
      <c r="L1477" s="12">
        <f>_xlfn.XLOOKUP(Assumptions!$B$2,Assumptions!$F$4:$H$4,Assumptions!$F$9:$H$9)</f>
        <v>0.18</v>
      </c>
      <c r="M1477" s="18">
        <f>_xlfn.XLOOKUP(Assumptions!$B$2,Assumptions!$F$4:$H$4,Assumptions!$F$10:$H$10)</f>
        <v>18000</v>
      </c>
      <c r="N1477" s="12">
        <f>_xlfn.XLOOKUP(Assumptions!$B$2,Assumptions!$F$4:$H$4,Assumptions!$F$11:$H$11)</f>
        <v>0.3</v>
      </c>
      <c r="O1477" s="14">
        <f>Final_Table[[#This Row],[Units Sold]]*Final_Table[[#This Row],[Sale Price]]</f>
        <v>20400</v>
      </c>
      <c r="P1477" s="14">
        <f>Final_Table[[#This Row],[Gross Revenue]]*(1-Final_Table[[#This Row],[Discount %]])</f>
        <v>18360</v>
      </c>
      <c r="Q1477">
        <f>Final_Table[[#This Row],[Net Revenue]]*Final_Table[[#This Row],[Variable Cost %]]</f>
        <v>3304.7999999999997</v>
      </c>
      <c r="R1477">
        <f>Final_Table[[#This Row],[Variable Cost]]+Final_Table[[#This Row],[Fixed Monthly Cost]]</f>
        <v>21304.799999999999</v>
      </c>
      <c r="S1477" s="5">
        <f>Final_Table[[#This Row],[Net Revenue]]-Final_Table[[#This Row],[Total Cost (COGS)]]</f>
        <v>-2944.7999999999993</v>
      </c>
      <c r="T1477">
        <f>Final_Table[[#This Row],[Gross Profit]]*Final_Table[[#This Row],[Tax Rate]]</f>
        <v>-883.43999999999971</v>
      </c>
      <c r="U1477" s="5">
        <f>Final_Table[[#This Row],[Gross Profit]]-Final_Table[[#This Row],[Tax]]</f>
        <v>-2061.3599999999997</v>
      </c>
      <c r="V1477" s="12">
        <f>Final_Table[[#This Row],[Net Profit]]/Final_Table[[#This Row],[Gross Revenue]]</f>
        <v>-0.10104705882352939</v>
      </c>
    </row>
    <row r="1478" spans="1:22">
      <c r="A1478" s="18" t="s">
        <v>78</v>
      </c>
      <c r="B1478">
        <v>2014</v>
      </c>
      <c r="C1478" t="s">
        <v>129</v>
      </c>
      <c r="D1478">
        <v>1</v>
      </c>
      <c r="E1478" s="18" t="s">
        <v>32</v>
      </c>
      <c r="F1478" s="18" t="s">
        <v>80</v>
      </c>
      <c r="G1478" s="18" t="s">
        <v>23</v>
      </c>
      <c r="H1478" s="18" t="str">
        <f>Assumptions!$B$2</f>
        <v>Worst</v>
      </c>
      <c r="I1478" s="18">
        <f>_xlfn.XLOOKUP(Assumptions!$B$2,Assumptions!$F$4:$H$4,Assumptions!$F$5:$H$5)</f>
        <v>1200</v>
      </c>
      <c r="J1478" s="18">
        <f>_xlfn.XLOOKUP(Assumptions!$B$2,Assumptions!$F$4:$H$4,Assumptions!$F$6:$H$6)</f>
        <v>17</v>
      </c>
      <c r="K1478" s="12">
        <f>_xlfn.XLOOKUP(Assumptions!$B$2,Assumptions!$F$4:$H$4,Assumptions!$F$8:$H$8)</f>
        <v>0.1</v>
      </c>
      <c r="L1478" s="12">
        <f>_xlfn.XLOOKUP(Assumptions!$B$2,Assumptions!$F$4:$H$4,Assumptions!$F$9:$H$9)</f>
        <v>0.18</v>
      </c>
      <c r="M1478" s="18">
        <f>_xlfn.XLOOKUP(Assumptions!$B$2,Assumptions!$F$4:$H$4,Assumptions!$F$10:$H$10)</f>
        <v>18000</v>
      </c>
      <c r="N1478" s="12">
        <f>_xlfn.XLOOKUP(Assumptions!$B$2,Assumptions!$F$4:$H$4,Assumptions!$F$11:$H$11)</f>
        <v>0.3</v>
      </c>
      <c r="O1478" s="14">
        <f>Final_Table[[#This Row],[Units Sold]]*Final_Table[[#This Row],[Sale Price]]</f>
        <v>20400</v>
      </c>
      <c r="P1478" s="14">
        <f>Final_Table[[#This Row],[Gross Revenue]]*(1-Final_Table[[#This Row],[Discount %]])</f>
        <v>18360</v>
      </c>
      <c r="Q1478">
        <f>Final_Table[[#This Row],[Net Revenue]]*Final_Table[[#This Row],[Variable Cost %]]</f>
        <v>3304.7999999999997</v>
      </c>
      <c r="R1478">
        <f>Final_Table[[#This Row],[Variable Cost]]+Final_Table[[#This Row],[Fixed Monthly Cost]]</f>
        <v>21304.799999999999</v>
      </c>
      <c r="S1478" s="5">
        <f>Final_Table[[#This Row],[Net Revenue]]-Final_Table[[#This Row],[Total Cost (COGS)]]</f>
        <v>-2944.7999999999993</v>
      </c>
      <c r="T1478">
        <f>Final_Table[[#This Row],[Gross Profit]]*Final_Table[[#This Row],[Tax Rate]]</f>
        <v>-883.43999999999971</v>
      </c>
      <c r="U1478" s="5">
        <f>Final_Table[[#This Row],[Gross Profit]]-Final_Table[[#This Row],[Tax]]</f>
        <v>-2061.3599999999997</v>
      </c>
      <c r="V1478" s="12">
        <f>Final_Table[[#This Row],[Net Profit]]/Final_Table[[#This Row],[Gross Revenue]]</f>
        <v>-0.10104705882352939</v>
      </c>
    </row>
    <row r="1479" spans="1:22">
      <c r="A1479" s="18" t="s">
        <v>78</v>
      </c>
      <c r="B1479">
        <v>2014</v>
      </c>
      <c r="C1479" t="s">
        <v>129</v>
      </c>
      <c r="D1479">
        <v>1</v>
      </c>
      <c r="E1479" s="18" t="s">
        <v>32</v>
      </c>
      <c r="F1479" s="18" t="s">
        <v>80</v>
      </c>
      <c r="G1479" s="18" t="s">
        <v>21</v>
      </c>
      <c r="H1479" s="18" t="str">
        <f>Assumptions!$B$2</f>
        <v>Worst</v>
      </c>
      <c r="I1479" s="18">
        <f>_xlfn.XLOOKUP(Assumptions!$B$2,Assumptions!$F$4:$H$4,Assumptions!$F$5:$H$5)</f>
        <v>1200</v>
      </c>
      <c r="J1479" s="18">
        <f>_xlfn.XLOOKUP(Assumptions!$B$2,Assumptions!$F$4:$H$4,Assumptions!$F$6:$H$6)</f>
        <v>17</v>
      </c>
      <c r="K1479" s="12">
        <f>_xlfn.XLOOKUP(Assumptions!$B$2,Assumptions!$F$4:$H$4,Assumptions!$F$8:$H$8)</f>
        <v>0.1</v>
      </c>
      <c r="L1479" s="12">
        <f>_xlfn.XLOOKUP(Assumptions!$B$2,Assumptions!$F$4:$H$4,Assumptions!$F$9:$H$9)</f>
        <v>0.18</v>
      </c>
      <c r="M1479" s="18">
        <f>_xlfn.XLOOKUP(Assumptions!$B$2,Assumptions!$F$4:$H$4,Assumptions!$F$10:$H$10)</f>
        <v>18000</v>
      </c>
      <c r="N1479" s="12">
        <f>_xlfn.XLOOKUP(Assumptions!$B$2,Assumptions!$F$4:$H$4,Assumptions!$F$11:$H$11)</f>
        <v>0.3</v>
      </c>
      <c r="O1479" s="14">
        <f>Final_Table[[#This Row],[Units Sold]]*Final_Table[[#This Row],[Sale Price]]</f>
        <v>20400</v>
      </c>
      <c r="P1479" s="14">
        <f>Final_Table[[#This Row],[Gross Revenue]]*(1-Final_Table[[#This Row],[Discount %]])</f>
        <v>18360</v>
      </c>
      <c r="Q1479">
        <f>Final_Table[[#This Row],[Net Revenue]]*Final_Table[[#This Row],[Variable Cost %]]</f>
        <v>3304.7999999999997</v>
      </c>
      <c r="R1479">
        <f>Final_Table[[#This Row],[Variable Cost]]+Final_Table[[#This Row],[Fixed Monthly Cost]]</f>
        <v>21304.799999999999</v>
      </c>
      <c r="S1479" s="5">
        <f>Final_Table[[#This Row],[Net Revenue]]-Final_Table[[#This Row],[Total Cost (COGS)]]</f>
        <v>-2944.7999999999993</v>
      </c>
      <c r="T1479">
        <f>Final_Table[[#This Row],[Gross Profit]]*Final_Table[[#This Row],[Tax Rate]]</f>
        <v>-883.43999999999971</v>
      </c>
      <c r="U1479" s="5">
        <f>Final_Table[[#This Row],[Gross Profit]]-Final_Table[[#This Row],[Tax]]</f>
        <v>-2061.3599999999997</v>
      </c>
      <c r="V1479" s="12">
        <f>Final_Table[[#This Row],[Net Profit]]/Final_Table[[#This Row],[Gross Revenue]]</f>
        <v>-0.10104705882352939</v>
      </c>
    </row>
    <row r="1480" spans="1:22">
      <c r="A1480" s="18" t="s">
        <v>78</v>
      </c>
      <c r="B1480">
        <v>2014</v>
      </c>
      <c r="C1480" t="s">
        <v>129</v>
      </c>
      <c r="D1480">
        <v>1</v>
      </c>
      <c r="E1480" s="18" t="s">
        <v>32</v>
      </c>
      <c r="F1480" s="18" t="s">
        <v>80</v>
      </c>
      <c r="G1480" s="18" t="s">
        <v>25</v>
      </c>
      <c r="H1480" s="18" t="str">
        <f>Assumptions!$B$2</f>
        <v>Worst</v>
      </c>
      <c r="I1480" s="18">
        <f>_xlfn.XLOOKUP(Assumptions!$B$2,Assumptions!$F$4:$H$4,Assumptions!$F$5:$H$5)</f>
        <v>1200</v>
      </c>
      <c r="J1480" s="18">
        <f>_xlfn.XLOOKUP(Assumptions!$B$2,Assumptions!$F$4:$H$4,Assumptions!$F$6:$H$6)</f>
        <v>17</v>
      </c>
      <c r="K1480" s="12">
        <f>_xlfn.XLOOKUP(Assumptions!$B$2,Assumptions!$F$4:$H$4,Assumptions!$F$8:$H$8)</f>
        <v>0.1</v>
      </c>
      <c r="L1480" s="12">
        <f>_xlfn.XLOOKUP(Assumptions!$B$2,Assumptions!$F$4:$H$4,Assumptions!$F$9:$H$9)</f>
        <v>0.18</v>
      </c>
      <c r="M1480" s="18">
        <f>_xlfn.XLOOKUP(Assumptions!$B$2,Assumptions!$F$4:$H$4,Assumptions!$F$10:$H$10)</f>
        <v>18000</v>
      </c>
      <c r="N1480" s="12">
        <f>_xlfn.XLOOKUP(Assumptions!$B$2,Assumptions!$F$4:$H$4,Assumptions!$F$11:$H$11)</f>
        <v>0.3</v>
      </c>
      <c r="O1480" s="14">
        <f>Final_Table[[#This Row],[Units Sold]]*Final_Table[[#This Row],[Sale Price]]</f>
        <v>20400</v>
      </c>
      <c r="P1480" s="14">
        <f>Final_Table[[#This Row],[Gross Revenue]]*(1-Final_Table[[#This Row],[Discount %]])</f>
        <v>18360</v>
      </c>
      <c r="Q1480">
        <f>Final_Table[[#This Row],[Net Revenue]]*Final_Table[[#This Row],[Variable Cost %]]</f>
        <v>3304.7999999999997</v>
      </c>
      <c r="R1480">
        <f>Final_Table[[#This Row],[Variable Cost]]+Final_Table[[#This Row],[Fixed Monthly Cost]]</f>
        <v>21304.799999999999</v>
      </c>
      <c r="S1480" s="5">
        <f>Final_Table[[#This Row],[Net Revenue]]-Final_Table[[#This Row],[Total Cost (COGS)]]</f>
        <v>-2944.7999999999993</v>
      </c>
      <c r="T1480">
        <f>Final_Table[[#This Row],[Gross Profit]]*Final_Table[[#This Row],[Tax Rate]]</f>
        <v>-883.43999999999971</v>
      </c>
      <c r="U1480" s="5">
        <f>Final_Table[[#This Row],[Gross Profit]]-Final_Table[[#This Row],[Tax]]</f>
        <v>-2061.3599999999997</v>
      </c>
      <c r="V1480" s="12">
        <f>Final_Table[[#This Row],[Net Profit]]/Final_Table[[#This Row],[Gross Revenue]]</f>
        <v>-0.10104705882352939</v>
      </c>
    </row>
    <row r="1481" spans="1:22">
      <c r="A1481" s="18" t="s">
        <v>78</v>
      </c>
      <c r="B1481">
        <v>2014</v>
      </c>
      <c r="C1481" t="s">
        <v>129</v>
      </c>
      <c r="D1481">
        <v>1</v>
      </c>
      <c r="E1481" s="18" t="s">
        <v>32</v>
      </c>
      <c r="F1481" s="18" t="s">
        <v>80</v>
      </c>
      <c r="G1481" s="18" t="s">
        <v>17</v>
      </c>
      <c r="H1481" s="18" t="str">
        <f>Assumptions!$B$2</f>
        <v>Worst</v>
      </c>
      <c r="I1481" s="18">
        <f>_xlfn.XLOOKUP(Assumptions!$B$2,Assumptions!$F$4:$H$4,Assumptions!$F$5:$H$5)</f>
        <v>1200</v>
      </c>
      <c r="J1481" s="18">
        <f>_xlfn.XLOOKUP(Assumptions!$B$2,Assumptions!$F$4:$H$4,Assumptions!$F$6:$H$6)</f>
        <v>17</v>
      </c>
      <c r="K1481" s="12">
        <f>_xlfn.XLOOKUP(Assumptions!$B$2,Assumptions!$F$4:$H$4,Assumptions!$F$8:$H$8)</f>
        <v>0.1</v>
      </c>
      <c r="L1481" s="12">
        <f>_xlfn.XLOOKUP(Assumptions!$B$2,Assumptions!$F$4:$H$4,Assumptions!$F$9:$H$9)</f>
        <v>0.18</v>
      </c>
      <c r="M1481" s="18">
        <f>_xlfn.XLOOKUP(Assumptions!$B$2,Assumptions!$F$4:$H$4,Assumptions!$F$10:$H$10)</f>
        <v>18000</v>
      </c>
      <c r="N1481" s="12">
        <f>_xlfn.XLOOKUP(Assumptions!$B$2,Assumptions!$F$4:$H$4,Assumptions!$F$11:$H$11)</f>
        <v>0.3</v>
      </c>
      <c r="O1481" s="14">
        <f>Final_Table[[#This Row],[Units Sold]]*Final_Table[[#This Row],[Sale Price]]</f>
        <v>20400</v>
      </c>
      <c r="P1481" s="14">
        <f>Final_Table[[#This Row],[Gross Revenue]]*(1-Final_Table[[#This Row],[Discount %]])</f>
        <v>18360</v>
      </c>
      <c r="Q1481">
        <f>Final_Table[[#This Row],[Net Revenue]]*Final_Table[[#This Row],[Variable Cost %]]</f>
        <v>3304.7999999999997</v>
      </c>
      <c r="R1481">
        <f>Final_Table[[#This Row],[Variable Cost]]+Final_Table[[#This Row],[Fixed Monthly Cost]]</f>
        <v>21304.799999999999</v>
      </c>
      <c r="S1481" s="5">
        <f>Final_Table[[#This Row],[Net Revenue]]-Final_Table[[#This Row],[Total Cost (COGS)]]</f>
        <v>-2944.7999999999993</v>
      </c>
      <c r="T1481">
        <f>Final_Table[[#This Row],[Gross Profit]]*Final_Table[[#This Row],[Tax Rate]]</f>
        <v>-883.43999999999971</v>
      </c>
      <c r="U1481" s="5">
        <f>Final_Table[[#This Row],[Gross Profit]]-Final_Table[[#This Row],[Tax]]</f>
        <v>-2061.3599999999997</v>
      </c>
      <c r="V1481" s="12">
        <f>Final_Table[[#This Row],[Net Profit]]/Final_Table[[#This Row],[Gross Revenue]]</f>
        <v>-0.10104705882352939</v>
      </c>
    </row>
    <row r="1482" spans="1:22">
      <c r="A1482" s="18" t="s">
        <v>78</v>
      </c>
      <c r="B1482">
        <v>2014</v>
      </c>
      <c r="C1482" t="s">
        <v>129</v>
      </c>
      <c r="D1482">
        <v>1</v>
      </c>
      <c r="E1482" s="18" t="s">
        <v>32</v>
      </c>
      <c r="F1482" s="18" t="s">
        <v>108</v>
      </c>
      <c r="G1482" s="18" t="s">
        <v>36</v>
      </c>
      <c r="H1482" s="18" t="str">
        <f>Assumptions!$B$2</f>
        <v>Worst</v>
      </c>
      <c r="I1482" s="18">
        <f>_xlfn.XLOOKUP(Assumptions!$B$2,Assumptions!$F$4:$H$4,Assumptions!$F$5:$H$5)</f>
        <v>1200</v>
      </c>
      <c r="J1482" s="18">
        <f>_xlfn.XLOOKUP(Assumptions!$B$2,Assumptions!$F$4:$H$4,Assumptions!$F$6:$H$6)</f>
        <v>17</v>
      </c>
      <c r="K1482" s="12">
        <f>_xlfn.XLOOKUP(Assumptions!$B$2,Assumptions!$F$4:$H$4,Assumptions!$F$8:$H$8)</f>
        <v>0.1</v>
      </c>
      <c r="L1482" s="12">
        <f>_xlfn.XLOOKUP(Assumptions!$B$2,Assumptions!$F$4:$H$4,Assumptions!$F$9:$H$9)</f>
        <v>0.18</v>
      </c>
      <c r="M1482" s="18">
        <f>_xlfn.XLOOKUP(Assumptions!$B$2,Assumptions!$F$4:$H$4,Assumptions!$F$10:$H$10)</f>
        <v>18000</v>
      </c>
      <c r="N1482" s="12">
        <f>_xlfn.XLOOKUP(Assumptions!$B$2,Assumptions!$F$4:$H$4,Assumptions!$F$11:$H$11)</f>
        <v>0.3</v>
      </c>
      <c r="O1482" s="14">
        <f>Final_Table[[#This Row],[Units Sold]]*Final_Table[[#This Row],[Sale Price]]</f>
        <v>20400</v>
      </c>
      <c r="P1482" s="14">
        <f>Final_Table[[#This Row],[Gross Revenue]]*(1-Final_Table[[#This Row],[Discount %]])</f>
        <v>18360</v>
      </c>
      <c r="Q1482">
        <f>Final_Table[[#This Row],[Net Revenue]]*Final_Table[[#This Row],[Variable Cost %]]</f>
        <v>3304.7999999999997</v>
      </c>
      <c r="R1482">
        <f>Final_Table[[#This Row],[Variable Cost]]+Final_Table[[#This Row],[Fixed Monthly Cost]]</f>
        <v>21304.799999999999</v>
      </c>
      <c r="S1482" s="5">
        <f>Final_Table[[#This Row],[Net Revenue]]-Final_Table[[#This Row],[Total Cost (COGS)]]</f>
        <v>-2944.7999999999993</v>
      </c>
      <c r="T1482">
        <f>Final_Table[[#This Row],[Gross Profit]]*Final_Table[[#This Row],[Tax Rate]]</f>
        <v>-883.43999999999971</v>
      </c>
      <c r="U1482" s="5">
        <f>Final_Table[[#This Row],[Gross Profit]]-Final_Table[[#This Row],[Tax]]</f>
        <v>-2061.3599999999997</v>
      </c>
      <c r="V1482" s="12">
        <f>Final_Table[[#This Row],[Net Profit]]/Final_Table[[#This Row],[Gross Revenue]]</f>
        <v>-0.10104705882352939</v>
      </c>
    </row>
    <row r="1483" spans="1:22">
      <c r="A1483" s="18" t="s">
        <v>78</v>
      </c>
      <c r="B1483">
        <v>2014</v>
      </c>
      <c r="C1483" t="s">
        <v>129</v>
      </c>
      <c r="D1483">
        <v>1</v>
      </c>
      <c r="E1483" s="18" t="s">
        <v>32</v>
      </c>
      <c r="F1483" s="18" t="s">
        <v>108</v>
      </c>
      <c r="G1483" s="18" t="s">
        <v>23</v>
      </c>
      <c r="H1483" s="18" t="str">
        <f>Assumptions!$B$2</f>
        <v>Worst</v>
      </c>
      <c r="I1483" s="18">
        <f>_xlfn.XLOOKUP(Assumptions!$B$2,Assumptions!$F$4:$H$4,Assumptions!$F$5:$H$5)</f>
        <v>1200</v>
      </c>
      <c r="J1483" s="18">
        <f>_xlfn.XLOOKUP(Assumptions!$B$2,Assumptions!$F$4:$H$4,Assumptions!$F$6:$H$6)</f>
        <v>17</v>
      </c>
      <c r="K1483" s="12">
        <f>_xlfn.XLOOKUP(Assumptions!$B$2,Assumptions!$F$4:$H$4,Assumptions!$F$8:$H$8)</f>
        <v>0.1</v>
      </c>
      <c r="L1483" s="12">
        <f>_xlfn.XLOOKUP(Assumptions!$B$2,Assumptions!$F$4:$H$4,Assumptions!$F$9:$H$9)</f>
        <v>0.18</v>
      </c>
      <c r="M1483" s="18">
        <f>_xlfn.XLOOKUP(Assumptions!$B$2,Assumptions!$F$4:$H$4,Assumptions!$F$10:$H$10)</f>
        <v>18000</v>
      </c>
      <c r="N1483" s="12">
        <f>_xlfn.XLOOKUP(Assumptions!$B$2,Assumptions!$F$4:$H$4,Assumptions!$F$11:$H$11)</f>
        <v>0.3</v>
      </c>
      <c r="O1483" s="14">
        <f>Final_Table[[#This Row],[Units Sold]]*Final_Table[[#This Row],[Sale Price]]</f>
        <v>20400</v>
      </c>
      <c r="P1483" s="14">
        <f>Final_Table[[#This Row],[Gross Revenue]]*(1-Final_Table[[#This Row],[Discount %]])</f>
        <v>18360</v>
      </c>
      <c r="Q1483">
        <f>Final_Table[[#This Row],[Net Revenue]]*Final_Table[[#This Row],[Variable Cost %]]</f>
        <v>3304.7999999999997</v>
      </c>
      <c r="R1483">
        <f>Final_Table[[#This Row],[Variable Cost]]+Final_Table[[#This Row],[Fixed Monthly Cost]]</f>
        <v>21304.799999999999</v>
      </c>
      <c r="S1483" s="5">
        <f>Final_Table[[#This Row],[Net Revenue]]-Final_Table[[#This Row],[Total Cost (COGS)]]</f>
        <v>-2944.7999999999993</v>
      </c>
      <c r="T1483">
        <f>Final_Table[[#This Row],[Gross Profit]]*Final_Table[[#This Row],[Tax Rate]]</f>
        <v>-883.43999999999971</v>
      </c>
      <c r="U1483" s="5">
        <f>Final_Table[[#This Row],[Gross Profit]]-Final_Table[[#This Row],[Tax]]</f>
        <v>-2061.3599999999997</v>
      </c>
      <c r="V1483" s="12">
        <f>Final_Table[[#This Row],[Net Profit]]/Final_Table[[#This Row],[Gross Revenue]]</f>
        <v>-0.10104705882352939</v>
      </c>
    </row>
    <row r="1484" spans="1:22">
      <c r="A1484" s="18" t="s">
        <v>78</v>
      </c>
      <c r="B1484">
        <v>2014</v>
      </c>
      <c r="C1484" t="s">
        <v>129</v>
      </c>
      <c r="D1484">
        <v>1</v>
      </c>
      <c r="E1484" s="18" t="s">
        <v>32</v>
      </c>
      <c r="F1484" s="18" t="s">
        <v>108</v>
      </c>
      <c r="G1484" s="18" t="s">
        <v>21</v>
      </c>
      <c r="H1484" s="18" t="str">
        <f>Assumptions!$B$2</f>
        <v>Worst</v>
      </c>
      <c r="I1484" s="18">
        <f>_xlfn.XLOOKUP(Assumptions!$B$2,Assumptions!$F$4:$H$4,Assumptions!$F$5:$H$5)</f>
        <v>1200</v>
      </c>
      <c r="J1484" s="18">
        <f>_xlfn.XLOOKUP(Assumptions!$B$2,Assumptions!$F$4:$H$4,Assumptions!$F$6:$H$6)</f>
        <v>17</v>
      </c>
      <c r="K1484" s="12">
        <f>_xlfn.XLOOKUP(Assumptions!$B$2,Assumptions!$F$4:$H$4,Assumptions!$F$8:$H$8)</f>
        <v>0.1</v>
      </c>
      <c r="L1484" s="12">
        <f>_xlfn.XLOOKUP(Assumptions!$B$2,Assumptions!$F$4:$H$4,Assumptions!$F$9:$H$9)</f>
        <v>0.18</v>
      </c>
      <c r="M1484" s="18">
        <f>_xlfn.XLOOKUP(Assumptions!$B$2,Assumptions!$F$4:$H$4,Assumptions!$F$10:$H$10)</f>
        <v>18000</v>
      </c>
      <c r="N1484" s="12">
        <f>_xlfn.XLOOKUP(Assumptions!$B$2,Assumptions!$F$4:$H$4,Assumptions!$F$11:$H$11)</f>
        <v>0.3</v>
      </c>
      <c r="O1484" s="14">
        <f>Final_Table[[#This Row],[Units Sold]]*Final_Table[[#This Row],[Sale Price]]</f>
        <v>20400</v>
      </c>
      <c r="P1484" s="14">
        <f>Final_Table[[#This Row],[Gross Revenue]]*(1-Final_Table[[#This Row],[Discount %]])</f>
        <v>18360</v>
      </c>
      <c r="Q1484">
        <f>Final_Table[[#This Row],[Net Revenue]]*Final_Table[[#This Row],[Variable Cost %]]</f>
        <v>3304.7999999999997</v>
      </c>
      <c r="R1484">
        <f>Final_Table[[#This Row],[Variable Cost]]+Final_Table[[#This Row],[Fixed Monthly Cost]]</f>
        <v>21304.799999999999</v>
      </c>
      <c r="S1484" s="5">
        <f>Final_Table[[#This Row],[Net Revenue]]-Final_Table[[#This Row],[Total Cost (COGS)]]</f>
        <v>-2944.7999999999993</v>
      </c>
      <c r="T1484">
        <f>Final_Table[[#This Row],[Gross Profit]]*Final_Table[[#This Row],[Tax Rate]]</f>
        <v>-883.43999999999971</v>
      </c>
      <c r="U1484" s="5">
        <f>Final_Table[[#This Row],[Gross Profit]]-Final_Table[[#This Row],[Tax]]</f>
        <v>-2061.3599999999997</v>
      </c>
      <c r="V1484" s="12">
        <f>Final_Table[[#This Row],[Net Profit]]/Final_Table[[#This Row],[Gross Revenue]]</f>
        <v>-0.10104705882352939</v>
      </c>
    </row>
    <row r="1485" spans="1:22">
      <c r="A1485" s="18" t="s">
        <v>78</v>
      </c>
      <c r="B1485">
        <v>2014</v>
      </c>
      <c r="C1485" t="s">
        <v>129</v>
      </c>
      <c r="D1485">
        <v>1</v>
      </c>
      <c r="E1485" s="18" t="s">
        <v>32</v>
      </c>
      <c r="F1485" s="18" t="s">
        <v>108</v>
      </c>
      <c r="G1485" s="18" t="s">
        <v>25</v>
      </c>
      <c r="H1485" s="18" t="str">
        <f>Assumptions!$B$2</f>
        <v>Worst</v>
      </c>
      <c r="I1485" s="18">
        <f>_xlfn.XLOOKUP(Assumptions!$B$2,Assumptions!$F$4:$H$4,Assumptions!$F$5:$H$5)</f>
        <v>1200</v>
      </c>
      <c r="J1485" s="18">
        <f>_xlfn.XLOOKUP(Assumptions!$B$2,Assumptions!$F$4:$H$4,Assumptions!$F$6:$H$6)</f>
        <v>17</v>
      </c>
      <c r="K1485" s="12">
        <f>_xlfn.XLOOKUP(Assumptions!$B$2,Assumptions!$F$4:$H$4,Assumptions!$F$8:$H$8)</f>
        <v>0.1</v>
      </c>
      <c r="L1485" s="12">
        <f>_xlfn.XLOOKUP(Assumptions!$B$2,Assumptions!$F$4:$H$4,Assumptions!$F$9:$H$9)</f>
        <v>0.18</v>
      </c>
      <c r="M1485" s="18">
        <f>_xlfn.XLOOKUP(Assumptions!$B$2,Assumptions!$F$4:$H$4,Assumptions!$F$10:$H$10)</f>
        <v>18000</v>
      </c>
      <c r="N1485" s="12">
        <f>_xlfn.XLOOKUP(Assumptions!$B$2,Assumptions!$F$4:$H$4,Assumptions!$F$11:$H$11)</f>
        <v>0.3</v>
      </c>
      <c r="O1485" s="14">
        <f>Final_Table[[#This Row],[Units Sold]]*Final_Table[[#This Row],[Sale Price]]</f>
        <v>20400</v>
      </c>
      <c r="P1485" s="14">
        <f>Final_Table[[#This Row],[Gross Revenue]]*(1-Final_Table[[#This Row],[Discount %]])</f>
        <v>18360</v>
      </c>
      <c r="Q1485">
        <f>Final_Table[[#This Row],[Net Revenue]]*Final_Table[[#This Row],[Variable Cost %]]</f>
        <v>3304.7999999999997</v>
      </c>
      <c r="R1485">
        <f>Final_Table[[#This Row],[Variable Cost]]+Final_Table[[#This Row],[Fixed Monthly Cost]]</f>
        <v>21304.799999999999</v>
      </c>
      <c r="S1485" s="5">
        <f>Final_Table[[#This Row],[Net Revenue]]-Final_Table[[#This Row],[Total Cost (COGS)]]</f>
        <v>-2944.7999999999993</v>
      </c>
      <c r="T1485">
        <f>Final_Table[[#This Row],[Gross Profit]]*Final_Table[[#This Row],[Tax Rate]]</f>
        <v>-883.43999999999971</v>
      </c>
      <c r="U1485" s="5">
        <f>Final_Table[[#This Row],[Gross Profit]]-Final_Table[[#This Row],[Tax]]</f>
        <v>-2061.3599999999997</v>
      </c>
      <c r="V1485" s="12">
        <f>Final_Table[[#This Row],[Net Profit]]/Final_Table[[#This Row],[Gross Revenue]]</f>
        <v>-0.10104705882352939</v>
      </c>
    </row>
    <row r="1486" spans="1:22">
      <c r="A1486" s="18" t="s">
        <v>78</v>
      </c>
      <c r="B1486">
        <v>2014</v>
      </c>
      <c r="C1486" t="s">
        <v>129</v>
      </c>
      <c r="D1486">
        <v>1</v>
      </c>
      <c r="E1486" s="18" t="s">
        <v>32</v>
      </c>
      <c r="F1486" s="18" t="s">
        <v>108</v>
      </c>
      <c r="G1486" s="18" t="s">
        <v>17</v>
      </c>
      <c r="H1486" s="18" t="str">
        <f>Assumptions!$B$2</f>
        <v>Worst</v>
      </c>
      <c r="I1486" s="18">
        <f>_xlfn.XLOOKUP(Assumptions!$B$2,Assumptions!$F$4:$H$4,Assumptions!$F$5:$H$5)</f>
        <v>1200</v>
      </c>
      <c r="J1486" s="18">
        <f>_xlfn.XLOOKUP(Assumptions!$B$2,Assumptions!$F$4:$H$4,Assumptions!$F$6:$H$6)</f>
        <v>17</v>
      </c>
      <c r="K1486" s="12">
        <f>_xlfn.XLOOKUP(Assumptions!$B$2,Assumptions!$F$4:$H$4,Assumptions!$F$8:$H$8)</f>
        <v>0.1</v>
      </c>
      <c r="L1486" s="12">
        <f>_xlfn.XLOOKUP(Assumptions!$B$2,Assumptions!$F$4:$H$4,Assumptions!$F$9:$H$9)</f>
        <v>0.18</v>
      </c>
      <c r="M1486" s="18">
        <f>_xlfn.XLOOKUP(Assumptions!$B$2,Assumptions!$F$4:$H$4,Assumptions!$F$10:$H$10)</f>
        <v>18000</v>
      </c>
      <c r="N1486" s="12">
        <f>_xlfn.XLOOKUP(Assumptions!$B$2,Assumptions!$F$4:$H$4,Assumptions!$F$11:$H$11)</f>
        <v>0.3</v>
      </c>
      <c r="O1486" s="14">
        <f>Final_Table[[#This Row],[Units Sold]]*Final_Table[[#This Row],[Sale Price]]</f>
        <v>20400</v>
      </c>
      <c r="P1486" s="14">
        <f>Final_Table[[#This Row],[Gross Revenue]]*(1-Final_Table[[#This Row],[Discount %]])</f>
        <v>18360</v>
      </c>
      <c r="Q1486">
        <f>Final_Table[[#This Row],[Net Revenue]]*Final_Table[[#This Row],[Variable Cost %]]</f>
        <v>3304.7999999999997</v>
      </c>
      <c r="R1486">
        <f>Final_Table[[#This Row],[Variable Cost]]+Final_Table[[#This Row],[Fixed Monthly Cost]]</f>
        <v>21304.799999999999</v>
      </c>
      <c r="S1486" s="5">
        <f>Final_Table[[#This Row],[Net Revenue]]-Final_Table[[#This Row],[Total Cost (COGS)]]</f>
        <v>-2944.7999999999993</v>
      </c>
      <c r="T1486">
        <f>Final_Table[[#This Row],[Gross Profit]]*Final_Table[[#This Row],[Tax Rate]]</f>
        <v>-883.43999999999971</v>
      </c>
      <c r="U1486" s="5">
        <f>Final_Table[[#This Row],[Gross Profit]]-Final_Table[[#This Row],[Tax]]</f>
        <v>-2061.3599999999997</v>
      </c>
      <c r="V1486" s="12">
        <f>Final_Table[[#This Row],[Net Profit]]/Final_Table[[#This Row],[Gross Revenue]]</f>
        <v>-0.10104705882352939</v>
      </c>
    </row>
    <row r="1487" spans="1:22">
      <c r="A1487" s="18" t="s">
        <v>78</v>
      </c>
      <c r="B1487">
        <v>2014</v>
      </c>
      <c r="C1487" t="s">
        <v>129</v>
      </c>
      <c r="D1487">
        <v>1</v>
      </c>
      <c r="E1487" s="18" t="s">
        <v>32</v>
      </c>
      <c r="F1487" s="18" t="s">
        <v>112</v>
      </c>
      <c r="G1487" s="18" t="s">
        <v>36</v>
      </c>
      <c r="H1487" s="18" t="str">
        <f>Assumptions!$B$2</f>
        <v>Worst</v>
      </c>
      <c r="I1487" s="18">
        <f>_xlfn.XLOOKUP(Assumptions!$B$2,Assumptions!$F$4:$H$4,Assumptions!$F$5:$H$5)</f>
        <v>1200</v>
      </c>
      <c r="J1487" s="18">
        <f>_xlfn.XLOOKUP(Assumptions!$B$2,Assumptions!$F$4:$H$4,Assumptions!$F$6:$H$6)</f>
        <v>17</v>
      </c>
      <c r="K1487" s="12">
        <f>_xlfn.XLOOKUP(Assumptions!$B$2,Assumptions!$F$4:$H$4,Assumptions!$F$8:$H$8)</f>
        <v>0.1</v>
      </c>
      <c r="L1487" s="12">
        <f>_xlfn.XLOOKUP(Assumptions!$B$2,Assumptions!$F$4:$H$4,Assumptions!$F$9:$H$9)</f>
        <v>0.18</v>
      </c>
      <c r="M1487" s="18">
        <f>_xlfn.XLOOKUP(Assumptions!$B$2,Assumptions!$F$4:$H$4,Assumptions!$F$10:$H$10)</f>
        <v>18000</v>
      </c>
      <c r="N1487" s="12">
        <f>_xlfn.XLOOKUP(Assumptions!$B$2,Assumptions!$F$4:$H$4,Assumptions!$F$11:$H$11)</f>
        <v>0.3</v>
      </c>
      <c r="O1487" s="14">
        <f>Final_Table[[#This Row],[Units Sold]]*Final_Table[[#This Row],[Sale Price]]</f>
        <v>20400</v>
      </c>
      <c r="P1487" s="14">
        <f>Final_Table[[#This Row],[Gross Revenue]]*(1-Final_Table[[#This Row],[Discount %]])</f>
        <v>18360</v>
      </c>
      <c r="Q1487">
        <f>Final_Table[[#This Row],[Net Revenue]]*Final_Table[[#This Row],[Variable Cost %]]</f>
        <v>3304.7999999999997</v>
      </c>
      <c r="R1487">
        <f>Final_Table[[#This Row],[Variable Cost]]+Final_Table[[#This Row],[Fixed Monthly Cost]]</f>
        <v>21304.799999999999</v>
      </c>
      <c r="S1487" s="5">
        <f>Final_Table[[#This Row],[Net Revenue]]-Final_Table[[#This Row],[Total Cost (COGS)]]</f>
        <v>-2944.7999999999993</v>
      </c>
      <c r="T1487">
        <f>Final_Table[[#This Row],[Gross Profit]]*Final_Table[[#This Row],[Tax Rate]]</f>
        <v>-883.43999999999971</v>
      </c>
      <c r="U1487" s="5">
        <f>Final_Table[[#This Row],[Gross Profit]]-Final_Table[[#This Row],[Tax]]</f>
        <v>-2061.3599999999997</v>
      </c>
      <c r="V1487" s="12">
        <f>Final_Table[[#This Row],[Net Profit]]/Final_Table[[#This Row],[Gross Revenue]]</f>
        <v>-0.10104705882352939</v>
      </c>
    </row>
    <row r="1488" spans="1:22">
      <c r="A1488" s="18" t="s">
        <v>78</v>
      </c>
      <c r="B1488">
        <v>2014</v>
      </c>
      <c r="C1488" t="s">
        <v>129</v>
      </c>
      <c r="D1488">
        <v>1</v>
      </c>
      <c r="E1488" s="18" t="s">
        <v>32</v>
      </c>
      <c r="F1488" s="18" t="s">
        <v>112</v>
      </c>
      <c r="G1488" s="18" t="s">
        <v>23</v>
      </c>
      <c r="H1488" s="18" t="str">
        <f>Assumptions!$B$2</f>
        <v>Worst</v>
      </c>
      <c r="I1488" s="18">
        <f>_xlfn.XLOOKUP(Assumptions!$B$2,Assumptions!$F$4:$H$4,Assumptions!$F$5:$H$5)</f>
        <v>1200</v>
      </c>
      <c r="J1488" s="18">
        <f>_xlfn.XLOOKUP(Assumptions!$B$2,Assumptions!$F$4:$H$4,Assumptions!$F$6:$H$6)</f>
        <v>17</v>
      </c>
      <c r="K1488" s="12">
        <f>_xlfn.XLOOKUP(Assumptions!$B$2,Assumptions!$F$4:$H$4,Assumptions!$F$8:$H$8)</f>
        <v>0.1</v>
      </c>
      <c r="L1488" s="12">
        <f>_xlfn.XLOOKUP(Assumptions!$B$2,Assumptions!$F$4:$H$4,Assumptions!$F$9:$H$9)</f>
        <v>0.18</v>
      </c>
      <c r="M1488" s="18">
        <f>_xlfn.XLOOKUP(Assumptions!$B$2,Assumptions!$F$4:$H$4,Assumptions!$F$10:$H$10)</f>
        <v>18000</v>
      </c>
      <c r="N1488" s="12">
        <f>_xlfn.XLOOKUP(Assumptions!$B$2,Assumptions!$F$4:$H$4,Assumptions!$F$11:$H$11)</f>
        <v>0.3</v>
      </c>
      <c r="O1488" s="14">
        <f>Final_Table[[#This Row],[Units Sold]]*Final_Table[[#This Row],[Sale Price]]</f>
        <v>20400</v>
      </c>
      <c r="P1488" s="14">
        <f>Final_Table[[#This Row],[Gross Revenue]]*(1-Final_Table[[#This Row],[Discount %]])</f>
        <v>18360</v>
      </c>
      <c r="Q1488">
        <f>Final_Table[[#This Row],[Net Revenue]]*Final_Table[[#This Row],[Variable Cost %]]</f>
        <v>3304.7999999999997</v>
      </c>
      <c r="R1488">
        <f>Final_Table[[#This Row],[Variable Cost]]+Final_Table[[#This Row],[Fixed Monthly Cost]]</f>
        <v>21304.799999999999</v>
      </c>
      <c r="S1488" s="5">
        <f>Final_Table[[#This Row],[Net Revenue]]-Final_Table[[#This Row],[Total Cost (COGS)]]</f>
        <v>-2944.7999999999993</v>
      </c>
      <c r="T1488">
        <f>Final_Table[[#This Row],[Gross Profit]]*Final_Table[[#This Row],[Tax Rate]]</f>
        <v>-883.43999999999971</v>
      </c>
      <c r="U1488" s="5">
        <f>Final_Table[[#This Row],[Gross Profit]]-Final_Table[[#This Row],[Tax]]</f>
        <v>-2061.3599999999997</v>
      </c>
      <c r="V1488" s="12">
        <f>Final_Table[[#This Row],[Net Profit]]/Final_Table[[#This Row],[Gross Revenue]]</f>
        <v>-0.10104705882352939</v>
      </c>
    </row>
    <row r="1489" spans="1:22">
      <c r="A1489" s="18" t="s">
        <v>78</v>
      </c>
      <c r="B1489">
        <v>2014</v>
      </c>
      <c r="C1489" t="s">
        <v>129</v>
      </c>
      <c r="D1489">
        <v>1</v>
      </c>
      <c r="E1489" s="18" t="s">
        <v>32</v>
      </c>
      <c r="F1489" s="18" t="s">
        <v>112</v>
      </c>
      <c r="G1489" s="18" t="s">
        <v>21</v>
      </c>
      <c r="H1489" s="18" t="str">
        <f>Assumptions!$B$2</f>
        <v>Worst</v>
      </c>
      <c r="I1489" s="18">
        <f>_xlfn.XLOOKUP(Assumptions!$B$2,Assumptions!$F$4:$H$4,Assumptions!$F$5:$H$5)</f>
        <v>1200</v>
      </c>
      <c r="J1489" s="18">
        <f>_xlfn.XLOOKUP(Assumptions!$B$2,Assumptions!$F$4:$H$4,Assumptions!$F$6:$H$6)</f>
        <v>17</v>
      </c>
      <c r="K1489" s="12">
        <f>_xlfn.XLOOKUP(Assumptions!$B$2,Assumptions!$F$4:$H$4,Assumptions!$F$8:$H$8)</f>
        <v>0.1</v>
      </c>
      <c r="L1489" s="12">
        <f>_xlfn.XLOOKUP(Assumptions!$B$2,Assumptions!$F$4:$H$4,Assumptions!$F$9:$H$9)</f>
        <v>0.18</v>
      </c>
      <c r="M1489" s="18">
        <f>_xlfn.XLOOKUP(Assumptions!$B$2,Assumptions!$F$4:$H$4,Assumptions!$F$10:$H$10)</f>
        <v>18000</v>
      </c>
      <c r="N1489" s="12">
        <f>_xlfn.XLOOKUP(Assumptions!$B$2,Assumptions!$F$4:$H$4,Assumptions!$F$11:$H$11)</f>
        <v>0.3</v>
      </c>
      <c r="O1489" s="14">
        <f>Final_Table[[#This Row],[Units Sold]]*Final_Table[[#This Row],[Sale Price]]</f>
        <v>20400</v>
      </c>
      <c r="P1489" s="14">
        <f>Final_Table[[#This Row],[Gross Revenue]]*(1-Final_Table[[#This Row],[Discount %]])</f>
        <v>18360</v>
      </c>
      <c r="Q1489">
        <f>Final_Table[[#This Row],[Net Revenue]]*Final_Table[[#This Row],[Variable Cost %]]</f>
        <v>3304.7999999999997</v>
      </c>
      <c r="R1489">
        <f>Final_Table[[#This Row],[Variable Cost]]+Final_Table[[#This Row],[Fixed Monthly Cost]]</f>
        <v>21304.799999999999</v>
      </c>
      <c r="S1489" s="5">
        <f>Final_Table[[#This Row],[Net Revenue]]-Final_Table[[#This Row],[Total Cost (COGS)]]</f>
        <v>-2944.7999999999993</v>
      </c>
      <c r="T1489">
        <f>Final_Table[[#This Row],[Gross Profit]]*Final_Table[[#This Row],[Tax Rate]]</f>
        <v>-883.43999999999971</v>
      </c>
      <c r="U1489" s="5">
        <f>Final_Table[[#This Row],[Gross Profit]]-Final_Table[[#This Row],[Tax]]</f>
        <v>-2061.3599999999997</v>
      </c>
      <c r="V1489" s="12">
        <f>Final_Table[[#This Row],[Net Profit]]/Final_Table[[#This Row],[Gross Revenue]]</f>
        <v>-0.10104705882352939</v>
      </c>
    </row>
    <row r="1490" spans="1:22">
      <c r="A1490" s="18" t="s">
        <v>78</v>
      </c>
      <c r="B1490">
        <v>2014</v>
      </c>
      <c r="C1490" t="s">
        <v>129</v>
      </c>
      <c r="D1490">
        <v>1</v>
      </c>
      <c r="E1490" s="18" t="s">
        <v>32</v>
      </c>
      <c r="F1490" s="18" t="s">
        <v>112</v>
      </c>
      <c r="G1490" s="18" t="s">
        <v>25</v>
      </c>
      <c r="H1490" s="18" t="str">
        <f>Assumptions!$B$2</f>
        <v>Worst</v>
      </c>
      <c r="I1490" s="18">
        <f>_xlfn.XLOOKUP(Assumptions!$B$2,Assumptions!$F$4:$H$4,Assumptions!$F$5:$H$5)</f>
        <v>1200</v>
      </c>
      <c r="J1490" s="18">
        <f>_xlfn.XLOOKUP(Assumptions!$B$2,Assumptions!$F$4:$H$4,Assumptions!$F$6:$H$6)</f>
        <v>17</v>
      </c>
      <c r="K1490" s="12">
        <f>_xlfn.XLOOKUP(Assumptions!$B$2,Assumptions!$F$4:$H$4,Assumptions!$F$8:$H$8)</f>
        <v>0.1</v>
      </c>
      <c r="L1490" s="12">
        <f>_xlfn.XLOOKUP(Assumptions!$B$2,Assumptions!$F$4:$H$4,Assumptions!$F$9:$H$9)</f>
        <v>0.18</v>
      </c>
      <c r="M1490" s="18">
        <f>_xlfn.XLOOKUP(Assumptions!$B$2,Assumptions!$F$4:$H$4,Assumptions!$F$10:$H$10)</f>
        <v>18000</v>
      </c>
      <c r="N1490" s="12">
        <f>_xlfn.XLOOKUP(Assumptions!$B$2,Assumptions!$F$4:$H$4,Assumptions!$F$11:$H$11)</f>
        <v>0.3</v>
      </c>
      <c r="O1490" s="14">
        <f>Final_Table[[#This Row],[Units Sold]]*Final_Table[[#This Row],[Sale Price]]</f>
        <v>20400</v>
      </c>
      <c r="P1490" s="14">
        <f>Final_Table[[#This Row],[Gross Revenue]]*(1-Final_Table[[#This Row],[Discount %]])</f>
        <v>18360</v>
      </c>
      <c r="Q1490">
        <f>Final_Table[[#This Row],[Net Revenue]]*Final_Table[[#This Row],[Variable Cost %]]</f>
        <v>3304.7999999999997</v>
      </c>
      <c r="R1490">
        <f>Final_Table[[#This Row],[Variable Cost]]+Final_Table[[#This Row],[Fixed Monthly Cost]]</f>
        <v>21304.799999999999</v>
      </c>
      <c r="S1490" s="5">
        <f>Final_Table[[#This Row],[Net Revenue]]-Final_Table[[#This Row],[Total Cost (COGS)]]</f>
        <v>-2944.7999999999993</v>
      </c>
      <c r="T1490">
        <f>Final_Table[[#This Row],[Gross Profit]]*Final_Table[[#This Row],[Tax Rate]]</f>
        <v>-883.43999999999971</v>
      </c>
      <c r="U1490" s="5">
        <f>Final_Table[[#This Row],[Gross Profit]]-Final_Table[[#This Row],[Tax]]</f>
        <v>-2061.3599999999997</v>
      </c>
      <c r="V1490" s="12">
        <f>Final_Table[[#This Row],[Net Profit]]/Final_Table[[#This Row],[Gross Revenue]]</f>
        <v>-0.10104705882352939</v>
      </c>
    </row>
    <row r="1491" spans="1:22">
      <c r="A1491" s="18" t="s">
        <v>78</v>
      </c>
      <c r="B1491">
        <v>2014</v>
      </c>
      <c r="C1491" t="s">
        <v>129</v>
      </c>
      <c r="D1491">
        <v>1</v>
      </c>
      <c r="E1491" s="18" t="s">
        <v>32</v>
      </c>
      <c r="F1491" s="18" t="s">
        <v>112</v>
      </c>
      <c r="G1491" s="18" t="s">
        <v>17</v>
      </c>
      <c r="H1491" s="18" t="str">
        <f>Assumptions!$B$2</f>
        <v>Worst</v>
      </c>
      <c r="I1491" s="18">
        <f>_xlfn.XLOOKUP(Assumptions!$B$2,Assumptions!$F$4:$H$4,Assumptions!$F$5:$H$5)</f>
        <v>1200</v>
      </c>
      <c r="J1491" s="18">
        <f>_xlfn.XLOOKUP(Assumptions!$B$2,Assumptions!$F$4:$H$4,Assumptions!$F$6:$H$6)</f>
        <v>17</v>
      </c>
      <c r="K1491" s="12">
        <f>_xlfn.XLOOKUP(Assumptions!$B$2,Assumptions!$F$4:$H$4,Assumptions!$F$8:$H$8)</f>
        <v>0.1</v>
      </c>
      <c r="L1491" s="12">
        <f>_xlfn.XLOOKUP(Assumptions!$B$2,Assumptions!$F$4:$H$4,Assumptions!$F$9:$H$9)</f>
        <v>0.18</v>
      </c>
      <c r="M1491" s="18">
        <f>_xlfn.XLOOKUP(Assumptions!$B$2,Assumptions!$F$4:$H$4,Assumptions!$F$10:$H$10)</f>
        <v>18000</v>
      </c>
      <c r="N1491" s="12">
        <f>_xlfn.XLOOKUP(Assumptions!$B$2,Assumptions!$F$4:$H$4,Assumptions!$F$11:$H$11)</f>
        <v>0.3</v>
      </c>
      <c r="O1491" s="14">
        <f>Final_Table[[#This Row],[Units Sold]]*Final_Table[[#This Row],[Sale Price]]</f>
        <v>20400</v>
      </c>
      <c r="P1491" s="14">
        <f>Final_Table[[#This Row],[Gross Revenue]]*(1-Final_Table[[#This Row],[Discount %]])</f>
        <v>18360</v>
      </c>
      <c r="Q1491">
        <f>Final_Table[[#This Row],[Net Revenue]]*Final_Table[[#This Row],[Variable Cost %]]</f>
        <v>3304.7999999999997</v>
      </c>
      <c r="R1491">
        <f>Final_Table[[#This Row],[Variable Cost]]+Final_Table[[#This Row],[Fixed Monthly Cost]]</f>
        <v>21304.799999999999</v>
      </c>
      <c r="S1491" s="5">
        <f>Final_Table[[#This Row],[Net Revenue]]-Final_Table[[#This Row],[Total Cost (COGS)]]</f>
        <v>-2944.7999999999993</v>
      </c>
      <c r="T1491">
        <f>Final_Table[[#This Row],[Gross Profit]]*Final_Table[[#This Row],[Tax Rate]]</f>
        <v>-883.43999999999971</v>
      </c>
      <c r="U1491" s="5">
        <f>Final_Table[[#This Row],[Gross Profit]]-Final_Table[[#This Row],[Tax]]</f>
        <v>-2061.3599999999997</v>
      </c>
      <c r="V1491" s="12">
        <f>Final_Table[[#This Row],[Net Profit]]/Final_Table[[#This Row],[Gross Revenue]]</f>
        <v>-0.10104705882352939</v>
      </c>
    </row>
    <row r="1492" spans="1:22">
      <c r="A1492" s="18" t="s">
        <v>78</v>
      </c>
      <c r="B1492">
        <v>2014</v>
      </c>
      <c r="C1492" t="s">
        <v>129</v>
      </c>
      <c r="D1492">
        <v>1</v>
      </c>
      <c r="E1492" s="18" t="s">
        <v>32</v>
      </c>
      <c r="F1492" s="18" t="s">
        <v>113</v>
      </c>
      <c r="G1492" s="18" t="s">
        <v>36</v>
      </c>
      <c r="H1492" s="18" t="str">
        <f>Assumptions!$B$2</f>
        <v>Worst</v>
      </c>
      <c r="I1492" s="18">
        <f>_xlfn.XLOOKUP(Assumptions!$B$2,Assumptions!$F$4:$H$4,Assumptions!$F$5:$H$5)</f>
        <v>1200</v>
      </c>
      <c r="J1492" s="18">
        <f>_xlfn.XLOOKUP(Assumptions!$B$2,Assumptions!$F$4:$H$4,Assumptions!$F$6:$H$6)</f>
        <v>17</v>
      </c>
      <c r="K1492" s="12">
        <f>_xlfn.XLOOKUP(Assumptions!$B$2,Assumptions!$F$4:$H$4,Assumptions!$F$8:$H$8)</f>
        <v>0.1</v>
      </c>
      <c r="L1492" s="12">
        <f>_xlfn.XLOOKUP(Assumptions!$B$2,Assumptions!$F$4:$H$4,Assumptions!$F$9:$H$9)</f>
        <v>0.18</v>
      </c>
      <c r="M1492" s="18">
        <f>_xlfn.XLOOKUP(Assumptions!$B$2,Assumptions!$F$4:$H$4,Assumptions!$F$10:$H$10)</f>
        <v>18000</v>
      </c>
      <c r="N1492" s="12">
        <f>_xlfn.XLOOKUP(Assumptions!$B$2,Assumptions!$F$4:$H$4,Assumptions!$F$11:$H$11)</f>
        <v>0.3</v>
      </c>
      <c r="O1492" s="14">
        <f>Final_Table[[#This Row],[Units Sold]]*Final_Table[[#This Row],[Sale Price]]</f>
        <v>20400</v>
      </c>
      <c r="P1492" s="14">
        <f>Final_Table[[#This Row],[Gross Revenue]]*(1-Final_Table[[#This Row],[Discount %]])</f>
        <v>18360</v>
      </c>
      <c r="Q1492">
        <f>Final_Table[[#This Row],[Net Revenue]]*Final_Table[[#This Row],[Variable Cost %]]</f>
        <v>3304.7999999999997</v>
      </c>
      <c r="R1492">
        <f>Final_Table[[#This Row],[Variable Cost]]+Final_Table[[#This Row],[Fixed Monthly Cost]]</f>
        <v>21304.799999999999</v>
      </c>
      <c r="S1492" s="5">
        <f>Final_Table[[#This Row],[Net Revenue]]-Final_Table[[#This Row],[Total Cost (COGS)]]</f>
        <v>-2944.7999999999993</v>
      </c>
      <c r="T1492">
        <f>Final_Table[[#This Row],[Gross Profit]]*Final_Table[[#This Row],[Tax Rate]]</f>
        <v>-883.43999999999971</v>
      </c>
      <c r="U1492" s="5">
        <f>Final_Table[[#This Row],[Gross Profit]]-Final_Table[[#This Row],[Tax]]</f>
        <v>-2061.3599999999997</v>
      </c>
      <c r="V1492" s="12">
        <f>Final_Table[[#This Row],[Net Profit]]/Final_Table[[#This Row],[Gross Revenue]]</f>
        <v>-0.10104705882352939</v>
      </c>
    </row>
    <row r="1493" spans="1:22">
      <c r="A1493" s="18" t="s">
        <v>78</v>
      </c>
      <c r="B1493">
        <v>2014</v>
      </c>
      <c r="C1493" t="s">
        <v>129</v>
      </c>
      <c r="D1493">
        <v>1</v>
      </c>
      <c r="E1493" s="18" t="s">
        <v>32</v>
      </c>
      <c r="F1493" s="18" t="s">
        <v>113</v>
      </c>
      <c r="G1493" s="18" t="s">
        <v>23</v>
      </c>
      <c r="H1493" s="18" t="str">
        <f>Assumptions!$B$2</f>
        <v>Worst</v>
      </c>
      <c r="I1493" s="18">
        <f>_xlfn.XLOOKUP(Assumptions!$B$2,Assumptions!$F$4:$H$4,Assumptions!$F$5:$H$5)</f>
        <v>1200</v>
      </c>
      <c r="J1493" s="18">
        <f>_xlfn.XLOOKUP(Assumptions!$B$2,Assumptions!$F$4:$H$4,Assumptions!$F$6:$H$6)</f>
        <v>17</v>
      </c>
      <c r="K1493" s="12">
        <f>_xlfn.XLOOKUP(Assumptions!$B$2,Assumptions!$F$4:$H$4,Assumptions!$F$8:$H$8)</f>
        <v>0.1</v>
      </c>
      <c r="L1493" s="12">
        <f>_xlfn.XLOOKUP(Assumptions!$B$2,Assumptions!$F$4:$H$4,Assumptions!$F$9:$H$9)</f>
        <v>0.18</v>
      </c>
      <c r="M1493" s="18">
        <f>_xlfn.XLOOKUP(Assumptions!$B$2,Assumptions!$F$4:$H$4,Assumptions!$F$10:$H$10)</f>
        <v>18000</v>
      </c>
      <c r="N1493" s="12">
        <f>_xlfn.XLOOKUP(Assumptions!$B$2,Assumptions!$F$4:$H$4,Assumptions!$F$11:$H$11)</f>
        <v>0.3</v>
      </c>
      <c r="O1493" s="14">
        <f>Final_Table[[#This Row],[Units Sold]]*Final_Table[[#This Row],[Sale Price]]</f>
        <v>20400</v>
      </c>
      <c r="P1493" s="14">
        <f>Final_Table[[#This Row],[Gross Revenue]]*(1-Final_Table[[#This Row],[Discount %]])</f>
        <v>18360</v>
      </c>
      <c r="Q1493">
        <f>Final_Table[[#This Row],[Net Revenue]]*Final_Table[[#This Row],[Variable Cost %]]</f>
        <v>3304.7999999999997</v>
      </c>
      <c r="R1493">
        <f>Final_Table[[#This Row],[Variable Cost]]+Final_Table[[#This Row],[Fixed Monthly Cost]]</f>
        <v>21304.799999999999</v>
      </c>
      <c r="S1493" s="5">
        <f>Final_Table[[#This Row],[Net Revenue]]-Final_Table[[#This Row],[Total Cost (COGS)]]</f>
        <v>-2944.7999999999993</v>
      </c>
      <c r="T1493">
        <f>Final_Table[[#This Row],[Gross Profit]]*Final_Table[[#This Row],[Tax Rate]]</f>
        <v>-883.43999999999971</v>
      </c>
      <c r="U1493" s="5">
        <f>Final_Table[[#This Row],[Gross Profit]]-Final_Table[[#This Row],[Tax]]</f>
        <v>-2061.3599999999997</v>
      </c>
      <c r="V1493" s="12">
        <f>Final_Table[[#This Row],[Net Profit]]/Final_Table[[#This Row],[Gross Revenue]]</f>
        <v>-0.10104705882352939</v>
      </c>
    </row>
    <row r="1494" spans="1:22">
      <c r="A1494" s="18" t="s">
        <v>78</v>
      </c>
      <c r="B1494">
        <v>2014</v>
      </c>
      <c r="C1494" t="s">
        <v>129</v>
      </c>
      <c r="D1494">
        <v>1</v>
      </c>
      <c r="E1494" s="18" t="s">
        <v>32</v>
      </c>
      <c r="F1494" s="18" t="s">
        <v>113</v>
      </c>
      <c r="G1494" s="18" t="s">
        <v>21</v>
      </c>
      <c r="H1494" s="18" t="str">
        <f>Assumptions!$B$2</f>
        <v>Worst</v>
      </c>
      <c r="I1494" s="18">
        <f>_xlfn.XLOOKUP(Assumptions!$B$2,Assumptions!$F$4:$H$4,Assumptions!$F$5:$H$5)</f>
        <v>1200</v>
      </c>
      <c r="J1494" s="18">
        <f>_xlfn.XLOOKUP(Assumptions!$B$2,Assumptions!$F$4:$H$4,Assumptions!$F$6:$H$6)</f>
        <v>17</v>
      </c>
      <c r="K1494" s="12">
        <f>_xlfn.XLOOKUP(Assumptions!$B$2,Assumptions!$F$4:$H$4,Assumptions!$F$8:$H$8)</f>
        <v>0.1</v>
      </c>
      <c r="L1494" s="12">
        <f>_xlfn.XLOOKUP(Assumptions!$B$2,Assumptions!$F$4:$H$4,Assumptions!$F$9:$H$9)</f>
        <v>0.18</v>
      </c>
      <c r="M1494" s="18">
        <f>_xlfn.XLOOKUP(Assumptions!$B$2,Assumptions!$F$4:$H$4,Assumptions!$F$10:$H$10)</f>
        <v>18000</v>
      </c>
      <c r="N1494" s="12">
        <f>_xlfn.XLOOKUP(Assumptions!$B$2,Assumptions!$F$4:$H$4,Assumptions!$F$11:$H$11)</f>
        <v>0.3</v>
      </c>
      <c r="O1494" s="14">
        <f>Final_Table[[#This Row],[Units Sold]]*Final_Table[[#This Row],[Sale Price]]</f>
        <v>20400</v>
      </c>
      <c r="P1494" s="14">
        <f>Final_Table[[#This Row],[Gross Revenue]]*(1-Final_Table[[#This Row],[Discount %]])</f>
        <v>18360</v>
      </c>
      <c r="Q1494">
        <f>Final_Table[[#This Row],[Net Revenue]]*Final_Table[[#This Row],[Variable Cost %]]</f>
        <v>3304.7999999999997</v>
      </c>
      <c r="R1494">
        <f>Final_Table[[#This Row],[Variable Cost]]+Final_Table[[#This Row],[Fixed Monthly Cost]]</f>
        <v>21304.799999999999</v>
      </c>
      <c r="S1494" s="5">
        <f>Final_Table[[#This Row],[Net Revenue]]-Final_Table[[#This Row],[Total Cost (COGS)]]</f>
        <v>-2944.7999999999993</v>
      </c>
      <c r="T1494">
        <f>Final_Table[[#This Row],[Gross Profit]]*Final_Table[[#This Row],[Tax Rate]]</f>
        <v>-883.43999999999971</v>
      </c>
      <c r="U1494" s="5">
        <f>Final_Table[[#This Row],[Gross Profit]]-Final_Table[[#This Row],[Tax]]</f>
        <v>-2061.3599999999997</v>
      </c>
      <c r="V1494" s="12">
        <f>Final_Table[[#This Row],[Net Profit]]/Final_Table[[#This Row],[Gross Revenue]]</f>
        <v>-0.10104705882352939</v>
      </c>
    </row>
    <row r="1495" spans="1:22">
      <c r="A1495" s="18" t="s">
        <v>78</v>
      </c>
      <c r="B1495">
        <v>2014</v>
      </c>
      <c r="C1495" t="s">
        <v>129</v>
      </c>
      <c r="D1495">
        <v>1</v>
      </c>
      <c r="E1495" s="18" t="s">
        <v>32</v>
      </c>
      <c r="F1495" s="18" t="s">
        <v>113</v>
      </c>
      <c r="G1495" s="18" t="s">
        <v>25</v>
      </c>
      <c r="H1495" s="18" t="str">
        <f>Assumptions!$B$2</f>
        <v>Worst</v>
      </c>
      <c r="I1495" s="18">
        <f>_xlfn.XLOOKUP(Assumptions!$B$2,Assumptions!$F$4:$H$4,Assumptions!$F$5:$H$5)</f>
        <v>1200</v>
      </c>
      <c r="J1495" s="18">
        <f>_xlfn.XLOOKUP(Assumptions!$B$2,Assumptions!$F$4:$H$4,Assumptions!$F$6:$H$6)</f>
        <v>17</v>
      </c>
      <c r="K1495" s="12">
        <f>_xlfn.XLOOKUP(Assumptions!$B$2,Assumptions!$F$4:$H$4,Assumptions!$F$8:$H$8)</f>
        <v>0.1</v>
      </c>
      <c r="L1495" s="12">
        <f>_xlfn.XLOOKUP(Assumptions!$B$2,Assumptions!$F$4:$H$4,Assumptions!$F$9:$H$9)</f>
        <v>0.18</v>
      </c>
      <c r="M1495" s="18">
        <f>_xlfn.XLOOKUP(Assumptions!$B$2,Assumptions!$F$4:$H$4,Assumptions!$F$10:$H$10)</f>
        <v>18000</v>
      </c>
      <c r="N1495" s="12">
        <f>_xlfn.XLOOKUP(Assumptions!$B$2,Assumptions!$F$4:$H$4,Assumptions!$F$11:$H$11)</f>
        <v>0.3</v>
      </c>
      <c r="O1495" s="14">
        <f>Final_Table[[#This Row],[Units Sold]]*Final_Table[[#This Row],[Sale Price]]</f>
        <v>20400</v>
      </c>
      <c r="P1495" s="14">
        <f>Final_Table[[#This Row],[Gross Revenue]]*(1-Final_Table[[#This Row],[Discount %]])</f>
        <v>18360</v>
      </c>
      <c r="Q1495">
        <f>Final_Table[[#This Row],[Net Revenue]]*Final_Table[[#This Row],[Variable Cost %]]</f>
        <v>3304.7999999999997</v>
      </c>
      <c r="R1495">
        <f>Final_Table[[#This Row],[Variable Cost]]+Final_Table[[#This Row],[Fixed Monthly Cost]]</f>
        <v>21304.799999999999</v>
      </c>
      <c r="S1495" s="5">
        <f>Final_Table[[#This Row],[Net Revenue]]-Final_Table[[#This Row],[Total Cost (COGS)]]</f>
        <v>-2944.7999999999993</v>
      </c>
      <c r="T1495">
        <f>Final_Table[[#This Row],[Gross Profit]]*Final_Table[[#This Row],[Tax Rate]]</f>
        <v>-883.43999999999971</v>
      </c>
      <c r="U1495" s="5">
        <f>Final_Table[[#This Row],[Gross Profit]]-Final_Table[[#This Row],[Tax]]</f>
        <v>-2061.3599999999997</v>
      </c>
      <c r="V1495" s="12">
        <f>Final_Table[[#This Row],[Net Profit]]/Final_Table[[#This Row],[Gross Revenue]]</f>
        <v>-0.10104705882352939</v>
      </c>
    </row>
    <row r="1496" spans="1:22">
      <c r="A1496" s="18" t="s">
        <v>78</v>
      </c>
      <c r="B1496">
        <v>2014</v>
      </c>
      <c r="C1496" t="s">
        <v>129</v>
      </c>
      <c r="D1496">
        <v>1</v>
      </c>
      <c r="E1496" s="18" t="s">
        <v>32</v>
      </c>
      <c r="F1496" s="18" t="s">
        <v>113</v>
      </c>
      <c r="G1496" s="18" t="s">
        <v>17</v>
      </c>
      <c r="H1496" s="18" t="str">
        <f>Assumptions!$B$2</f>
        <v>Worst</v>
      </c>
      <c r="I1496" s="18">
        <f>_xlfn.XLOOKUP(Assumptions!$B$2,Assumptions!$F$4:$H$4,Assumptions!$F$5:$H$5)</f>
        <v>1200</v>
      </c>
      <c r="J1496" s="18">
        <f>_xlfn.XLOOKUP(Assumptions!$B$2,Assumptions!$F$4:$H$4,Assumptions!$F$6:$H$6)</f>
        <v>17</v>
      </c>
      <c r="K1496" s="12">
        <f>_xlfn.XLOOKUP(Assumptions!$B$2,Assumptions!$F$4:$H$4,Assumptions!$F$8:$H$8)</f>
        <v>0.1</v>
      </c>
      <c r="L1496" s="12">
        <f>_xlfn.XLOOKUP(Assumptions!$B$2,Assumptions!$F$4:$H$4,Assumptions!$F$9:$H$9)</f>
        <v>0.18</v>
      </c>
      <c r="M1496" s="18">
        <f>_xlfn.XLOOKUP(Assumptions!$B$2,Assumptions!$F$4:$H$4,Assumptions!$F$10:$H$10)</f>
        <v>18000</v>
      </c>
      <c r="N1496" s="12">
        <f>_xlfn.XLOOKUP(Assumptions!$B$2,Assumptions!$F$4:$H$4,Assumptions!$F$11:$H$11)</f>
        <v>0.3</v>
      </c>
      <c r="O1496" s="14">
        <f>Final_Table[[#This Row],[Units Sold]]*Final_Table[[#This Row],[Sale Price]]</f>
        <v>20400</v>
      </c>
      <c r="P1496" s="14">
        <f>Final_Table[[#This Row],[Gross Revenue]]*(1-Final_Table[[#This Row],[Discount %]])</f>
        <v>18360</v>
      </c>
      <c r="Q1496">
        <f>Final_Table[[#This Row],[Net Revenue]]*Final_Table[[#This Row],[Variable Cost %]]</f>
        <v>3304.7999999999997</v>
      </c>
      <c r="R1496">
        <f>Final_Table[[#This Row],[Variable Cost]]+Final_Table[[#This Row],[Fixed Monthly Cost]]</f>
        <v>21304.799999999999</v>
      </c>
      <c r="S1496" s="5">
        <f>Final_Table[[#This Row],[Net Revenue]]-Final_Table[[#This Row],[Total Cost (COGS)]]</f>
        <v>-2944.7999999999993</v>
      </c>
      <c r="T1496">
        <f>Final_Table[[#This Row],[Gross Profit]]*Final_Table[[#This Row],[Tax Rate]]</f>
        <v>-883.43999999999971</v>
      </c>
      <c r="U1496" s="5">
        <f>Final_Table[[#This Row],[Gross Profit]]-Final_Table[[#This Row],[Tax]]</f>
        <v>-2061.3599999999997</v>
      </c>
      <c r="V1496" s="12">
        <f>Final_Table[[#This Row],[Net Profit]]/Final_Table[[#This Row],[Gross Revenue]]</f>
        <v>-0.10104705882352939</v>
      </c>
    </row>
    <row r="1497" spans="1:22">
      <c r="A1497" s="18" t="s">
        <v>78</v>
      </c>
      <c r="B1497">
        <v>2014</v>
      </c>
      <c r="C1497" t="s">
        <v>129</v>
      </c>
      <c r="D1497">
        <v>1</v>
      </c>
      <c r="E1497" s="18" t="s">
        <v>32</v>
      </c>
      <c r="F1497" s="18" t="s">
        <v>114</v>
      </c>
      <c r="G1497" s="18" t="s">
        <v>36</v>
      </c>
      <c r="H1497" s="18" t="str">
        <f>Assumptions!$B$2</f>
        <v>Worst</v>
      </c>
      <c r="I1497" s="18">
        <f>_xlfn.XLOOKUP(Assumptions!$B$2,Assumptions!$F$4:$H$4,Assumptions!$F$5:$H$5)</f>
        <v>1200</v>
      </c>
      <c r="J1497" s="18">
        <f>_xlfn.XLOOKUP(Assumptions!$B$2,Assumptions!$F$4:$H$4,Assumptions!$F$6:$H$6)</f>
        <v>17</v>
      </c>
      <c r="K1497" s="12">
        <f>_xlfn.XLOOKUP(Assumptions!$B$2,Assumptions!$F$4:$H$4,Assumptions!$F$8:$H$8)</f>
        <v>0.1</v>
      </c>
      <c r="L1497" s="12">
        <f>_xlfn.XLOOKUP(Assumptions!$B$2,Assumptions!$F$4:$H$4,Assumptions!$F$9:$H$9)</f>
        <v>0.18</v>
      </c>
      <c r="M1497" s="18">
        <f>_xlfn.XLOOKUP(Assumptions!$B$2,Assumptions!$F$4:$H$4,Assumptions!$F$10:$H$10)</f>
        <v>18000</v>
      </c>
      <c r="N1497" s="12">
        <f>_xlfn.XLOOKUP(Assumptions!$B$2,Assumptions!$F$4:$H$4,Assumptions!$F$11:$H$11)</f>
        <v>0.3</v>
      </c>
      <c r="O1497" s="14">
        <f>Final_Table[[#This Row],[Units Sold]]*Final_Table[[#This Row],[Sale Price]]</f>
        <v>20400</v>
      </c>
      <c r="P1497" s="14">
        <f>Final_Table[[#This Row],[Gross Revenue]]*(1-Final_Table[[#This Row],[Discount %]])</f>
        <v>18360</v>
      </c>
      <c r="Q1497">
        <f>Final_Table[[#This Row],[Net Revenue]]*Final_Table[[#This Row],[Variable Cost %]]</f>
        <v>3304.7999999999997</v>
      </c>
      <c r="R1497">
        <f>Final_Table[[#This Row],[Variable Cost]]+Final_Table[[#This Row],[Fixed Monthly Cost]]</f>
        <v>21304.799999999999</v>
      </c>
      <c r="S1497" s="5">
        <f>Final_Table[[#This Row],[Net Revenue]]-Final_Table[[#This Row],[Total Cost (COGS)]]</f>
        <v>-2944.7999999999993</v>
      </c>
      <c r="T1497">
        <f>Final_Table[[#This Row],[Gross Profit]]*Final_Table[[#This Row],[Tax Rate]]</f>
        <v>-883.43999999999971</v>
      </c>
      <c r="U1497" s="5">
        <f>Final_Table[[#This Row],[Gross Profit]]-Final_Table[[#This Row],[Tax]]</f>
        <v>-2061.3599999999997</v>
      </c>
      <c r="V1497" s="12">
        <f>Final_Table[[#This Row],[Net Profit]]/Final_Table[[#This Row],[Gross Revenue]]</f>
        <v>-0.10104705882352939</v>
      </c>
    </row>
    <row r="1498" spans="1:22">
      <c r="A1498" s="18" t="s">
        <v>78</v>
      </c>
      <c r="B1498">
        <v>2014</v>
      </c>
      <c r="C1498" t="s">
        <v>129</v>
      </c>
      <c r="D1498">
        <v>1</v>
      </c>
      <c r="E1498" s="18" t="s">
        <v>32</v>
      </c>
      <c r="F1498" s="18" t="s">
        <v>114</v>
      </c>
      <c r="G1498" s="18" t="s">
        <v>23</v>
      </c>
      <c r="H1498" s="18" t="str">
        <f>Assumptions!$B$2</f>
        <v>Worst</v>
      </c>
      <c r="I1498" s="18">
        <f>_xlfn.XLOOKUP(Assumptions!$B$2,Assumptions!$F$4:$H$4,Assumptions!$F$5:$H$5)</f>
        <v>1200</v>
      </c>
      <c r="J1498" s="18">
        <f>_xlfn.XLOOKUP(Assumptions!$B$2,Assumptions!$F$4:$H$4,Assumptions!$F$6:$H$6)</f>
        <v>17</v>
      </c>
      <c r="K1498" s="12">
        <f>_xlfn.XLOOKUP(Assumptions!$B$2,Assumptions!$F$4:$H$4,Assumptions!$F$8:$H$8)</f>
        <v>0.1</v>
      </c>
      <c r="L1498" s="12">
        <f>_xlfn.XLOOKUP(Assumptions!$B$2,Assumptions!$F$4:$H$4,Assumptions!$F$9:$H$9)</f>
        <v>0.18</v>
      </c>
      <c r="M1498" s="18">
        <f>_xlfn.XLOOKUP(Assumptions!$B$2,Assumptions!$F$4:$H$4,Assumptions!$F$10:$H$10)</f>
        <v>18000</v>
      </c>
      <c r="N1498" s="12">
        <f>_xlfn.XLOOKUP(Assumptions!$B$2,Assumptions!$F$4:$H$4,Assumptions!$F$11:$H$11)</f>
        <v>0.3</v>
      </c>
      <c r="O1498" s="14">
        <f>Final_Table[[#This Row],[Units Sold]]*Final_Table[[#This Row],[Sale Price]]</f>
        <v>20400</v>
      </c>
      <c r="P1498" s="14">
        <f>Final_Table[[#This Row],[Gross Revenue]]*(1-Final_Table[[#This Row],[Discount %]])</f>
        <v>18360</v>
      </c>
      <c r="Q1498">
        <f>Final_Table[[#This Row],[Net Revenue]]*Final_Table[[#This Row],[Variable Cost %]]</f>
        <v>3304.7999999999997</v>
      </c>
      <c r="R1498">
        <f>Final_Table[[#This Row],[Variable Cost]]+Final_Table[[#This Row],[Fixed Monthly Cost]]</f>
        <v>21304.799999999999</v>
      </c>
      <c r="S1498" s="5">
        <f>Final_Table[[#This Row],[Net Revenue]]-Final_Table[[#This Row],[Total Cost (COGS)]]</f>
        <v>-2944.7999999999993</v>
      </c>
      <c r="T1498">
        <f>Final_Table[[#This Row],[Gross Profit]]*Final_Table[[#This Row],[Tax Rate]]</f>
        <v>-883.43999999999971</v>
      </c>
      <c r="U1498" s="5">
        <f>Final_Table[[#This Row],[Gross Profit]]-Final_Table[[#This Row],[Tax]]</f>
        <v>-2061.3599999999997</v>
      </c>
      <c r="V1498" s="12">
        <f>Final_Table[[#This Row],[Net Profit]]/Final_Table[[#This Row],[Gross Revenue]]</f>
        <v>-0.10104705882352939</v>
      </c>
    </row>
    <row r="1499" spans="1:22">
      <c r="A1499" s="18" t="s">
        <v>78</v>
      </c>
      <c r="B1499">
        <v>2014</v>
      </c>
      <c r="C1499" t="s">
        <v>129</v>
      </c>
      <c r="D1499">
        <v>1</v>
      </c>
      <c r="E1499" s="18" t="s">
        <v>32</v>
      </c>
      <c r="F1499" s="18" t="s">
        <v>114</v>
      </c>
      <c r="G1499" s="18" t="s">
        <v>21</v>
      </c>
      <c r="H1499" s="18" t="str">
        <f>Assumptions!$B$2</f>
        <v>Worst</v>
      </c>
      <c r="I1499" s="18">
        <f>_xlfn.XLOOKUP(Assumptions!$B$2,Assumptions!$F$4:$H$4,Assumptions!$F$5:$H$5)</f>
        <v>1200</v>
      </c>
      <c r="J1499" s="18">
        <f>_xlfn.XLOOKUP(Assumptions!$B$2,Assumptions!$F$4:$H$4,Assumptions!$F$6:$H$6)</f>
        <v>17</v>
      </c>
      <c r="K1499" s="12">
        <f>_xlfn.XLOOKUP(Assumptions!$B$2,Assumptions!$F$4:$H$4,Assumptions!$F$8:$H$8)</f>
        <v>0.1</v>
      </c>
      <c r="L1499" s="12">
        <f>_xlfn.XLOOKUP(Assumptions!$B$2,Assumptions!$F$4:$H$4,Assumptions!$F$9:$H$9)</f>
        <v>0.18</v>
      </c>
      <c r="M1499" s="18">
        <f>_xlfn.XLOOKUP(Assumptions!$B$2,Assumptions!$F$4:$H$4,Assumptions!$F$10:$H$10)</f>
        <v>18000</v>
      </c>
      <c r="N1499" s="12">
        <f>_xlfn.XLOOKUP(Assumptions!$B$2,Assumptions!$F$4:$H$4,Assumptions!$F$11:$H$11)</f>
        <v>0.3</v>
      </c>
      <c r="O1499" s="14">
        <f>Final_Table[[#This Row],[Units Sold]]*Final_Table[[#This Row],[Sale Price]]</f>
        <v>20400</v>
      </c>
      <c r="P1499" s="14">
        <f>Final_Table[[#This Row],[Gross Revenue]]*(1-Final_Table[[#This Row],[Discount %]])</f>
        <v>18360</v>
      </c>
      <c r="Q1499">
        <f>Final_Table[[#This Row],[Net Revenue]]*Final_Table[[#This Row],[Variable Cost %]]</f>
        <v>3304.7999999999997</v>
      </c>
      <c r="R1499">
        <f>Final_Table[[#This Row],[Variable Cost]]+Final_Table[[#This Row],[Fixed Monthly Cost]]</f>
        <v>21304.799999999999</v>
      </c>
      <c r="S1499" s="5">
        <f>Final_Table[[#This Row],[Net Revenue]]-Final_Table[[#This Row],[Total Cost (COGS)]]</f>
        <v>-2944.7999999999993</v>
      </c>
      <c r="T1499">
        <f>Final_Table[[#This Row],[Gross Profit]]*Final_Table[[#This Row],[Tax Rate]]</f>
        <v>-883.43999999999971</v>
      </c>
      <c r="U1499" s="5">
        <f>Final_Table[[#This Row],[Gross Profit]]-Final_Table[[#This Row],[Tax]]</f>
        <v>-2061.3599999999997</v>
      </c>
      <c r="V1499" s="12">
        <f>Final_Table[[#This Row],[Net Profit]]/Final_Table[[#This Row],[Gross Revenue]]</f>
        <v>-0.10104705882352939</v>
      </c>
    </row>
    <row r="1500" spans="1:22">
      <c r="A1500" s="18" t="s">
        <v>78</v>
      </c>
      <c r="B1500">
        <v>2014</v>
      </c>
      <c r="C1500" t="s">
        <v>129</v>
      </c>
      <c r="D1500">
        <v>1</v>
      </c>
      <c r="E1500" s="18" t="s">
        <v>32</v>
      </c>
      <c r="F1500" s="18" t="s">
        <v>114</v>
      </c>
      <c r="G1500" s="18" t="s">
        <v>25</v>
      </c>
      <c r="H1500" s="18" t="str">
        <f>Assumptions!$B$2</f>
        <v>Worst</v>
      </c>
      <c r="I1500" s="18">
        <f>_xlfn.XLOOKUP(Assumptions!$B$2,Assumptions!$F$4:$H$4,Assumptions!$F$5:$H$5)</f>
        <v>1200</v>
      </c>
      <c r="J1500" s="18">
        <f>_xlfn.XLOOKUP(Assumptions!$B$2,Assumptions!$F$4:$H$4,Assumptions!$F$6:$H$6)</f>
        <v>17</v>
      </c>
      <c r="K1500" s="12">
        <f>_xlfn.XLOOKUP(Assumptions!$B$2,Assumptions!$F$4:$H$4,Assumptions!$F$8:$H$8)</f>
        <v>0.1</v>
      </c>
      <c r="L1500" s="12">
        <f>_xlfn.XLOOKUP(Assumptions!$B$2,Assumptions!$F$4:$H$4,Assumptions!$F$9:$H$9)</f>
        <v>0.18</v>
      </c>
      <c r="M1500" s="18">
        <f>_xlfn.XLOOKUP(Assumptions!$B$2,Assumptions!$F$4:$H$4,Assumptions!$F$10:$H$10)</f>
        <v>18000</v>
      </c>
      <c r="N1500" s="12">
        <f>_xlfn.XLOOKUP(Assumptions!$B$2,Assumptions!$F$4:$H$4,Assumptions!$F$11:$H$11)</f>
        <v>0.3</v>
      </c>
      <c r="O1500" s="14">
        <f>Final_Table[[#This Row],[Units Sold]]*Final_Table[[#This Row],[Sale Price]]</f>
        <v>20400</v>
      </c>
      <c r="P1500" s="14">
        <f>Final_Table[[#This Row],[Gross Revenue]]*(1-Final_Table[[#This Row],[Discount %]])</f>
        <v>18360</v>
      </c>
      <c r="Q1500">
        <f>Final_Table[[#This Row],[Net Revenue]]*Final_Table[[#This Row],[Variable Cost %]]</f>
        <v>3304.7999999999997</v>
      </c>
      <c r="R1500">
        <f>Final_Table[[#This Row],[Variable Cost]]+Final_Table[[#This Row],[Fixed Monthly Cost]]</f>
        <v>21304.799999999999</v>
      </c>
      <c r="S1500" s="5">
        <f>Final_Table[[#This Row],[Net Revenue]]-Final_Table[[#This Row],[Total Cost (COGS)]]</f>
        <v>-2944.7999999999993</v>
      </c>
      <c r="T1500">
        <f>Final_Table[[#This Row],[Gross Profit]]*Final_Table[[#This Row],[Tax Rate]]</f>
        <v>-883.43999999999971</v>
      </c>
      <c r="U1500" s="5">
        <f>Final_Table[[#This Row],[Gross Profit]]-Final_Table[[#This Row],[Tax]]</f>
        <v>-2061.3599999999997</v>
      </c>
      <c r="V1500" s="12">
        <f>Final_Table[[#This Row],[Net Profit]]/Final_Table[[#This Row],[Gross Revenue]]</f>
        <v>-0.10104705882352939</v>
      </c>
    </row>
    <row r="1501" spans="1:22">
      <c r="A1501" s="18" t="s">
        <v>78</v>
      </c>
      <c r="B1501">
        <v>2014</v>
      </c>
      <c r="C1501" t="s">
        <v>129</v>
      </c>
      <c r="D1501">
        <v>1</v>
      </c>
      <c r="E1501" s="18" t="s">
        <v>32</v>
      </c>
      <c r="F1501" s="18" t="s">
        <v>114</v>
      </c>
      <c r="G1501" s="18" t="s">
        <v>17</v>
      </c>
      <c r="H1501" s="18" t="str">
        <f>Assumptions!$B$2</f>
        <v>Worst</v>
      </c>
      <c r="I1501" s="18">
        <f>_xlfn.XLOOKUP(Assumptions!$B$2,Assumptions!$F$4:$H$4,Assumptions!$F$5:$H$5)</f>
        <v>1200</v>
      </c>
      <c r="J1501" s="18">
        <f>_xlfn.XLOOKUP(Assumptions!$B$2,Assumptions!$F$4:$H$4,Assumptions!$F$6:$H$6)</f>
        <v>17</v>
      </c>
      <c r="K1501" s="12">
        <f>_xlfn.XLOOKUP(Assumptions!$B$2,Assumptions!$F$4:$H$4,Assumptions!$F$8:$H$8)</f>
        <v>0.1</v>
      </c>
      <c r="L1501" s="12">
        <f>_xlfn.XLOOKUP(Assumptions!$B$2,Assumptions!$F$4:$H$4,Assumptions!$F$9:$H$9)</f>
        <v>0.18</v>
      </c>
      <c r="M1501" s="18">
        <f>_xlfn.XLOOKUP(Assumptions!$B$2,Assumptions!$F$4:$H$4,Assumptions!$F$10:$H$10)</f>
        <v>18000</v>
      </c>
      <c r="N1501" s="12">
        <f>_xlfn.XLOOKUP(Assumptions!$B$2,Assumptions!$F$4:$H$4,Assumptions!$F$11:$H$11)</f>
        <v>0.3</v>
      </c>
      <c r="O1501" s="14">
        <f>Final_Table[[#This Row],[Units Sold]]*Final_Table[[#This Row],[Sale Price]]</f>
        <v>20400</v>
      </c>
      <c r="P1501" s="14">
        <f>Final_Table[[#This Row],[Gross Revenue]]*(1-Final_Table[[#This Row],[Discount %]])</f>
        <v>18360</v>
      </c>
      <c r="Q1501">
        <f>Final_Table[[#This Row],[Net Revenue]]*Final_Table[[#This Row],[Variable Cost %]]</f>
        <v>3304.7999999999997</v>
      </c>
      <c r="R1501">
        <f>Final_Table[[#This Row],[Variable Cost]]+Final_Table[[#This Row],[Fixed Monthly Cost]]</f>
        <v>21304.799999999999</v>
      </c>
      <c r="S1501" s="5">
        <f>Final_Table[[#This Row],[Net Revenue]]-Final_Table[[#This Row],[Total Cost (COGS)]]</f>
        <v>-2944.7999999999993</v>
      </c>
      <c r="T1501">
        <f>Final_Table[[#This Row],[Gross Profit]]*Final_Table[[#This Row],[Tax Rate]]</f>
        <v>-883.43999999999971</v>
      </c>
      <c r="U1501" s="5">
        <f>Final_Table[[#This Row],[Gross Profit]]-Final_Table[[#This Row],[Tax]]</f>
        <v>-2061.3599999999997</v>
      </c>
      <c r="V1501" s="12">
        <f>Final_Table[[#This Row],[Net Profit]]/Final_Table[[#This Row],[Gross Revenue]]</f>
        <v>-0.10104705882352939</v>
      </c>
    </row>
    <row r="1502" spans="1:22">
      <c r="A1502" s="18" t="s">
        <v>70</v>
      </c>
      <c r="B1502">
        <v>2014</v>
      </c>
      <c r="C1502" t="s">
        <v>130</v>
      </c>
      <c r="D1502">
        <v>1</v>
      </c>
      <c r="E1502" s="18" t="s">
        <v>30</v>
      </c>
      <c r="F1502" s="18" t="s">
        <v>80</v>
      </c>
      <c r="G1502" s="18" t="s">
        <v>36</v>
      </c>
      <c r="H1502" s="18" t="str">
        <f>Assumptions!$B$2</f>
        <v>Worst</v>
      </c>
      <c r="I1502" s="18">
        <f>_xlfn.XLOOKUP(Assumptions!$B$2,Assumptions!$F$4:$H$4,Assumptions!$F$5:$H$5)</f>
        <v>1200</v>
      </c>
      <c r="J1502" s="18">
        <f>_xlfn.XLOOKUP(Assumptions!$B$2,Assumptions!$F$4:$H$4,Assumptions!$F$6:$H$6)</f>
        <v>17</v>
      </c>
      <c r="K1502" s="12">
        <f>_xlfn.XLOOKUP(Assumptions!$B$2,Assumptions!$F$4:$H$4,Assumptions!$F$8:$H$8)</f>
        <v>0.1</v>
      </c>
      <c r="L1502" s="12">
        <f>_xlfn.XLOOKUP(Assumptions!$B$2,Assumptions!$F$4:$H$4,Assumptions!$F$9:$H$9)</f>
        <v>0.18</v>
      </c>
      <c r="M1502" s="18">
        <f>_xlfn.XLOOKUP(Assumptions!$B$2,Assumptions!$F$4:$H$4,Assumptions!$F$10:$H$10)</f>
        <v>18000</v>
      </c>
      <c r="N1502" s="12">
        <f>_xlfn.XLOOKUP(Assumptions!$B$2,Assumptions!$F$4:$H$4,Assumptions!$F$11:$H$11)</f>
        <v>0.3</v>
      </c>
      <c r="O1502" s="14">
        <f>Final_Table[[#This Row],[Units Sold]]*Final_Table[[#This Row],[Sale Price]]</f>
        <v>20400</v>
      </c>
      <c r="P1502" s="14">
        <f>Final_Table[[#This Row],[Gross Revenue]]*(1-Final_Table[[#This Row],[Discount %]])</f>
        <v>18360</v>
      </c>
      <c r="Q1502">
        <f>Final_Table[[#This Row],[Net Revenue]]*Final_Table[[#This Row],[Variable Cost %]]</f>
        <v>3304.7999999999997</v>
      </c>
      <c r="R1502">
        <f>Final_Table[[#This Row],[Variable Cost]]+Final_Table[[#This Row],[Fixed Monthly Cost]]</f>
        <v>21304.799999999999</v>
      </c>
      <c r="S1502" s="5">
        <f>Final_Table[[#This Row],[Net Revenue]]-Final_Table[[#This Row],[Total Cost (COGS)]]</f>
        <v>-2944.7999999999993</v>
      </c>
      <c r="T1502">
        <f>Final_Table[[#This Row],[Gross Profit]]*Final_Table[[#This Row],[Tax Rate]]</f>
        <v>-883.43999999999971</v>
      </c>
      <c r="U1502" s="5">
        <f>Final_Table[[#This Row],[Gross Profit]]-Final_Table[[#This Row],[Tax]]</f>
        <v>-2061.3599999999997</v>
      </c>
      <c r="V1502" s="12">
        <f>Final_Table[[#This Row],[Net Profit]]/Final_Table[[#This Row],[Gross Revenue]]</f>
        <v>-0.10104705882352939</v>
      </c>
    </row>
    <row r="1503" spans="1:22">
      <c r="A1503" s="18" t="s">
        <v>70</v>
      </c>
      <c r="B1503">
        <v>2014</v>
      </c>
      <c r="C1503" t="s">
        <v>130</v>
      </c>
      <c r="D1503">
        <v>1</v>
      </c>
      <c r="E1503" s="18" t="s">
        <v>30</v>
      </c>
      <c r="F1503" s="18" t="s">
        <v>80</v>
      </c>
      <c r="G1503" s="18" t="s">
        <v>23</v>
      </c>
      <c r="H1503" s="18" t="str">
        <f>Assumptions!$B$2</f>
        <v>Worst</v>
      </c>
      <c r="I1503" s="18">
        <f>_xlfn.XLOOKUP(Assumptions!$B$2,Assumptions!$F$4:$H$4,Assumptions!$F$5:$H$5)</f>
        <v>1200</v>
      </c>
      <c r="J1503" s="18">
        <f>_xlfn.XLOOKUP(Assumptions!$B$2,Assumptions!$F$4:$H$4,Assumptions!$F$6:$H$6)</f>
        <v>17</v>
      </c>
      <c r="K1503" s="12">
        <f>_xlfn.XLOOKUP(Assumptions!$B$2,Assumptions!$F$4:$H$4,Assumptions!$F$8:$H$8)</f>
        <v>0.1</v>
      </c>
      <c r="L1503" s="12">
        <f>_xlfn.XLOOKUP(Assumptions!$B$2,Assumptions!$F$4:$H$4,Assumptions!$F$9:$H$9)</f>
        <v>0.18</v>
      </c>
      <c r="M1503" s="18">
        <f>_xlfn.XLOOKUP(Assumptions!$B$2,Assumptions!$F$4:$H$4,Assumptions!$F$10:$H$10)</f>
        <v>18000</v>
      </c>
      <c r="N1503" s="12">
        <f>_xlfn.XLOOKUP(Assumptions!$B$2,Assumptions!$F$4:$H$4,Assumptions!$F$11:$H$11)</f>
        <v>0.3</v>
      </c>
      <c r="O1503" s="14">
        <f>Final_Table[[#This Row],[Units Sold]]*Final_Table[[#This Row],[Sale Price]]</f>
        <v>20400</v>
      </c>
      <c r="P1503" s="14">
        <f>Final_Table[[#This Row],[Gross Revenue]]*(1-Final_Table[[#This Row],[Discount %]])</f>
        <v>18360</v>
      </c>
      <c r="Q1503">
        <f>Final_Table[[#This Row],[Net Revenue]]*Final_Table[[#This Row],[Variable Cost %]]</f>
        <v>3304.7999999999997</v>
      </c>
      <c r="R1503">
        <f>Final_Table[[#This Row],[Variable Cost]]+Final_Table[[#This Row],[Fixed Monthly Cost]]</f>
        <v>21304.799999999999</v>
      </c>
      <c r="S1503" s="5">
        <f>Final_Table[[#This Row],[Net Revenue]]-Final_Table[[#This Row],[Total Cost (COGS)]]</f>
        <v>-2944.7999999999993</v>
      </c>
      <c r="T1503">
        <f>Final_Table[[#This Row],[Gross Profit]]*Final_Table[[#This Row],[Tax Rate]]</f>
        <v>-883.43999999999971</v>
      </c>
      <c r="U1503" s="5">
        <f>Final_Table[[#This Row],[Gross Profit]]-Final_Table[[#This Row],[Tax]]</f>
        <v>-2061.3599999999997</v>
      </c>
      <c r="V1503" s="12">
        <f>Final_Table[[#This Row],[Net Profit]]/Final_Table[[#This Row],[Gross Revenue]]</f>
        <v>-0.10104705882352939</v>
      </c>
    </row>
    <row r="1504" spans="1:22">
      <c r="A1504" s="18" t="s">
        <v>70</v>
      </c>
      <c r="B1504">
        <v>2014</v>
      </c>
      <c r="C1504" t="s">
        <v>130</v>
      </c>
      <c r="D1504">
        <v>1</v>
      </c>
      <c r="E1504" s="18" t="s">
        <v>30</v>
      </c>
      <c r="F1504" s="18" t="s">
        <v>80</v>
      </c>
      <c r="G1504" s="18" t="s">
        <v>21</v>
      </c>
      <c r="H1504" s="18" t="str">
        <f>Assumptions!$B$2</f>
        <v>Worst</v>
      </c>
      <c r="I1504" s="18">
        <f>_xlfn.XLOOKUP(Assumptions!$B$2,Assumptions!$F$4:$H$4,Assumptions!$F$5:$H$5)</f>
        <v>1200</v>
      </c>
      <c r="J1504" s="18">
        <f>_xlfn.XLOOKUP(Assumptions!$B$2,Assumptions!$F$4:$H$4,Assumptions!$F$6:$H$6)</f>
        <v>17</v>
      </c>
      <c r="K1504" s="12">
        <f>_xlfn.XLOOKUP(Assumptions!$B$2,Assumptions!$F$4:$H$4,Assumptions!$F$8:$H$8)</f>
        <v>0.1</v>
      </c>
      <c r="L1504" s="12">
        <f>_xlfn.XLOOKUP(Assumptions!$B$2,Assumptions!$F$4:$H$4,Assumptions!$F$9:$H$9)</f>
        <v>0.18</v>
      </c>
      <c r="M1504" s="18">
        <f>_xlfn.XLOOKUP(Assumptions!$B$2,Assumptions!$F$4:$H$4,Assumptions!$F$10:$H$10)</f>
        <v>18000</v>
      </c>
      <c r="N1504" s="12">
        <f>_xlfn.XLOOKUP(Assumptions!$B$2,Assumptions!$F$4:$H$4,Assumptions!$F$11:$H$11)</f>
        <v>0.3</v>
      </c>
      <c r="O1504" s="14">
        <f>Final_Table[[#This Row],[Units Sold]]*Final_Table[[#This Row],[Sale Price]]</f>
        <v>20400</v>
      </c>
      <c r="P1504" s="14">
        <f>Final_Table[[#This Row],[Gross Revenue]]*(1-Final_Table[[#This Row],[Discount %]])</f>
        <v>18360</v>
      </c>
      <c r="Q1504">
        <f>Final_Table[[#This Row],[Net Revenue]]*Final_Table[[#This Row],[Variable Cost %]]</f>
        <v>3304.7999999999997</v>
      </c>
      <c r="R1504">
        <f>Final_Table[[#This Row],[Variable Cost]]+Final_Table[[#This Row],[Fixed Monthly Cost]]</f>
        <v>21304.799999999999</v>
      </c>
      <c r="S1504" s="5">
        <f>Final_Table[[#This Row],[Net Revenue]]-Final_Table[[#This Row],[Total Cost (COGS)]]</f>
        <v>-2944.7999999999993</v>
      </c>
      <c r="T1504">
        <f>Final_Table[[#This Row],[Gross Profit]]*Final_Table[[#This Row],[Tax Rate]]</f>
        <v>-883.43999999999971</v>
      </c>
      <c r="U1504" s="5">
        <f>Final_Table[[#This Row],[Gross Profit]]-Final_Table[[#This Row],[Tax]]</f>
        <v>-2061.3599999999997</v>
      </c>
      <c r="V1504" s="12">
        <f>Final_Table[[#This Row],[Net Profit]]/Final_Table[[#This Row],[Gross Revenue]]</f>
        <v>-0.10104705882352939</v>
      </c>
    </row>
    <row r="1505" spans="1:22">
      <c r="A1505" s="18" t="s">
        <v>70</v>
      </c>
      <c r="B1505">
        <v>2014</v>
      </c>
      <c r="C1505" t="s">
        <v>130</v>
      </c>
      <c r="D1505">
        <v>1</v>
      </c>
      <c r="E1505" s="18" t="s">
        <v>30</v>
      </c>
      <c r="F1505" s="18" t="s">
        <v>80</v>
      </c>
      <c r="G1505" s="18" t="s">
        <v>25</v>
      </c>
      <c r="H1505" s="18" t="str">
        <f>Assumptions!$B$2</f>
        <v>Worst</v>
      </c>
      <c r="I1505" s="18">
        <f>_xlfn.XLOOKUP(Assumptions!$B$2,Assumptions!$F$4:$H$4,Assumptions!$F$5:$H$5)</f>
        <v>1200</v>
      </c>
      <c r="J1505" s="18">
        <f>_xlfn.XLOOKUP(Assumptions!$B$2,Assumptions!$F$4:$H$4,Assumptions!$F$6:$H$6)</f>
        <v>17</v>
      </c>
      <c r="K1505" s="12">
        <f>_xlfn.XLOOKUP(Assumptions!$B$2,Assumptions!$F$4:$H$4,Assumptions!$F$8:$H$8)</f>
        <v>0.1</v>
      </c>
      <c r="L1505" s="12">
        <f>_xlfn.XLOOKUP(Assumptions!$B$2,Assumptions!$F$4:$H$4,Assumptions!$F$9:$H$9)</f>
        <v>0.18</v>
      </c>
      <c r="M1505" s="18">
        <f>_xlfn.XLOOKUP(Assumptions!$B$2,Assumptions!$F$4:$H$4,Assumptions!$F$10:$H$10)</f>
        <v>18000</v>
      </c>
      <c r="N1505" s="12">
        <f>_xlfn.XLOOKUP(Assumptions!$B$2,Assumptions!$F$4:$H$4,Assumptions!$F$11:$H$11)</f>
        <v>0.3</v>
      </c>
      <c r="O1505" s="14">
        <f>Final_Table[[#This Row],[Units Sold]]*Final_Table[[#This Row],[Sale Price]]</f>
        <v>20400</v>
      </c>
      <c r="P1505" s="14">
        <f>Final_Table[[#This Row],[Gross Revenue]]*(1-Final_Table[[#This Row],[Discount %]])</f>
        <v>18360</v>
      </c>
      <c r="Q1505">
        <f>Final_Table[[#This Row],[Net Revenue]]*Final_Table[[#This Row],[Variable Cost %]]</f>
        <v>3304.7999999999997</v>
      </c>
      <c r="R1505">
        <f>Final_Table[[#This Row],[Variable Cost]]+Final_Table[[#This Row],[Fixed Monthly Cost]]</f>
        <v>21304.799999999999</v>
      </c>
      <c r="S1505" s="5">
        <f>Final_Table[[#This Row],[Net Revenue]]-Final_Table[[#This Row],[Total Cost (COGS)]]</f>
        <v>-2944.7999999999993</v>
      </c>
      <c r="T1505">
        <f>Final_Table[[#This Row],[Gross Profit]]*Final_Table[[#This Row],[Tax Rate]]</f>
        <v>-883.43999999999971</v>
      </c>
      <c r="U1505" s="5">
        <f>Final_Table[[#This Row],[Gross Profit]]-Final_Table[[#This Row],[Tax]]</f>
        <v>-2061.3599999999997</v>
      </c>
      <c r="V1505" s="12">
        <f>Final_Table[[#This Row],[Net Profit]]/Final_Table[[#This Row],[Gross Revenue]]</f>
        <v>-0.10104705882352939</v>
      </c>
    </row>
    <row r="1506" spans="1:22">
      <c r="A1506" s="18" t="s">
        <v>70</v>
      </c>
      <c r="B1506">
        <v>2014</v>
      </c>
      <c r="C1506" t="s">
        <v>130</v>
      </c>
      <c r="D1506">
        <v>1</v>
      </c>
      <c r="E1506" s="18" t="s">
        <v>30</v>
      </c>
      <c r="F1506" s="18" t="s">
        <v>80</v>
      </c>
      <c r="G1506" s="18" t="s">
        <v>17</v>
      </c>
      <c r="H1506" s="18" t="str">
        <f>Assumptions!$B$2</f>
        <v>Worst</v>
      </c>
      <c r="I1506" s="18">
        <f>_xlfn.XLOOKUP(Assumptions!$B$2,Assumptions!$F$4:$H$4,Assumptions!$F$5:$H$5)</f>
        <v>1200</v>
      </c>
      <c r="J1506" s="18">
        <f>_xlfn.XLOOKUP(Assumptions!$B$2,Assumptions!$F$4:$H$4,Assumptions!$F$6:$H$6)</f>
        <v>17</v>
      </c>
      <c r="K1506" s="12">
        <f>_xlfn.XLOOKUP(Assumptions!$B$2,Assumptions!$F$4:$H$4,Assumptions!$F$8:$H$8)</f>
        <v>0.1</v>
      </c>
      <c r="L1506" s="12">
        <f>_xlfn.XLOOKUP(Assumptions!$B$2,Assumptions!$F$4:$H$4,Assumptions!$F$9:$H$9)</f>
        <v>0.18</v>
      </c>
      <c r="M1506" s="18">
        <f>_xlfn.XLOOKUP(Assumptions!$B$2,Assumptions!$F$4:$H$4,Assumptions!$F$10:$H$10)</f>
        <v>18000</v>
      </c>
      <c r="N1506" s="12">
        <f>_xlfn.XLOOKUP(Assumptions!$B$2,Assumptions!$F$4:$H$4,Assumptions!$F$11:$H$11)</f>
        <v>0.3</v>
      </c>
      <c r="O1506" s="14">
        <f>Final_Table[[#This Row],[Units Sold]]*Final_Table[[#This Row],[Sale Price]]</f>
        <v>20400</v>
      </c>
      <c r="P1506" s="14">
        <f>Final_Table[[#This Row],[Gross Revenue]]*(1-Final_Table[[#This Row],[Discount %]])</f>
        <v>18360</v>
      </c>
      <c r="Q1506">
        <f>Final_Table[[#This Row],[Net Revenue]]*Final_Table[[#This Row],[Variable Cost %]]</f>
        <v>3304.7999999999997</v>
      </c>
      <c r="R1506">
        <f>Final_Table[[#This Row],[Variable Cost]]+Final_Table[[#This Row],[Fixed Monthly Cost]]</f>
        <v>21304.799999999999</v>
      </c>
      <c r="S1506" s="5">
        <f>Final_Table[[#This Row],[Net Revenue]]-Final_Table[[#This Row],[Total Cost (COGS)]]</f>
        <v>-2944.7999999999993</v>
      </c>
      <c r="T1506">
        <f>Final_Table[[#This Row],[Gross Profit]]*Final_Table[[#This Row],[Tax Rate]]</f>
        <v>-883.43999999999971</v>
      </c>
      <c r="U1506" s="5">
        <f>Final_Table[[#This Row],[Gross Profit]]-Final_Table[[#This Row],[Tax]]</f>
        <v>-2061.3599999999997</v>
      </c>
      <c r="V1506" s="12">
        <f>Final_Table[[#This Row],[Net Profit]]/Final_Table[[#This Row],[Gross Revenue]]</f>
        <v>-0.10104705882352939</v>
      </c>
    </row>
    <row r="1507" spans="1:22">
      <c r="A1507" s="18" t="s">
        <v>70</v>
      </c>
      <c r="B1507">
        <v>2014</v>
      </c>
      <c r="C1507" t="s">
        <v>130</v>
      </c>
      <c r="D1507">
        <v>1</v>
      </c>
      <c r="E1507" s="18" t="s">
        <v>30</v>
      </c>
      <c r="F1507" s="18" t="s">
        <v>108</v>
      </c>
      <c r="G1507" s="18" t="s">
        <v>36</v>
      </c>
      <c r="H1507" s="18" t="str">
        <f>Assumptions!$B$2</f>
        <v>Worst</v>
      </c>
      <c r="I1507" s="18">
        <f>_xlfn.XLOOKUP(Assumptions!$B$2,Assumptions!$F$4:$H$4,Assumptions!$F$5:$H$5)</f>
        <v>1200</v>
      </c>
      <c r="J1507" s="18">
        <f>_xlfn.XLOOKUP(Assumptions!$B$2,Assumptions!$F$4:$H$4,Assumptions!$F$6:$H$6)</f>
        <v>17</v>
      </c>
      <c r="K1507" s="12">
        <f>_xlfn.XLOOKUP(Assumptions!$B$2,Assumptions!$F$4:$H$4,Assumptions!$F$8:$H$8)</f>
        <v>0.1</v>
      </c>
      <c r="L1507" s="12">
        <f>_xlfn.XLOOKUP(Assumptions!$B$2,Assumptions!$F$4:$H$4,Assumptions!$F$9:$H$9)</f>
        <v>0.18</v>
      </c>
      <c r="M1507" s="18">
        <f>_xlfn.XLOOKUP(Assumptions!$B$2,Assumptions!$F$4:$H$4,Assumptions!$F$10:$H$10)</f>
        <v>18000</v>
      </c>
      <c r="N1507" s="12">
        <f>_xlfn.XLOOKUP(Assumptions!$B$2,Assumptions!$F$4:$H$4,Assumptions!$F$11:$H$11)</f>
        <v>0.3</v>
      </c>
      <c r="O1507" s="14">
        <f>Final_Table[[#This Row],[Units Sold]]*Final_Table[[#This Row],[Sale Price]]</f>
        <v>20400</v>
      </c>
      <c r="P1507" s="14">
        <f>Final_Table[[#This Row],[Gross Revenue]]*(1-Final_Table[[#This Row],[Discount %]])</f>
        <v>18360</v>
      </c>
      <c r="Q1507">
        <f>Final_Table[[#This Row],[Net Revenue]]*Final_Table[[#This Row],[Variable Cost %]]</f>
        <v>3304.7999999999997</v>
      </c>
      <c r="R1507">
        <f>Final_Table[[#This Row],[Variable Cost]]+Final_Table[[#This Row],[Fixed Monthly Cost]]</f>
        <v>21304.799999999999</v>
      </c>
      <c r="S1507" s="5">
        <f>Final_Table[[#This Row],[Net Revenue]]-Final_Table[[#This Row],[Total Cost (COGS)]]</f>
        <v>-2944.7999999999993</v>
      </c>
      <c r="T1507">
        <f>Final_Table[[#This Row],[Gross Profit]]*Final_Table[[#This Row],[Tax Rate]]</f>
        <v>-883.43999999999971</v>
      </c>
      <c r="U1507" s="5">
        <f>Final_Table[[#This Row],[Gross Profit]]-Final_Table[[#This Row],[Tax]]</f>
        <v>-2061.3599999999997</v>
      </c>
      <c r="V1507" s="12">
        <f>Final_Table[[#This Row],[Net Profit]]/Final_Table[[#This Row],[Gross Revenue]]</f>
        <v>-0.10104705882352939</v>
      </c>
    </row>
    <row r="1508" spans="1:22">
      <c r="A1508" s="18" t="s">
        <v>70</v>
      </c>
      <c r="B1508">
        <v>2014</v>
      </c>
      <c r="C1508" t="s">
        <v>130</v>
      </c>
      <c r="D1508">
        <v>1</v>
      </c>
      <c r="E1508" s="18" t="s">
        <v>30</v>
      </c>
      <c r="F1508" s="18" t="s">
        <v>108</v>
      </c>
      <c r="G1508" s="18" t="s">
        <v>23</v>
      </c>
      <c r="H1508" s="18" t="str">
        <f>Assumptions!$B$2</f>
        <v>Worst</v>
      </c>
      <c r="I1508" s="18">
        <f>_xlfn.XLOOKUP(Assumptions!$B$2,Assumptions!$F$4:$H$4,Assumptions!$F$5:$H$5)</f>
        <v>1200</v>
      </c>
      <c r="J1508" s="18">
        <f>_xlfn.XLOOKUP(Assumptions!$B$2,Assumptions!$F$4:$H$4,Assumptions!$F$6:$H$6)</f>
        <v>17</v>
      </c>
      <c r="K1508" s="12">
        <f>_xlfn.XLOOKUP(Assumptions!$B$2,Assumptions!$F$4:$H$4,Assumptions!$F$8:$H$8)</f>
        <v>0.1</v>
      </c>
      <c r="L1508" s="12">
        <f>_xlfn.XLOOKUP(Assumptions!$B$2,Assumptions!$F$4:$H$4,Assumptions!$F$9:$H$9)</f>
        <v>0.18</v>
      </c>
      <c r="M1508" s="18">
        <f>_xlfn.XLOOKUP(Assumptions!$B$2,Assumptions!$F$4:$H$4,Assumptions!$F$10:$H$10)</f>
        <v>18000</v>
      </c>
      <c r="N1508" s="12">
        <f>_xlfn.XLOOKUP(Assumptions!$B$2,Assumptions!$F$4:$H$4,Assumptions!$F$11:$H$11)</f>
        <v>0.3</v>
      </c>
      <c r="O1508" s="14">
        <f>Final_Table[[#This Row],[Units Sold]]*Final_Table[[#This Row],[Sale Price]]</f>
        <v>20400</v>
      </c>
      <c r="P1508" s="14">
        <f>Final_Table[[#This Row],[Gross Revenue]]*(1-Final_Table[[#This Row],[Discount %]])</f>
        <v>18360</v>
      </c>
      <c r="Q1508">
        <f>Final_Table[[#This Row],[Net Revenue]]*Final_Table[[#This Row],[Variable Cost %]]</f>
        <v>3304.7999999999997</v>
      </c>
      <c r="R1508">
        <f>Final_Table[[#This Row],[Variable Cost]]+Final_Table[[#This Row],[Fixed Monthly Cost]]</f>
        <v>21304.799999999999</v>
      </c>
      <c r="S1508" s="5">
        <f>Final_Table[[#This Row],[Net Revenue]]-Final_Table[[#This Row],[Total Cost (COGS)]]</f>
        <v>-2944.7999999999993</v>
      </c>
      <c r="T1508">
        <f>Final_Table[[#This Row],[Gross Profit]]*Final_Table[[#This Row],[Tax Rate]]</f>
        <v>-883.43999999999971</v>
      </c>
      <c r="U1508" s="5">
        <f>Final_Table[[#This Row],[Gross Profit]]-Final_Table[[#This Row],[Tax]]</f>
        <v>-2061.3599999999997</v>
      </c>
      <c r="V1508" s="12">
        <f>Final_Table[[#This Row],[Net Profit]]/Final_Table[[#This Row],[Gross Revenue]]</f>
        <v>-0.10104705882352939</v>
      </c>
    </row>
    <row r="1509" spans="1:22">
      <c r="A1509" s="18" t="s">
        <v>70</v>
      </c>
      <c r="B1509">
        <v>2014</v>
      </c>
      <c r="C1509" t="s">
        <v>130</v>
      </c>
      <c r="D1509">
        <v>1</v>
      </c>
      <c r="E1509" s="18" t="s">
        <v>30</v>
      </c>
      <c r="F1509" s="18" t="s">
        <v>108</v>
      </c>
      <c r="G1509" s="18" t="s">
        <v>21</v>
      </c>
      <c r="H1509" s="18" t="str">
        <f>Assumptions!$B$2</f>
        <v>Worst</v>
      </c>
      <c r="I1509" s="18">
        <f>_xlfn.XLOOKUP(Assumptions!$B$2,Assumptions!$F$4:$H$4,Assumptions!$F$5:$H$5)</f>
        <v>1200</v>
      </c>
      <c r="J1509" s="18">
        <f>_xlfn.XLOOKUP(Assumptions!$B$2,Assumptions!$F$4:$H$4,Assumptions!$F$6:$H$6)</f>
        <v>17</v>
      </c>
      <c r="K1509" s="12">
        <f>_xlfn.XLOOKUP(Assumptions!$B$2,Assumptions!$F$4:$H$4,Assumptions!$F$8:$H$8)</f>
        <v>0.1</v>
      </c>
      <c r="L1509" s="12">
        <f>_xlfn.XLOOKUP(Assumptions!$B$2,Assumptions!$F$4:$H$4,Assumptions!$F$9:$H$9)</f>
        <v>0.18</v>
      </c>
      <c r="M1509" s="18">
        <f>_xlfn.XLOOKUP(Assumptions!$B$2,Assumptions!$F$4:$H$4,Assumptions!$F$10:$H$10)</f>
        <v>18000</v>
      </c>
      <c r="N1509" s="12">
        <f>_xlfn.XLOOKUP(Assumptions!$B$2,Assumptions!$F$4:$H$4,Assumptions!$F$11:$H$11)</f>
        <v>0.3</v>
      </c>
      <c r="O1509" s="14">
        <f>Final_Table[[#This Row],[Units Sold]]*Final_Table[[#This Row],[Sale Price]]</f>
        <v>20400</v>
      </c>
      <c r="P1509" s="14">
        <f>Final_Table[[#This Row],[Gross Revenue]]*(1-Final_Table[[#This Row],[Discount %]])</f>
        <v>18360</v>
      </c>
      <c r="Q1509">
        <f>Final_Table[[#This Row],[Net Revenue]]*Final_Table[[#This Row],[Variable Cost %]]</f>
        <v>3304.7999999999997</v>
      </c>
      <c r="R1509">
        <f>Final_Table[[#This Row],[Variable Cost]]+Final_Table[[#This Row],[Fixed Monthly Cost]]</f>
        <v>21304.799999999999</v>
      </c>
      <c r="S1509" s="5">
        <f>Final_Table[[#This Row],[Net Revenue]]-Final_Table[[#This Row],[Total Cost (COGS)]]</f>
        <v>-2944.7999999999993</v>
      </c>
      <c r="T1509">
        <f>Final_Table[[#This Row],[Gross Profit]]*Final_Table[[#This Row],[Tax Rate]]</f>
        <v>-883.43999999999971</v>
      </c>
      <c r="U1509" s="5">
        <f>Final_Table[[#This Row],[Gross Profit]]-Final_Table[[#This Row],[Tax]]</f>
        <v>-2061.3599999999997</v>
      </c>
      <c r="V1509" s="12">
        <f>Final_Table[[#This Row],[Net Profit]]/Final_Table[[#This Row],[Gross Revenue]]</f>
        <v>-0.10104705882352939</v>
      </c>
    </row>
    <row r="1510" spans="1:22">
      <c r="A1510" s="18" t="s">
        <v>70</v>
      </c>
      <c r="B1510">
        <v>2014</v>
      </c>
      <c r="C1510" t="s">
        <v>130</v>
      </c>
      <c r="D1510">
        <v>1</v>
      </c>
      <c r="E1510" s="18" t="s">
        <v>30</v>
      </c>
      <c r="F1510" s="18" t="s">
        <v>108</v>
      </c>
      <c r="G1510" s="18" t="s">
        <v>25</v>
      </c>
      <c r="H1510" s="18" t="str">
        <f>Assumptions!$B$2</f>
        <v>Worst</v>
      </c>
      <c r="I1510" s="18">
        <f>_xlfn.XLOOKUP(Assumptions!$B$2,Assumptions!$F$4:$H$4,Assumptions!$F$5:$H$5)</f>
        <v>1200</v>
      </c>
      <c r="J1510" s="18">
        <f>_xlfn.XLOOKUP(Assumptions!$B$2,Assumptions!$F$4:$H$4,Assumptions!$F$6:$H$6)</f>
        <v>17</v>
      </c>
      <c r="K1510" s="12">
        <f>_xlfn.XLOOKUP(Assumptions!$B$2,Assumptions!$F$4:$H$4,Assumptions!$F$8:$H$8)</f>
        <v>0.1</v>
      </c>
      <c r="L1510" s="12">
        <f>_xlfn.XLOOKUP(Assumptions!$B$2,Assumptions!$F$4:$H$4,Assumptions!$F$9:$H$9)</f>
        <v>0.18</v>
      </c>
      <c r="M1510" s="18">
        <f>_xlfn.XLOOKUP(Assumptions!$B$2,Assumptions!$F$4:$H$4,Assumptions!$F$10:$H$10)</f>
        <v>18000</v>
      </c>
      <c r="N1510" s="12">
        <f>_xlfn.XLOOKUP(Assumptions!$B$2,Assumptions!$F$4:$H$4,Assumptions!$F$11:$H$11)</f>
        <v>0.3</v>
      </c>
      <c r="O1510" s="14">
        <f>Final_Table[[#This Row],[Units Sold]]*Final_Table[[#This Row],[Sale Price]]</f>
        <v>20400</v>
      </c>
      <c r="P1510" s="14">
        <f>Final_Table[[#This Row],[Gross Revenue]]*(1-Final_Table[[#This Row],[Discount %]])</f>
        <v>18360</v>
      </c>
      <c r="Q1510">
        <f>Final_Table[[#This Row],[Net Revenue]]*Final_Table[[#This Row],[Variable Cost %]]</f>
        <v>3304.7999999999997</v>
      </c>
      <c r="R1510">
        <f>Final_Table[[#This Row],[Variable Cost]]+Final_Table[[#This Row],[Fixed Monthly Cost]]</f>
        <v>21304.799999999999</v>
      </c>
      <c r="S1510" s="5">
        <f>Final_Table[[#This Row],[Net Revenue]]-Final_Table[[#This Row],[Total Cost (COGS)]]</f>
        <v>-2944.7999999999993</v>
      </c>
      <c r="T1510">
        <f>Final_Table[[#This Row],[Gross Profit]]*Final_Table[[#This Row],[Tax Rate]]</f>
        <v>-883.43999999999971</v>
      </c>
      <c r="U1510" s="5">
        <f>Final_Table[[#This Row],[Gross Profit]]-Final_Table[[#This Row],[Tax]]</f>
        <v>-2061.3599999999997</v>
      </c>
      <c r="V1510" s="12">
        <f>Final_Table[[#This Row],[Net Profit]]/Final_Table[[#This Row],[Gross Revenue]]</f>
        <v>-0.10104705882352939</v>
      </c>
    </row>
    <row r="1511" spans="1:22">
      <c r="A1511" s="18" t="s">
        <v>70</v>
      </c>
      <c r="B1511">
        <v>2014</v>
      </c>
      <c r="C1511" t="s">
        <v>130</v>
      </c>
      <c r="D1511">
        <v>1</v>
      </c>
      <c r="E1511" s="18" t="s">
        <v>30</v>
      </c>
      <c r="F1511" s="18" t="s">
        <v>108</v>
      </c>
      <c r="G1511" s="18" t="s">
        <v>17</v>
      </c>
      <c r="H1511" s="18" t="str">
        <f>Assumptions!$B$2</f>
        <v>Worst</v>
      </c>
      <c r="I1511" s="18">
        <f>_xlfn.XLOOKUP(Assumptions!$B$2,Assumptions!$F$4:$H$4,Assumptions!$F$5:$H$5)</f>
        <v>1200</v>
      </c>
      <c r="J1511" s="18">
        <f>_xlfn.XLOOKUP(Assumptions!$B$2,Assumptions!$F$4:$H$4,Assumptions!$F$6:$H$6)</f>
        <v>17</v>
      </c>
      <c r="K1511" s="12">
        <f>_xlfn.XLOOKUP(Assumptions!$B$2,Assumptions!$F$4:$H$4,Assumptions!$F$8:$H$8)</f>
        <v>0.1</v>
      </c>
      <c r="L1511" s="12">
        <f>_xlfn.XLOOKUP(Assumptions!$B$2,Assumptions!$F$4:$H$4,Assumptions!$F$9:$H$9)</f>
        <v>0.18</v>
      </c>
      <c r="M1511" s="18">
        <f>_xlfn.XLOOKUP(Assumptions!$B$2,Assumptions!$F$4:$H$4,Assumptions!$F$10:$H$10)</f>
        <v>18000</v>
      </c>
      <c r="N1511" s="12">
        <f>_xlfn.XLOOKUP(Assumptions!$B$2,Assumptions!$F$4:$H$4,Assumptions!$F$11:$H$11)</f>
        <v>0.3</v>
      </c>
      <c r="O1511" s="14">
        <f>Final_Table[[#This Row],[Units Sold]]*Final_Table[[#This Row],[Sale Price]]</f>
        <v>20400</v>
      </c>
      <c r="P1511" s="14">
        <f>Final_Table[[#This Row],[Gross Revenue]]*(1-Final_Table[[#This Row],[Discount %]])</f>
        <v>18360</v>
      </c>
      <c r="Q1511">
        <f>Final_Table[[#This Row],[Net Revenue]]*Final_Table[[#This Row],[Variable Cost %]]</f>
        <v>3304.7999999999997</v>
      </c>
      <c r="R1511">
        <f>Final_Table[[#This Row],[Variable Cost]]+Final_Table[[#This Row],[Fixed Monthly Cost]]</f>
        <v>21304.799999999999</v>
      </c>
      <c r="S1511" s="5">
        <f>Final_Table[[#This Row],[Net Revenue]]-Final_Table[[#This Row],[Total Cost (COGS)]]</f>
        <v>-2944.7999999999993</v>
      </c>
      <c r="T1511">
        <f>Final_Table[[#This Row],[Gross Profit]]*Final_Table[[#This Row],[Tax Rate]]</f>
        <v>-883.43999999999971</v>
      </c>
      <c r="U1511" s="5">
        <f>Final_Table[[#This Row],[Gross Profit]]-Final_Table[[#This Row],[Tax]]</f>
        <v>-2061.3599999999997</v>
      </c>
      <c r="V1511" s="12">
        <f>Final_Table[[#This Row],[Net Profit]]/Final_Table[[#This Row],[Gross Revenue]]</f>
        <v>-0.10104705882352939</v>
      </c>
    </row>
    <row r="1512" spans="1:22">
      <c r="A1512" s="18" t="s">
        <v>70</v>
      </c>
      <c r="B1512">
        <v>2014</v>
      </c>
      <c r="C1512" t="s">
        <v>130</v>
      </c>
      <c r="D1512">
        <v>1</v>
      </c>
      <c r="E1512" s="18" t="s">
        <v>30</v>
      </c>
      <c r="F1512" s="18" t="s">
        <v>112</v>
      </c>
      <c r="G1512" s="18" t="s">
        <v>36</v>
      </c>
      <c r="H1512" s="18" t="str">
        <f>Assumptions!$B$2</f>
        <v>Worst</v>
      </c>
      <c r="I1512" s="18">
        <f>_xlfn.XLOOKUP(Assumptions!$B$2,Assumptions!$F$4:$H$4,Assumptions!$F$5:$H$5)</f>
        <v>1200</v>
      </c>
      <c r="J1512" s="18">
        <f>_xlfn.XLOOKUP(Assumptions!$B$2,Assumptions!$F$4:$H$4,Assumptions!$F$6:$H$6)</f>
        <v>17</v>
      </c>
      <c r="K1512" s="12">
        <f>_xlfn.XLOOKUP(Assumptions!$B$2,Assumptions!$F$4:$H$4,Assumptions!$F$8:$H$8)</f>
        <v>0.1</v>
      </c>
      <c r="L1512" s="12">
        <f>_xlfn.XLOOKUP(Assumptions!$B$2,Assumptions!$F$4:$H$4,Assumptions!$F$9:$H$9)</f>
        <v>0.18</v>
      </c>
      <c r="M1512" s="18">
        <f>_xlfn.XLOOKUP(Assumptions!$B$2,Assumptions!$F$4:$H$4,Assumptions!$F$10:$H$10)</f>
        <v>18000</v>
      </c>
      <c r="N1512" s="12">
        <f>_xlfn.XLOOKUP(Assumptions!$B$2,Assumptions!$F$4:$H$4,Assumptions!$F$11:$H$11)</f>
        <v>0.3</v>
      </c>
      <c r="O1512" s="14">
        <f>Final_Table[[#This Row],[Units Sold]]*Final_Table[[#This Row],[Sale Price]]</f>
        <v>20400</v>
      </c>
      <c r="P1512" s="14">
        <f>Final_Table[[#This Row],[Gross Revenue]]*(1-Final_Table[[#This Row],[Discount %]])</f>
        <v>18360</v>
      </c>
      <c r="Q1512">
        <f>Final_Table[[#This Row],[Net Revenue]]*Final_Table[[#This Row],[Variable Cost %]]</f>
        <v>3304.7999999999997</v>
      </c>
      <c r="R1512">
        <f>Final_Table[[#This Row],[Variable Cost]]+Final_Table[[#This Row],[Fixed Monthly Cost]]</f>
        <v>21304.799999999999</v>
      </c>
      <c r="S1512" s="5">
        <f>Final_Table[[#This Row],[Net Revenue]]-Final_Table[[#This Row],[Total Cost (COGS)]]</f>
        <v>-2944.7999999999993</v>
      </c>
      <c r="T1512">
        <f>Final_Table[[#This Row],[Gross Profit]]*Final_Table[[#This Row],[Tax Rate]]</f>
        <v>-883.43999999999971</v>
      </c>
      <c r="U1512" s="5">
        <f>Final_Table[[#This Row],[Gross Profit]]-Final_Table[[#This Row],[Tax]]</f>
        <v>-2061.3599999999997</v>
      </c>
      <c r="V1512" s="12">
        <f>Final_Table[[#This Row],[Net Profit]]/Final_Table[[#This Row],[Gross Revenue]]</f>
        <v>-0.10104705882352939</v>
      </c>
    </row>
    <row r="1513" spans="1:22">
      <c r="A1513" s="18" t="s">
        <v>70</v>
      </c>
      <c r="B1513">
        <v>2014</v>
      </c>
      <c r="C1513" t="s">
        <v>130</v>
      </c>
      <c r="D1513">
        <v>1</v>
      </c>
      <c r="E1513" s="18" t="s">
        <v>30</v>
      </c>
      <c r="F1513" s="18" t="s">
        <v>112</v>
      </c>
      <c r="G1513" s="18" t="s">
        <v>23</v>
      </c>
      <c r="H1513" s="18" t="str">
        <f>Assumptions!$B$2</f>
        <v>Worst</v>
      </c>
      <c r="I1513" s="18">
        <f>_xlfn.XLOOKUP(Assumptions!$B$2,Assumptions!$F$4:$H$4,Assumptions!$F$5:$H$5)</f>
        <v>1200</v>
      </c>
      <c r="J1513" s="18">
        <f>_xlfn.XLOOKUP(Assumptions!$B$2,Assumptions!$F$4:$H$4,Assumptions!$F$6:$H$6)</f>
        <v>17</v>
      </c>
      <c r="K1513" s="12">
        <f>_xlfn.XLOOKUP(Assumptions!$B$2,Assumptions!$F$4:$H$4,Assumptions!$F$8:$H$8)</f>
        <v>0.1</v>
      </c>
      <c r="L1513" s="12">
        <f>_xlfn.XLOOKUP(Assumptions!$B$2,Assumptions!$F$4:$H$4,Assumptions!$F$9:$H$9)</f>
        <v>0.18</v>
      </c>
      <c r="M1513" s="18">
        <f>_xlfn.XLOOKUP(Assumptions!$B$2,Assumptions!$F$4:$H$4,Assumptions!$F$10:$H$10)</f>
        <v>18000</v>
      </c>
      <c r="N1513" s="12">
        <f>_xlfn.XLOOKUP(Assumptions!$B$2,Assumptions!$F$4:$H$4,Assumptions!$F$11:$H$11)</f>
        <v>0.3</v>
      </c>
      <c r="O1513" s="14">
        <f>Final_Table[[#This Row],[Units Sold]]*Final_Table[[#This Row],[Sale Price]]</f>
        <v>20400</v>
      </c>
      <c r="P1513" s="14">
        <f>Final_Table[[#This Row],[Gross Revenue]]*(1-Final_Table[[#This Row],[Discount %]])</f>
        <v>18360</v>
      </c>
      <c r="Q1513">
        <f>Final_Table[[#This Row],[Net Revenue]]*Final_Table[[#This Row],[Variable Cost %]]</f>
        <v>3304.7999999999997</v>
      </c>
      <c r="R1513">
        <f>Final_Table[[#This Row],[Variable Cost]]+Final_Table[[#This Row],[Fixed Monthly Cost]]</f>
        <v>21304.799999999999</v>
      </c>
      <c r="S1513" s="5">
        <f>Final_Table[[#This Row],[Net Revenue]]-Final_Table[[#This Row],[Total Cost (COGS)]]</f>
        <v>-2944.7999999999993</v>
      </c>
      <c r="T1513">
        <f>Final_Table[[#This Row],[Gross Profit]]*Final_Table[[#This Row],[Tax Rate]]</f>
        <v>-883.43999999999971</v>
      </c>
      <c r="U1513" s="5">
        <f>Final_Table[[#This Row],[Gross Profit]]-Final_Table[[#This Row],[Tax]]</f>
        <v>-2061.3599999999997</v>
      </c>
      <c r="V1513" s="12">
        <f>Final_Table[[#This Row],[Net Profit]]/Final_Table[[#This Row],[Gross Revenue]]</f>
        <v>-0.10104705882352939</v>
      </c>
    </row>
    <row r="1514" spans="1:22">
      <c r="A1514" s="18" t="s">
        <v>70</v>
      </c>
      <c r="B1514">
        <v>2014</v>
      </c>
      <c r="C1514" t="s">
        <v>130</v>
      </c>
      <c r="D1514">
        <v>1</v>
      </c>
      <c r="E1514" s="18" t="s">
        <v>30</v>
      </c>
      <c r="F1514" s="18" t="s">
        <v>112</v>
      </c>
      <c r="G1514" s="18" t="s">
        <v>21</v>
      </c>
      <c r="H1514" s="18" t="str">
        <f>Assumptions!$B$2</f>
        <v>Worst</v>
      </c>
      <c r="I1514" s="18">
        <f>_xlfn.XLOOKUP(Assumptions!$B$2,Assumptions!$F$4:$H$4,Assumptions!$F$5:$H$5)</f>
        <v>1200</v>
      </c>
      <c r="J1514" s="18">
        <f>_xlfn.XLOOKUP(Assumptions!$B$2,Assumptions!$F$4:$H$4,Assumptions!$F$6:$H$6)</f>
        <v>17</v>
      </c>
      <c r="K1514" s="12">
        <f>_xlfn.XLOOKUP(Assumptions!$B$2,Assumptions!$F$4:$H$4,Assumptions!$F$8:$H$8)</f>
        <v>0.1</v>
      </c>
      <c r="L1514" s="12">
        <f>_xlfn.XLOOKUP(Assumptions!$B$2,Assumptions!$F$4:$H$4,Assumptions!$F$9:$H$9)</f>
        <v>0.18</v>
      </c>
      <c r="M1514" s="18">
        <f>_xlfn.XLOOKUP(Assumptions!$B$2,Assumptions!$F$4:$H$4,Assumptions!$F$10:$H$10)</f>
        <v>18000</v>
      </c>
      <c r="N1514" s="12">
        <f>_xlfn.XLOOKUP(Assumptions!$B$2,Assumptions!$F$4:$H$4,Assumptions!$F$11:$H$11)</f>
        <v>0.3</v>
      </c>
      <c r="O1514" s="14">
        <f>Final_Table[[#This Row],[Units Sold]]*Final_Table[[#This Row],[Sale Price]]</f>
        <v>20400</v>
      </c>
      <c r="P1514" s="14">
        <f>Final_Table[[#This Row],[Gross Revenue]]*(1-Final_Table[[#This Row],[Discount %]])</f>
        <v>18360</v>
      </c>
      <c r="Q1514">
        <f>Final_Table[[#This Row],[Net Revenue]]*Final_Table[[#This Row],[Variable Cost %]]</f>
        <v>3304.7999999999997</v>
      </c>
      <c r="R1514">
        <f>Final_Table[[#This Row],[Variable Cost]]+Final_Table[[#This Row],[Fixed Monthly Cost]]</f>
        <v>21304.799999999999</v>
      </c>
      <c r="S1514" s="5">
        <f>Final_Table[[#This Row],[Net Revenue]]-Final_Table[[#This Row],[Total Cost (COGS)]]</f>
        <v>-2944.7999999999993</v>
      </c>
      <c r="T1514">
        <f>Final_Table[[#This Row],[Gross Profit]]*Final_Table[[#This Row],[Tax Rate]]</f>
        <v>-883.43999999999971</v>
      </c>
      <c r="U1514" s="5">
        <f>Final_Table[[#This Row],[Gross Profit]]-Final_Table[[#This Row],[Tax]]</f>
        <v>-2061.3599999999997</v>
      </c>
      <c r="V1514" s="12">
        <f>Final_Table[[#This Row],[Net Profit]]/Final_Table[[#This Row],[Gross Revenue]]</f>
        <v>-0.10104705882352939</v>
      </c>
    </row>
    <row r="1515" spans="1:22">
      <c r="A1515" s="18" t="s">
        <v>70</v>
      </c>
      <c r="B1515">
        <v>2014</v>
      </c>
      <c r="C1515" t="s">
        <v>130</v>
      </c>
      <c r="D1515">
        <v>1</v>
      </c>
      <c r="E1515" s="18" t="s">
        <v>30</v>
      </c>
      <c r="F1515" s="18" t="s">
        <v>112</v>
      </c>
      <c r="G1515" s="18" t="s">
        <v>25</v>
      </c>
      <c r="H1515" s="18" t="str">
        <f>Assumptions!$B$2</f>
        <v>Worst</v>
      </c>
      <c r="I1515" s="18">
        <f>_xlfn.XLOOKUP(Assumptions!$B$2,Assumptions!$F$4:$H$4,Assumptions!$F$5:$H$5)</f>
        <v>1200</v>
      </c>
      <c r="J1515" s="18">
        <f>_xlfn.XLOOKUP(Assumptions!$B$2,Assumptions!$F$4:$H$4,Assumptions!$F$6:$H$6)</f>
        <v>17</v>
      </c>
      <c r="K1515" s="12">
        <f>_xlfn.XLOOKUP(Assumptions!$B$2,Assumptions!$F$4:$H$4,Assumptions!$F$8:$H$8)</f>
        <v>0.1</v>
      </c>
      <c r="L1515" s="12">
        <f>_xlfn.XLOOKUP(Assumptions!$B$2,Assumptions!$F$4:$H$4,Assumptions!$F$9:$H$9)</f>
        <v>0.18</v>
      </c>
      <c r="M1515" s="18">
        <f>_xlfn.XLOOKUP(Assumptions!$B$2,Assumptions!$F$4:$H$4,Assumptions!$F$10:$H$10)</f>
        <v>18000</v>
      </c>
      <c r="N1515" s="12">
        <f>_xlfn.XLOOKUP(Assumptions!$B$2,Assumptions!$F$4:$H$4,Assumptions!$F$11:$H$11)</f>
        <v>0.3</v>
      </c>
      <c r="O1515" s="14">
        <f>Final_Table[[#This Row],[Units Sold]]*Final_Table[[#This Row],[Sale Price]]</f>
        <v>20400</v>
      </c>
      <c r="P1515" s="14">
        <f>Final_Table[[#This Row],[Gross Revenue]]*(1-Final_Table[[#This Row],[Discount %]])</f>
        <v>18360</v>
      </c>
      <c r="Q1515">
        <f>Final_Table[[#This Row],[Net Revenue]]*Final_Table[[#This Row],[Variable Cost %]]</f>
        <v>3304.7999999999997</v>
      </c>
      <c r="R1515">
        <f>Final_Table[[#This Row],[Variable Cost]]+Final_Table[[#This Row],[Fixed Monthly Cost]]</f>
        <v>21304.799999999999</v>
      </c>
      <c r="S1515" s="5">
        <f>Final_Table[[#This Row],[Net Revenue]]-Final_Table[[#This Row],[Total Cost (COGS)]]</f>
        <v>-2944.7999999999993</v>
      </c>
      <c r="T1515">
        <f>Final_Table[[#This Row],[Gross Profit]]*Final_Table[[#This Row],[Tax Rate]]</f>
        <v>-883.43999999999971</v>
      </c>
      <c r="U1515" s="5">
        <f>Final_Table[[#This Row],[Gross Profit]]-Final_Table[[#This Row],[Tax]]</f>
        <v>-2061.3599999999997</v>
      </c>
      <c r="V1515" s="12">
        <f>Final_Table[[#This Row],[Net Profit]]/Final_Table[[#This Row],[Gross Revenue]]</f>
        <v>-0.10104705882352939</v>
      </c>
    </row>
    <row r="1516" spans="1:22">
      <c r="A1516" s="18" t="s">
        <v>70</v>
      </c>
      <c r="B1516">
        <v>2014</v>
      </c>
      <c r="C1516" t="s">
        <v>130</v>
      </c>
      <c r="D1516">
        <v>1</v>
      </c>
      <c r="E1516" s="18" t="s">
        <v>30</v>
      </c>
      <c r="F1516" s="18" t="s">
        <v>112</v>
      </c>
      <c r="G1516" s="18" t="s">
        <v>17</v>
      </c>
      <c r="H1516" s="18" t="str">
        <f>Assumptions!$B$2</f>
        <v>Worst</v>
      </c>
      <c r="I1516" s="18">
        <f>_xlfn.XLOOKUP(Assumptions!$B$2,Assumptions!$F$4:$H$4,Assumptions!$F$5:$H$5)</f>
        <v>1200</v>
      </c>
      <c r="J1516" s="18">
        <f>_xlfn.XLOOKUP(Assumptions!$B$2,Assumptions!$F$4:$H$4,Assumptions!$F$6:$H$6)</f>
        <v>17</v>
      </c>
      <c r="K1516" s="12">
        <f>_xlfn.XLOOKUP(Assumptions!$B$2,Assumptions!$F$4:$H$4,Assumptions!$F$8:$H$8)</f>
        <v>0.1</v>
      </c>
      <c r="L1516" s="12">
        <f>_xlfn.XLOOKUP(Assumptions!$B$2,Assumptions!$F$4:$H$4,Assumptions!$F$9:$H$9)</f>
        <v>0.18</v>
      </c>
      <c r="M1516" s="18">
        <f>_xlfn.XLOOKUP(Assumptions!$B$2,Assumptions!$F$4:$H$4,Assumptions!$F$10:$H$10)</f>
        <v>18000</v>
      </c>
      <c r="N1516" s="12">
        <f>_xlfn.XLOOKUP(Assumptions!$B$2,Assumptions!$F$4:$H$4,Assumptions!$F$11:$H$11)</f>
        <v>0.3</v>
      </c>
      <c r="O1516" s="14">
        <f>Final_Table[[#This Row],[Units Sold]]*Final_Table[[#This Row],[Sale Price]]</f>
        <v>20400</v>
      </c>
      <c r="P1516" s="14">
        <f>Final_Table[[#This Row],[Gross Revenue]]*(1-Final_Table[[#This Row],[Discount %]])</f>
        <v>18360</v>
      </c>
      <c r="Q1516">
        <f>Final_Table[[#This Row],[Net Revenue]]*Final_Table[[#This Row],[Variable Cost %]]</f>
        <v>3304.7999999999997</v>
      </c>
      <c r="R1516">
        <f>Final_Table[[#This Row],[Variable Cost]]+Final_Table[[#This Row],[Fixed Monthly Cost]]</f>
        <v>21304.799999999999</v>
      </c>
      <c r="S1516" s="5">
        <f>Final_Table[[#This Row],[Net Revenue]]-Final_Table[[#This Row],[Total Cost (COGS)]]</f>
        <v>-2944.7999999999993</v>
      </c>
      <c r="T1516">
        <f>Final_Table[[#This Row],[Gross Profit]]*Final_Table[[#This Row],[Tax Rate]]</f>
        <v>-883.43999999999971</v>
      </c>
      <c r="U1516" s="5">
        <f>Final_Table[[#This Row],[Gross Profit]]-Final_Table[[#This Row],[Tax]]</f>
        <v>-2061.3599999999997</v>
      </c>
      <c r="V1516" s="12">
        <f>Final_Table[[#This Row],[Net Profit]]/Final_Table[[#This Row],[Gross Revenue]]</f>
        <v>-0.10104705882352939</v>
      </c>
    </row>
    <row r="1517" spans="1:22">
      <c r="A1517" s="18" t="s">
        <v>70</v>
      </c>
      <c r="B1517">
        <v>2014</v>
      </c>
      <c r="C1517" t="s">
        <v>130</v>
      </c>
      <c r="D1517">
        <v>1</v>
      </c>
      <c r="E1517" s="18" t="s">
        <v>30</v>
      </c>
      <c r="F1517" s="18" t="s">
        <v>113</v>
      </c>
      <c r="G1517" s="18" t="s">
        <v>36</v>
      </c>
      <c r="H1517" s="18" t="str">
        <f>Assumptions!$B$2</f>
        <v>Worst</v>
      </c>
      <c r="I1517" s="18">
        <f>_xlfn.XLOOKUP(Assumptions!$B$2,Assumptions!$F$4:$H$4,Assumptions!$F$5:$H$5)</f>
        <v>1200</v>
      </c>
      <c r="J1517" s="18">
        <f>_xlfn.XLOOKUP(Assumptions!$B$2,Assumptions!$F$4:$H$4,Assumptions!$F$6:$H$6)</f>
        <v>17</v>
      </c>
      <c r="K1517" s="12">
        <f>_xlfn.XLOOKUP(Assumptions!$B$2,Assumptions!$F$4:$H$4,Assumptions!$F$8:$H$8)</f>
        <v>0.1</v>
      </c>
      <c r="L1517" s="12">
        <f>_xlfn.XLOOKUP(Assumptions!$B$2,Assumptions!$F$4:$H$4,Assumptions!$F$9:$H$9)</f>
        <v>0.18</v>
      </c>
      <c r="M1517" s="18">
        <f>_xlfn.XLOOKUP(Assumptions!$B$2,Assumptions!$F$4:$H$4,Assumptions!$F$10:$H$10)</f>
        <v>18000</v>
      </c>
      <c r="N1517" s="12">
        <f>_xlfn.XLOOKUP(Assumptions!$B$2,Assumptions!$F$4:$H$4,Assumptions!$F$11:$H$11)</f>
        <v>0.3</v>
      </c>
      <c r="O1517" s="14">
        <f>Final_Table[[#This Row],[Units Sold]]*Final_Table[[#This Row],[Sale Price]]</f>
        <v>20400</v>
      </c>
      <c r="P1517" s="14">
        <f>Final_Table[[#This Row],[Gross Revenue]]*(1-Final_Table[[#This Row],[Discount %]])</f>
        <v>18360</v>
      </c>
      <c r="Q1517">
        <f>Final_Table[[#This Row],[Net Revenue]]*Final_Table[[#This Row],[Variable Cost %]]</f>
        <v>3304.7999999999997</v>
      </c>
      <c r="R1517">
        <f>Final_Table[[#This Row],[Variable Cost]]+Final_Table[[#This Row],[Fixed Monthly Cost]]</f>
        <v>21304.799999999999</v>
      </c>
      <c r="S1517" s="5">
        <f>Final_Table[[#This Row],[Net Revenue]]-Final_Table[[#This Row],[Total Cost (COGS)]]</f>
        <v>-2944.7999999999993</v>
      </c>
      <c r="T1517">
        <f>Final_Table[[#This Row],[Gross Profit]]*Final_Table[[#This Row],[Tax Rate]]</f>
        <v>-883.43999999999971</v>
      </c>
      <c r="U1517" s="5">
        <f>Final_Table[[#This Row],[Gross Profit]]-Final_Table[[#This Row],[Tax]]</f>
        <v>-2061.3599999999997</v>
      </c>
      <c r="V1517" s="12">
        <f>Final_Table[[#This Row],[Net Profit]]/Final_Table[[#This Row],[Gross Revenue]]</f>
        <v>-0.10104705882352939</v>
      </c>
    </row>
    <row r="1518" spans="1:22">
      <c r="A1518" s="18" t="s">
        <v>70</v>
      </c>
      <c r="B1518">
        <v>2014</v>
      </c>
      <c r="C1518" t="s">
        <v>130</v>
      </c>
      <c r="D1518">
        <v>1</v>
      </c>
      <c r="E1518" s="18" t="s">
        <v>30</v>
      </c>
      <c r="F1518" s="18" t="s">
        <v>113</v>
      </c>
      <c r="G1518" s="18" t="s">
        <v>23</v>
      </c>
      <c r="H1518" s="18" t="str">
        <f>Assumptions!$B$2</f>
        <v>Worst</v>
      </c>
      <c r="I1518" s="18">
        <f>_xlfn.XLOOKUP(Assumptions!$B$2,Assumptions!$F$4:$H$4,Assumptions!$F$5:$H$5)</f>
        <v>1200</v>
      </c>
      <c r="J1518" s="18">
        <f>_xlfn.XLOOKUP(Assumptions!$B$2,Assumptions!$F$4:$H$4,Assumptions!$F$6:$H$6)</f>
        <v>17</v>
      </c>
      <c r="K1518" s="12">
        <f>_xlfn.XLOOKUP(Assumptions!$B$2,Assumptions!$F$4:$H$4,Assumptions!$F$8:$H$8)</f>
        <v>0.1</v>
      </c>
      <c r="L1518" s="12">
        <f>_xlfn.XLOOKUP(Assumptions!$B$2,Assumptions!$F$4:$H$4,Assumptions!$F$9:$H$9)</f>
        <v>0.18</v>
      </c>
      <c r="M1518" s="18">
        <f>_xlfn.XLOOKUP(Assumptions!$B$2,Assumptions!$F$4:$H$4,Assumptions!$F$10:$H$10)</f>
        <v>18000</v>
      </c>
      <c r="N1518" s="12">
        <f>_xlfn.XLOOKUP(Assumptions!$B$2,Assumptions!$F$4:$H$4,Assumptions!$F$11:$H$11)</f>
        <v>0.3</v>
      </c>
      <c r="O1518" s="14">
        <f>Final_Table[[#This Row],[Units Sold]]*Final_Table[[#This Row],[Sale Price]]</f>
        <v>20400</v>
      </c>
      <c r="P1518" s="14">
        <f>Final_Table[[#This Row],[Gross Revenue]]*(1-Final_Table[[#This Row],[Discount %]])</f>
        <v>18360</v>
      </c>
      <c r="Q1518">
        <f>Final_Table[[#This Row],[Net Revenue]]*Final_Table[[#This Row],[Variable Cost %]]</f>
        <v>3304.7999999999997</v>
      </c>
      <c r="R1518">
        <f>Final_Table[[#This Row],[Variable Cost]]+Final_Table[[#This Row],[Fixed Monthly Cost]]</f>
        <v>21304.799999999999</v>
      </c>
      <c r="S1518" s="5">
        <f>Final_Table[[#This Row],[Net Revenue]]-Final_Table[[#This Row],[Total Cost (COGS)]]</f>
        <v>-2944.7999999999993</v>
      </c>
      <c r="T1518">
        <f>Final_Table[[#This Row],[Gross Profit]]*Final_Table[[#This Row],[Tax Rate]]</f>
        <v>-883.43999999999971</v>
      </c>
      <c r="U1518" s="5">
        <f>Final_Table[[#This Row],[Gross Profit]]-Final_Table[[#This Row],[Tax]]</f>
        <v>-2061.3599999999997</v>
      </c>
      <c r="V1518" s="12">
        <f>Final_Table[[#This Row],[Net Profit]]/Final_Table[[#This Row],[Gross Revenue]]</f>
        <v>-0.10104705882352939</v>
      </c>
    </row>
    <row r="1519" spans="1:22">
      <c r="A1519" s="18" t="s">
        <v>70</v>
      </c>
      <c r="B1519">
        <v>2014</v>
      </c>
      <c r="C1519" t="s">
        <v>130</v>
      </c>
      <c r="D1519">
        <v>1</v>
      </c>
      <c r="E1519" s="18" t="s">
        <v>30</v>
      </c>
      <c r="F1519" s="18" t="s">
        <v>113</v>
      </c>
      <c r="G1519" s="18" t="s">
        <v>21</v>
      </c>
      <c r="H1519" s="18" t="str">
        <f>Assumptions!$B$2</f>
        <v>Worst</v>
      </c>
      <c r="I1519" s="18">
        <f>_xlfn.XLOOKUP(Assumptions!$B$2,Assumptions!$F$4:$H$4,Assumptions!$F$5:$H$5)</f>
        <v>1200</v>
      </c>
      <c r="J1519" s="18">
        <f>_xlfn.XLOOKUP(Assumptions!$B$2,Assumptions!$F$4:$H$4,Assumptions!$F$6:$H$6)</f>
        <v>17</v>
      </c>
      <c r="K1519" s="12">
        <f>_xlfn.XLOOKUP(Assumptions!$B$2,Assumptions!$F$4:$H$4,Assumptions!$F$8:$H$8)</f>
        <v>0.1</v>
      </c>
      <c r="L1519" s="12">
        <f>_xlfn.XLOOKUP(Assumptions!$B$2,Assumptions!$F$4:$H$4,Assumptions!$F$9:$H$9)</f>
        <v>0.18</v>
      </c>
      <c r="M1519" s="18">
        <f>_xlfn.XLOOKUP(Assumptions!$B$2,Assumptions!$F$4:$H$4,Assumptions!$F$10:$H$10)</f>
        <v>18000</v>
      </c>
      <c r="N1519" s="12">
        <f>_xlfn.XLOOKUP(Assumptions!$B$2,Assumptions!$F$4:$H$4,Assumptions!$F$11:$H$11)</f>
        <v>0.3</v>
      </c>
      <c r="O1519" s="14">
        <f>Final_Table[[#This Row],[Units Sold]]*Final_Table[[#This Row],[Sale Price]]</f>
        <v>20400</v>
      </c>
      <c r="P1519" s="14">
        <f>Final_Table[[#This Row],[Gross Revenue]]*(1-Final_Table[[#This Row],[Discount %]])</f>
        <v>18360</v>
      </c>
      <c r="Q1519">
        <f>Final_Table[[#This Row],[Net Revenue]]*Final_Table[[#This Row],[Variable Cost %]]</f>
        <v>3304.7999999999997</v>
      </c>
      <c r="R1519">
        <f>Final_Table[[#This Row],[Variable Cost]]+Final_Table[[#This Row],[Fixed Monthly Cost]]</f>
        <v>21304.799999999999</v>
      </c>
      <c r="S1519" s="5">
        <f>Final_Table[[#This Row],[Net Revenue]]-Final_Table[[#This Row],[Total Cost (COGS)]]</f>
        <v>-2944.7999999999993</v>
      </c>
      <c r="T1519">
        <f>Final_Table[[#This Row],[Gross Profit]]*Final_Table[[#This Row],[Tax Rate]]</f>
        <v>-883.43999999999971</v>
      </c>
      <c r="U1519" s="5">
        <f>Final_Table[[#This Row],[Gross Profit]]-Final_Table[[#This Row],[Tax]]</f>
        <v>-2061.3599999999997</v>
      </c>
      <c r="V1519" s="12">
        <f>Final_Table[[#This Row],[Net Profit]]/Final_Table[[#This Row],[Gross Revenue]]</f>
        <v>-0.10104705882352939</v>
      </c>
    </row>
    <row r="1520" spans="1:22">
      <c r="A1520" s="18" t="s">
        <v>70</v>
      </c>
      <c r="B1520">
        <v>2014</v>
      </c>
      <c r="C1520" t="s">
        <v>130</v>
      </c>
      <c r="D1520">
        <v>1</v>
      </c>
      <c r="E1520" s="18" t="s">
        <v>30</v>
      </c>
      <c r="F1520" s="18" t="s">
        <v>113</v>
      </c>
      <c r="G1520" s="18" t="s">
        <v>25</v>
      </c>
      <c r="H1520" s="18" t="str">
        <f>Assumptions!$B$2</f>
        <v>Worst</v>
      </c>
      <c r="I1520" s="18">
        <f>_xlfn.XLOOKUP(Assumptions!$B$2,Assumptions!$F$4:$H$4,Assumptions!$F$5:$H$5)</f>
        <v>1200</v>
      </c>
      <c r="J1520" s="18">
        <f>_xlfn.XLOOKUP(Assumptions!$B$2,Assumptions!$F$4:$H$4,Assumptions!$F$6:$H$6)</f>
        <v>17</v>
      </c>
      <c r="K1520" s="12">
        <f>_xlfn.XLOOKUP(Assumptions!$B$2,Assumptions!$F$4:$H$4,Assumptions!$F$8:$H$8)</f>
        <v>0.1</v>
      </c>
      <c r="L1520" s="12">
        <f>_xlfn.XLOOKUP(Assumptions!$B$2,Assumptions!$F$4:$H$4,Assumptions!$F$9:$H$9)</f>
        <v>0.18</v>
      </c>
      <c r="M1520" s="18">
        <f>_xlfn.XLOOKUP(Assumptions!$B$2,Assumptions!$F$4:$H$4,Assumptions!$F$10:$H$10)</f>
        <v>18000</v>
      </c>
      <c r="N1520" s="12">
        <f>_xlfn.XLOOKUP(Assumptions!$B$2,Assumptions!$F$4:$H$4,Assumptions!$F$11:$H$11)</f>
        <v>0.3</v>
      </c>
      <c r="O1520" s="14">
        <f>Final_Table[[#This Row],[Units Sold]]*Final_Table[[#This Row],[Sale Price]]</f>
        <v>20400</v>
      </c>
      <c r="P1520" s="14">
        <f>Final_Table[[#This Row],[Gross Revenue]]*(1-Final_Table[[#This Row],[Discount %]])</f>
        <v>18360</v>
      </c>
      <c r="Q1520">
        <f>Final_Table[[#This Row],[Net Revenue]]*Final_Table[[#This Row],[Variable Cost %]]</f>
        <v>3304.7999999999997</v>
      </c>
      <c r="R1520">
        <f>Final_Table[[#This Row],[Variable Cost]]+Final_Table[[#This Row],[Fixed Monthly Cost]]</f>
        <v>21304.799999999999</v>
      </c>
      <c r="S1520" s="5">
        <f>Final_Table[[#This Row],[Net Revenue]]-Final_Table[[#This Row],[Total Cost (COGS)]]</f>
        <v>-2944.7999999999993</v>
      </c>
      <c r="T1520">
        <f>Final_Table[[#This Row],[Gross Profit]]*Final_Table[[#This Row],[Tax Rate]]</f>
        <v>-883.43999999999971</v>
      </c>
      <c r="U1520" s="5">
        <f>Final_Table[[#This Row],[Gross Profit]]-Final_Table[[#This Row],[Tax]]</f>
        <v>-2061.3599999999997</v>
      </c>
      <c r="V1520" s="12">
        <f>Final_Table[[#This Row],[Net Profit]]/Final_Table[[#This Row],[Gross Revenue]]</f>
        <v>-0.10104705882352939</v>
      </c>
    </row>
    <row r="1521" spans="1:22">
      <c r="A1521" s="18" t="s">
        <v>70</v>
      </c>
      <c r="B1521">
        <v>2014</v>
      </c>
      <c r="C1521" t="s">
        <v>130</v>
      </c>
      <c r="D1521">
        <v>1</v>
      </c>
      <c r="E1521" s="18" t="s">
        <v>30</v>
      </c>
      <c r="F1521" s="18" t="s">
        <v>113</v>
      </c>
      <c r="G1521" s="18" t="s">
        <v>17</v>
      </c>
      <c r="H1521" s="18" t="str">
        <f>Assumptions!$B$2</f>
        <v>Worst</v>
      </c>
      <c r="I1521" s="18">
        <f>_xlfn.XLOOKUP(Assumptions!$B$2,Assumptions!$F$4:$H$4,Assumptions!$F$5:$H$5)</f>
        <v>1200</v>
      </c>
      <c r="J1521" s="18">
        <f>_xlfn.XLOOKUP(Assumptions!$B$2,Assumptions!$F$4:$H$4,Assumptions!$F$6:$H$6)</f>
        <v>17</v>
      </c>
      <c r="K1521" s="12">
        <f>_xlfn.XLOOKUP(Assumptions!$B$2,Assumptions!$F$4:$H$4,Assumptions!$F$8:$H$8)</f>
        <v>0.1</v>
      </c>
      <c r="L1521" s="12">
        <f>_xlfn.XLOOKUP(Assumptions!$B$2,Assumptions!$F$4:$H$4,Assumptions!$F$9:$H$9)</f>
        <v>0.18</v>
      </c>
      <c r="M1521" s="18">
        <f>_xlfn.XLOOKUP(Assumptions!$B$2,Assumptions!$F$4:$H$4,Assumptions!$F$10:$H$10)</f>
        <v>18000</v>
      </c>
      <c r="N1521" s="12">
        <f>_xlfn.XLOOKUP(Assumptions!$B$2,Assumptions!$F$4:$H$4,Assumptions!$F$11:$H$11)</f>
        <v>0.3</v>
      </c>
      <c r="O1521" s="14">
        <f>Final_Table[[#This Row],[Units Sold]]*Final_Table[[#This Row],[Sale Price]]</f>
        <v>20400</v>
      </c>
      <c r="P1521" s="14">
        <f>Final_Table[[#This Row],[Gross Revenue]]*(1-Final_Table[[#This Row],[Discount %]])</f>
        <v>18360</v>
      </c>
      <c r="Q1521">
        <f>Final_Table[[#This Row],[Net Revenue]]*Final_Table[[#This Row],[Variable Cost %]]</f>
        <v>3304.7999999999997</v>
      </c>
      <c r="R1521">
        <f>Final_Table[[#This Row],[Variable Cost]]+Final_Table[[#This Row],[Fixed Monthly Cost]]</f>
        <v>21304.799999999999</v>
      </c>
      <c r="S1521" s="5">
        <f>Final_Table[[#This Row],[Net Revenue]]-Final_Table[[#This Row],[Total Cost (COGS)]]</f>
        <v>-2944.7999999999993</v>
      </c>
      <c r="T1521">
        <f>Final_Table[[#This Row],[Gross Profit]]*Final_Table[[#This Row],[Tax Rate]]</f>
        <v>-883.43999999999971</v>
      </c>
      <c r="U1521" s="5">
        <f>Final_Table[[#This Row],[Gross Profit]]-Final_Table[[#This Row],[Tax]]</f>
        <v>-2061.3599999999997</v>
      </c>
      <c r="V1521" s="12">
        <f>Final_Table[[#This Row],[Net Profit]]/Final_Table[[#This Row],[Gross Revenue]]</f>
        <v>-0.10104705882352939</v>
      </c>
    </row>
    <row r="1522" spans="1:22">
      <c r="A1522" s="18" t="s">
        <v>70</v>
      </c>
      <c r="B1522">
        <v>2014</v>
      </c>
      <c r="C1522" t="s">
        <v>130</v>
      </c>
      <c r="D1522">
        <v>1</v>
      </c>
      <c r="E1522" s="18" t="s">
        <v>30</v>
      </c>
      <c r="F1522" s="18" t="s">
        <v>114</v>
      </c>
      <c r="G1522" s="18" t="s">
        <v>36</v>
      </c>
      <c r="H1522" s="18" t="str">
        <f>Assumptions!$B$2</f>
        <v>Worst</v>
      </c>
      <c r="I1522" s="18">
        <f>_xlfn.XLOOKUP(Assumptions!$B$2,Assumptions!$F$4:$H$4,Assumptions!$F$5:$H$5)</f>
        <v>1200</v>
      </c>
      <c r="J1522" s="18">
        <f>_xlfn.XLOOKUP(Assumptions!$B$2,Assumptions!$F$4:$H$4,Assumptions!$F$6:$H$6)</f>
        <v>17</v>
      </c>
      <c r="K1522" s="12">
        <f>_xlfn.XLOOKUP(Assumptions!$B$2,Assumptions!$F$4:$H$4,Assumptions!$F$8:$H$8)</f>
        <v>0.1</v>
      </c>
      <c r="L1522" s="12">
        <f>_xlfn.XLOOKUP(Assumptions!$B$2,Assumptions!$F$4:$H$4,Assumptions!$F$9:$H$9)</f>
        <v>0.18</v>
      </c>
      <c r="M1522" s="18">
        <f>_xlfn.XLOOKUP(Assumptions!$B$2,Assumptions!$F$4:$H$4,Assumptions!$F$10:$H$10)</f>
        <v>18000</v>
      </c>
      <c r="N1522" s="12">
        <f>_xlfn.XLOOKUP(Assumptions!$B$2,Assumptions!$F$4:$H$4,Assumptions!$F$11:$H$11)</f>
        <v>0.3</v>
      </c>
      <c r="O1522" s="14">
        <f>Final_Table[[#This Row],[Units Sold]]*Final_Table[[#This Row],[Sale Price]]</f>
        <v>20400</v>
      </c>
      <c r="P1522" s="14">
        <f>Final_Table[[#This Row],[Gross Revenue]]*(1-Final_Table[[#This Row],[Discount %]])</f>
        <v>18360</v>
      </c>
      <c r="Q1522">
        <f>Final_Table[[#This Row],[Net Revenue]]*Final_Table[[#This Row],[Variable Cost %]]</f>
        <v>3304.7999999999997</v>
      </c>
      <c r="R1522">
        <f>Final_Table[[#This Row],[Variable Cost]]+Final_Table[[#This Row],[Fixed Monthly Cost]]</f>
        <v>21304.799999999999</v>
      </c>
      <c r="S1522" s="5">
        <f>Final_Table[[#This Row],[Net Revenue]]-Final_Table[[#This Row],[Total Cost (COGS)]]</f>
        <v>-2944.7999999999993</v>
      </c>
      <c r="T1522">
        <f>Final_Table[[#This Row],[Gross Profit]]*Final_Table[[#This Row],[Tax Rate]]</f>
        <v>-883.43999999999971</v>
      </c>
      <c r="U1522" s="5">
        <f>Final_Table[[#This Row],[Gross Profit]]-Final_Table[[#This Row],[Tax]]</f>
        <v>-2061.3599999999997</v>
      </c>
      <c r="V1522" s="12">
        <f>Final_Table[[#This Row],[Net Profit]]/Final_Table[[#This Row],[Gross Revenue]]</f>
        <v>-0.10104705882352939</v>
      </c>
    </row>
    <row r="1523" spans="1:22">
      <c r="A1523" s="18" t="s">
        <v>70</v>
      </c>
      <c r="B1523">
        <v>2014</v>
      </c>
      <c r="C1523" t="s">
        <v>130</v>
      </c>
      <c r="D1523">
        <v>1</v>
      </c>
      <c r="E1523" s="18" t="s">
        <v>30</v>
      </c>
      <c r="F1523" s="18" t="s">
        <v>114</v>
      </c>
      <c r="G1523" s="18" t="s">
        <v>23</v>
      </c>
      <c r="H1523" s="18" t="str">
        <f>Assumptions!$B$2</f>
        <v>Worst</v>
      </c>
      <c r="I1523" s="18">
        <f>_xlfn.XLOOKUP(Assumptions!$B$2,Assumptions!$F$4:$H$4,Assumptions!$F$5:$H$5)</f>
        <v>1200</v>
      </c>
      <c r="J1523" s="18">
        <f>_xlfn.XLOOKUP(Assumptions!$B$2,Assumptions!$F$4:$H$4,Assumptions!$F$6:$H$6)</f>
        <v>17</v>
      </c>
      <c r="K1523" s="12">
        <f>_xlfn.XLOOKUP(Assumptions!$B$2,Assumptions!$F$4:$H$4,Assumptions!$F$8:$H$8)</f>
        <v>0.1</v>
      </c>
      <c r="L1523" s="12">
        <f>_xlfn.XLOOKUP(Assumptions!$B$2,Assumptions!$F$4:$H$4,Assumptions!$F$9:$H$9)</f>
        <v>0.18</v>
      </c>
      <c r="M1523" s="18">
        <f>_xlfn.XLOOKUP(Assumptions!$B$2,Assumptions!$F$4:$H$4,Assumptions!$F$10:$H$10)</f>
        <v>18000</v>
      </c>
      <c r="N1523" s="12">
        <f>_xlfn.XLOOKUP(Assumptions!$B$2,Assumptions!$F$4:$H$4,Assumptions!$F$11:$H$11)</f>
        <v>0.3</v>
      </c>
      <c r="O1523" s="14">
        <f>Final_Table[[#This Row],[Units Sold]]*Final_Table[[#This Row],[Sale Price]]</f>
        <v>20400</v>
      </c>
      <c r="P1523" s="14">
        <f>Final_Table[[#This Row],[Gross Revenue]]*(1-Final_Table[[#This Row],[Discount %]])</f>
        <v>18360</v>
      </c>
      <c r="Q1523">
        <f>Final_Table[[#This Row],[Net Revenue]]*Final_Table[[#This Row],[Variable Cost %]]</f>
        <v>3304.7999999999997</v>
      </c>
      <c r="R1523">
        <f>Final_Table[[#This Row],[Variable Cost]]+Final_Table[[#This Row],[Fixed Monthly Cost]]</f>
        <v>21304.799999999999</v>
      </c>
      <c r="S1523" s="5">
        <f>Final_Table[[#This Row],[Net Revenue]]-Final_Table[[#This Row],[Total Cost (COGS)]]</f>
        <v>-2944.7999999999993</v>
      </c>
      <c r="T1523">
        <f>Final_Table[[#This Row],[Gross Profit]]*Final_Table[[#This Row],[Tax Rate]]</f>
        <v>-883.43999999999971</v>
      </c>
      <c r="U1523" s="5">
        <f>Final_Table[[#This Row],[Gross Profit]]-Final_Table[[#This Row],[Tax]]</f>
        <v>-2061.3599999999997</v>
      </c>
      <c r="V1523" s="12">
        <f>Final_Table[[#This Row],[Net Profit]]/Final_Table[[#This Row],[Gross Revenue]]</f>
        <v>-0.10104705882352939</v>
      </c>
    </row>
    <row r="1524" spans="1:22">
      <c r="A1524" s="18" t="s">
        <v>70</v>
      </c>
      <c r="B1524">
        <v>2014</v>
      </c>
      <c r="C1524" t="s">
        <v>130</v>
      </c>
      <c r="D1524">
        <v>1</v>
      </c>
      <c r="E1524" s="18" t="s">
        <v>30</v>
      </c>
      <c r="F1524" s="18" t="s">
        <v>114</v>
      </c>
      <c r="G1524" s="18" t="s">
        <v>21</v>
      </c>
      <c r="H1524" s="18" t="str">
        <f>Assumptions!$B$2</f>
        <v>Worst</v>
      </c>
      <c r="I1524" s="18">
        <f>_xlfn.XLOOKUP(Assumptions!$B$2,Assumptions!$F$4:$H$4,Assumptions!$F$5:$H$5)</f>
        <v>1200</v>
      </c>
      <c r="J1524" s="18">
        <f>_xlfn.XLOOKUP(Assumptions!$B$2,Assumptions!$F$4:$H$4,Assumptions!$F$6:$H$6)</f>
        <v>17</v>
      </c>
      <c r="K1524" s="12">
        <f>_xlfn.XLOOKUP(Assumptions!$B$2,Assumptions!$F$4:$H$4,Assumptions!$F$8:$H$8)</f>
        <v>0.1</v>
      </c>
      <c r="L1524" s="12">
        <f>_xlfn.XLOOKUP(Assumptions!$B$2,Assumptions!$F$4:$H$4,Assumptions!$F$9:$H$9)</f>
        <v>0.18</v>
      </c>
      <c r="M1524" s="18">
        <f>_xlfn.XLOOKUP(Assumptions!$B$2,Assumptions!$F$4:$H$4,Assumptions!$F$10:$H$10)</f>
        <v>18000</v>
      </c>
      <c r="N1524" s="12">
        <f>_xlfn.XLOOKUP(Assumptions!$B$2,Assumptions!$F$4:$H$4,Assumptions!$F$11:$H$11)</f>
        <v>0.3</v>
      </c>
      <c r="O1524" s="14">
        <f>Final_Table[[#This Row],[Units Sold]]*Final_Table[[#This Row],[Sale Price]]</f>
        <v>20400</v>
      </c>
      <c r="P1524" s="14">
        <f>Final_Table[[#This Row],[Gross Revenue]]*(1-Final_Table[[#This Row],[Discount %]])</f>
        <v>18360</v>
      </c>
      <c r="Q1524">
        <f>Final_Table[[#This Row],[Net Revenue]]*Final_Table[[#This Row],[Variable Cost %]]</f>
        <v>3304.7999999999997</v>
      </c>
      <c r="R1524">
        <f>Final_Table[[#This Row],[Variable Cost]]+Final_Table[[#This Row],[Fixed Monthly Cost]]</f>
        <v>21304.799999999999</v>
      </c>
      <c r="S1524" s="5">
        <f>Final_Table[[#This Row],[Net Revenue]]-Final_Table[[#This Row],[Total Cost (COGS)]]</f>
        <v>-2944.7999999999993</v>
      </c>
      <c r="T1524">
        <f>Final_Table[[#This Row],[Gross Profit]]*Final_Table[[#This Row],[Tax Rate]]</f>
        <v>-883.43999999999971</v>
      </c>
      <c r="U1524" s="5">
        <f>Final_Table[[#This Row],[Gross Profit]]-Final_Table[[#This Row],[Tax]]</f>
        <v>-2061.3599999999997</v>
      </c>
      <c r="V1524" s="12">
        <f>Final_Table[[#This Row],[Net Profit]]/Final_Table[[#This Row],[Gross Revenue]]</f>
        <v>-0.10104705882352939</v>
      </c>
    </row>
    <row r="1525" spans="1:22">
      <c r="A1525" s="18" t="s">
        <v>70</v>
      </c>
      <c r="B1525">
        <v>2014</v>
      </c>
      <c r="C1525" t="s">
        <v>130</v>
      </c>
      <c r="D1525">
        <v>1</v>
      </c>
      <c r="E1525" s="18" t="s">
        <v>30</v>
      </c>
      <c r="F1525" s="18" t="s">
        <v>114</v>
      </c>
      <c r="G1525" s="18" t="s">
        <v>25</v>
      </c>
      <c r="H1525" s="18" t="str">
        <f>Assumptions!$B$2</f>
        <v>Worst</v>
      </c>
      <c r="I1525" s="18">
        <f>_xlfn.XLOOKUP(Assumptions!$B$2,Assumptions!$F$4:$H$4,Assumptions!$F$5:$H$5)</f>
        <v>1200</v>
      </c>
      <c r="J1525" s="18">
        <f>_xlfn.XLOOKUP(Assumptions!$B$2,Assumptions!$F$4:$H$4,Assumptions!$F$6:$H$6)</f>
        <v>17</v>
      </c>
      <c r="K1525" s="12">
        <f>_xlfn.XLOOKUP(Assumptions!$B$2,Assumptions!$F$4:$H$4,Assumptions!$F$8:$H$8)</f>
        <v>0.1</v>
      </c>
      <c r="L1525" s="12">
        <f>_xlfn.XLOOKUP(Assumptions!$B$2,Assumptions!$F$4:$H$4,Assumptions!$F$9:$H$9)</f>
        <v>0.18</v>
      </c>
      <c r="M1525" s="18">
        <f>_xlfn.XLOOKUP(Assumptions!$B$2,Assumptions!$F$4:$H$4,Assumptions!$F$10:$H$10)</f>
        <v>18000</v>
      </c>
      <c r="N1525" s="12">
        <f>_xlfn.XLOOKUP(Assumptions!$B$2,Assumptions!$F$4:$H$4,Assumptions!$F$11:$H$11)</f>
        <v>0.3</v>
      </c>
      <c r="O1525" s="14">
        <f>Final_Table[[#This Row],[Units Sold]]*Final_Table[[#This Row],[Sale Price]]</f>
        <v>20400</v>
      </c>
      <c r="P1525" s="14">
        <f>Final_Table[[#This Row],[Gross Revenue]]*(1-Final_Table[[#This Row],[Discount %]])</f>
        <v>18360</v>
      </c>
      <c r="Q1525">
        <f>Final_Table[[#This Row],[Net Revenue]]*Final_Table[[#This Row],[Variable Cost %]]</f>
        <v>3304.7999999999997</v>
      </c>
      <c r="R1525">
        <f>Final_Table[[#This Row],[Variable Cost]]+Final_Table[[#This Row],[Fixed Monthly Cost]]</f>
        <v>21304.799999999999</v>
      </c>
      <c r="S1525" s="5">
        <f>Final_Table[[#This Row],[Net Revenue]]-Final_Table[[#This Row],[Total Cost (COGS)]]</f>
        <v>-2944.7999999999993</v>
      </c>
      <c r="T1525">
        <f>Final_Table[[#This Row],[Gross Profit]]*Final_Table[[#This Row],[Tax Rate]]</f>
        <v>-883.43999999999971</v>
      </c>
      <c r="U1525" s="5">
        <f>Final_Table[[#This Row],[Gross Profit]]-Final_Table[[#This Row],[Tax]]</f>
        <v>-2061.3599999999997</v>
      </c>
      <c r="V1525" s="12">
        <f>Final_Table[[#This Row],[Net Profit]]/Final_Table[[#This Row],[Gross Revenue]]</f>
        <v>-0.10104705882352939</v>
      </c>
    </row>
    <row r="1526" spans="1:22">
      <c r="A1526" s="18" t="s">
        <v>70</v>
      </c>
      <c r="B1526">
        <v>2014</v>
      </c>
      <c r="C1526" t="s">
        <v>130</v>
      </c>
      <c r="D1526">
        <v>1</v>
      </c>
      <c r="E1526" s="18" t="s">
        <v>30</v>
      </c>
      <c r="F1526" s="18" t="s">
        <v>114</v>
      </c>
      <c r="G1526" s="18" t="s">
        <v>17</v>
      </c>
      <c r="H1526" s="18" t="str">
        <f>Assumptions!$B$2</f>
        <v>Worst</v>
      </c>
      <c r="I1526" s="18">
        <f>_xlfn.XLOOKUP(Assumptions!$B$2,Assumptions!$F$4:$H$4,Assumptions!$F$5:$H$5)</f>
        <v>1200</v>
      </c>
      <c r="J1526" s="18">
        <f>_xlfn.XLOOKUP(Assumptions!$B$2,Assumptions!$F$4:$H$4,Assumptions!$F$6:$H$6)</f>
        <v>17</v>
      </c>
      <c r="K1526" s="12">
        <f>_xlfn.XLOOKUP(Assumptions!$B$2,Assumptions!$F$4:$H$4,Assumptions!$F$8:$H$8)</f>
        <v>0.1</v>
      </c>
      <c r="L1526" s="12">
        <f>_xlfn.XLOOKUP(Assumptions!$B$2,Assumptions!$F$4:$H$4,Assumptions!$F$9:$H$9)</f>
        <v>0.18</v>
      </c>
      <c r="M1526" s="18">
        <f>_xlfn.XLOOKUP(Assumptions!$B$2,Assumptions!$F$4:$H$4,Assumptions!$F$10:$H$10)</f>
        <v>18000</v>
      </c>
      <c r="N1526" s="12">
        <f>_xlfn.XLOOKUP(Assumptions!$B$2,Assumptions!$F$4:$H$4,Assumptions!$F$11:$H$11)</f>
        <v>0.3</v>
      </c>
      <c r="O1526" s="14">
        <f>Final_Table[[#This Row],[Units Sold]]*Final_Table[[#This Row],[Sale Price]]</f>
        <v>20400</v>
      </c>
      <c r="P1526" s="14">
        <f>Final_Table[[#This Row],[Gross Revenue]]*(1-Final_Table[[#This Row],[Discount %]])</f>
        <v>18360</v>
      </c>
      <c r="Q1526">
        <f>Final_Table[[#This Row],[Net Revenue]]*Final_Table[[#This Row],[Variable Cost %]]</f>
        <v>3304.7999999999997</v>
      </c>
      <c r="R1526">
        <f>Final_Table[[#This Row],[Variable Cost]]+Final_Table[[#This Row],[Fixed Monthly Cost]]</f>
        <v>21304.799999999999</v>
      </c>
      <c r="S1526" s="5">
        <f>Final_Table[[#This Row],[Net Revenue]]-Final_Table[[#This Row],[Total Cost (COGS)]]</f>
        <v>-2944.7999999999993</v>
      </c>
      <c r="T1526">
        <f>Final_Table[[#This Row],[Gross Profit]]*Final_Table[[#This Row],[Tax Rate]]</f>
        <v>-883.43999999999971</v>
      </c>
      <c r="U1526" s="5">
        <f>Final_Table[[#This Row],[Gross Profit]]-Final_Table[[#This Row],[Tax]]</f>
        <v>-2061.3599999999997</v>
      </c>
      <c r="V1526" s="12">
        <f>Final_Table[[#This Row],[Net Profit]]/Final_Table[[#This Row],[Gross Revenue]]</f>
        <v>-0.10104705882352939</v>
      </c>
    </row>
    <row r="1527" spans="1:22">
      <c r="A1527" s="18" t="s">
        <v>70</v>
      </c>
      <c r="B1527">
        <v>2014</v>
      </c>
      <c r="C1527" t="s">
        <v>130</v>
      </c>
      <c r="D1527">
        <v>1</v>
      </c>
      <c r="E1527" s="18" t="s">
        <v>29</v>
      </c>
      <c r="F1527" s="18" t="s">
        <v>80</v>
      </c>
      <c r="G1527" s="18" t="s">
        <v>36</v>
      </c>
      <c r="H1527" s="18" t="str">
        <f>Assumptions!$B$2</f>
        <v>Worst</v>
      </c>
      <c r="I1527" s="18">
        <f>_xlfn.XLOOKUP(Assumptions!$B$2,Assumptions!$F$4:$H$4,Assumptions!$F$5:$H$5)</f>
        <v>1200</v>
      </c>
      <c r="J1527" s="18">
        <f>_xlfn.XLOOKUP(Assumptions!$B$2,Assumptions!$F$4:$H$4,Assumptions!$F$6:$H$6)</f>
        <v>17</v>
      </c>
      <c r="K1527" s="12">
        <f>_xlfn.XLOOKUP(Assumptions!$B$2,Assumptions!$F$4:$H$4,Assumptions!$F$8:$H$8)</f>
        <v>0.1</v>
      </c>
      <c r="L1527" s="12">
        <f>_xlfn.XLOOKUP(Assumptions!$B$2,Assumptions!$F$4:$H$4,Assumptions!$F$9:$H$9)</f>
        <v>0.18</v>
      </c>
      <c r="M1527" s="18">
        <f>_xlfn.XLOOKUP(Assumptions!$B$2,Assumptions!$F$4:$H$4,Assumptions!$F$10:$H$10)</f>
        <v>18000</v>
      </c>
      <c r="N1527" s="12">
        <f>_xlfn.XLOOKUP(Assumptions!$B$2,Assumptions!$F$4:$H$4,Assumptions!$F$11:$H$11)</f>
        <v>0.3</v>
      </c>
      <c r="O1527" s="14">
        <f>Final_Table[[#This Row],[Units Sold]]*Final_Table[[#This Row],[Sale Price]]</f>
        <v>20400</v>
      </c>
      <c r="P1527" s="14">
        <f>Final_Table[[#This Row],[Gross Revenue]]*(1-Final_Table[[#This Row],[Discount %]])</f>
        <v>18360</v>
      </c>
      <c r="Q1527">
        <f>Final_Table[[#This Row],[Net Revenue]]*Final_Table[[#This Row],[Variable Cost %]]</f>
        <v>3304.7999999999997</v>
      </c>
      <c r="R1527">
        <f>Final_Table[[#This Row],[Variable Cost]]+Final_Table[[#This Row],[Fixed Monthly Cost]]</f>
        <v>21304.799999999999</v>
      </c>
      <c r="S1527" s="5">
        <f>Final_Table[[#This Row],[Net Revenue]]-Final_Table[[#This Row],[Total Cost (COGS)]]</f>
        <v>-2944.7999999999993</v>
      </c>
      <c r="T1527">
        <f>Final_Table[[#This Row],[Gross Profit]]*Final_Table[[#This Row],[Tax Rate]]</f>
        <v>-883.43999999999971</v>
      </c>
      <c r="U1527" s="5">
        <f>Final_Table[[#This Row],[Gross Profit]]-Final_Table[[#This Row],[Tax]]</f>
        <v>-2061.3599999999997</v>
      </c>
      <c r="V1527" s="12">
        <f>Final_Table[[#This Row],[Net Profit]]/Final_Table[[#This Row],[Gross Revenue]]</f>
        <v>-0.10104705882352939</v>
      </c>
    </row>
    <row r="1528" spans="1:22">
      <c r="A1528" s="18" t="s">
        <v>70</v>
      </c>
      <c r="B1528">
        <v>2014</v>
      </c>
      <c r="C1528" t="s">
        <v>130</v>
      </c>
      <c r="D1528">
        <v>1</v>
      </c>
      <c r="E1528" s="18" t="s">
        <v>29</v>
      </c>
      <c r="F1528" s="18" t="s">
        <v>80</v>
      </c>
      <c r="G1528" s="18" t="s">
        <v>23</v>
      </c>
      <c r="H1528" s="18" t="str">
        <f>Assumptions!$B$2</f>
        <v>Worst</v>
      </c>
      <c r="I1528" s="18">
        <f>_xlfn.XLOOKUP(Assumptions!$B$2,Assumptions!$F$4:$H$4,Assumptions!$F$5:$H$5)</f>
        <v>1200</v>
      </c>
      <c r="J1528" s="18">
        <f>_xlfn.XLOOKUP(Assumptions!$B$2,Assumptions!$F$4:$H$4,Assumptions!$F$6:$H$6)</f>
        <v>17</v>
      </c>
      <c r="K1528" s="12">
        <f>_xlfn.XLOOKUP(Assumptions!$B$2,Assumptions!$F$4:$H$4,Assumptions!$F$8:$H$8)</f>
        <v>0.1</v>
      </c>
      <c r="L1528" s="12">
        <f>_xlfn.XLOOKUP(Assumptions!$B$2,Assumptions!$F$4:$H$4,Assumptions!$F$9:$H$9)</f>
        <v>0.18</v>
      </c>
      <c r="M1528" s="18">
        <f>_xlfn.XLOOKUP(Assumptions!$B$2,Assumptions!$F$4:$H$4,Assumptions!$F$10:$H$10)</f>
        <v>18000</v>
      </c>
      <c r="N1528" s="12">
        <f>_xlfn.XLOOKUP(Assumptions!$B$2,Assumptions!$F$4:$H$4,Assumptions!$F$11:$H$11)</f>
        <v>0.3</v>
      </c>
      <c r="O1528" s="14">
        <f>Final_Table[[#This Row],[Units Sold]]*Final_Table[[#This Row],[Sale Price]]</f>
        <v>20400</v>
      </c>
      <c r="P1528" s="14">
        <f>Final_Table[[#This Row],[Gross Revenue]]*(1-Final_Table[[#This Row],[Discount %]])</f>
        <v>18360</v>
      </c>
      <c r="Q1528">
        <f>Final_Table[[#This Row],[Net Revenue]]*Final_Table[[#This Row],[Variable Cost %]]</f>
        <v>3304.7999999999997</v>
      </c>
      <c r="R1528">
        <f>Final_Table[[#This Row],[Variable Cost]]+Final_Table[[#This Row],[Fixed Monthly Cost]]</f>
        <v>21304.799999999999</v>
      </c>
      <c r="S1528" s="5">
        <f>Final_Table[[#This Row],[Net Revenue]]-Final_Table[[#This Row],[Total Cost (COGS)]]</f>
        <v>-2944.7999999999993</v>
      </c>
      <c r="T1528">
        <f>Final_Table[[#This Row],[Gross Profit]]*Final_Table[[#This Row],[Tax Rate]]</f>
        <v>-883.43999999999971</v>
      </c>
      <c r="U1528" s="5">
        <f>Final_Table[[#This Row],[Gross Profit]]-Final_Table[[#This Row],[Tax]]</f>
        <v>-2061.3599999999997</v>
      </c>
      <c r="V1528" s="12">
        <f>Final_Table[[#This Row],[Net Profit]]/Final_Table[[#This Row],[Gross Revenue]]</f>
        <v>-0.10104705882352939</v>
      </c>
    </row>
    <row r="1529" spans="1:22">
      <c r="A1529" s="18" t="s">
        <v>70</v>
      </c>
      <c r="B1529">
        <v>2014</v>
      </c>
      <c r="C1529" t="s">
        <v>130</v>
      </c>
      <c r="D1529">
        <v>1</v>
      </c>
      <c r="E1529" s="18" t="s">
        <v>29</v>
      </c>
      <c r="F1529" s="18" t="s">
        <v>80</v>
      </c>
      <c r="G1529" s="18" t="s">
        <v>21</v>
      </c>
      <c r="H1529" s="18" t="str">
        <f>Assumptions!$B$2</f>
        <v>Worst</v>
      </c>
      <c r="I1529" s="18">
        <f>_xlfn.XLOOKUP(Assumptions!$B$2,Assumptions!$F$4:$H$4,Assumptions!$F$5:$H$5)</f>
        <v>1200</v>
      </c>
      <c r="J1529" s="18">
        <f>_xlfn.XLOOKUP(Assumptions!$B$2,Assumptions!$F$4:$H$4,Assumptions!$F$6:$H$6)</f>
        <v>17</v>
      </c>
      <c r="K1529" s="12">
        <f>_xlfn.XLOOKUP(Assumptions!$B$2,Assumptions!$F$4:$H$4,Assumptions!$F$8:$H$8)</f>
        <v>0.1</v>
      </c>
      <c r="L1529" s="12">
        <f>_xlfn.XLOOKUP(Assumptions!$B$2,Assumptions!$F$4:$H$4,Assumptions!$F$9:$H$9)</f>
        <v>0.18</v>
      </c>
      <c r="M1529" s="18">
        <f>_xlfn.XLOOKUP(Assumptions!$B$2,Assumptions!$F$4:$H$4,Assumptions!$F$10:$H$10)</f>
        <v>18000</v>
      </c>
      <c r="N1529" s="12">
        <f>_xlfn.XLOOKUP(Assumptions!$B$2,Assumptions!$F$4:$H$4,Assumptions!$F$11:$H$11)</f>
        <v>0.3</v>
      </c>
      <c r="O1529" s="14">
        <f>Final_Table[[#This Row],[Units Sold]]*Final_Table[[#This Row],[Sale Price]]</f>
        <v>20400</v>
      </c>
      <c r="P1529" s="14">
        <f>Final_Table[[#This Row],[Gross Revenue]]*(1-Final_Table[[#This Row],[Discount %]])</f>
        <v>18360</v>
      </c>
      <c r="Q1529">
        <f>Final_Table[[#This Row],[Net Revenue]]*Final_Table[[#This Row],[Variable Cost %]]</f>
        <v>3304.7999999999997</v>
      </c>
      <c r="R1529">
        <f>Final_Table[[#This Row],[Variable Cost]]+Final_Table[[#This Row],[Fixed Monthly Cost]]</f>
        <v>21304.799999999999</v>
      </c>
      <c r="S1529" s="5">
        <f>Final_Table[[#This Row],[Net Revenue]]-Final_Table[[#This Row],[Total Cost (COGS)]]</f>
        <v>-2944.7999999999993</v>
      </c>
      <c r="T1529">
        <f>Final_Table[[#This Row],[Gross Profit]]*Final_Table[[#This Row],[Tax Rate]]</f>
        <v>-883.43999999999971</v>
      </c>
      <c r="U1529" s="5">
        <f>Final_Table[[#This Row],[Gross Profit]]-Final_Table[[#This Row],[Tax]]</f>
        <v>-2061.3599999999997</v>
      </c>
      <c r="V1529" s="12">
        <f>Final_Table[[#This Row],[Net Profit]]/Final_Table[[#This Row],[Gross Revenue]]</f>
        <v>-0.10104705882352939</v>
      </c>
    </row>
    <row r="1530" spans="1:22">
      <c r="A1530" s="18" t="s">
        <v>70</v>
      </c>
      <c r="B1530">
        <v>2014</v>
      </c>
      <c r="C1530" t="s">
        <v>130</v>
      </c>
      <c r="D1530">
        <v>1</v>
      </c>
      <c r="E1530" s="18" t="s">
        <v>29</v>
      </c>
      <c r="F1530" s="18" t="s">
        <v>80</v>
      </c>
      <c r="G1530" s="18" t="s">
        <v>25</v>
      </c>
      <c r="H1530" s="18" t="str">
        <f>Assumptions!$B$2</f>
        <v>Worst</v>
      </c>
      <c r="I1530" s="18">
        <f>_xlfn.XLOOKUP(Assumptions!$B$2,Assumptions!$F$4:$H$4,Assumptions!$F$5:$H$5)</f>
        <v>1200</v>
      </c>
      <c r="J1530" s="18">
        <f>_xlfn.XLOOKUP(Assumptions!$B$2,Assumptions!$F$4:$H$4,Assumptions!$F$6:$H$6)</f>
        <v>17</v>
      </c>
      <c r="K1530" s="12">
        <f>_xlfn.XLOOKUP(Assumptions!$B$2,Assumptions!$F$4:$H$4,Assumptions!$F$8:$H$8)</f>
        <v>0.1</v>
      </c>
      <c r="L1530" s="12">
        <f>_xlfn.XLOOKUP(Assumptions!$B$2,Assumptions!$F$4:$H$4,Assumptions!$F$9:$H$9)</f>
        <v>0.18</v>
      </c>
      <c r="M1530" s="18">
        <f>_xlfn.XLOOKUP(Assumptions!$B$2,Assumptions!$F$4:$H$4,Assumptions!$F$10:$H$10)</f>
        <v>18000</v>
      </c>
      <c r="N1530" s="12">
        <f>_xlfn.XLOOKUP(Assumptions!$B$2,Assumptions!$F$4:$H$4,Assumptions!$F$11:$H$11)</f>
        <v>0.3</v>
      </c>
      <c r="O1530" s="14">
        <f>Final_Table[[#This Row],[Units Sold]]*Final_Table[[#This Row],[Sale Price]]</f>
        <v>20400</v>
      </c>
      <c r="P1530" s="14">
        <f>Final_Table[[#This Row],[Gross Revenue]]*(1-Final_Table[[#This Row],[Discount %]])</f>
        <v>18360</v>
      </c>
      <c r="Q1530">
        <f>Final_Table[[#This Row],[Net Revenue]]*Final_Table[[#This Row],[Variable Cost %]]</f>
        <v>3304.7999999999997</v>
      </c>
      <c r="R1530">
        <f>Final_Table[[#This Row],[Variable Cost]]+Final_Table[[#This Row],[Fixed Monthly Cost]]</f>
        <v>21304.799999999999</v>
      </c>
      <c r="S1530" s="5">
        <f>Final_Table[[#This Row],[Net Revenue]]-Final_Table[[#This Row],[Total Cost (COGS)]]</f>
        <v>-2944.7999999999993</v>
      </c>
      <c r="T1530">
        <f>Final_Table[[#This Row],[Gross Profit]]*Final_Table[[#This Row],[Tax Rate]]</f>
        <v>-883.43999999999971</v>
      </c>
      <c r="U1530" s="5">
        <f>Final_Table[[#This Row],[Gross Profit]]-Final_Table[[#This Row],[Tax]]</f>
        <v>-2061.3599999999997</v>
      </c>
      <c r="V1530" s="12">
        <f>Final_Table[[#This Row],[Net Profit]]/Final_Table[[#This Row],[Gross Revenue]]</f>
        <v>-0.10104705882352939</v>
      </c>
    </row>
    <row r="1531" spans="1:22">
      <c r="A1531" s="18" t="s">
        <v>70</v>
      </c>
      <c r="B1531">
        <v>2014</v>
      </c>
      <c r="C1531" t="s">
        <v>130</v>
      </c>
      <c r="D1531">
        <v>1</v>
      </c>
      <c r="E1531" s="18" t="s">
        <v>29</v>
      </c>
      <c r="F1531" s="18" t="s">
        <v>80</v>
      </c>
      <c r="G1531" s="18" t="s">
        <v>17</v>
      </c>
      <c r="H1531" s="18" t="str">
        <f>Assumptions!$B$2</f>
        <v>Worst</v>
      </c>
      <c r="I1531" s="18">
        <f>_xlfn.XLOOKUP(Assumptions!$B$2,Assumptions!$F$4:$H$4,Assumptions!$F$5:$H$5)</f>
        <v>1200</v>
      </c>
      <c r="J1531" s="18">
        <f>_xlfn.XLOOKUP(Assumptions!$B$2,Assumptions!$F$4:$H$4,Assumptions!$F$6:$H$6)</f>
        <v>17</v>
      </c>
      <c r="K1531" s="12">
        <f>_xlfn.XLOOKUP(Assumptions!$B$2,Assumptions!$F$4:$H$4,Assumptions!$F$8:$H$8)</f>
        <v>0.1</v>
      </c>
      <c r="L1531" s="12">
        <f>_xlfn.XLOOKUP(Assumptions!$B$2,Assumptions!$F$4:$H$4,Assumptions!$F$9:$H$9)</f>
        <v>0.18</v>
      </c>
      <c r="M1531" s="18">
        <f>_xlfn.XLOOKUP(Assumptions!$B$2,Assumptions!$F$4:$H$4,Assumptions!$F$10:$H$10)</f>
        <v>18000</v>
      </c>
      <c r="N1531" s="12">
        <f>_xlfn.XLOOKUP(Assumptions!$B$2,Assumptions!$F$4:$H$4,Assumptions!$F$11:$H$11)</f>
        <v>0.3</v>
      </c>
      <c r="O1531" s="14">
        <f>Final_Table[[#This Row],[Units Sold]]*Final_Table[[#This Row],[Sale Price]]</f>
        <v>20400</v>
      </c>
      <c r="P1531" s="14">
        <f>Final_Table[[#This Row],[Gross Revenue]]*(1-Final_Table[[#This Row],[Discount %]])</f>
        <v>18360</v>
      </c>
      <c r="Q1531">
        <f>Final_Table[[#This Row],[Net Revenue]]*Final_Table[[#This Row],[Variable Cost %]]</f>
        <v>3304.7999999999997</v>
      </c>
      <c r="R1531">
        <f>Final_Table[[#This Row],[Variable Cost]]+Final_Table[[#This Row],[Fixed Monthly Cost]]</f>
        <v>21304.799999999999</v>
      </c>
      <c r="S1531" s="5">
        <f>Final_Table[[#This Row],[Net Revenue]]-Final_Table[[#This Row],[Total Cost (COGS)]]</f>
        <v>-2944.7999999999993</v>
      </c>
      <c r="T1531">
        <f>Final_Table[[#This Row],[Gross Profit]]*Final_Table[[#This Row],[Tax Rate]]</f>
        <v>-883.43999999999971</v>
      </c>
      <c r="U1531" s="5">
        <f>Final_Table[[#This Row],[Gross Profit]]-Final_Table[[#This Row],[Tax]]</f>
        <v>-2061.3599999999997</v>
      </c>
      <c r="V1531" s="12">
        <f>Final_Table[[#This Row],[Net Profit]]/Final_Table[[#This Row],[Gross Revenue]]</f>
        <v>-0.10104705882352939</v>
      </c>
    </row>
    <row r="1532" spans="1:22">
      <c r="A1532" s="18" t="s">
        <v>70</v>
      </c>
      <c r="B1532">
        <v>2014</v>
      </c>
      <c r="C1532" t="s">
        <v>130</v>
      </c>
      <c r="D1532">
        <v>1</v>
      </c>
      <c r="E1532" s="18" t="s">
        <v>29</v>
      </c>
      <c r="F1532" s="18" t="s">
        <v>108</v>
      </c>
      <c r="G1532" s="18" t="s">
        <v>36</v>
      </c>
      <c r="H1532" s="18" t="str">
        <f>Assumptions!$B$2</f>
        <v>Worst</v>
      </c>
      <c r="I1532" s="18">
        <f>_xlfn.XLOOKUP(Assumptions!$B$2,Assumptions!$F$4:$H$4,Assumptions!$F$5:$H$5)</f>
        <v>1200</v>
      </c>
      <c r="J1532" s="18">
        <f>_xlfn.XLOOKUP(Assumptions!$B$2,Assumptions!$F$4:$H$4,Assumptions!$F$6:$H$6)</f>
        <v>17</v>
      </c>
      <c r="K1532" s="12">
        <f>_xlfn.XLOOKUP(Assumptions!$B$2,Assumptions!$F$4:$H$4,Assumptions!$F$8:$H$8)</f>
        <v>0.1</v>
      </c>
      <c r="L1532" s="12">
        <f>_xlfn.XLOOKUP(Assumptions!$B$2,Assumptions!$F$4:$H$4,Assumptions!$F$9:$H$9)</f>
        <v>0.18</v>
      </c>
      <c r="M1532" s="18">
        <f>_xlfn.XLOOKUP(Assumptions!$B$2,Assumptions!$F$4:$H$4,Assumptions!$F$10:$H$10)</f>
        <v>18000</v>
      </c>
      <c r="N1532" s="12">
        <f>_xlfn.XLOOKUP(Assumptions!$B$2,Assumptions!$F$4:$H$4,Assumptions!$F$11:$H$11)</f>
        <v>0.3</v>
      </c>
      <c r="O1532" s="14">
        <f>Final_Table[[#This Row],[Units Sold]]*Final_Table[[#This Row],[Sale Price]]</f>
        <v>20400</v>
      </c>
      <c r="P1532" s="14">
        <f>Final_Table[[#This Row],[Gross Revenue]]*(1-Final_Table[[#This Row],[Discount %]])</f>
        <v>18360</v>
      </c>
      <c r="Q1532">
        <f>Final_Table[[#This Row],[Net Revenue]]*Final_Table[[#This Row],[Variable Cost %]]</f>
        <v>3304.7999999999997</v>
      </c>
      <c r="R1532">
        <f>Final_Table[[#This Row],[Variable Cost]]+Final_Table[[#This Row],[Fixed Monthly Cost]]</f>
        <v>21304.799999999999</v>
      </c>
      <c r="S1532" s="5">
        <f>Final_Table[[#This Row],[Net Revenue]]-Final_Table[[#This Row],[Total Cost (COGS)]]</f>
        <v>-2944.7999999999993</v>
      </c>
      <c r="T1532">
        <f>Final_Table[[#This Row],[Gross Profit]]*Final_Table[[#This Row],[Tax Rate]]</f>
        <v>-883.43999999999971</v>
      </c>
      <c r="U1532" s="5">
        <f>Final_Table[[#This Row],[Gross Profit]]-Final_Table[[#This Row],[Tax]]</f>
        <v>-2061.3599999999997</v>
      </c>
      <c r="V1532" s="12">
        <f>Final_Table[[#This Row],[Net Profit]]/Final_Table[[#This Row],[Gross Revenue]]</f>
        <v>-0.10104705882352939</v>
      </c>
    </row>
    <row r="1533" spans="1:22">
      <c r="A1533" s="18" t="s">
        <v>70</v>
      </c>
      <c r="B1533">
        <v>2014</v>
      </c>
      <c r="C1533" t="s">
        <v>130</v>
      </c>
      <c r="D1533">
        <v>1</v>
      </c>
      <c r="E1533" s="18" t="s">
        <v>29</v>
      </c>
      <c r="F1533" s="18" t="s">
        <v>108</v>
      </c>
      <c r="G1533" s="18" t="s">
        <v>23</v>
      </c>
      <c r="H1533" s="18" t="str">
        <f>Assumptions!$B$2</f>
        <v>Worst</v>
      </c>
      <c r="I1533" s="18">
        <f>_xlfn.XLOOKUP(Assumptions!$B$2,Assumptions!$F$4:$H$4,Assumptions!$F$5:$H$5)</f>
        <v>1200</v>
      </c>
      <c r="J1533" s="18">
        <f>_xlfn.XLOOKUP(Assumptions!$B$2,Assumptions!$F$4:$H$4,Assumptions!$F$6:$H$6)</f>
        <v>17</v>
      </c>
      <c r="K1533" s="12">
        <f>_xlfn.XLOOKUP(Assumptions!$B$2,Assumptions!$F$4:$H$4,Assumptions!$F$8:$H$8)</f>
        <v>0.1</v>
      </c>
      <c r="L1533" s="12">
        <f>_xlfn.XLOOKUP(Assumptions!$B$2,Assumptions!$F$4:$H$4,Assumptions!$F$9:$H$9)</f>
        <v>0.18</v>
      </c>
      <c r="M1533" s="18">
        <f>_xlfn.XLOOKUP(Assumptions!$B$2,Assumptions!$F$4:$H$4,Assumptions!$F$10:$H$10)</f>
        <v>18000</v>
      </c>
      <c r="N1533" s="12">
        <f>_xlfn.XLOOKUP(Assumptions!$B$2,Assumptions!$F$4:$H$4,Assumptions!$F$11:$H$11)</f>
        <v>0.3</v>
      </c>
      <c r="O1533" s="14">
        <f>Final_Table[[#This Row],[Units Sold]]*Final_Table[[#This Row],[Sale Price]]</f>
        <v>20400</v>
      </c>
      <c r="P1533" s="14">
        <f>Final_Table[[#This Row],[Gross Revenue]]*(1-Final_Table[[#This Row],[Discount %]])</f>
        <v>18360</v>
      </c>
      <c r="Q1533">
        <f>Final_Table[[#This Row],[Net Revenue]]*Final_Table[[#This Row],[Variable Cost %]]</f>
        <v>3304.7999999999997</v>
      </c>
      <c r="R1533">
        <f>Final_Table[[#This Row],[Variable Cost]]+Final_Table[[#This Row],[Fixed Monthly Cost]]</f>
        <v>21304.799999999999</v>
      </c>
      <c r="S1533" s="5">
        <f>Final_Table[[#This Row],[Net Revenue]]-Final_Table[[#This Row],[Total Cost (COGS)]]</f>
        <v>-2944.7999999999993</v>
      </c>
      <c r="T1533">
        <f>Final_Table[[#This Row],[Gross Profit]]*Final_Table[[#This Row],[Tax Rate]]</f>
        <v>-883.43999999999971</v>
      </c>
      <c r="U1533" s="5">
        <f>Final_Table[[#This Row],[Gross Profit]]-Final_Table[[#This Row],[Tax]]</f>
        <v>-2061.3599999999997</v>
      </c>
      <c r="V1533" s="12">
        <f>Final_Table[[#This Row],[Net Profit]]/Final_Table[[#This Row],[Gross Revenue]]</f>
        <v>-0.10104705882352939</v>
      </c>
    </row>
    <row r="1534" spans="1:22">
      <c r="A1534" s="18" t="s">
        <v>70</v>
      </c>
      <c r="B1534">
        <v>2014</v>
      </c>
      <c r="C1534" t="s">
        <v>130</v>
      </c>
      <c r="D1534">
        <v>1</v>
      </c>
      <c r="E1534" s="18" t="s">
        <v>29</v>
      </c>
      <c r="F1534" s="18" t="s">
        <v>108</v>
      </c>
      <c r="G1534" s="18" t="s">
        <v>21</v>
      </c>
      <c r="H1534" s="18" t="str">
        <f>Assumptions!$B$2</f>
        <v>Worst</v>
      </c>
      <c r="I1534" s="18">
        <f>_xlfn.XLOOKUP(Assumptions!$B$2,Assumptions!$F$4:$H$4,Assumptions!$F$5:$H$5)</f>
        <v>1200</v>
      </c>
      <c r="J1534" s="18">
        <f>_xlfn.XLOOKUP(Assumptions!$B$2,Assumptions!$F$4:$H$4,Assumptions!$F$6:$H$6)</f>
        <v>17</v>
      </c>
      <c r="K1534" s="12">
        <f>_xlfn.XLOOKUP(Assumptions!$B$2,Assumptions!$F$4:$H$4,Assumptions!$F$8:$H$8)</f>
        <v>0.1</v>
      </c>
      <c r="L1534" s="12">
        <f>_xlfn.XLOOKUP(Assumptions!$B$2,Assumptions!$F$4:$H$4,Assumptions!$F$9:$H$9)</f>
        <v>0.18</v>
      </c>
      <c r="M1534" s="18">
        <f>_xlfn.XLOOKUP(Assumptions!$B$2,Assumptions!$F$4:$H$4,Assumptions!$F$10:$H$10)</f>
        <v>18000</v>
      </c>
      <c r="N1534" s="12">
        <f>_xlfn.XLOOKUP(Assumptions!$B$2,Assumptions!$F$4:$H$4,Assumptions!$F$11:$H$11)</f>
        <v>0.3</v>
      </c>
      <c r="O1534" s="14">
        <f>Final_Table[[#This Row],[Units Sold]]*Final_Table[[#This Row],[Sale Price]]</f>
        <v>20400</v>
      </c>
      <c r="P1534" s="14">
        <f>Final_Table[[#This Row],[Gross Revenue]]*(1-Final_Table[[#This Row],[Discount %]])</f>
        <v>18360</v>
      </c>
      <c r="Q1534">
        <f>Final_Table[[#This Row],[Net Revenue]]*Final_Table[[#This Row],[Variable Cost %]]</f>
        <v>3304.7999999999997</v>
      </c>
      <c r="R1534">
        <f>Final_Table[[#This Row],[Variable Cost]]+Final_Table[[#This Row],[Fixed Monthly Cost]]</f>
        <v>21304.799999999999</v>
      </c>
      <c r="S1534" s="5">
        <f>Final_Table[[#This Row],[Net Revenue]]-Final_Table[[#This Row],[Total Cost (COGS)]]</f>
        <v>-2944.7999999999993</v>
      </c>
      <c r="T1534">
        <f>Final_Table[[#This Row],[Gross Profit]]*Final_Table[[#This Row],[Tax Rate]]</f>
        <v>-883.43999999999971</v>
      </c>
      <c r="U1534" s="5">
        <f>Final_Table[[#This Row],[Gross Profit]]-Final_Table[[#This Row],[Tax]]</f>
        <v>-2061.3599999999997</v>
      </c>
      <c r="V1534" s="12">
        <f>Final_Table[[#This Row],[Net Profit]]/Final_Table[[#This Row],[Gross Revenue]]</f>
        <v>-0.10104705882352939</v>
      </c>
    </row>
    <row r="1535" spans="1:22">
      <c r="A1535" s="18" t="s">
        <v>70</v>
      </c>
      <c r="B1535">
        <v>2014</v>
      </c>
      <c r="C1535" t="s">
        <v>130</v>
      </c>
      <c r="D1535">
        <v>1</v>
      </c>
      <c r="E1535" s="18" t="s">
        <v>29</v>
      </c>
      <c r="F1535" s="18" t="s">
        <v>108</v>
      </c>
      <c r="G1535" s="18" t="s">
        <v>25</v>
      </c>
      <c r="H1535" s="18" t="str">
        <f>Assumptions!$B$2</f>
        <v>Worst</v>
      </c>
      <c r="I1535" s="18">
        <f>_xlfn.XLOOKUP(Assumptions!$B$2,Assumptions!$F$4:$H$4,Assumptions!$F$5:$H$5)</f>
        <v>1200</v>
      </c>
      <c r="J1535" s="18">
        <f>_xlfn.XLOOKUP(Assumptions!$B$2,Assumptions!$F$4:$H$4,Assumptions!$F$6:$H$6)</f>
        <v>17</v>
      </c>
      <c r="K1535" s="12">
        <f>_xlfn.XLOOKUP(Assumptions!$B$2,Assumptions!$F$4:$H$4,Assumptions!$F$8:$H$8)</f>
        <v>0.1</v>
      </c>
      <c r="L1535" s="12">
        <f>_xlfn.XLOOKUP(Assumptions!$B$2,Assumptions!$F$4:$H$4,Assumptions!$F$9:$H$9)</f>
        <v>0.18</v>
      </c>
      <c r="M1535" s="18">
        <f>_xlfn.XLOOKUP(Assumptions!$B$2,Assumptions!$F$4:$H$4,Assumptions!$F$10:$H$10)</f>
        <v>18000</v>
      </c>
      <c r="N1535" s="12">
        <f>_xlfn.XLOOKUP(Assumptions!$B$2,Assumptions!$F$4:$H$4,Assumptions!$F$11:$H$11)</f>
        <v>0.3</v>
      </c>
      <c r="O1535" s="14">
        <f>Final_Table[[#This Row],[Units Sold]]*Final_Table[[#This Row],[Sale Price]]</f>
        <v>20400</v>
      </c>
      <c r="P1535" s="14">
        <f>Final_Table[[#This Row],[Gross Revenue]]*(1-Final_Table[[#This Row],[Discount %]])</f>
        <v>18360</v>
      </c>
      <c r="Q1535">
        <f>Final_Table[[#This Row],[Net Revenue]]*Final_Table[[#This Row],[Variable Cost %]]</f>
        <v>3304.7999999999997</v>
      </c>
      <c r="R1535">
        <f>Final_Table[[#This Row],[Variable Cost]]+Final_Table[[#This Row],[Fixed Monthly Cost]]</f>
        <v>21304.799999999999</v>
      </c>
      <c r="S1535" s="5">
        <f>Final_Table[[#This Row],[Net Revenue]]-Final_Table[[#This Row],[Total Cost (COGS)]]</f>
        <v>-2944.7999999999993</v>
      </c>
      <c r="T1535">
        <f>Final_Table[[#This Row],[Gross Profit]]*Final_Table[[#This Row],[Tax Rate]]</f>
        <v>-883.43999999999971</v>
      </c>
      <c r="U1535" s="5">
        <f>Final_Table[[#This Row],[Gross Profit]]-Final_Table[[#This Row],[Tax]]</f>
        <v>-2061.3599999999997</v>
      </c>
      <c r="V1535" s="12">
        <f>Final_Table[[#This Row],[Net Profit]]/Final_Table[[#This Row],[Gross Revenue]]</f>
        <v>-0.10104705882352939</v>
      </c>
    </row>
    <row r="1536" spans="1:22">
      <c r="A1536" s="18" t="s">
        <v>70</v>
      </c>
      <c r="B1536">
        <v>2014</v>
      </c>
      <c r="C1536" t="s">
        <v>130</v>
      </c>
      <c r="D1536">
        <v>1</v>
      </c>
      <c r="E1536" s="18" t="s">
        <v>29</v>
      </c>
      <c r="F1536" s="18" t="s">
        <v>108</v>
      </c>
      <c r="G1536" s="18" t="s">
        <v>17</v>
      </c>
      <c r="H1536" s="18" t="str">
        <f>Assumptions!$B$2</f>
        <v>Worst</v>
      </c>
      <c r="I1536" s="18">
        <f>_xlfn.XLOOKUP(Assumptions!$B$2,Assumptions!$F$4:$H$4,Assumptions!$F$5:$H$5)</f>
        <v>1200</v>
      </c>
      <c r="J1536" s="18">
        <f>_xlfn.XLOOKUP(Assumptions!$B$2,Assumptions!$F$4:$H$4,Assumptions!$F$6:$H$6)</f>
        <v>17</v>
      </c>
      <c r="K1536" s="12">
        <f>_xlfn.XLOOKUP(Assumptions!$B$2,Assumptions!$F$4:$H$4,Assumptions!$F$8:$H$8)</f>
        <v>0.1</v>
      </c>
      <c r="L1536" s="12">
        <f>_xlfn.XLOOKUP(Assumptions!$B$2,Assumptions!$F$4:$H$4,Assumptions!$F$9:$H$9)</f>
        <v>0.18</v>
      </c>
      <c r="M1536" s="18">
        <f>_xlfn.XLOOKUP(Assumptions!$B$2,Assumptions!$F$4:$H$4,Assumptions!$F$10:$H$10)</f>
        <v>18000</v>
      </c>
      <c r="N1536" s="12">
        <f>_xlfn.XLOOKUP(Assumptions!$B$2,Assumptions!$F$4:$H$4,Assumptions!$F$11:$H$11)</f>
        <v>0.3</v>
      </c>
      <c r="O1536" s="14">
        <f>Final_Table[[#This Row],[Units Sold]]*Final_Table[[#This Row],[Sale Price]]</f>
        <v>20400</v>
      </c>
      <c r="P1536" s="14">
        <f>Final_Table[[#This Row],[Gross Revenue]]*(1-Final_Table[[#This Row],[Discount %]])</f>
        <v>18360</v>
      </c>
      <c r="Q1536">
        <f>Final_Table[[#This Row],[Net Revenue]]*Final_Table[[#This Row],[Variable Cost %]]</f>
        <v>3304.7999999999997</v>
      </c>
      <c r="R1536">
        <f>Final_Table[[#This Row],[Variable Cost]]+Final_Table[[#This Row],[Fixed Monthly Cost]]</f>
        <v>21304.799999999999</v>
      </c>
      <c r="S1536" s="5">
        <f>Final_Table[[#This Row],[Net Revenue]]-Final_Table[[#This Row],[Total Cost (COGS)]]</f>
        <v>-2944.7999999999993</v>
      </c>
      <c r="T1536">
        <f>Final_Table[[#This Row],[Gross Profit]]*Final_Table[[#This Row],[Tax Rate]]</f>
        <v>-883.43999999999971</v>
      </c>
      <c r="U1536" s="5">
        <f>Final_Table[[#This Row],[Gross Profit]]-Final_Table[[#This Row],[Tax]]</f>
        <v>-2061.3599999999997</v>
      </c>
      <c r="V1536" s="12">
        <f>Final_Table[[#This Row],[Net Profit]]/Final_Table[[#This Row],[Gross Revenue]]</f>
        <v>-0.10104705882352939</v>
      </c>
    </row>
    <row r="1537" spans="1:22">
      <c r="A1537" s="18" t="s">
        <v>70</v>
      </c>
      <c r="B1537">
        <v>2014</v>
      </c>
      <c r="C1537" t="s">
        <v>130</v>
      </c>
      <c r="D1537">
        <v>1</v>
      </c>
      <c r="E1537" s="18" t="s">
        <v>29</v>
      </c>
      <c r="F1537" s="18" t="s">
        <v>112</v>
      </c>
      <c r="G1537" s="18" t="s">
        <v>36</v>
      </c>
      <c r="H1537" s="18" t="str">
        <f>Assumptions!$B$2</f>
        <v>Worst</v>
      </c>
      <c r="I1537" s="18">
        <f>_xlfn.XLOOKUP(Assumptions!$B$2,Assumptions!$F$4:$H$4,Assumptions!$F$5:$H$5)</f>
        <v>1200</v>
      </c>
      <c r="J1537" s="18">
        <f>_xlfn.XLOOKUP(Assumptions!$B$2,Assumptions!$F$4:$H$4,Assumptions!$F$6:$H$6)</f>
        <v>17</v>
      </c>
      <c r="K1537" s="12">
        <f>_xlfn.XLOOKUP(Assumptions!$B$2,Assumptions!$F$4:$H$4,Assumptions!$F$8:$H$8)</f>
        <v>0.1</v>
      </c>
      <c r="L1537" s="12">
        <f>_xlfn.XLOOKUP(Assumptions!$B$2,Assumptions!$F$4:$H$4,Assumptions!$F$9:$H$9)</f>
        <v>0.18</v>
      </c>
      <c r="M1537" s="18">
        <f>_xlfn.XLOOKUP(Assumptions!$B$2,Assumptions!$F$4:$H$4,Assumptions!$F$10:$H$10)</f>
        <v>18000</v>
      </c>
      <c r="N1537" s="12">
        <f>_xlfn.XLOOKUP(Assumptions!$B$2,Assumptions!$F$4:$H$4,Assumptions!$F$11:$H$11)</f>
        <v>0.3</v>
      </c>
      <c r="O1537" s="14">
        <f>Final_Table[[#This Row],[Units Sold]]*Final_Table[[#This Row],[Sale Price]]</f>
        <v>20400</v>
      </c>
      <c r="P1537" s="14">
        <f>Final_Table[[#This Row],[Gross Revenue]]*(1-Final_Table[[#This Row],[Discount %]])</f>
        <v>18360</v>
      </c>
      <c r="Q1537">
        <f>Final_Table[[#This Row],[Net Revenue]]*Final_Table[[#This Row],[Variable Cost %]]</f>
        <v>3304.7999999999997</v>
      </c>
      <c r="R1537">
        <f>Final_Table[[#This Row],[Variable Cost]]+Final_Table[[#This Row],[Fixed Monthly Cost]]</f>
        <v>21304.799999999999</v>
      </c>
      <c r="S1537" s="5">
        <f>Final_Table[[#This Row],[Net Revenue]]-Final_Table[[#This Row],[Total Cost (COGS)]]</f>
        <v>-2944.7999999999993</v>
      </c>
      <c r="T1537">
        <f>Final_Table[[#This Row],[Gross Profit]]*Final_Table[[#This Row],[Tax Rate]]</f>
        <v>-883.43999999999971</v>
      </c>
      <c r="U1537" s="5">
        <f>Final_Table[[#This Row],[Gross Profit]]-Final_Table[[#This Row],[Tax]]</f>
        <v>-2061.3599999999997</v>
      </c>
      <c r="V1537" s="12">
        <f>Final_Table[[#This Row],[Net Profit]]/Final_Table[[#This Row],[Gross Revenue]]</f>
        <v>-0.10104705882352939</v>
      </c>
    </row>
    <row r="1538" spans="1:22">
      <c r="A1538" s="18" t="s">
        <v>70</v>
      </c>
      <c r="B1538">
        <v>2014</v>
      </c>
      <c r="C1538" t="s">
        <v>130</v>
      </c>
      <c r="D1538">
        <v>1</v>
      </c>
      <c r="E1538" s="18" t="s">
        <v>29</v>
      </c>
      <c r="F1538" s="18" t="s">
        <v>112</v>
      </c>
      <c r="G1538" s="18" t="s">
        <v>23</v>
      </c>
      <c r="H1538" s="18" t="str">
        <f>Assumptions!$B$2</f>
        <v>Worst</v>
      </c>
      <c r="I1538" s="18">
        <f>_xlfn.XLOOKUP(Assumptions!$B$2,Assumptions!$F$4:$H$4,Assumptions!$F$5:$H$5)</f>
        <v>1200</v>
      </c>
      <c r="J1538" s="18">
        <f>_xlfn.XLOOKUP(Assumptions!$B$2,Assumptions!$F$4:$H$4,Assumptions!$F$6:$H$6)</f>
        <v>17</v>
      </c>
      <c r="K1538" s="12">
        <f>_xlfn.XLOOKUP(Assumptions!$B$2,Assumptions!$F$4:$H$4,Assumptions!$F$8:$H$8)</f>
        <v>0.1</v>
      </c>
      <c r="L1538" s="12">
        <f>_xlfn.XLOOKUP(Assumptions!$B$2,Assumptions!$F$4:$H$4,Assumptions!$F$9:$H$9)</f>
        <v>0.18</v>
      </c>
      <c r="M1538" s="18">
        <f>_xlfn.XLOOKUP(Assumptions!$B$2,Assumptions!$F$4:$H$4,Assumptions!$F$10:$H$10)</f>
        <v>18000</v>
      </c>
      <c r="N1538" s="12">
        <f>_xlfn.XLOOKUP(Assumptions!$B$2,Assumptions!$F$4:$H$4,Assumptions!$F$11:$H$11)</f>
        <v>0.3</v>
      </c>
      <c r="O1538" s="14">
        <f>Final_Table[[#This Row],[Units Sold]]*Final_Table[[#This Row],[Sale Price]]</f>
        <v>20400</v>
      </c>
      <c r="P1538" s="14">
        <f>Final_Table[[#This Row],[Gross Revenue]]*(1-Final_Table[[#This Row],[Discount %]])</f>
        <v>18360</v>
      </c>
      <c r="Q1538">
        <f>Final_Table[[#This Row],[Net Revenue]]*Final_Table[[#This Row],[Variable Cost %]]</f>
        <v>3304.7999999999997</v>
      </c>
      <c r="R1538">
        <f>Final_Table[[#This Row],[Variable Cost]]+Final_Table[[#This Row],[Fixed Monthly Cost]]</f>
        <v>21304.799999999999</v>
      </c>
      <c r="S1538" s="5">
        <f>Final_Table[[#This Row],[Net Revenue]]-Final_Table[[#This Row],[Total Cost (COGS)]]</f>
        <v>-2944.7999999999993</v>
      </c>
      <c r="T1538">
        <f>Final_Table[[#This Row],[Gross Profit]]*Final_Table[[#This Row],[Tax Rate]]</f>
        <v>-883.43999999999971</v>
      </c>
      <c r="U1538" s="5">
        <f>Final_Table[[#This Row],[Gross Profit]]-Final_Table[[#This Row],[Tax]]</f>
        <v>-2061.3599999999997</v>
      </c>
      <c r="V1538" s="12">
        <f>Final_Table[[#This Row],[Net Profit]]/Final_Table[[#This Row],[Gross Revenue]]</f>
        <v>-0.10104705882352939</v>
      </c>
    </row>
    <row r="1539" spans="1:22">
      <c r="A1539" s="18" t="s">
        <v>70</v>
      </c>
      <c r="B1539">
        <v>2014</v>
      </c>
      <c r="C1539" t="s">
        <v>130</v>
      </c>
      <c r="D1539">
        <v>1</v>
      </c>
      <c r="E1539" s="18" t="s">
        <v>29</v>
      </c>
      <c r="F1539" s="18" t="s">
        <v>112</v>
      </c>
      <c r="G1539" s="18" t="s">
        <v>21</v>
      </c>
      <c r="H1539" s="18" t="str">
        <f>Assumptions!$B$2</f>
        <v>Worst</v>
      </c>
      <c r="I1539" s="18">
        <f>_xlfn.XLOOKUP(Assumptions!$B$2,Assumptions!$F$4:$H$4,Assumptions!$F$5:$H$5)</f>
        <v>1200</v>
      </c>
      <c r="J1539" s="18">
        <f>_xlfn.XLOOKUP(Assumptions!$B$2,Assumptions!$F$4:$H$4,Assumptions!$F$6:$H$6)</f>
        <v>17</v>
      </c>
      <c r="K1539" s="12">
        <f>_xlfn.XLOOKUP(Assumptions!$B$2,Assumptions!$F$4:$H$4,Assumptions!$F$8:$H$8)</f>
        <v>0.1</v>
      </c>
      <c r="L1539" s="12">
        <f>_xlfn.XLOOKUP(Assumptions!$B$2,Assumptions!$F$4:$H$4,Assumptions!$F$9:$H$9)</f>
        <v>0.18</v>
      </c>
      <c r="M1539" s="18">
        <f>_xlfn.XLOOKUP(Assumptions!$B$2,Assumptions!$F$4:$H$4,Assumptions!$F$10:$H$10)</f>
        <v>18000</v>
      </c>
      <c r="N1539" s="12">
        <f>_xlfn.XLOOKUP(Assumptions!$B$2,Assumptions!$F$4:$H$4,Assumptions!$F$11:$H$11)</f>
        <v>0.3</v>
      </c>
      <c r="O1539" s="14">
        <f>Final_Table[[#This Row],[Units Sold]]*Final_Table[[#This Row],[Sale Price]]</f>
        <v>20400</v>
      </c>
      <c r="P1539" s="14">
        <f>Final_Table[[#This Row],[Gross Revenue]]*(1-Final_Table[[#This Row],[Discount %]])</f>
        <v>18360</v>
      </c>
      <c r="Q1539">
        <f>Final_Table[[#This Row],[Net Revenue]]*Final_Table[[#This Row],[Variable Cost %]]</f>
        <v>3304.7999999999997</v>
      </c>
      <c r="R1539">
        <f>Final_Table[[#This Row],[Variable Cost]]+Final_Table[[#This Row],[Fixed Monthly Cost]]</f>
        <v>21304.799999999999</v>
      </c>
      <c r="S1539" s="5">
        <f>Final_Table[[#This Row],[Net Revenue]]-Final_Table[[#This Row],[Total Cost (COGS)]]</f>
        <v>-2944.7999999999993</v>
      </c>
      <c r="T1539">
        <f>Final_Table[[#This Row],[Gross Profit]]*Final_Table[[#This Row],[Tax Rate]]</f>
        <v>-883.43999999999971</v>
      </c>
      <c r="U1539" s="5">
        <f>Final_Table[[#This Row],[Gross Profit]]-Final_Table[[#This Row],[Tax]]</f>
        <v>-2061.3599999999997</v>
      </c>
      <c r="V1539" s="12">
        <f>Final_Table[[#This Row],[Net Profit]]/Final_Table[[#This Row],[Gross Revenue]]</f>
        <v>-0.10104705882352939</v>
      </c>
    </row>
    <row r="1540" spans="1:22">
      <c r="A1540" s="18" t="s">
        <v>70</v>
      </c>
      <c r="B1540">
        <v>2014</v>
      </c>
      <c r="C1540" t="s">
        <v>130</v>
      </c>
      <c r="D1540">
        <v>1</v>
      </c>
      <c r="E1540" s="18" t="s">
        <v>29</v>
      </c>
      <c r="F1540" s="18" t="s">
        <v>112</v>
      </c>
      <c r="G1540" s="18" t="s">
        <v>25</v>
      </c>
      <c r="H1540" s="18" t="str">
        <f>Assumptions!$B$2</f>
        <v>Worst</v>
      </c>
      <c r="I1540" s="18">
        <f>_xlfn.XLOOKUP(Assumptions!$B$2,Assumptions!$F$4:$H$4,Assumptions!$F$5:$H$5)</f>
        <v>1200</v>
      </c>
      <c r="J1540" s="18">
        <f>_xlfn.XLOOKUP(Assumptions!$B$2,Assumptions!$F$4:$H$4,Assumptions!$F$6:$H$6)</f>
        <v>17</v>
      </c>
      <c r="K1540" s="12">
        <f>_xlfn.XLOOKUP(Assumptions!$B$2,Assumptions!$F$4:$H$4,Assumptions!$F$8:$H$8)</f>
        <v>0.1</v>
      </c>
      <c r="L1540" s="12">
        <f>_xlfn.XLOOKUP(Assumptions!$B$2,Assumptions!$F$4:$H$4,Assumptions!$F$9:$H$9)</f>
        <v>0.18</v>
      </c>
      <c r="M1540" s="18">
        <f>_xlfn.XLOOKUP(Assumptions!$B$2,Assumptions!$F$4:$H$4,Assumptions!$F$10:$H$10)</f>
        <v>18000</v>
      </c>
      <c r="N1540" s="12">
        <f>_xlfn.XLOOKUP(Assumptions!$B$2,Assumptions!$F$4:$H$4,Assumptions!$F$11:$H$11)</f>
        <v>0.3</v>
      </c>
      <c r="O1540" s="14">
        <f>Final_Table[[#This Row],[Units Sold]]*Final_Table[[#This Row],[Sale Price]]</f>
        <v>20400</v>
      </c>
      <c r="P1540" s="14">
        <f>Final_Table[[#This Row],[Gross Revenue]]*(1-Final_Table[[#This Row],[Discount %]])</f>
        <v>18360</v>
      </c>
      <c r="Q1540">
        <f>Final_Table[[#This Row],[Net Revenue]]*Final_Table[[#This Row],[Variable Cost %]]</f>
        <v>3304.7999999999997</v>
      </c>
      <c r="R1540">
        <f>Final_Table[[#This Row],[Variable Cost]]+Final_Table[[#This Row],[Fixed Monthly Cost]]</f>
        <v>21304.799999999999</v>
      </c>
      <c r="S1540" s="5">
        <f>Final_Table[[#This Row],[Net Revenue]]-Final_Table[[#This Row],[Total Cost (COGS)]]</f>
        <v>-2944.7999999999993</v>
      </c>
      <c r="T1540">
        <f>Final_Table[[#This Row],[Gross Profit]]*Final_Table[[#This Row],[Tax Rate]]</f>
        <v>-883.43999999999971</v>
      </c>
      <c r="U1540" s="5">
        <f>Final_Table[[#This Row],[Gross Profit]]-Final_Table[[#This Row],[Tax]]</f>
        <v>-2061.3599999999997</v>
      </c>
      <c r="V1540" s="12">
        <f>Final_Table[[#This Row],[Net Profit]]/Final_Table[[#This Row],[Gross Revenue]]</f>
        <v>-0.10104705882352939</v>
      </c>
    </row>
    <row r="1541" spans="1:22">
      <c r="A1541" s="18" t="s">
        <v>70</v>
      </c>
      <c r="B1541">
        <v>2014</v>
      </c>
      <c r="C1541" t="s">
        <v>130</v>
      </c>
      <c r="D1541">
        <v>1</v>
      </c>
      <c r="E1541" s="18" t="s">
        <v>29</v>
      </c>
      <c r="F1541" s="18" t="s">
        <v>112</v>
      </c>
      <c r="G1541" s="18" t="s">
        <v>17</v>
      </c>
      <c r="H1541" s="18" t="str">
        <f>Assumptions!$B$2</f>
        <v>Worst</v>
      </c>
      <c r="I1541" s="18">
        <f>_xlfn.XLOOKUP(Assumptions!$B$2,Assumptions!$F$4:$H$4,Assumptions!$F$5:$H$5)</f>
        <v>1200</v>
      </c>
      <c r="J1541" s="18">
        <f>_xlfn.XLOOKUP(Assumptions!$B$2,Assumptions!$F$4:$H$4,Assumptions!$F$6:$H$6)</f>
        <v>17</v>
      </c>
      <c r="K1541" s="12">
        <f>_xlfn.XLOOKUP(Assumptions!$B$2,Assumptions!$F$4:$H$4,Assumptions!$F$8:$H$8)</f>
        <v>0.1</v>
      </c>
      <c r="L1541" s="12">
        <f>_xlfn.XLOOKUP(Assumptions!$B$2,Assumptions!$F$4:$H$4,Assumptions!$F$9:$H$9)</f>
        <v>0.18</v>
      </c>
      <c r="M1541" s="18">
        <f>_xlfn.XLOOKUP(Assumptions!$B$2,Assumptions!$F$4:$H$4,Assumptions!$F$10:$H$10)</f>
        <v>18000</v>
      </c>
      <c r="N1541" s="12">
        <f>_xlfn.XLOOKUP(Assumptions!$B$2,Assumptions!$F$4:$H$4,Assumptions!$F$11:$H$11)</f>
        <v>0.3</v>
      </c>
      <c r="O1541" s="14">
        <f>Final_Table[[#This Row],[Units Sold]]*Final_Table[[#This Row],[Sale Price]]</f>
        <v>20400</v>
      </c>
      <c r="P1541" s="14">
        <f>Final_Table[[#This Row],[Gross Revenue]]*(1-Final_Table[[#This Row],[Discount %]])</f>
        <v>18360</v>
      </c>
      <c r="Q1541">
        <f>Final_Table[[#This Row],[Net Revenue]]*Final_Table[[#This Row],[Variable Cost %]]</f>
        <v>3304.7999999999997</v>
      </c>
      <c r="R1541">
        <f>Final_Table[[#This Row],[Variable Cost]]+Final_Table[[#This Row],[Fixed Monthly Cost]]</f>
        <v>21304.799999999999</v>
      </c>
      <c r="S1541" s="5">
        <f>Final_Table[[#This Row],[Net Revenue]]-Final_Table[[#This Row],[Total Cost (COGS)]]</f>
        <v>-2944.7999999999993</v>
      </c>
      <c r="T1541">
        <f>Final_Table[[#This Row],[Gross Profit]]*Final_Table[[#This Row],[Tax Rate]]</f>
        <v>-883.43999999999971</v>
      </c>
      <c r="U1541" s="5">
        <f>Final_Table[[#This Row],[Gross Profit]]-Final_Table[[#This Row],[Tax]]</f>
        <v>-2061.3599999999997</v>
      </c>
      <c r="V1541" s="12">
        <f>Final_Table[[#This Row],[Net Profit]]/Final_Table[[#This Row],[Gross Revenue]]</f>
        <v>-0.10104705882352939</v>
      </c>
    </row>
    <row r="1542" spans="1:22">
      <c r="A1542" s="18" t="s">
        <v>70</v>
      </c>
      <c r="B1542">
        <v>2014</v>
      </c>
      <c r="C1542" t="s">
        <v>130</v>
      </c>
      <c r="D1542">
        <v>1</v>
      </c>
      <c r="E1542" s="18" t="s">
        <v>29</v>
      </c>
      <c r="F1542" s="18" t="s">
        <v>113</v>
      </c>
      <c r="G1542" s="18" t="s">
        <v>36</v>
      </c>
      <c r="H1542" s="18" t="str">
        <f>Assumptions!$B$2</f>
        <v>Worst</v>
      </c>
      <c r="I1542" s="18">
        <f>_xlfn.XLOOKUP(Assumptions!$B$2,Assumptions!$F$4:$H$4,Assumptions!$F$5:$H$5)</f>
        <v>1200</v>
      </c>
      <c r="J1542" s="18">
        <f>_xlfn.XLOOKUP(Assumptions!$B$2,Assumptions!$F$4:$H$4,Assumptions!$F$6:$H$6)</f>
        <v>17</v>
      </c>
      <c r="K1542" s="12">
        <f>_xlfn.XLOOKUP(Assumptions!$B$2,Assumptions!$F$4:$H$4,Assumptions!$F$8:$H$8)</f>
        <v>0.1</v>
      </c>
      <c r="L1542" s="12">
        <f>_xlfn.XLOOKUP(Assumptions!$B$2,Assumptions!$F$4:$H$4,Assumptions!$F$9:$H$9)</f>
        <v>0.18</v>
      </c>
      <c r="M1542" s="18">
        <f>_xlfn.XLOOKUP(Assumptions!$B$2,Assumptions!$F$4:$H$4,Assumptions!$F$10:$H$10)</f>
        <v>18000</v>
      </c>
      <c r="N1542" s="12">
        <f>_xlfn.XLOOKUP(Assumptions!$B$2,Assumptions!$F$4:$H$4,Assumptions!$F$11:$H$11)</f>
        <v>0.3</v>
      </c>
      <c r="O1542" s="14">
        <f>Final_Table[[#This Row],[Units Sold]]*Final_Table[[#This Row],[Sale Price]]</f>
        <v>20400</v>
      </c>
      <c r="P1542" s="14">
        <f>Final_Table[[#This Row],[Gross Revenue]]*(1-Final_Table[[#This Row],[Discount %]])</f>
        <v>18360</v>
      </c>
      <c r="Q1542">
        <f>Final_Table[[#This Row],[Net Revenue]]*Final_Table[[#This Row],[Variable Cost %]]</f>
        <v>3304.7999999999997</v>
      </c>
      <c r="R1542">
        <f>Final_Table[[#This Row],[Variable Cost]]+Final_Table[[#This Row],[Fixed Monthly Cost]]</f>
        <v>21304.799999999999</v>
      </c>
      <c r="S1542" s="5">
        <f>Final_Table[[#This Row],[Net Revenue]]-Final_Table[[#This Row],[Total Cost (COGS)]]</f>
        <v>-2944.7999999999993</v>
      </c>
      <c r="T1542">
        <f>Final_Table[[#This Row],[Gross Profit]]*Final_Table[[#This Row],[Tax Rate]]</f>
        <v>-883.43999999999971</v>
      </c>
      <c r="U1542" s="5">
        <f>Final_Table[[#This Row],[Gross Profit]]-Final_Table[[#This Row],[Tax]]</f>
        <v>-2061.3599999999997</v>
      </c>
      <c r="V1542" s="12">
        <f>Final_Table[[#This Row],[Net Profit]]/Final_Table[[#This Row],[Gross Revenue]]</f>
        <v>-0.10104705882352939</v>
      </c>
    </row>
    <row r="1543" spans="1:22">
      <c r="A1543" s="18" t="s">
        <v>70</v>
      </c>
      <c r="B1543">
        <v>2014</v>
      </c>
      <c r="C1543" t="s">
        <v>130</v>
      </c>
      <c r="D1543">
        <v>1</v>
      </c>
      <c r="E1543" s="18" t="s">
        <v>29</v>
      </c>
      <c r="F1543" s="18" t="s">
        <v>113</v>
      </c>
      <c r="G1543" s="18" t="s">
        <v>23</v>
      </c>
      <c r="H1543" s="18" t="str">
        <f>Assumptions!$B$2</f>
        <v>Worst</v>
      </c>
      <c r="I1543" s="18">
        <f>_xlfn.XLOOKUP(Assumptions!$B$2,Assumptions!$F$4:$H$4,Assumptions!$F$5:$H$5)</f>
        <v>1200</v>
      </c>
      <c r="J1543" s="18">
        <f>_xlfn.XLOOKUP(Assumptions!$B$2,Assumptions!$F$4:$H$4,Assumptions!$F$6:$H$6)</f>
        <v>17</v>
      </c>
      <c r="K1543" s="12">
        <f>_xlfn.XLOOKUP(Assumptions!$B$2,Assumptions!$F$4:$H$4,Assumptions!$F$8:$H$8)</f>
        <v>0.1</v>
      </c>
      <c r="L1543" s="12">
        <f>_xlfn.XLOOKUP(Assumptions!$B$2,Assumptions!$F$4:$H$4,Assumptions!$F$9:$H$9)</f>
        <v>0.18</v>
      </c>
      <c r="M1543" s="18">
        <f>_xlfn.XLOOKUP(Assumptions!$B$2,Assumptions!$F$4:$H$4,Assumptions!$F$10:$H$10)</f>
        <v>18000</v>
      </c>
      <c r="N1543" s="12">
        <f>_xlfn.XLOOKUP(Assumptions!$B$2,Assumptions!$F$4:$H$4,Assumptions!$F$11:$H$11)</f>
        <v>0.3</v>
      </c>
      <c r="O1543" s="14">
        <f>Final_Table[[#This Row],[Units Sold]]*Final_Table[[#This Row],[Sale Price]]</f>
        <v>20400</v>
      </c>
      <c r="P1543" s="14">
        <f>Final_Table[[#This Row],[Gross Revenue]]*(1-Final_Table[[#This Row],[Discount %]])</f>
        <v>18360</v>
      </c>
      <c r="Q1543">
        <f>Final_Table[[#This Row],[Net Revenue]]*Final_Table[[#This Row],[Variable Cost %]]</f>
        <v>3304.7999999999997</v>
      </c>
      <c r="R1543">
        <f>Final_Table[[#This Row],[Variable Cost]]+Final_Table[[#This Row],[Fixed Monthly Cost]]</f>
        <v>21304.799999999999</v>
      </c>
      <c r="S1543" s="5">
        <f>Final_Table[[#This Row],[Net Revenue]]-Final_Table[[#This Row],[Total Cost (COGS)]]</f>
        <v>-2944.7999999999993</v>
      </c>
      <c r="T1543">
        <f>Final_Table[[#This Row],[Gross Profit]]*Final_Table[[#This Row],[Tax Rate]]</f>
        <v>-883.43999999999971</v>
      </c>
      <c r="U1543" s="5">
        <f>Final_Table[[#This Row],[Gross Profit]]-Final_Table[[#This Row],[Tax]]</f>
        <v>-2061.3599999999997</v>
      </c>
      <c r="V1543" s="12">
        <f>Final_Table[[#This Row],[Net Profit]]/Final_Table[[#This Row],[Gross Revenue]]</f>
        <v>-0.10104705882352939</v>
      </c>
    </row>
    <row r="1544" spans="1:22">
      <c r="A1544" s="18" t="s">
        <v>70</v>
      </c>
      <c r="B1544">
        <v>2014</v>
      </c>
      <c r="C1544" t="s">
        <v>130</v>
      </c>
      <c r="D1544">
        <v>1</v>
      </c>
      <c r="E1544" s="18" t="s">
        <v>29</v>
      </c>
      <c r="F1544" s="18" t="s">
        <v>113</v>
      </c>
      <c r="G1544" s="18" t="s">
        <v>21</v>
      </c>
      <c r="H1544" s="18" t="str">
        <f>Assumptions!$B$2</f>
        <v>Worst</v>
      </c>
      <c r="I1544" s="18">
        <f>_xlfn.XLOOKUP(Assumptions!$B$2,Assumptions!$F$4:$H$4,Assumptions!$F$5:$H$5)</f>
        <v>1200</v>
      </c>
      <c r="J1544" s="18">
        <f>_xlfn.XLOOKUP(Assumptions!$B$2,Assumptions!$F$4:$H$4,Assumptions!$F$6:$H$6)</f>
        <v>17</v>
      </c>
      <c r="K1544" s="12">
        <f>_xlfn.XLOOKUP(Assumptions!$B$2,Assumptions!$F$4:$H$4,Assumptions!$F$8:$H$8)</f>
        <v>0.1</v>
      </c>
      <c r="L1544" s="12">
        <f>_xlfn.XLOOKUP(Assumptions!$B$2,Assumptions!$F$4:$H$4,Assumptions!$F$9:$H$9)</f>
        <v>0.18</v>
      </c>
      <c r="M1544" s="18">
        <f>_xlfn.XLOOKUP(Assumptions!$B$2,Assumptions!$F$4:$H$4,Assumptions!$F$10:$H$10)</f>
        <v>18000</v>
      </c>
      <c r="N1544" s="12">
        <f>_xlfn.XLOOKUP(Assumptions!$B$2,Assumptions!$F$4:$H$4,Assumptions!$F$11:$H$11)</f>
        <v>0.3</v>
      </c>
      <c r="O1544" s="14">
        <f>Final_Table[[#This Row],[Units Sold]]*Final_Table[[#This Row],[Sale Price]]</f>
        <v>20400</v>
      </c>
      <c r="P1544" s="14">
        <f>Final_Table[[#This Row],[Gross Revenue]]*(1-Final_Table[[#This Row],[Discount %]])</f>
        <v>18360</v>
      </c>
      <c r="Q1544">
        <f>Final_Table[[#This Row],[Net Revenue]]*Final_Table[[#This Row],[Variable Cost %]]</f>
        <v>3304.7999999999997</v>
      </c>
      <c r="R1544">
        <f>Final_Table[[#This Row],[Variable Cost]]+Final_Table[[#This Row],[Fixed Monthly Cost]]</f>
        <v>21304.799999999999</v>
      </c>
      <c r="S1544" s="5">
        <f>Final_Table[[#This Row],[Net Revenue]]-Final_Table[[#This Row],[Total Cost (COGS)]]</f>
        <v>-2944.7999999999993</v>
      </c>
      <c r="T1544">
        <f>Final_Table[[#This Row],[Gross Profit]]*Final_Table[[#This Row],[Tax Rate]]</f>
        <v>-883.43999999999971</v>
      </c>
      <c r="U1544" s="5">
        <f>Final_Table[[#This Row],[Gross Profit]]-Final_Table[[#This Row],[Tax]]</f>
        <v>-2061.3599999999997</v>
      </c>
      <c r="V1544" s="12">
        <f>Final_Table[[#This Row],[Net Profit]]/Final_Table[[#This Row],[Gross Revenue]]</f>
        <v>-0.10104705882352939</v>
      </c>
    </row>
    <row r="1545" spans="1:22">
      <c r="A1545" s="18" t="s">
        <v>70</v>
      </c>
      <c r="B1545">
        <v>2014</v>
      </c>
      <c r="C1545" t="s">
        <v>130</v>
      </c>
      <c r="D1545">
        <v>1</v>
      </c>
      <c r="E1545" s="18" t="s">
        <v>29</v>
      </c>
      <c r="F1545" s="18" t="s">
        <v>113</v>
      </c>
      <c r="G1545" s="18" t="s">
        <v>25</v>
      </c>
      <c r="H1545" s="18" t="str">
        <f>Assumptions!$B$2</f>
        <v>Worst</v>
      </c>
      <c r="I1545" s="18">
        <f>_xlfn.XLOOKUP(Assumptions!$B$2,Assumptions!$F$4:$H$4,Assumptions!$F$5:$H$5)</f>
        <v>1200</v>
      </c>
      <c r="J1545" s="18">
        <f>_xlfn.XLOOKUP(Assumptions!$B$2,Assumptions!$F$4:$H$4,Assumptions!$F$6:$H$6)</f>
        <v>17</v>
      </c>
      <c r="K1545" s="12">
        <f>_xlfn.XLOOKUP(Assumptions!$B$2,Assumptions!$F$4:$H$4,Assumptions!$F$8:$H$8)</f>
        <v>0.1</v>
      </c>
      <c r="L1545" s="12">
        <f>_xlfn.XLOOKUP(Assumptions!$B$2,Assumptions!$F$4:$H$4,Assumptions!$F$9:$H$9)</f>
        <v>0.18</v>
      </c>
      <c r="M1545" s="18">
        <f>_xlfn.XLOOKUP(Assumptions!$B$2,Assumptions!$F$4:$H$4,Assumptions!$F$10:$H$10)</f>
        <v>18000</v>
      </c>
      <c r="N1545" s="12">
        <f>_xlfn.XLOOKUP(Assumptions!$B$2,Assumptions!$F$4:$H$4,Assumptions!$F$11:$H$11)</f>
        <v>0.3</v>
      </c>
      <c r="O1545" s="14">
        <f>Final_Table[[#This Row],[Units Sold]]*Final_Table[[#This Row],[Sale Price]]</f>
        <v>20400</v>
      </c>
      <c r="P1545" s="14">
        <f>Final_Table[[#This Row],[Gross Revenue]]*(1-Final_Table[[#This Row],[Discount %]])</f>
        <v>18360</v>
      </c>
      <c r="Q1545">
        <f>Final_Table[[#This Row],[Net Revenue]]*Final_Table[[#This Row],[Variable Cost %]]</f>
        <v>3304.7999999999997</v>
      </c>
      <c r="R1545">
        <f>Final_Table[[#This Row],[Variable Cost]]+Final_Table[[#This Row],[Fixed Monthly Cost]]</f>
        <v>21304.799999999999</v>
      </c>
      <c r="S1545" s="5">
        <f>Final_Table[[#This Row],[Net Revenue]]-Final_Table[[#This Row],[Total Cost (COGS)]]</f>
        <v>-2944.7999999999993</v>
      </c>
      <c r="T1545">
        <f>Final_Table[[#This Row],[Gross Profit]]*Final_Table[[#This Row],[Tax Rate]]</f>
        <v>-883.43999999999971</v>
      </c>
      <c r="U1545" s="5">
        <f>Final_Table[[#This Row],[Gross Profit]]-Final_Table[[#This Row],[Tax]]</f>
        <v>-2061.3599999999997</v>
      </c>
      <c r="V1545" s="12">
        <f>Final_Table[[#This Row],[Net Profit]]/Final_Table[[#This Row],[Gross Revenue]]</f>
        <v>-0.10104705882352939</v>
      </c>
    </row>
    <row r="1546" spans="1:22">
      <c r="A1546" s="18" t="s">
        <v>70</v>
      </c>
      <c r="B1546">
        <v>2014</v>
      </c>
      <c r="C1546" t="s">
        <v>130</v>
      </c>
      <c r="D1546">
        <v>1</v>
      </c>
      <c r="E1546" s="18" t="s">
        <v>29</v>
      </c>
      <c r="F1546" s="18" t="s">
        <v>113</v>
      </c>
      <c r="G1546" s="18" t="s">
        <v>17</v>
      </c>
      <c r="H1546" s="18" t="str">
        <f>Assumptions!$B$2</f>
        <v>Worst</v>
      </c>
      <c r="I1546" s="18">
        <f>_xlfn.XLOOKUP(Assumptions!$B$2,Assumptions!$F$4:$H$4,Assumptions!$F$5:$H$5)</f>
        <v>1200</v>
      </c>
      <c r="J1546" s="18">
        <f>_xlfn.XLOOKUP(Assumptions!$B$2,Assumptions!$F$4:$H$4,Assumptions!$F$6:$H$6)</f>
        <v>17</v>
      </c>
      <c r="K1546" s="12">
        <f>_xlfn.XLOOKUP(Assumptions!$B$2,Assumptions!$F$4:$H$4,Assumptions!$F$8:$H$8)</f>
        <v>0.1</v>
      </c>
      <c r="L1546" s="12">
        <f>_xlfn.XLOOKUP(Assumptions!$B$2,Assumptions!$F$4:$H$4,Assumptions!$F$9:$H$9)</f>
        <v>0.18</v>
      </c>
      <c r="M1546" s="18">
        <f>_xlfn.XLOOKUP(Assumptions!$B$2,Assumptions!$F$4:$H$4,Assumptions!$F$10:$H$10)</f>
        <v>18000</v>
      </c>
      <c r="N1546" s="12">
        <f>_xlfn.XLOOKUP(Assumptions!$B$2,Assumptions!$F$4:$H$4,Assumptions!$F$11:$H$11)</f>
        <v>0.3</v>
      </c>
      <c r="O1546" s="14">
        <f>Final_Table[[#This Row],[Units Sold]]*Final_Table[[#This Row],[Sale Price]]</f>
        <v>20400</v>
      </c>
      <c r="P1546" s="14">
        <f>Final_Table[[#This Row],[Gross Revenue]]*(1-Final_Table[[#This Row],[Discount %]])</f>
        <v>18360</v>
      </c>
      <c r="Q1546">
        <f>Final_Table[[#This Row],[Net Revenue]]*Final_Table[[#This Row],[Variable Cost %]]</f>
        <v>3304.7999999999997</v>
      </c>
      <c r="R1546">
        <f>Final_Table[[#This Row],[Variable Cost]]+Final_Table[[#This Row],[Fixed Monthly Cost]]</f>
        <v>21304.799999999999</v>
      </c>
      <c r="S1546" s="5">
        <f>Final_Table[[#This Row],[Net Revenue]]-Final_Table[[#This Row],[Total Cost (COGS)]]</f>
        <v>-2944.7999999999993</v>
      </c>
      <c r="T1546">
        <f>Final_Table[[#This Row],[Gross Profit]]*Final_Table[[#This Row],[Tax Rate]]</f>
        <v>-883.43999999999971</v>
      </c>
      <c r="U1546" s="5">
        <f>Final_Table[[#This Row],[Gross Profit]]-Final_Table[[#This Row],[Tax]]</f>
        <v>-2061.3599999999997</v>
      </c>
      <c r="V1546" s="12">
        <f>Final_Table[[#This Row],[Net Profit]]/Final_Table[[#This Row],[Gross Revenue]]</f>
        <v>-0.10104705882352939</v>
      </c>
    </row>
    <row r="1547" spans="1:22">
      <c r="A1547" s="18" t="s">
        <v>70</v>
      </c>
      <c r="B1547">
        <v>2014</v>
      </c>
      <c r="C1547" t="s">
        <v>130</v>
      </c>
      <c r="D1547">
        <v>1</v>
      </c>
      <c r="E1547" s="18" t="s">
        <v>29</v>
      </c>
      <c r="F1547" s="18" t="s">
        <v>114</v>
      </c>
      <c r="G1547" s="18" t="s">
        <v>36</v>
      </c>
      <c r="H1547" s="18" t="str">
        <f>Assumptions!$B$2</f>
        <v>Worst</v>
      </c>
      <c r="I1547" s="18">
        <f>_xlfn.XLOOKUP(Assumptions!$B$2,Assumptions!$F$4:$H$4,Assumptions!$F$5:$H$5)</f>
        <v>1200</v>
      </c>
      <c r="J1547" s="18">
        <f>_xlfn.XLOOKUP(Assumptions!$B$2,Assumptions!$F$4:$H$4,Assumptions!$F$6:$H$6)</f>
        <v>17</v>
      </c>
      <c r="K1547" s="12">
        <f>_xlfn.XLOOKUP(Assumptions!$B$2,Assumptions!$F$4:$H$4,Assumptions!$F$8:$H$8)</f>
        <v>0.1</v>
      </c>
      <c r="L1547" s="12">
        <f>_xlfn.XLOOKUP(Assumptions!$B$2,Assumptions!$F$4:$H$4,Assumptions!$F$9:$H$9)</f>
        <v>0.18</v>
      </c>
      <c r="M1547" s="18">
        <f>_xlfn.XLOOKUP(Assumptions!$B$2,Assumptions!$F$4:$H$4,Assumptions!$F$10:$H$10)</f>
        <v>18000</v>
      </c>
      <c r="N1547" s="12">
        <f>_xlfn.XLOOKUP(Assumptions!$B$2,Assumptions!$F$4:$H$4,Assumptions!$F$11:$H$11)</f>
        <v>0.3</v>
      </c>
      <c r="O1547" s="14">
        <f>Final_Table[[#This Row],[Units Sold]]*Final_Table[[#This Row],[Sale Price]]</f>
        <v>20400</v>
      </c>
      <c r="P1547" s="14">
        <f>Final_Table[[#This Row],[Gross Revenue]]*(1-Final_Table[[#This Row],[Discount %]])</f>
        <v>18360</v>
      </c>
      <c r="Q1547">
        <f>Final_Table[[#This Row],[Net Revenue]]*Final_Table[[#This Row],[Variable Cost %]]</f>
        <v>3304.7999999999997</v>
      </c>
      <c r="R1547">
        <f>Final_Table[[#This Row],[Variable Cost]]+Final_Table[[#This Row],[Fixed Monthly Cost]]</f>
        <v>21304.799999999999</v>
      </c>
      <c r="S1547" s="5">
        <f>Final_Table[[#This Row],[Net Revenue]]-Final_Table[[#This Row],[Total Cost (COGS)]]</f>
        <v>-2944.7999999999993</v>
      </c>
      <c r="T1547">
        <f>Final_Table[[#This Row],[Gross Profit]]*Final_Table[[#This Row],[Tax Rate]]</f>
        <v>-883.43999999999971</v>
      </c>
      <c r="U1547" s="5">
        <f>Final_Table[[#This Row],[Gross Profit]]-Final_Table[[#This Row],[Tax]]</f>
        <v>-2061.3599999999997</v>
      </c>
      <c r="V1547" s="12">
        <f>Final_Table[[#This Row],[Net Profit]]/Final_Table[[#This Row],[Gross Revenue]]</f>
        <v>-0.10104705882352939</v>
      </c>
    </row>
    <row r="1548" spans="1:22">
      <c r="A1548" s="18" t="s">
        <v>70</v>
      </c>
      <c r="B1548">
        <v>2014</v>
      </c>
      <c r="C1548" t="s">
        <v>130</v>
      </c>
      <c r="D1548">
        <v>1</v>
      </c>
      <c r="E1548" s="18" t="s">
        <v>29</v>
      </c>
      <c r="F1548" s="18" t="s">
        <v>114</v>
      </c>
      <c r="G1548" s="18" t="s">
        <v>23</v>
      </c>
      <c r="H1548" s="18" t="str">
        <f>Assumptions!$B$2</f>
        <v>Worst</v>
      </c>
      <c r="I1548" s="18">
        <f>_xlfn.XLOOKUP(Assumptions!$B$2,Assumptions!$F$4:$H$4,Assumptions!$F$5:$H$5)</f>
        <v>1200</v>
      </c>
      <c r="J1548" s="18">
        <f>_xlfn.XLOOKUP(Assumptions!$B$2,Assumptions!$F$4:$H$4,Assumptions!$F$6:$H$6)</f>
        <v>17</v>
      </c>
      <c r="K1548" s="12">
        <f>_xlfn.XLOOKUP(Assumptions!$B$2,Assumptions!$F$4:$H$4,Assumptions!$F$8:$H$8)</f>
        <v>0.1</v>
      </c>
      <c r="L1548" s="12">
        <f>_xlfn.XLOOKUP(Assumptions!$B$2,Assumptions!$F$4:$H$4,Assumptions!$F$9:$H$9)</f>
        <v>0.18</v>
      </c>
      <c r="M1548" s="18">
        <f>_xlfn.XLOOKUP(Assumptions!$B$2,Assumptions!$F$4:$H$4,Assumptions!$F$10:$H$10)</f>
        <v>18000</v>
      </c>
      <c r="N1548" s="12">
        <f>_xlfn.XLOOKUP(Assumptions!$B$2,Assumptions!$F$4:$H$4,Assumptions!$F$11:$H$11)</f>
        <v>0.3</v>
      </c>
      <c r="O1548" s="14">
        <f>Final_Table[[#This Row],[Units Sold]]*Final_Table[[#This Row],[Sale Price]]</f>
        <v>20400</v>
      </c>
      <c r="P1548" s="14">
        <f>Final_Table[[#This Row],[Gross Revenue]]*(1-Final_Table[[#This Row],[Discount %]])</f>
        <v>18360</v>
      </c>
      <c r="Q1548">
        <f>Final_Table[[#This Row],[Net Revenue]]*Final_Table[[#This Row],[Variable Cost %]]</f>
        <v>3304.7999999999997</v>
      </c>
      <c r="R1548">
        <f>Final_Table[[#This Row],[Variable Cost]]+Final_Table[[#This Row],[Fixed Monthly Cost]]</f>
        <v>21304.799999999999</v>
      </c>
      <c r="S1548" s="5">
        <f>Final_Table[[#This Row],[Net Revenue]]-Final_Table[[#This Row],[Total Cost (COGS)]]</f>
        <v>-2944.7999999999993</v>
      </c>
      <c r="T1548">
        <f>Final_Table[[#This Row],[Gross Profit]]*Final_Table[[#This Row],[Tax Rate]]</f>
        <v>-883.43999999999971</v>
      </c>
      <c r="U1548" s="5">
        <f>Final_Table[[#This Row],[Gross Profit]]-Final_Table[[#This Row],[Tax]]</f>
        <v>-2061.3599999999997</v>
      </c>
      <c r="V1548" s="12">
        <f>Final_Table[[#This Row],[Net Profit]]/Final_Table[[#This Row],[Gross Revenue]]</f>
        <v>-0.10104705882352939</v>
      </c>
    </row>
    <row r="1549" spans="1:22">
      <c r="A1549" s="18" t="s">
        <v>70</v>
      </c>
      <c r="B1549">
        <v>2014</v>
      </c>
      <c r="C1549" t="s">
        <v>130</v>
      </c>
      <c r="D1549">
        <v>1</v>
      </c>
      <c r="E1549" s="18" t="s">
        <v>29</v>
      </c>
      <c r="F1549" s="18" t="s">
        <v>114</v>
      </c>
      <c r="G1549" s="18" t="s">
        <v>21</v>
      </c>
      <c r="H1549" s="18" t="str">
        <f>Assumptions!$B$2</f>
        <v>Worst</v>
      </c>
      <c r="I1549" s="18">
        <f>_xlfn.XLOOKUP(Assumptions!$B$2,Assumptions!$F$4:$H$4,Assumptions!$F$5:$H$5)</f>
        <v>1200</v>
      </c>
      <c r="J1549" s="18">
        <f>_xlfn.XLOOKUP(Assumptions!$B$2,Assumptions!$F$4:$H$4,Assumptions!$F$6:$H$6)</f>
        <v>17</v>
      </c>
      <c r="K1549" s="12">
        <f>_xlfn.XLOOKUP(Assumptions!$B$2,Assumptions!$F$4:$H$4,Assumptions!$F$8:$H$8)</f>
        <v>0.1</v>
      </c>
      <c r="L1549" s="12">
        <f>_xlfn.XLOOKUP(Assumptions!$B$2,Assumptions!$F$4:$H$4,Assumptions!$F$9:$H$9)</f>
        <v>0.18</v>
      </c>
      <c r="M1549" s="18">
        <f>_xlfn.XLOOKUP(Assumptions!$B$2,Assumptions!$F$4:$H$4,Assumptions!$F$10:$H$10)</f>
        <v>18000</v>
      </c>
      <c r="N1549" s="12">
        <f>_xlfn.XLOOKUP(Assumptions!$B$2,Assumptions!$F$4:$H$4,Assumptions!$F$11:$H$11)</f>
        <v>0.3</v>
      </c>
      <c r="O1549" s="14">
        <f>Final_Table[[#This Row],[Units Sold]]*Final_Table[[#This Row],[Sale Price]]</f>
        <v>20400</v>
      </c>
      <c r="P1549" s="14">
        <f>Final_Table[[#This Row],[Gross Revenue]]*(1-Final_Table[[#This Row],[Discount %]])</f>
        <v>18360</v>
      </c>
      <c r="Q1549">
        <f>Final_Table[[#This Row],[Net Revenue]]*Final_Table[[#This Row],[Variable Cost %]]</f>
        <v>3304.7999999999997</v>
      </c>
      <c r="R1549">
        <f>Final_Table[[#This Row],[Variable Cost]]+Final_Table[[#This Row],[Fixed Monthly Cost]]</f>
        <v>21304.799999999999</v>
      </c>
      <c r="S1549" s="5">
        <f>Final_Table[[#This Row],[Net Revenue]]-Final_Table[[#This Row],[Total Cost (COGS)]]</f>
        <v>-2944.7999999999993</v>
      </c>
      <c r="T1549">
        <f>Final_Table[[#This Row],[Gross Profit]]*Final_Table[[#This Row],[Tax Rate]]</f>
        <v>-883.43999999999971</v>
      </c>
      <c r="U1549" s="5">
        <f>Final_Table[[#This Row],[Gross Profit]]-Final_Table[[#This Row],[Tax]]</f>
        <v>-2061.3599999999997</v>
      </c>
      <c r="V1549" s="12">
        <f>Final_Table[[#This Row],[Net Profit]]/Final_Table[[#This Row],[Gross Revenue]]</f>
        <v>-0.10104705882352939</v>
      </c>
    </row>
    <row r="1550" spans="1:22">
      <c r="A1550" s="18" t="s">
        <v>70</v>
      </c>
      <c r="B1550">
        <v>2014</v>
      </c>
      <c r="C1550" t="s">
        <v>130</v>
      </c>
      <c r="D1550">
        <v>1</v>
      </c>
      <c r="E1550" s="18" t="s">
        <v>29</v>
      </c>
      <c r="F1550" s="18" t="s">
        <v>114</v>
      </c>
      <c r="G1550" s="18" t="s">
        <v>25</v>
      </c>
      <c r="H1550" s="18" t="str">
        <f>Assumptions!$B$2</f>
        <v>Worst</v>
      </c>
      <c r="I1550" s="18">
        <f>_xlfn.XLOOKUP(Assumptions!$B$2,Assumptions!$F$4:$H$4,Assumptions!$F$5:$H$5)</f>
        <v>1200</v>
      </c>
      <c r="J1550" s="18">
        <f>_xlfn.XLOOKUP(Assumptions!$B$2,Assumptions!$F$4:$H$4,Assumptions!$F$6:$H$6)</f>
        <v>17</v>
      </c>
      <c r="K1550" s="12">
        <f>_xlfn.XLOOKUP(Assumptions!$B$2,Assumptions!$F$4:$H$4,Assumptions!$F$8:$H$8)</f>
        <v>0.1</v>
      </c>
      <c r="L1550" s="12">
        <f>_xlfn.XLOOKUP(Assumptions!$B$2,Assumptions!$F$4:$H$4,Assumptions!$F$9:$H$9)</f>
        <v>0.18</v>
      </c>
      <c r="M1550" s="18">
        <f>_xlfn.XLOOKUP(Assumptions!$B$2,Assumptions!$F$4:$H$4,Assumptions!$F$10:$H$10)</f>
        <v>18000</v>
      </c>
      <c r="N1550" s="12">
        <f>_xlfn.XLOOKUP(Assumptions!$B$2,Assumptions!$F$4:$H$4,Assumptions!$F$11:$H$11)</f>
        <v>0.3</v>
      </c>
      <c r="O1550" s="14">
        <f>Final_Table[[#This Row],[Units Sold]]*Final_Table[[#This Row],[Sale Price]]</f>
        <v>20400</v>
      </c>
      <c r="P1550" s="14">
        <f>Final_Table[[#This Row],[Gross Revenue]]*(1-Final_Table[[#This Row],[Discount %]])</f>
        <v>18360</v>
      </c>
      <c r="Q1550">
        <f>Final_Table[[#This Row],[Net Revenue]]*Final_Table[[#This Row],[Variable Cost %]]</f>
        <v>3304.7999999999997</v>
      </c>
      <c r="R1550">
        <f>Final_Table[[#This Row],[Variable Cost]]+Final_Table[[#This Row],[Fixed Monthly Cost]]</f>
        <v>21304.799999999999</v>
      </c>
      <c r="S1550" s="5">
        <f>Final_Table[[#This Row],[Net Revenue]]-Final_Table[[#This Row],[Total Cost (COGS)]]</f>
        <v>-2944.7999999999993</v>
      </c>
      <c r="T1550">
        <f>Final_Table[[#This Row],[Gross Profit]]*Final_Table[[#This Row],[Tax Rate]]</f>
        <v>-883.43999999999971</v>
      </c>
      <c r="U1550" s="5">
        <f>Final_Table[[#This Row],[Gross Profit]]-Final_Table[[#This Row],[Tax]]</f>
        <v>-2061.3599999999997</v>
      </c>
      <c r="V1550" s="12">
        <f>Final_Table[[#This Row],[Net Profit]]/Final_Table[[#This Row],[Gross Revenue]]</f>
        <v>-0.10104705882352939</v>
      </c>
    </row>
    <row r="1551" spans="1:22">
      <c r="A1551" s="18" t="s">
        <v>70</v>
      </c>
      <c r="B1551">
        <v>2014</v>
      </c>
      <c r="C1551" t="s">
        <v>130</v>
      </c>
      <c r="D1551">
        <v>1</v>
      </c>
      <c r="E1551" s="18" t="s">
        <v>29</v>
      </c>
      <c r="F1551" s="18" t="s">
        <v>114</v>
      </c>
      <c r="G1551" s="18" t="s">
        <v>17</v>
      </c>
      <c r="H1551" s="18" t="str">
        <f>Assumptions!$B$2</f>
        <v>Worst</v>
      </c>
      <c r="I1551" s="18">
        <f>_xlfn.XLOOKUP(Assumptions!$B$2,Assumptions!$F$4:$H$4,Assumptions!$F$5:$H$5)</f>
        <v>1200</v>
      </c>
      <c r="J1551" s="18">
        <f>_xlfn.XLOOKUP(Assumptions!$B$2,Assumptions!$F$4:$H$4,Assumptions!$F$6:$H$6)</f>
        <v>17</v>
      </c>
      <c r="K1551" s="12">
        <f>_xlfn.XLOOKUP(Assumptions!$B$2,Assumptions!$F$4:$H$4,Assumptions!$F$8:$H$8)</f>
        <v>0.1</v>
      </c>
      <c r="L1551" s="12">
        <f>_xlfn.XLOOKUP(Assumptions!$B$2,Assumptions!$F$4:$H$4,Assumptions!$F$9:$H$9)</f>
        <v>0.18</v>
      </c>
      <c r="M1551" s="18">
        <f>_xlfn.XLOOKUP(Assumptions!$B$2,Assumptions!$F$4:$H$4,Assumptions!$F$10:$H$10)</f>
        <v>18000</v>
      </c>
      <c r="N1551" s="12">
        <f>_xlfn.XLOOKUP(Assumptions!$B$2,Assumptions!$F$4:$H$4,Assumptions!$F$11:$H$11)</f>
        <v>0.3</v>
      </c>
      <c r="O1551" s="14">
        <f>Final_Table[[#This Row],[Units Sold]]*Final_Table[[#This Row],[Sale Price]]</f>
        <v>20400</v>
      </c>
      <c r="P1551" s="14">
        <f>Final_Table[[#This Row],[Gross Revenue]]*(1-Final_Table[[#This Row],[Discount %]])</f>
        <v>18360</v>
      </c>
      <c r="Q1551">
        <f>Final_Table[[#This Row],[Net Revenue]]*Final_Table[[#This Row],[Variable Cost %]]</f>
        <v>3304.7999999999997</v>
      </c>
      <c r="R1551">
        <f>Final_Table[[#This Row],[Variable Cost]]+Final_Table[[#This Row],[Fixed Monthly Cost]]</f>
        <v>21304.799999999999</v>
      </c>
      <c r="S1551" s="5">
        <f>Final_Table[[#This Row],[Net Revenue]]-Final_Table[[#This Row],[Total Cost (COGS)]]</f>
        <v>-2944.7999999999993</v>
      </c>
      <c r="T1551">
        <f>Final_Table[[#This Row],[Gross Profit]]*Final_Table[[#This Row],[Tax Rate]]</f>
        <v>-883.43999999999971</v>
      </c>
      <c r="U1551" s="5">
        <f>Final_Table[[#This Row],[Gross Profit]]-Final_Table[[#This Row],[Tax]]</f>
        <v>-2061.3599999999997</v>
      </c>
      <c r="V1551" s="12">
        <f>Final_Table[[#This Row],[Net Profit]]/Final_Table[[#This Row],[Gross Revenue]]</f>
        <v>-0.10104705882352939</v>
      </c>
    </row>
    <row r="1552" spans="1:22">
      <c r="A1552" s="18" t="s">
        <v>70</v>
      </c>
      <c r="B1552">
        <v>2014</v>
      </c>
      <c r="C1552" t="s">
        <v>130</v>
      </c>
      <c r="D1552">
        <v>1</v>
      </c>
      <c r="E1552" s="18" t="s">
        <v>22</v>
      </c>
      <c r="F1552" s="18" t="s">
        <v>80</v>
      </c>
      <c r="G1552" s="18" t="s">
        <v>36</v>
      </c>
      <c r="H1552" s="18" t="str">
        <f>Assumptions!$B$2</f>
        <v>Worst</v>
      </c>
      <c r="I1552" s="18">
        <f>_xlfn.XLOOKUP(Assumptions!$B$2,Assumptions!$F$4:$H$4,Assumptions!$F$5:$H$5)</f>
        <v>1200</v>
      </c>
      <c r="J1552" s="18">
        <f>_xlfn.XLOOKUP(Assumptions!$B$2,Assumptions!$F$4:$H$4,Assumptions!$F$6:$H$6)</f>
        <v>17</v>
      </c>
      <c r="K1552" s="12">
        <f>_xlfn.XLOOKUP(Assumptions!$B$2,Assumptions!$F$4:$H$4,Assumptions!$F$8:$H$8)</f>
        <v>0.1</v>
      </c>
      <c r="L1552" s="12">
        <f>_xlfn.XLOOKUP(Assumptions!$B$2,Assumptions!$F$4:$H$4,Assumptions!$F$9:$H$9)</f>
        <v>0.18</v>
      </c>
      <c r="M1552" s="18">
        <f>_xlfn.XLOOKUP(Assumptions!$B$2,Assumptions!$F$4:$H$4,Assumptions!$F$10:$H$10)</f>
        <v>18000</v>
      </c>
      <c r="N1552" s="12">
        <f>_xlfn.XLOOKUP(Assumptions!$B$2,Assumptions!$F$4:$H$4,Assumptions!$F$11:$H$11)</f>
        <v>0.3</v>
      </c>
      <c r="O1552" s="14">
        <f>Final_Table[[#This Row],[Units Sold]]*Final_Table[[#This Row],[Sale Price]]</f>
        <v>20400</v>
      </c>
      <c r="P1552" s="14">
        <f>Final_Table[[#This Row],[Gross Revenue]]*(1-Final_Table[[#This Row],[Discount %]])</f>
        <v>18360</v>
      </c>
      <c r="Q1552">
        <f>Final_Table[[#This Row],[Net Revenue]]*Final_Table[[#This Row],[Variable Cost %]]</f>
        <v>3304.7999999999997</v>
      </c>
      <c r="R1552">
        <f>Final_Table[[#This Row],[Variable Cost]]+Final_Table[[#This Row],[Fixed Monthly Cost]]</f>
        <v>21304.799999999999</v>
      </c>
      <c r="S1552" s="5">
        <f>Final_Table[[#This Row],[Net Revenue]]-Final_Table[[#This Row],[Total Cost (COGS)]]</f>
        <v>-2944.7999999999993</v>
      </c>
      <c r="T1552">
        <f>Final_Table[[#This Row],[Gross Profit]]*Final_Table[[#This Row],[Tax Rate]]</f>
        <v>-883.43999999999971</v>
      </c>
      <c r="U1552" s="5">
        <f>Final_Table[[#This Row],[Gross Profit]]-Final_Table[[#This Row],[Tax]]</f>
        <v>-2061.3599999999997</v>
      </c>
      <c r="V1552" s="12">
        <f>Final_Table[[#This Row],[Net Profit]]/Final_Table[[#This Row],[Gross Revenue]]</f>
        <v>-0.10104705882352939</v>
      </c>
    </row>
    <row r="1553" spans="1:22">
      <c r="A1553" s="18" t="s">
        <v>70</v>
      </c>
      <c r="B1553">
        <v>2014</v>
      </c>
      <c r="C1553" t="s">
        <v>130</v>
      </c>
      <c r="D1553">
        <v>1</v>
      </c>
      <c r="E1553" s="18" t="s">
        <v>22</v>
      </c>
      <c r="F1553" s="18" t="s">
        <v>80</v>
      </c>
      <c r="G1553" s="18" t="s">
        <v>23</v>
      </c>
      <c r="H1553" s="18" t="str">
        <f>Assumptions!$B$2</f>
        <v>Worst</v>
      </c>
      <c r="I1553" s="18">
        <f>_xlfn.XLOOKUP(Assumptions!$B$2,Assumptions!$F$4:$H$4,Assumptions!$F$5:$H$5)</f>
        <v>1200</v>
      </c>
      <c r="J1553" s="18">
        <f>_xlfn.XLOOKUP(Assumptions!$B$2,Assumptions!$F$4:$H$4,Assumptions!$F$6:$H$6)</f>
        <v>17</v>
      </c>
      <c r="K1553" s="12">
        <f>_xlfn.XLOOKUP(Assumptions!$B$2,Assumptions!$F$4:$H$4,Assumptions!$F$8:$H$8)</f>
        <v>0.1</v>
      </c>
      <c r="L1553" s="12">
        <f>_xlfn.XLOOKUP(Assumptions!$B$2,Assumptions!$F$4:$H$4,Assumptions!$F$9:$H$9)</f>
        <v>0.18</v>
      </c>
      <c r="M1553" s="18">
        <f>_xlfn.XLOOKUP(Assumptions!$B$2,Assumptions!$F$4:$H$4,Assumptions!$F$10:$H$10)</f>
        <v>18000</v>
      </c>
      <c r="N1553" s="12">
        <f>_xlfn.XLOOKUP(Assumptions!$B$2,Assumptions!$F$4:$H$4,Assumptions!$F$11:$H$11)</f>
        <v>0.3</v>
      </c>
      <c r="O1553" s="14">
        <f>Final_Table[[#This Row],[Units Sold]]*Final_Table[[#This Row],[Sale Price]]</f>
        <v>20400</v>
      </c>
      <c r="P1553" s="14">
        <f>Final_Table[[#This Row],[Gross Revenue]]*(1-Final_Table[[#This Row],[Discount %]])</f>
        <v>18360</v>
      </c>
      <c r="Q1553">
        <f>Final_Table[[#This Row],[Net Revenue]]*Final_Table[[#This Row],[Variable Cost %]]</f>
        <v>3304.7999999999997</v>
      </c>
      <c r="R1553">
        <f>Final_Table[[#This Row],[Variable Cost]]+Final_Table[[#This Row],[Fixed Monthly Cost]]</f>
        <v>21304.799999999999</v>
      </c>
      <c r="S1553" s="5">
        <f>Final_Table[[#This Row],[Net Revenue]]-Final_Table[[#This Row],[Total Cost (COGS)]]</f>
        <v>-2944.7999999999993</v>
      </c>
      <c r="T1553">
        <f>Final_Table[[#This Row],[Gross Profit]]*Final_Table[[#This Row],[Tax Rate]]</f>
        <v>-883.43999999999971</v>
      </c>
      <c r="U1553" s="5">
        <f>Final_Table[[#This Row],[Gross Profit]]-Final_Table[[#This Row],[Tax]]</f>
        <v>-2061.3599999999997</v>
      </c>
      <c r="V1553" s="12">
        <f>Final_Table[[#This Row],[Net Profit]]/Final_Table[[#This Row],[Gross Revenue]]</f>
        <v>-0.10104705882352939</v>
      </c>
    </row>
    <row r="1554" spans="1:22">
      <c r="A1554" s="18" t="s">
        <v>70</v>
      </c>
      <c r="B1554">
        <v>2014</v>
      </c>
      <c r="C1554" t="s">
        <v>130</v>
      </c>
      <c r="D1554">
        <v>1</v>
      </c>
      <c r="E1554" s="18" t="s">
        <v>22</v>
      </c>
      <c r="F1554" s="18" t="s">
        <v>80</v>
      </c>
      <c r="G1554" s="18" t="s">
        <v>21</v>
      </c>
      <c r="H1554" s="18" t="str">
        <f>Assumptions!$B$2</f>
        <v>Worst</v>
      </c>
      <c r="I1554" s="18">
        <f>_xlfn.XLOOKUP(Assumptions!$B$2,Assumptions!$F$4:$H$4,Assumptions!$F$5:$H$5)</f>
        <v>1200</v>
      </c>
      <c r="J1554" s="18">
        <f>_xlfn.XLOOKUP(Assumptions!$B$2,Assumptions!$F$4:$H$4,Assumptions!$F$6:$H$6)</f>
        <v>17</v>
      </c>
      <c r="K1554" s="12">
        <f>_xlfn.XLOOKUP(Assumptions!$B$2,Assumptions!$F$4:$H$4,Assumptions!$F$8:$H$8)</f>
        <v>0.1</v>
      </c>
      <c r="L1554" s="12">
        <f>_xlfn.XLOOKUP(Assumptions!$B$2,Assumptions!$F$4:$H$4,Assumptions!$F$9:$H$9)</f>
        <v>0.18</v>
      </c>
      <c r="M1554" s="18">
        <f>_xlfn.XLOOKUP(Assumptions!$B$2,Assumptions!$F$4:$H$4,Assumptions!$F$10:$H$10)</f>
        <v>18000</v>
      </c>
      <c r="N1554" s="12">
        <f>_xlfn.XLOOKUP(Assumptions!$B$2,Assumptions!$F$4:$H$4,Assumptions!$F$11:$H$11)</f>
        <v>0.3</v>
      </c>
      <c r="O1554" s="14">
        <f>Final_Table[[#This Row],[Units Sold]]*Final_Table[[#This Row],[Sale Price]]</f>
        <v>20400</v>
      </c>
      <c r="P1554" s="14">
        <f>Final_Table[[#This Row],[Gross Revenue]]*(1-Final_Table[[#This Row],[Discount %]])</f>
        <v>18360</v>
      </c>
      <c r="Q1554">
        <f>Final_Table[[#This Row],[Net Revenue]]*Final_Table[[#This Row],[Variable Cost %]]</f>
        <v>3304.7999999999997</v>
      </c>
      <c r="R1554">
        <f>Final_Table[[#This Row],[Variable Cost]]+Final_Table[[#This Row],[Fixed Monthly Cost]]</f>
        <v>21304.799999999999</v>
      </c>
      <c r="S1554" s="5">
        <f>Final_Table[[#This Row],[Net Revenue]]-Final_Table[[#This Row],[Total Cost (COGS)]]</f>
        <v>-2944.7999999999993</v>
      </c>
      <c r="T1554">
        <f>Final_Table[[#This Row],[Gross Profit]]*Final_Table[[#This Row],[Tax Rate]]</f>
        <v>-883.43999999999971</v>
      </c>
      <c r="U1554" s="5">
        <f>Final_Table[[#This Row],[Gross Profit]]-Final_Table[[#This Row],[Tax]]</f>
        <v>-2061.3599999999997</v>
      </c>
      <c r="V1554" s="12">
        <f>Final_Table[[#This Row],[Net Profit]]/Final_Table[[#This Row],[Gross Revenue]]</f>
        <v>-0.10104705882352939</v>
      </c>
    </row>
    <row r="1555" spans="1:22">
      <c r="A1555" s="18" t="s">
        <v>70</v>
      </c>
      <c r="B1555">
        <v>2014</v>
      </c>
      <c r="C1555" t="s">
        <v>130</v>
      </c>
      <c r="D1555">
        <v>1</v>
      </c>
      <c r="E1555" s="18" t="s">
        <v>22</v>
      </c>
      <c r="F1555" s="18" t="s">
        <v>80</v>
      </c>
      <c r="G1555" s="18" t="s">
        <v>25</v>
      </c>
      <c r="H1555" s="18" t="str">
        <f>Assumptions!$B$2</f>
        <v>Worst</v>
      </c>
      <c r="I1555" s="18">
        <f>_xlfn.XLOOKUP(Assumptions!$B$2,Assumptions!$F$4:$H$4,Assumptions!$F$5:$H$5)</f>
        <v>1200</v>
      </c>
      <c r="J1555" s="18">
        <f>_xlfn.XLOOKUP(Assumptions!$B$2,Assumptions!$F$4:$H$4,Assumptions!$F$6:$H$6)</f>
        <v>17</v>
      </c>
      <c r="K1555" s="12">
        <f>_xlfn.XLOOKUP(Assumptions!$B$2,Assumptions!$F$4:$H$4,Assumptions!$F$8:$H$8)</f>
        <v>0.1</v>
      </c>
      <c r="L1555" s="12">
        <f>_xlfn.XLOOKUP(Assumptions!$B$2,Assumptions!$F$4:$H$4,Assumptions!$F$9:$H$9)</f>
        <v>0.18</v>
      </c>
      <c r="M1555" s="18">
        <f>_xlfn.XLOOKUP(Assumptions!$B$2,Assumptions!$F$4:$H$4,Assumptions!$F$10:$H$10)</f>
        <v>18000</v>
      </c>
      <c r="N1555" s="12">
        <f>_xlfn.XLOOKUP(Assumptions!$B$2,Assumptions!$F$4:$H$4,Assumptions!$F$11:$H$11)</f>
        <v>0.3</v>
      </c>
      <c r="O1555" s="14">
        <f>Final_Table[[#This Row],[Units Sold]]*Final_Table[[#This Row],[Sale Price]]</f>
        <v>20400</v>
      </c>
      <c r="P1555" s="14">
        <f>Final_Table[[#This Row],[Gross Revenue]]*(1-Final_Table[[#This Row],[Discount %]])</f>
        <v>18360</v>
      </c>
      <c r="Q1555">
        <f>Final_Table[[#This Row],[Net Revenue]]*Final_Table[[#This Row],[Variable Cost %]]</f>
        <v>3304.7999999999997</v>
      </c>
      <c r="R1555">
        <f>Final_Table[[#This Row],[Variable Cost]]+Final_Table[[#This Row],[Fixed Monthly Cost]]</f>
        <v>21304.799999999999</v>
      </c>
      <c r="S1555" s="5">
        <f>Final_Table[[#This Row],[Net Revenue]]-Final_Table[[#This Row],[Total Cost (COGS)]]</f>
        <v>-2944.7999999999993</v>
      </c>
      <c r="T1555">
        <f>Final_Table[[#This Row],[Gross Profit]]*Final_Table[[#This Row],[Tax Rate]]</f>
        <v>-883.43999999999971</v>
      </c>
      <c r="U1555" s="5">
        <f>Final_Table[[#This Row],[Gross Profit]]-Final_Table[[#This Row],[Tax]]</f>
        <v>-2061.3599999999997</v>
      </c>
      <c r="V1555" s="12">
        <f>Final_Table[[#This Row],[Net Profit]]/Final_Table[[#This Row],[Gross Revenue]]</f>
        <v>-0.10104705882352939</v>
      </c>
    </row>
    <row r="1556" spans="1:22">
      <c r="A1556" s="18" t="s">
        <v>70</v>
      </c>
      <c r="B1556">
        <v>2014</v>
      </c>
      <c r="C1556" t="s">
        <v>130</v>
      </c>
      <c r="D1556">
        <v>1</v>
      </c>
      <c r="E1556" s="18" t="s">
        <v>22</v>
      </c>
      <c r="F1556" s="18" t="s">
        <v>80</v>
      </c>
      <c r="G1556" s="18" t="s">
        <v>17</v>
      </c>
      <c r="H1556" s="18" t="str">
        <f>Assumptions!$B$2</f>
        <v>Worst</v>
      </c>
      <c r="I1556" s="18">
        <f>_xlfn.XLOOKUP(Assumptions!$B$2,Assumptions!$F$4:$H$4,Assumptions!$F$5:$H$5)</f>
        <v>1200</v>
      </c>
      <c r="J1556" s="18">
        <f>_xlfn.XLOOKUP(Assumptions!$B$2,Assumptions!$F$4:$H$4,Assumptions!$F$6:$H$6)</f>
        <v>17</v>
      </c>
      <c r="K1556" s="12">
        <f>_xlfn.XLOOKUP(Assumptions!$B$2,Assumptions!$F$4:$H$4,Assumptions!$F$8:$H$8)</f>
        <v>0.1</v>
      </c>
      <c r="L1556" s="12">
        <f>_xlfn.XLOOKUP(Assumptions!$B$2,Assumptions!$F$4:$H$4,Assumptions!$F$9:$H$9)</f>
        <v>0.18</v>
      </c>
      <c r="M1556" s="18">
        <f>_xlfn.XLOOKUP(Assumptions!$B$2,Assumptions!$F$4:$H$4,Assumptions!$F$10:$H$10)</f>
        <v>18000</v>
      </c>
      <c r="N1556" s="12">
        <f>_xlfn.XLOOKUP(Assumptions!$B$2,Assumptions!$F$4:$H$4,Assumptions!$F$11:$H$11)</f>
        <v>0.3</v>
      </c>
      <c r="O1556" s="14">
        <f>Final_Table[[#This Row],[Units Sold]]*Final_Table[[#This Row],[Sale Price]]</f>
        <v>20400</v>
      </c>
      <c r="P1556" s="14">
        <f>Final_Table[[#This Row],[Gross Revenue]]*(1-Final_Table[[#This Row],[Discount %]])</f>
        <v>18360</v>
      </c>
      <c r="Q1556">
        <f>Final_Table[[#This Row],[Net Revenue]]*Final_Table[[#This Row],[Variable Cost %]]</f>
        <v>3304.7999999999997</v>
      </c>
      <c r="R1556">
        <f>Final_Table[[#This Row],[Variable Cost]]+Final_Table[[#This Row],[Fixed Monthly Cost]]</f>
        <v>21304.799999999999</v>
      </c>
      <c r="S1556" s="5">
        <f>Final_Table[[#This Row],[Net Revenue]]-Final_Table[[#This Row],[Total Cost (COGS)]]</f>
        <v>-2944.7999999999993</v>
      </c>
      <c r="T1556">
        <f>Final_Table[[#This Row],[Gross Profit]]*Final_Table[[#This Row],[Tax Rate]]</f>
        <v>-883.43999999999971</v>
      </c>
      <c r="U1556" s="5">
        <f>Final_Table[[#This Row],[Gross Profit]]-Final_Table[[#This Row],[Tax]]</f>
        <v>-2061.3599999999997</v>
      </c>
      <c r="V1556" s="12">
        <f>Final_Table[[#This Row],[Net Profit]]/Final_Table[[#This Row],[Gross Revenue]]</f>
        <v>-0.10104705882352939</v>
      </c>
    </row>
    <row r="1557" spans="1:22">
      <c r="A1557" s="18" t="s">
        <v>70</v>
      </c>
      <c r="B1557">
        <v>2014</v>
      </c>
      <c r="C1557" t="s">
        <v>130</v>
      </c>
      <c r="D1557">
        <v>1</v>
      </c>
      <c r="E1557" s="18" t="s">
        <v>22</v>
      </c>
      <c r="F1557" s="18" t="s">
        <v>108</v>
      </c>
      <c r="G1557" s="18" t="s">
        <v>36</v>
      </c>
      <c r="H1557" s="18" t="str">
        <f>Assumptions!$B$2</f>
        <v>Worst</v>
      </c>
      <c r="I1557" s="18">
        <f>_xlfn.XLOOKUP(Assumptions!$B$2,Assumptions!$F$4:$H$4,Assumptions!$F$5:$H$5)</f>
        <v>1200</v>
      </c>
      <c r="J1557" s="18">
        <f>_xlfn.XLOOKUP(Assumptions!$B$2,Assumptions!$F$4:$H$4,Assumptions!$F$6:$H$6)</f>
        <v>17</v>
      </c>
      <c r="K1557" s="12">
        <f>_xlfn.XLOOKUP(Assumptions!$B$2,Assumptions!$F$4:$H$4,Assumptions!$F$8:$H$8)</f>
        <v>0.1</v>
      </c>
      <c r="L1557" s="12">
        <f>_xlfn.XLOOKUP(Assumptions!$B$2,Assumptions!$F$4:$H$4,Assumptions!$F$9:$H$9)</f>
        <v>0.18</v>
      </c>
      <c r="M1557" s="18">
        <f>_xlfn.XLOOKUP(Assumptions!$B$2,Assumptions!$F$4:$H$4,Assumptions!$F$10:$H$10)</f>
        <v>18000</v>
      </c>
      <c r="N1557" s="12">
        <f>_xlfn.XLOOKUP(Assumptions!$B$2,Assumptions!$F$4:$H$4,Assumptions!$F$11:$H$11)</f>
        <v>0.3</v>
      </c>
      <c r="O1557" s="14">
        <f>Final_Table[[#This Row],[Units Sold]]*Final_Table[[#This Row],[Sale Price]]</f>
        <v>20400</v>
      </c>
      <c r="P1557" s="14">
        <f>Final_Table[[#This Row],[Gross Revenue]]*(1-Final_Table[[#This Row],[Discount %]])</f>
        <v>18360</v>
      </c>
      <c r="Q1557">
        <f>Final_Table[[#This Row],[Net Revenue]]*Final_Table[[#This Row],[Variable Cost %]]</f>
        <v>3304.7999999999997</v>
      </c>
      <c r="R1557">
        <f>Final_Table[[#This Row],[Variable Cost]]+Final_Table[[#This Row],[Fixed Monthly Cost]]</f>
        <v>21304.799999999999</v>
      </c>
      <c r="S1557" s="5">
        <f>Final_Table[[#This Row],[Net Revenue]]-Final_Table[[#This Row],[Total Cost (COGS)]]</f>
        <v>-2944.7999999999993</v>
      </c>
      <c r="T1557">
        <f>Final_Table[[#This Row],[Gross Profit]]*Final_Table[[#This Row],[Tax Rate]]</f>
        <v>-883.43999999999971</v>
      </c>
      <c r="U1557" s="5">
        <f>Final_Table[[#This Row],[Gross Profit]]-Final_Table[[#This Row],[Tax]]</f>
        <v>-2061.3599999999997</v>
      </c>
      <c r="V1557" s="12">
        <f>Final_Table[[#This Row],[Net Profit]]/Final_Table[[#This Row],[Gross Revenue]]</f>
        <v>-0.10104705882352939</v>
      </c>
    </row>
    <row r="1558" spans="1:22">
      <c r="A1558" s="18" t="s">
        <v>70</v>
      </c>
      <c r="B1558">
        <v>2014</v>
      </c>
      <c r="C1558" t="s">
        <v>130</v>
      </c>
      <c r="D1558">
        <v>1</v>
      </c>
      <c r="E1558" s="18" t="s">
        <v>22</v>
      </c>
      <c r="F1558" s="18" t="s">
        <v>108</v>
      </c>
      <c r="G1558" s="18" t="s">
        <v>23</v>
      </c>
      <c r="H1558" s="18" t="str">
        <f>Assumptions!$B$2</f>
        <v>Worst</v>
      </c>
      <c r="I1558" s="18">
        <f>_xlfn.XLOOKUP(Assumptions!$B$2,Assumptions!$F$4:$H$4,Assumptions!$F$5:$H$5)</f>
        <v>1200</v>
      </c>
      <c r="J1558" s="18">
        <f>_xlfn.XLOOKUP(Assumptions!$B$2,Assumptions!$F$4:$H$4,Assumptions!$F$6:$H$6)</f>
        <v>17</v>
      </c>
      <c r="K1558" s="12">
        <f>_xlfn.XLOOKUP(Assumptions!$B$2,Assumptions!$F$4:$H$4,Assumptions!$F$8:$H$8)</f>
        <v>0.1</v>
      </c>
      <c r="L1558" s="12">
        <f>_xlfn.XLOOKUP(Assumptions!$B$2,Assumptions!$F$4:$H$4,Assumptions!$F$9:$H$9)</f>
        <v>0.18</v>
      </c>
      <c r="M1558" s="18">
        <f>_xlfn.XLOOKUP(Assumptions!$B$2,Assumptions!$F$4:$H$4,Assumptions!$F$10:$H$10)</f>
        <v>18000</v>
      </c>
      <c r="N1558" s="12">
        <f>_xlfn.XLOOKUP(Assumptions!$B$2,Assumptions!$F$4:$H$4,Assumptions!$F$11:$H$11)</f>
        <v>0.3</v>
      </c>
      <c r="O1558" s="14">
        <f>Final_Table[[#This Row],[Units Sold]]*Final_Table[[#This Row],[Sale Price]]</f>
        <v>20400</v>
      </c>
      <c r="P1558" s="14">
        <f>Final_Table[[#This Row],[Gross Revenue]]*(1-Final_Table[[#This Row],[Discount %]])</f>
        <v>18360</v>
      </c>
      <c r="Q1558">
        <f>Final_Table[[#This Row],[Net Revenue]]*Final_Table[[#This Row],[Variable Cost %]]</f>
        <v>3304.7999999999997</v>
      </c>
      <c r="R1558">
        <f>Final_Table[[#This Row],[Variable Cost]]+Final_Table[[#This Row],[Fixed Monthly Cost]]</f>
        <v>21304.799999999999</v>
      </c>
      <c r="S1558" s="5">
        <f>Final_Table[[#This Row],[Net Revenue]]-Final_Table[[#This Row],[Total Cost (COGS)]]</f>
        <v>-2944.7999999999993</v>
      </c>
      <c r="T1558">
        <f>Final_Table[[#This Row],[Gross Profit]]*Final_Table[[#This Row],[Tax Rate]]</f>
        <v>-883.43999999999971</v>
      </c>
      <c r="U1558" s="5">
        <f>Final_Table[[#This Row],[Gross Profit]]-Final_Table[[#This Row],[Tax]]</f>
        <v>-2061.3599999999997</v>
      </c>
      <c r="V1558" s="12">
        <f>Final_Table[[#This Row],[Net Profit]]/Final_Table[[#This Row],[Gross Revenue]]</f>
        <v>-0.10104705882352939</v>
      </c>
    </row>
    <row r="1559" spans="1:22">
      <c r="A1559" s="18" t="s">
        <v>70</v>
      </c>
      <c r="B1559">
        <v>2014</v>
      </c>
      <c r="C1559" t="s">
        <v>130</v>
      </c>
      <c r="D1559">
        <v>1</v>
      </c>
      <c r="E1559" s="18" t="s">
        <v>22</v>
      </c>
      <c r="F1559" s="18" t="s">
        <v>108</v>
      </c>
      <c r="G1559" s="18" t="s">
        <v>21</v>
      </c>
      <c r="H1559" s="18" t="str">
        <f>Assumptions!$B$2</f>
        <v>Worst</v>
      </c>
      <c r="I1559" s="18">
        <f>_xlfn.XLOOKUP(Assumptions!$B$2,Assumptions!$F$4:$H$4,Assumptions!$F$5:$H$5)</f>
        <v>1200</v>
      </c>
      <c r="J1559" s="18">
        <f>_xlfn.XLOOKUP(Assumptions!$B$2,Assumptions!$F$4:$H$4,Assumptions!$F$6:$H$6)</f>
        <v>17</v>
      </c>
      <c r="K1559" s="12">
        <f>_xlfn.XLOOKUP(Assumptions!$B$2,Assumptions!$F$4:$H$4,Assumptions!$F$8:$H$8)</f>
        <v>0.1</v>
      </c>
      <c r="L1559" s="12">
        <f>_xlfn.XLOOKUP(Assumptions!$B$2,Assumptions!$F$4:$H$4,Assumptions!$F$9:$H$9)</f>
        <v>0.18</v>
      </c>
      <c r="M1559" s="18">
        <f>_xlfn.XLOOKUP(Assumptions!$B$2,Assumptions!$F$4:$H$4,Assumptions!$F$10:$H$10)</f>
        <v>18000</v>
      </c>
      <c r="N1559" s="12">
        <f>_xlfn.XLOOKUP(Assumptions!$B$2,Assumptions!$F$4:$H$4,Assumptions!$F$11:$H$11)</f>
        <v>0.3</v>
      </c>
      <c r="O1559" s="14">
        <f>Final_Table[[#This Row],[Units Sold]]*Final_Table[[#This Row],[Sale Price]]</f>
        <v>20400</v>
      </c>
      <c r="P1559" s="14">
        <f>Final_Table[[#This Row],[Gross Revenue]]*(1-Final_Table[[#This Row],[Discount %]])</f>
        <v>18360</v>
      </c>
      <c r="Q1559">
        <f>Final_Table[[#This Row],[Net Revenue]]*Final_Table[[#This Row],[Variable Cost %]]</f>
        <v>3304.7999999999997</v>
      </c>
      <c r="R1559">
        <f>Final_Table[[#This Row],[Variable Cost]]+Final_Table[[#This Row],[Fixed Monthly Cost]]</f>
        <v>21304.799999999999</v>
      </c>
      <c r="S1559" s="5">
        <f>Final_Table[[#This Row],[Net Revenue]]-Final_Table[[#This Row],[Total Cost (COGS)]]</f>
        <v>-2944.7999999999993</v>
      </c>
      <c r="T1559">
        <f>Final_Table[[#This Row],[Gross Profit]]*Final_Table[[#This Row],[Tax Rate]]</f>
        <v>-883.43999999999971</v>
      </c>
      <c r="U1559" s="5">
        <f>Final_Table[[#This Row],[Gross Profit]]-Final_Table[[#This Row],[Tax]]</f>
        <v>-2061.3599999999997</v>
      </c>
      <c r="V1559" s="12">
        <f>Final_Table[[#This Row],[Net Profit]]/Final_Table[[#This Row],[Gross Revenue]]</f>
        <v>-0.10104705882352939</v>
      </c>
    </row>
    <row r="1560" spans="1:22">
      <c r="A1560" s="18" t="s">
        <v>70</v>
      </c>
      <c r="B1560">
        <v>2014</v>
      </c>
      <c r="C1560" t="s">
        <v>130</v>
      </c>
      <c r="D1560">
        <v>1</v>
      </c>
      <c r="E1560" s="18" t="s">
        <v>22</v>
      </c>
      <c r="F1560" s="18" t="s">
        <v>108</v>
      </c>
      <c r="G1560" s="18" t="s">
        <v>25</v>
      </c>
      <c r="H1560" s="18" t="str">
        <f>Assumptions!$B$2</f>
        <v>Worst</v>
      </c>
      <c r="I1560" s="18">
        <f>_xlfn.XLOOKUP(Assumptions!$B$2,Assumptions!$F$4:$H$4,Assumptions!$F$5:$H$5)</f>
        <v>1200</v>
      </c>
      <c r="J1560" s="18">
        <f>_xlfn.XLOOKUP(Assumptions!$B$2,Assumptions!$F$4:$H$4,Assumptions!$F$6:$H$6)</f>
        <v>17</v>
      </c>
      <c r="K1560" s="12">
        <f>_xlfn.XLOOKUP(Assumptions!$B$2,Assumptions!$F$4:$H$4,Assumptions!$F$8:$H$8)</f>
        <v>0.1</v>
      </c>
      <c r="L1560" s="12">
        <f>_xlfn.XLOOKUP(Assumptions!$B$2,Assumptions!$F$4:$H$4,Assumptions!$F$9:$H$9)</f>
        <v>0.18</v>
      </c>
      <c r="M1560" s="18">
        <f>_xlfn.XLOOKUP(Assumptions!$B$2,Assumptions!$F$4:$H$4,Assumptions!$F$10:$H$10)</f>
        <v>18000</v>
      </c>
      <c r="N1560" s="12">
        <f>_xlfn.XLOOKUP(Assumptions!$B$2,Assumptions!$F$4:$H$4,Assumptions!$F$11:$H$11)</f>
        <v>0.3</v>
      </c>
      <c r="O1560" s="14">
        <f>Final_Table[[#This Row],[Units Sold]]*Final_Table[[#This Row],[Sale Price]]</f>
        <v>20400</v>
      </c>
      <c r="P1560" s="14">
        <f>Final_Table[[#This Row],[Gross Revenue]]*(1-Final_Table[[#This Row],[Discount %]])</f>
        <v>18360</v>
      </c>
      <c r="Q1560">
        <f>Final_Table[[#This Row],[Net Revenue]]*Final_Table[[#This Row],[Variable Cost %]]</f>
        <v>3304.7999999999997</v>
      </c>
      <c r="R1560">
        <f>Final_Table[[#This Row],[Variable Cost]]+Final_Table[[#This Row],[Fixed Monthly Cost]]</f>
        <v>21304.799999999999</v>
      </c>
      <c r="S1560" s="5">
        <f>Final_Table[[#This Row],[Net Revenue]]-Final_Table[[#This Row],[Total Cost (COGS)]]</f>
        <v>-2944.7999999999993</v>
      </c>
      <c r="T1560">
        <f>Final_Table[[#This Row],[Gross Profit]]*Final_Table[[#This Row],[Tax Rate]]</f>
        <v>-883.43999999999971</v>
      </c>
      <c r="U1560" s="5">
        <f>Final_Table[[#This Row],[Gross Profit]]-Final_Table[[#This Row],[Tax]]</f>
        <v>-2061.3599999999997</v>
      </c>
      <c r="V1560" s="12">
        <f>Final_Table[[#This Row],[Net Profit]]/Final_Table[[#This Row],[Gross Revenue]]</f>
        <v>-0.10104705882352939</v>
      </c>
    </row>
    <row r="1561" spans="1:22">
      <c r="A1561" s="18" t="s">
        <v>70</v>
      </c>
      <c r="B1561">
        <v>2014</v>
      </c>
      <c r="C1561" t="s">
        <v>130</v>
      </c>
      <c r="D1561">
        <v>1</v>
      </c>
      <c r="E1561" s="18" t="s">
        <v>22</v>
      </c>
      <c r="F1561" s="18" t="s">
        <v>108</v>
      </c>
      <c r="G1561" s="18" t="s">
        <v>17</v>
      </c>
      <c r="H1561" s="18" t="str">
        <f>Assumptions!$B$2</f>
        <v>Worst</v>
      </c>
      <c r="I1561" s="18">
        <f>_xlfn.XLOOKUP(Assumptions!$B$2,Assumptions!$F$4:$H$4,Assumptions!$F$5:$H$5)</f>
        <v>1200</v>
      </c>
      <c r="J1561" s="18">
        <f>_xlfn.XLOOKUP(Assumptions!$B$2,Assumptions!$F$4:$H$4,Assumptions!$F$6:$H$6)</f>
        <v>17</v>
      </c>
      <c r="K1561" s="12">
        <f>_xlfn.XLOOKUP(Assumptions!$B$2,Assumptions!$F$4:$H$4,Assumptions!$F$8:$H$8)</f>
        <v>0.1</v>
      </c>
      <c r="L1561" s="12">
        <f>_xlfn.XLOOKUP(Assumptions!$B$2,Assumptions!$F$4:$H$4,Assumptions!$F$9:$H$9)</f>
        <v>0.18</v>
      </c>
      <c r="M1561" s="18">
        <f>_xlfn.XLOOKUP(Assumptions!$B$2,Assumptions!$F$4:$H$4,Assumptions!$F$10:$H$10)</f>
        <v>18000</v>
      </c>
      <c r="N1561" s="12">
        <f>_xlfn.XLOOKUP(Assumptions!$B$2,Assumptions!$F$4:$H$4,Assumptions!$F$11:$H$11)</f>
        <v>0.3</v>
      </c>
      <c r="O1561" s="14">
        <f>Final_Table[[#This Row],[Units Sold]]*Final_Table[[#This Row],[Sale Price]]</f>
        <v>20400</v>
      </c>
      <c r="P1561" s="14">
        <f>Final_Table[[#This Row],[Gross Revenue]]*(1-Final_Table[[#This Row],[Discount %]])</f>
        <v>18360</v>
      </c>
      <c r="Q1561">
        <f>Final_Table[[#This Row],[Net Revenue]]*Final_Table[[#This Row],[Variable Cost %]]</f>
        <v>3304.7999999999997</v>
      </c>
      <c r="R1561">
        <f>Final_Table[[#This Row],[Variable Cost]]+Final_Table[[#This Row],[Fixed Monthly Cost]]</f>
        <v>21304.799999999999</v>
      </c>
      <c r="S1561" s="5">
        <f>Final_Table[[#This Row],[Net Revenue]]-Final_Table[[#This Row],[Total Cost (COGS)]]</f>
        <v>-2944.7999999999993</v>
      </c>
      <c r="T1561">
        <f>Final_Table[[#This Row],[Gross Profit]]*Final_Table[[#This Row],[Tax Rate]]</f>
        <v>-883.43999999999971</v>
      </c>
      <c r="U1561" s="5">
        <f>Final_Table[[#This Row],[Gross Profit]]-Final_Table[[#This Row],[Tax]]</f>
        <v>-2061.3599999999997</v>
      </c>
      <c r="V1561" s="12">
        <f>Final_Table[[#This Row],[Net Profit]]/Final_Table[[#This Row],[Gross Revenue]]</f>
        <v>-0.10104705882352939</v>
      </c>
    </row>
    <row r="1562" spans="1:22">
      <c r="A1562" s="18" t="s">
        <v>70</v>
      </c>
      <c r="B1562">
        <v>2014</v>
      </c>
      <c r="C1562" t="s">
        <v>130</v>
      </c>
      <c r="D1562">
        <v>1</v>
      </c>
      <c r="E1562" s="18" t="s">
        <v>22</v>
      </c>
      <c r="F1562" s="18" t="s">
        <v>112</v>
      </c>
      <c r="G1562" s="18" t="s">
        <v>36</v>
      </c>
      <c r="H1562" s="18" t="str">
        <f>Assumptions!$B$2</f>
        <v>Worst</v>
      </c>
      <c r="I1562" s="18">
        <f>_xlfn.XLOOKUP(Assumptions!$B$2,Assumptions!$F$4:$H$4,Assumptions!$F$5:$H$5)</f>
        <v>1200</v>
      </c>
      <c r="J1562" s="18">
        <f>_xlfn.XLOOKUP(Assumptions!$B$2,Assumptions!$F$4:$H$4,Assumptions!$F$6:$H$6)</f>
        <v>17</v>
      </c>
      <c r="K1562" s="12">
        <f>_xlfn.XLOOKUP(Assumptions!$B$2,Assumptions!$F$4:$H$4,Assumptions!$F$8:$H$8)</f>
        <v>0.1</v>
      </c>
      <c r="L1562" s="12">
        <f>_xlfn.XLOOKUP(Assumptions!$B$2,Assumptions!$F$4:$H$4,Assumptions!$F$9:$H$9)</f>
        <v>0.18</v>
      </c>
      <c r="M1562" s="18">
        <f>_xlfn.XLOOKUP(Assumptions!$B$2,Assumptions!$F$4:$H$4,Assumptions!$F$10:$H$10)</f>
        <v>18000</v>
      </c>
      <c r="N1562" s="12">
        <f>_xlfn.XLOOKUP(Assumptions!$B$2,Assumptions!$F$4:$H$4,Assumptions!$F$11:$H$11)</f>
        <v>0.3</v>
      </c>
      <c r="O1562" s="14">
        <f>Final_Table[[#This Row],[Units Sold]]*Final_Table[[#This Row],[Sale Price]]</f>
        <v>20400</v>
      </c>
      <c r="P1562" s="14">
        <f>Final_Table[[#This Row],[Gross Revenue]]*(1-Final_Table[[#This Row],[Discount %]])</f>
        <v>18360</v>
      </c>
      <c r="Q1562">
        <f>Final_Table[[#This Row],[Net Revenue]]*Final_Table[[#This Row],[Variable Cost %]]</f>
        <v>3304.7999999999997</v>
      </c>
      <c r="R1562">
        <f>Final_Table[[#This Row],[Variable Cost]]+Final_Table[[#This Row],[Fixed Monthly Cost]]</f>
        <v>21304.799999999999</v>
      </c>
      <c r="S1562" s="5">
        <f>Final_Table[[#This Row],[Net Revenue]]-Final_Table[[#This Row],[Total Cost (COGS)]]</f>
        <v>-2944.7999999999993</v>
      </c>
      <c r="T1562">
        <f>Final_Table[[#This Row],[Gross Profit]]*Final_Table[[#This Row],[Tax Rate]]</f>
        <v>-883.43999999999971</v>
      </c>
      <c r="U1562" s="5">
        <f>Final_Table[[#This Row],[Gross Profit]]-Final_Table[[#This Row],[Tax]]</f>
        <v>-2061.3599999999997</v>
      </c>
      <c r="V1562" s="12">
        <f>Final_Table[[#This Row],[Net Profit]]/Final_Table[[#This Row],[Gross Revenue]]</f>
        <v>-0.10104705882352939</v>
      </c>
    </row>
    <row r="1563" spans="1:22">
      <c r="A1563" s="18" t="s">
        <v>70</v>
      </c>
      <c r="B1563">
        <v>2014</v>
      </c>
      <c r="C1563" t="s">
        <v>130</v>
      </c>
      <c r="D1563">
        <v>1</v>
      </c>
      <c r="E1563" s="18" t="s">
        <v>22</v>
      </c>
      <c r="F1563" s="18" t="s">
        <v>112</v>
      </c>
      <c r="G1563" s="18" t="s">
        <v>23</v>
      </c>
      <c r="H1563" s="18" t="str">
        <f>Assumptions!$B$2</f>
        <v>Worst</v>
      </c>
      <c r="I1563" s="18">
        <f>_xlfn.XLOOKUP(Assumptions!$B$2,Assumptions!$F$4:$H$4,Assumptions!$F$5:$H$5)</f>
        <v>1200</v>
      </c>
      <c r="J1563" s="18">
        <f>_xlfn.XLOOKUP(Assumptions!$B$2,Assumptions!$F$4:$H$4,Assumptions!$F$6:$H$6)</f>
        <v>17</v>
      </c>
      <c r="K1563" s="12">
        <f>_xlfn.XLOOKUP(Assumptions!$B$2,Assumptions!$F$4:$H$4,Assumptions!$F$8:$H$8)</f>
        <v>0.1</v>
      </c>
      <c r="L1563" s="12">
        <f>_xlfn.XLOOKUP(Assumptions!$B$2,Assumptions!$F$4:$H$4,Assumptions!$F$9:$H$9)</f>
        <v>0.18</v>
      </c>
      <c r="M1563" s="18">
        <f>_xlfn.XLOOKUP(Assumptions!$B$2,Assumptions!$F$4:$H$4,Assumptions!$F$10:$H$10)</f>
        <v>18000</v>
      </c>
      <c r="N1563" s="12">
        <f>_xlfn.XLOOKUP(Assumptions!$B$2,Assumptions!$F$4:$H$4,Assumptions!$F$11:$H$11)</f>
        <v>0.3</v>
      </c>
      <c r="O1563" s="14">
        <f>Final_Table[[#This Row],[Units Sold]]*Final_Table[[#This Row],[Sale Price]]</f>
        <v>20400</v>
      </c>
      <c r="P1563" s="14">
        <f>Final_Table[[#This Row],[Gross Revenue]]*(1-Final_Table[[#This Row],[Discount %]])</f>
        <v>18360</v>
      </c>
      <c r="Q1563">
        <f>Final_Table[[#This Row],[Net Revenue]]*Final_Table[[#This Row],[Variable Cost %]]</f>
        <v>3304.7999999999997</v>
      </c>
      <c r="R1563">
        <f>Final_Table[[#This Row],[Variable Cost]]+Final_Table[[#This Row],[Fixed Monthly Cost]]</f>
        <v>21304.799999999999</v>
      </c>
      <c r="S1563" s="5">
        <f>Final_Table[[#This Row],[Net Revenue]]-Final_Table[[#This Row],[Total Cost (COGS)]]</f>
        <v>-2944.7999999999993</v>
      </c>
      <c r="T1563">
        <f>Final_Table[[#This Row],[Gross Profit]]*Final_Table[[#This Row],[Tax Rate]]</f>
        <v>-883.43999999999971</v>
      </c>
      <c r="U1563" s="5">
        <f>Final_Table[[#This Row],[Gross Profit]]-Final_Table[[#This Row],[Tax]]</f>
        <v>-2061.3599999999997</v>
      </c>
      <c r="V1563" s="12">
        <f>Final_Table[[#This Row],[Net Profit]]/Final_Table[[#This Row],[Gross Revenue]]</f>
        <v>-0.10104705882352939</v>
      </c>
    </row>
    <row r="1564" spans="1:22">
      <c r="A1564" s="18" t="s">
        <v>70</v>
      </c>
      <c r="B1564">
        <v>2014</v>
      </c>
      <c r="C1564" t="s">
        <v>130</v>
      </c>
      <c r="D1564">
        <v>1</v>
      </c>
      <c r="E1564" s="18" t="s">
        <v>22</v>
      </c>
      <c r="F1564" s="18" t="s">
        <v>112</v>
      </c>
      <c r="G1564" s="18" t="s">
        <v>21</v>
      </c>
      <c r="H1564" s="18" t="str">
        <f>Assumptions!$B$2</f>
        <v>Worst</v>
      </c>
      <c r="I1564" s="18">
        <f>_xlfn.XLOOKUP(Assumptions!$B$2,Assumptions!$F$4:$H$4,Assumptions!$F$5:$H$5)</f>
        <v>1200</v>
      </c>
      <c r="J1564" s="18">
        <f>_xlfn.XLOOKUP(Assumptions!$B$2,Assumptions!$F$4:$H$4,Assumptions!$F$6:$H$6)</f>
        <v>17</v>
      </c>
      <c r="K1564" s="12">
        <f>_xlfn.XLOOKUP(Assumptions!$B$2,Assumptions!$F$4:$H$4,Assumptions!$F$8:$H$8)</f>
        <v>0.1</v>
      </c>
      <c r="L1564" s="12">
        <f>_xlfn.XLOOKUP(Assumptions!$B$2,Assumptions!$F$4:$H$4,Assumptions!$F$9:$H$9)</f>
        <v>0.18</v>
      </c>
      <c r="M1564" s="18">
        <f>_xlfn.XLOOKUP(Assumptions!$B$2,Assumptions!$F$4:$H$4,Assumptions!$F$10:$H$10)</f>
        <v>18000</v>
      </c>
      <c r="N1564" s="12">
        <f>_xlfn.XLOOKUP(Assumptions!$B$2,Assumptions!$F$4:$H$4,Assumptions!$F$11:$H$11)</f>
        <v>0.3</v>
      </c>
      <c r="O1564" s="14">
        <f>Final_Table[[#This Row],[Units Sold]]*Final_Table[[#This Row],[Sale Price]]</f>
        <v>20400</v>
      </c>
      <c r="P1564" s="14">
        <f>Final_Table[[#This Row],[Gross Revenue]]*(1-Final_Table[[#This Row],[Discount %]])</f>
        <v>18360</v>
      </c>
      <c r="Q1564">
        <f>Final_Table[[#This Row],[Net Revenue]]*Final_Table[[#This Row],[Variable Cost %]]</f>
        <v>3304.7999999999997</v>
      </c>
      <c r="R1564">
        <f>Final_Table[[#This Row],[Variable Cost]]+Final_Table[[#This Row],[Fixed Monthly Cost]]</f>
        <v>21304.799999999999</v>
      </c>
      <c r="S1564" s="5">
        <f>Final_Table[[#This Row],[Net Revenue]]-Final_Table[[#This Row],[Total Cost (COGS)]]</f>
        <v>-2944.7999999999993</v>
      </c>
      <c r="T1564">
        <f>Final_Table[[#This Row],[Gross Profit]]*Final_Table[[#This Row],[Tax Rate]]</f>
        <v>-883.43999999999971</v>
      </c>
      <c r="U1564" s="5">
        <f>Final_Table[[#This Row],[Gross Profit]]-Final_Table[[#This Row],[Tax]]</f>
        <v>-2061.3599999999997</v>
      </c>
      <c r="V1564" s="12">
        <f>Final_Table[[#This Row],[Net Profit]]/Final_Table[[#This Row],[Gross Revenue]]</f>
        <v>-0.10104705882352939</v>
      </c>
    </row>
    <row r="1565" spans="1:22">
      <c r="A1565" s="18" t="s">
        <v>70</v>
      </c>
      <c r="B1565">
        <v>2014</v>
      </c>
      <c r="C1565" t="s">
        <v>130</v>
      </c>
      <c r="D1565">
        <v>1</v>
      </c>
      <c r="E1565" s="18" t="s">
        <v>22</v>
      </c>
      <c r="F1565" s="18" t="s">
        <v>112</v>
      </c>
      <c r="G1565" s="18" t="s">
        <v>25</v>
      </c>
      <c r="H1565" s="18" t="str">
        <f>Assumptions!$B$2</f>
        <v>Worst</v>
      </c>
      <c r="I1565" s="18">
        <f>_xlfn.XLOOKUP(Assumptions!$B$2,Assumptions!$F$4:$H$4,Assumptions!$F$5:$H$5)</f>
        <v>1200</v>
      </c>
      <c r="J1565" s="18">
        <f>_xlfn.XLOOKUP(Assumptions!$B$2,Assumptions!$F$4:$H$4,Assumptions!$F$6:$H$6)</f>
        <v>17</v>
      </c>
      <c r="K1565" s="12">
        <f>_xlfn.XLOOKUP(Assumptions!$B$2,Assumptions!$F$4:$H$4,Assumptions!$F$8:$H$8)</f>
        <v>0.1</v>
      </c>
      <c r="L1565" s="12">
        <f>_xlfn.XLOOKUP(Assumptions!$B$2,Assumptions!$F$4:$H$4,Assumptions!$F$9:$H$9)</f>
        <v>0.18</v>
      </c>
      <c r="M1565" s="18">
        <f>_xlfn.XLOOKUP(Assumptions!$B$2,Assumptions!$F$4:$H$4,Assumptions!$F$10:$H$10)</f>
        <v>18000</v>
      </c>
      <c r="N1565" s="12">
        <f>_xlfn.XLOOKUP(Assumptions!$B$2,Assumptions!$F$4:$H$4,Assumptions!$F$11:$H$11)</f>
        <v>0.3</v>
      </c>
      <c r="O1565" s="14">
        <f>Final_Table[[#This Row],[Units Sold]]*Final_Table[[#This Row],[Sale Price]]</f>
        <v>20400</v>
      </c>
      <c r="P1565" s="14">
        <f>Final_Table[[#This Row],[Gross Revenue]]*(1-Final_Table[[#This Row],[Discount %]])</f>
        <v>18360</v>
      </c>
      <c r="Q1565">
        <f>Final_Table[[#This Row],[Net Revenue]]*Final_Table[[#This Row],[Variable Cost %]]</f>
        <v>3304.7999999999997</v>
      </c>
      <c r="R1565">
        <f>Final_Table[[#This Row],[Variable Cost]]+Final_Table[[#This Row],[Fixed Monthly Cost]]</f>
        <v>21304.799999999999</v>
      </c>
      <c r="S1565" s="5">
        <f>Final_Table[[#This Row],[Net Revenue]]-Final_Table[[#This Row],[Total Cost (COGS)]]</f>
        <v>-2944.7999999999993</v>
      </c>
      <c r="T1565">
        <f>Final_Table[[#This Row],[Gross Profit]]*Final_Table[[#This Row],[Tax Rate]]</f>
        <v>-883.43999999999971</v>
      </c>
      <c r="U1565" s="5">
        <f>Final_Table[[#This Row],[Gross Profit]]-Final_Table[[#This Row],[Tax]]</f>
        <v>-2061.3599999999997</v>
      </c>
      <c r="V1565" s="12">
        <f>Final_Table[[#This Row],[Net Profit]]/Final_Table[[#This Row],[Gross Revenue]]</f>
        <v>-0.10104705882352939</v>
      </c>
    </row>
    <row r="1566" spans="1:22">
      <c r="A1566" s="18" t="s">
        <v>70</v>
      </c>
      <c r="B1566">
        <v>2014</v>
      </c>
      <c r="C1566" t="s">
        <v>130</v>
      </c>
      <c r="D1566">
        <v>1</v>
      </c>
      <c r="E1566" s="18" t="s">
        <v>22</v>
      </c>
      <c r="F1566" s="18" t="s">
        <v>112</v>
      </c>
      <c r="G1566" s="18" t="s">
        <v>17</v>
      </c>
      <c r="H1566" s="18" t="str">
        <f>Assumptions!$B$2</f>
        <v>Worst</v>
      </c>
      <c r="I1566" s="18">
        <f>_xlfn.XLOOKUP(Assumptions!$B$2,Assumptions!$F$4:$H$4,Assumptions!$F$5:$H$5)</f>
        <v>1200</v>
      </c>
      <c r="J1566" s="18">
        <f>_xlfn.XLOOKUP(Assumptions!$B$2,Assumptions!$F$4:$H$4,Assumptions!$F$6:$H$6)</f>
        <v>17</v>
      </c>
      <c r="K1566" s="12">
        <f>_xlfn.XLOOKUP(Assumptions!$B$2,Assumptions!$F$4:$H$4,Assumptions!$F$8:$H$8)</f>
        <v>0.1</v>
      </c>
      <c r="L1566" s="12">
        <f>_xlfn.XLOOKUP(Assumptions!$B$2,Assumptions!$F$4:$H$4,Assumptions!$F$9:$H$9)</f>
        <v>0.18</v>
      </c>
      <c r="M1566" s="18">
        <f>_xlfn.XLOOKUP(Assumptions!$B$2,Assumptions!$F$4:$H$4,Assumptions!$F$10:$H$10)</f>
        <v>18000</v>
      </c>
      <c r="N1566" s="12">
        <f>_xlfn.XLOOKUP(Assumptions!$B$2,Assumptions!$F$4:$H$4,Assumptions!$F$11:$H$11)</f>
        <v>0.3</v>
      </c>
      <c r="O1566" s="14">
        <f>Final_Table[[#This Row],[Units Sold]]*Final_Table[[#This Row],[Sale Price]]</f>
        <v>20400</v>
      </c>
      <c r="P1566" s="14">
        <f>Final_Table[[#This Row],[Gross Revenue]]*(1-Final_Table[[#This Row],[Discount %]])</f>
        <v>18360</v>
      </c>
      <c r="Q1566">
        <f>Final_Table[[#This Row],[Net Revenue]]*Final_Table[[#This Row],[Variable Cost %]]</f>
        <v>3304.7999999999997</v>
      </c>
      <c r="R1566">
        <f>Final_Table[[#This Row],[Variable Cost]]+Final_Table[[#This Row],[Fixed Monthly Cost]]</f>
        <v>21304.799999999999</v>
      </c>
      <c r="S1566" s="5">
        <f>Final_Table[[#This Row],[Net Revenue]]-Final_Table[[#This Row],[Total Cost (COGS)]]</f>
        <v>-2944.7999999999993</v>
      </c>
      <c r="T1566">
        <f>Final_Table[[#This Row],[Gross Profit]]*Final_Table[[#This Row],[Tax Rate]]</f>
        <v>-883.43999999999971</v>
      </c>
      <c r="U1566" s="5">
        <f>Final_Table[[#This Row],[Gross Profit]]-Final_Table[[#This Row],[Tax]]</f>
        <v>-2061.3599999999997</v>
      </c>
      <c r="V1566" s="12">
        <f>Final_Table[[#This Row],[Net Profit]]/Final_Table[[#This Row],[Gross Revenue]]</f>
        <v>-0.10104705882352939</v>
      </c>
    </row>
    <row r="1567" spans="1:22">
      <c r="A1567" s="18" t="s">
        <v>70</v>
      </c>
      <c r="B1567">
        <v>2014</v>
      </c>
      <c r="C1567" t="s">
        <v>130</v>
      </c>
      <c r="D1567">
        <v>1</v>
      </c>
      <c r="E1567" s="18" t="s">
        <v>22</v>
      </c>
      <c r="F1567" s="18" t="s">
        <v>113</v>
      </c>
      <c r="G1567" s="18" t="s">
        <v>36</v>
      </c>
      <c r="H1567" s="18" t="str">
        <f>Assumptions!$B$2</f>
        <v>Worst</v>
      </c>
      <c r="I1567" s="18">
        <f>_xlfn.XLOOKUP(Assumptions!$B$2,Assumptions!$F$4:$H$4,Assumptions!$F$5:$H$5)</f>
        <v>1200</v>
      </c>
      <c r="J1567" s="18">
        <f>_xlfn.XLOOKUP(Assumptions!$B$2,Assumptions!$F$4:$H$4,Assumptions!$F$6:$H$6)</f>
        <v>17</v>
      </c>
      <c r="K1567" s="12">
        <f>_xlfn.XLOOKUP(Assumptions!$B$2,Assumptions!$F$4:$H$4,Assumptions!$F$8:$H$8)</f>
        <v>0.1</v>
      </c>
      <c r="L1567" s="12">
        <f>_xlfn.XLOOKUP(Assumptions!$B$2,Assumptions!$F$4:$H$4,Assumptions!$F$9:$H$9)</f>
        <v>0.18</v>
      </c>
      <c r="M1567" s="18">
        <f>_xlfn.XLOOKUP(Assumptions!$B$2,Assumptions!$F$4:$H$4,Assumptions!$F$10:$H$10)</f>
        <v>18000</v>
      </c>
      <c r="N1567" s="12">
        <f>_xlfn.XLOOKUP(Assumptions!$B$2,Assumptions!$F$4:$H$4,Assumptions!$F$11:$H$11)</f>
        <v>0.3</v>
      </c>
      <c r="O1567" s="14">
        <f>Final_Table[[#This Row],[Units Sold]]*Final_Table[[#This Row],[Sale Price]]</f>
        <v>20400</v>
      </c>
      <c r="P1567" s="14">
        <f>Final_Table[[#This Row],[Gross Revenue]]*(1-Final_Table[[#This Row],[Discount %]])</f>
        <v>18360</v>
      </c>
      <c r="Q1567">
        <f>Final_Table[[#This Row],[Net Revenue]]*Final_Table[[#This Row],[Variable Cost %]]</f>
        <v>3304.7999999999997</v>
      </c>
      <c r="R1567">
        <f>Final_Table[[#This Row],[Variable Cost]]+Final_Table[[#This Row],[Fixed Monthly Cost]]</f>
        <v>21304.799999999999</v>
      </c>
      <c r="S1567" s="5">
        <f>Final_Table[[#This Row],[Net Revenue]]-Final_Table[[#This Row],[Total Cost (COGS)]]</f>
        <v>-2944.7999999999993</v>
      </c>
      <c r="T1567">
        <f>Final_Table[[#This Row],[Gross Profit]]*Final_Table[[#This Row],[Tax Rate]]</f>
        <v>-883.43999999999971</v>
      </c>
      <c r="U1567" s="5">
        <f>Final_Table[[#This Row],[Gross Profit]]-Final_Table[[#This Row],[Tax]]</f>
        <v>-2061.3599999999997</v>
      </c>
      <c r="V1567" s="12">
        <f>Final_Table[[#This Row],[Net Profit]]/Final_Table[[#This Row],[Gross Revenue]]</f>
        <v>-0.10104705882352939</v>
      </c>
    </row>
    <row r="1568" spans="1:22">
      <c r="A1568" s="18" t="s">
        <v>70</v>
      </c>
      <c r="B1568">
        <v>2014</v>
      </c>
      <c r="C1568" t="s">
        <v>130</v>
      </c>
      <c r="D1568">
        <v>1</v>
      </c>
      <c r="E1568" s="18" t="s">
        <v>22</v>
      </c>
      <c r="F1568" s="18" t="s">
        <v>113</v>
      </c>
      <c r="G1568" s="18" t="s">
        <v>23</v>
      </c>
      <c r="H1568" s="18" t="str">
        <f>Assumptions!$B$2</f>
        <v>Worst</v>
      </c>
      <c r="I1568" s="18">
        <f>_xlfn.XLOOKUP(Assumptions!$B$2,Assumptions!$F$4:$H$4,Assumptions!$F$5:$H$5)</f>
        <v>1200</v>
      </c>
      <c r="J1568" s="18">
        <f>_xlfn.XLOOKUP(Assumptions!$B$2,Assumptions!$F$4:$H$4,Assumptions!$F$6:$H$6)</f>
        <v>17</v>
      </c>
      <c r="K1568" s="12">
        <f>_xlfn.XLOOKUP(Assumptions!$B$2,Assumptions!$F$4:$H$4,Assumptions!$F$8:$H$8)</f>
        <v>0.1</v>
      </c>
      <c r="L1568" s="12">
        <f>_xlfn.XLOOKUP(Assumptions!$B$2,Assumptions!$F$4:$H$4,Assumptions!$F$9:$H$9)</f>
        <v>0.18</v>
      </c>
      <c r="M1568" s="18">
        <f>_xlfn.XLOOKUP(Assumptions!$B$2,Assumptions!$F$4:$H$4,Assumptions!$F$10:$H$10)</f>
        <v>18000</v>
      </c>
      <c r="N1568" s="12">
        <f>_xlfn.XLOOKUP(Assumptions!$B$2,Assumptions!$F$4:$H$4,Assumptions!$F$11:$H$11)</f>
        <v>0.3</v>
      </c>
      <c r="O1568" s="14">
        <f>Final_Table[[#This Row],[Units Sold]]*Final_Table[[#This Row],[Sale Price]]</f>
        <v>20400</v>
      </c>
      <c r="P1568" s="14">
        <f>Final_Table[[#This Row],[Gross Revenue]]*(1-Final_Table[[#This Row],[Discount %]])</f>
        <v>18360</v>
      </c>
      <c r="Q1568">
        <f>Final_Table[[#This Row],[Net Revenue]]*Final_Table[[#This Row],[Variable Cost %]]</f>
        <v>3304.7999999999997</v>
      </c>
      <c r="R1568">
        <f>Final_Table[[#This Row],[Variable Cost]]+Final_Table[[#This Row],[Fixed Monthly Cost]]</f>
        <v>21304.799999999999</v>
      </c>
      <c r="S1568" s="5">
        <f>Final_Table[[#This Row],[Net Revenue]]-Final_Table[[#This Row],[Total Cost (COGS)]]</f>
        <v>-2944.7999999999993</v>
      </c>
      <c r="T1568">
        <f>Final_Table[[#This Row],[Gross Profit]]*Final_Table[[#This Row],[Tax Rate]]</f>
        <v>-883.43999999999971</v>
      </c>
      <c r="U1568" s="5">
        <f>Final_Table[[#This Row],[Gross Profit]]-Final_Table[[#This Row],[Tax]]</f>
        <v>-2061.3599999999997</v>
      </c>
      <c r="V1568" s="12">
        <f>Final_Table[[#This Row],[Net Profit]]/Final_Table[[#This Row],[Gross Revenue]]</f>
        <v>-0.10104705882352939</v>
      </c>
    </row>
    <row r="1569" spans="1:22">
      <c r="A1569" s="18" t="s">
        <v>70</v>
      </c>
      <c r="B1569">
        <v>2014</v>
      </c>
      <c r="C1569" t="s">
        <v>130</v>
      </c>
      <c r="D1569">
        <v>1</v>
      </c>
      <c r="E1569" s="18" t="s">
        <v>22</v>
      </c>
      <c r="F1569" s="18" t="s">
        <v>113</v>
      </c>
      <c r="G1569" s="18" t="s">
        <v>21</v>
      </c>
      <c r="H1569" s="18" t="str">
        <f>Assumptions!$B$2</f>
        <v>Worst</v>
      </c>
      <c r="I1569" s="18">
        <f>_xlfn.XLOOKUP(Assumptions!$B$2,Assumptions!$F$4:$H$4,Assumptions!$F$5:$H$5)</f>
        <v>1200</v>
      </c>
      <c r="J1569" s="18">
        <f>_xlfn.XLOOKUP(Assumptions!$B$2,Assumptions!$F$4:$H$4,Assumptions!$F$6:$H$6)</f>
        <v>17</v>
      </c>
      <c r="K1569" s="12">
        <f>_xlfn.XLOOKUP(Assumptions!$B$2,Assumptions!$F$4:$H$4,Assumptions!$F$8:$H$8)</f>
        <v>0.1</v>
      </c>
      <c r="L1569" s="12">
        <f>_xlfn.XLOOKUP(Assumptions!$B$2,Assumptions!$F$4:$H$4,Assumptions!$F$9:$H$9)</f>
        <v>0.18</v>
      </c>
      <c r="M1569" s="18">
        <f>_xlfn.XLOOKUP(Assumptions!$B$2,Assumptions!$F$4:$H$4,Assumptions!$F$10:$H$10)</f>
        <v>18000</v>
      </c>
      <c r="N1569" s="12">
        <f>_xlfn.XLOOKUP(Assumptions!$B$2,Assumptions!$F$4:$H$4,Assumptions!$F$11:$H$11)</f>
        <v>0.3</v>
      </c>
      <c r="O1569" s="14">
        <f>Final_Table[[#This Row],[Units Sold]]*Final_Table[[#This Row],[Sale Price]]</f>
        <v>20400</v>
      </c>
      <c r="P1569" s="14">
        <f>Final_Table[[#This Row],[Gross Revenue]]*(1-Final_Table[[#This Row],[Discount %]])</f>
        <v>18360</v>
      </c>
      <c r="Q1569">
        <f>Final_Table[[#This Row],[Net Revenue]]*Final_Table[[#This Row],[Variable Cost %]]</f>
        <v>3304.7999999999997</v>
      </c>
      <c r="R1569">
        <f>Final_Table[[#This Row],[Variable Cost]]+Final_Table[[#This Row],[Fixed Monthly Cost]]</f>
        <v>21304.799999999999</v>
      </c>
      <c r="S1569" s="5">
        <f>Final_Table[[#This Row],[Net Revenue]]-Final_Table[[#This Row],[Total Cost (COGS)]]</f>
        <v>-2944.7999999999993</v>
      </c>
      <c r="T1569">
        <f>Final_Table[[#This Row],[Gross Profit]]*Final_Table[[#This Row],[Tax Rate]]</f>
        <v>-883.43999999999971</v>
      </c>
      <c r="U1569" s="5">
        <f>Final_Table[[#This Row],[Gross Profit]]-Final_Table[[#This Row],[Tax]]</f>
        <v>-2061.3599999999997</v>
      </c>
      <c r="V1569" s="12">
        <f>Final_Table[[#This Row],[Net Profit]]/Final_Table[[#This Row],[Gross Revenue]]</f>
        <v>-0.10104705882352939</v>
      </c>
    </row>
    <row r="1570" spans="1:22">
      <c r="A1570" s="18" t="s">
        <v>70</v>
      </c>
      <c r="B1570">
        <v>2014</v>
      </c>
      <c r="C1570" t="s">
        <v>130</v>
      </c>
      <c r="D1570">
        <v>1</v>
      </c>
      <c r="E1570" s="18" t="s">
        <v>22</v>
      </c>
      <c r="F1570" s="18" t="s">
        <v>113</v>
      </c>
      <c r="G1570" s="18" t="s">
        <v>25</v>
      </c>
      <c r="H1570" s="18" t="str">
        <f>Assumptions!$B$2</f>
        <v>Worst</v>
      </c>
      <c r="I1570" s="18">
        <f>_xlfn.XLOOKUP(Assumptions!$B$2,Assumptions!$F$4:$H$4,Assumptions!$F$5:$H$5)</f>
        <v>1200</v>
      </c>
      <c r="J1570" s="18">
        <f>_xlfn.XLOOKUP(Assumptions!$B$2,Assumptions!$F$4:$H$4,Assumptions!$F$6:$H$6)</f>
        <v>17</v>
      </c>
      <c r="K1570" s="12">
        <f>_xlfn.XLOOKUP(Assumptions!$B$2,Assumptions!$F$4:$H$4,Assumptions!$F$8:$H$8)</f>
        <v>0.1</v>
      </c>
      <c r="L1570" s="12">
        <f>_xlfn.XLOOKUP(Assumptions!$B$2,Assumptions!$F$4:$H$4,Assumptions!$F$9:$H$9)</f>
        <v>0.18</v>
      </c>
      <c r="M1570" s="18">
        <f>_xlfn.XLOOKUP(Assumptions!$B$2,Assumptions!$F$4:$H$4,Assumptions!$F$10:$H$10)</f>
        <v>18000</v>
      </c>
      <c r="N1570" s="12">
        <f>_xlfn.XLOOKUP(Assumptions!$B$2,Assumptions!$F$4:$H$4,Assumptions!$F$11:$H$11)</f>
        <v>0.3</v>
      </c>
      <c r="O1570" s="14">
        <f>Final_Table[[#This Row],[Units Sold]]*Final_Table[[#This Row],[Sale Price]]</f>
        <v>20400</v>
      </c>
      <c r="P1570" s="14">
        <f>Final_Table[[#This Row],[Gross Revenue]]*(1-Final_Table[[#This Row],[Discount %]])</f>
        <v>18360</v>
      </c>
      <c r="Q1570">
        <f>Final_Table[[#This Row],[Net Revenue]]*Final_Table[[#This Row],[Variable Cost %]]</f>
        <v>3304.7999999999997</v>
      </c>
      <c r="R1570">
        <f>Final_Table[[#This Row],[Variable Cost]]+Final_Table[[#This Row],[Fixed Monthly Cost]]</f>
        <v>21304.799999999999</v>
      </c>
      <c r="S1570" s="5">
        <f>Final_Table[[#This Row],[Net Revenue]]-Final_Table[[#This Row],[Total Cost (COGS)]]</f>
        <v>-2944.7999999999993</v>
      </c>
      <c r="T1570">
        <f>Final_Table[[#This Row],[Gross Profit]]*Final_Table[[#This Row],[Tax Rate]]</f>
        <v>-883.43999999999971</v>
      </c>
      <c r="U1570" s="5">
        <f>Final_Table[[#This Row],[Gross Profit]]-Final_Table[[#This Row],[Tax]]</f>
        <v>-2061.3599999999997</v>
      </c>
      <c r="V1570" s="12">
        <f>Final_Table[[#This Row],[Net Profit]]/Final_Table[[#This Row],[Gross Revenue]]</f>
        <v>-0.10104705882352939</v>
      </c>
    </row>
    <row r="1571" spans="1:22">
      <c r="A1571" s="18" t="s">
        <v>70</v>
      </c>
      <c r="B1571">
        <v>2014</v>
      </c>
      <c r="C1571" t="s">
        <v>130</v>
      </c>
      <c r="D1571">
        <v>1</v>
      </c>
      <c r="E1571" s="18" t="s">
        <v>22</v>
      </c>
      <c r="F1571" s="18" t="s">
        <v>113</v>
      </c>
      <c r="G1571" s="18" t="s">
        <v>17</v>
      </c>
      <c r="H1571" s="18" t="str">
        <f>Assumptions!$B$2</f>
        <v>Worst</v>
      </c>
      <c r="I1571" s="18">
        <f>_xlfn.XLOOKUP(Assumptions!$B$2,Assumptions!$F$4:$H$4,Assumptions!$F$5:$H$5)</f>
        <v>1200</v>
      </c>
      <c r="J1571" s="18">
        <f>_xlfn.XLOOKUP(Assumptions!$B$2,Assumptions!$F$4:$H$4,Assumptions!$F$6:$H$6)</f>
        <v>17</v>
      </c>
      <c r="K1571" s="12">
        <f>_xlfn.XLOOKUP(Assumptions!$B$2,Assumptions!$F$4:$H$4,Assumptions!$F$8:$H$8)</f>
        <v>0.1</v>
      </c>
      <c r="L1571" s="12">
        <f>_xlfn.XLOOKUP(Assumptions!$B$2,Assumptions!$F$4:$H$4,Assumptions!$F$9:$H$9)</f>
        <v>0.18</v>
      </c>
      <c r="M1571" s="18">
        <f>_xlfn.XLOOKUP(Assumptions!$B$2,Assumptions!$F$4:$H$4,Assumptions!$F$10:$H$10)</f>
        <v>18000</v>
      </c>
      <c r="N1571" s="12">
        <f>_xlfn.XLOOKUP(Assumptions!$B$2,Assumptions!$F$4:$H$4,Assumptions!$F$11:$H$11)</f>
        <v>0.3</v>
      </c>
      <c r="O1571" s="14">
        <f>Final_Table[[#This Row],[Units Sold]]*Final_Table[[#This Row],[Sale Price]]</f>
        <v>20400</v>
      </c>
      <c r="P1571" s="14">
        <f>Final_Table[[#This Row],[Gross Revenue]]*(1-Final_Table[[#This Row],[Discount %]])</f>
        <v>18360</v>
      </c>
      <c r="Q1571">
        <f>Final_Table[[#This Row],[Net Revenue]]*Final_Table[[#This Row],[Variable Cost %]]</f>
        <v>3304.7999999999997</v>
      </c>
      <c r="R1571">
        <f>Final_Table[[#This Row],[Variable Cost]]+Final_Table[[#This Row],[Fixed Monthly Cost]]</f>
        <v>21304.799999999999</v>
      </c>
      <c r="S1571" s="5">
        <f>Final_Table[[#This Row],[Net Revenue]]-Final_Table[[#This Row],[Total Cost (COGS)]]</f>
        <v>-2944.7999999999993</v>
      </c>
      <c r="T1571">
        <f>Final_Table[[#This Row],[Gross Profit]]*Final_Table[[#This Row],[Tax Rate]]</f>
        <v>-883.43999999999971</v>
      </c>
      <c r="U1571" s="5">
        <f>Final_Table[[#This Row],[Gross Profit]]-Final_Table[[#This Row],[Tax]]</f>
        <v>-2061.3599999999997</v>
      </c>
      <c r="V1571" s="12">
        <f>Final_Table[[#This Row],[Net Profit]]/Final_Table[[#This Row],[Gross Revenue]]</f>
        <v>-0.10104705882352939</v>
      </c>
    </row>
    <row r="1572" spans="1:22">
      <c r="A1572" s="18" t="s">
        <v>70</v>
      </c>
      <c r="B1572">
        <v>2014</v>
      </c>
      <c r="C1572" t="s">
        <v>130</v>
      </c>
      <c r="D1572">
        <v>1</v>
      </c>
      <c r="E1572" s="18" t="s">
        <v>22</v>
      </c>
      <c r="F1572" s="18" t="s">
        <v>114</v>
      </c>
      <c r="G1572" s="18" t="s">
        <v>36</v>
      </c>
      <c r="H1572" s="18" t="str">
        <f>Assumptions!$B$2</f>
        <v>Worst</v>
      </c>
      <c r="I1572" s="18">
        <f>_xlfn.XLOOKUP(Assumptions!$B$2,Assumptions!$F$4:$H$4,Assumptions!$F$5:$H$5)</f>
        <v>1200</v>
      </c>
      <c r="J1572" s="18">
        <f>_xlfn.XLOOKUP(Assumptions!$B$2,Assumptions!$F$4:$H$4,Assumptions!$F$6:$H$6)</f>
        <v>17</v>
      </c>
      <c r="K1572" s="12">
        <f>_xlfn.XLOOKUP(Assumptions!$B$2,Assumptions!$F$4:$H$4,Assumptions!$F$8:$H$8)</f>
        <v>0.1</v>
      </c>
      <c r="L1572" s="12">
        <f>_xlfn.XLOOKUP(Assumptions!$B$2,Assumptions!$F$4:$H$4,Assumptions!$F$9:$H$9)</f>
        <v>0.18</v>
      </c>
      <c r="M1572" s="18">
        <f>_xlfn.XLOOKUP(Assumptions!$B$2,Assumptions!$F$4:$H$4,Assumptions!$F$10:$H$10)</f>
        <v>18000</v>
      </c>
      <c r="N1572" s="12">
        <f>_xlfn.XLOOKUP(Assumptions!$B$2,Assumptions!$F$4:$H$4,Assumptions!$F$11:$H$11)</f>
        <v>0.3</v>
      </c>
      <c r="O1572" s="14">
        <f>Final_Table[[#This Row],[Units Sold]]*Final_Table[[#This Row],[Sale Price]]</f>
        <v>20400</v>
      </c>
      <c r="P1572" s="14">
        <f>Final_Table[[#This Row],[Gross Revenue]]*(1-Final_Table[[#This Row],[Discount %]])</f>
        <v>18360</v>
      </c>
      <c r="Q1572">
        <f>Final_Table[[#This Row],[Net Revenue]]*Final_Table[[#This Row],[Variable Cost %]]</f>
        <v>3304.7999999999997</v>
      </c>
      <c r="R1572">
        <f>Final_Table[[#This Row],[Variable Cost]]+Final_Table[[#This Row],[Fixed Monthly Cost]]</f>
        <v>21304.799999999999</v>
      </c>
      <c r="S1572" s="5">
        <f>Final_Table[[#This Row],[Net Revenue]]-Final_Table[[#This Row],[Total Cost (COGS)]]</f>
        <v>-2944.7999999999993</v>
      </c>
      <c r="T1572">
        <f>Final_Table[[#This Row],[Gross Profit]]*Final_Table[[#This Row],[Tax Rate]]</f>
        <v>-883.43999999999971</v>
      </c>
      <c r="U1572" s="5">
        <f>Final_Table[[#This Row],[Gross Profit]]-Final_Table[[#This Row],[Tax]]</f>
        <v>-2061.3599999999997</v>
      </c>
      <c r="V1572" s="12">
        <f>Final_Table[[#This Row],[Net Profit]]/Final_Table[[#This Row],[Gross Revenue]]</f>
        <v>-0.10104705882352939</v>
      </c>
    </row>
    <row r="1573" spans="1:22">
      <c r="A1573" s="18" t="s">
        <v>70</v>
      </c>
      <c r="B1573">
        <v>2014</v>
      </c>
      <c r="C1573" t="s">
        <v>130</v>
      </c>
      <c r="D1573">
        <v>1</v>
      </c>
      <c r="E1573" s="18" t="s">
        <v>22</v>
      </c>
      <c r="F1573" s="18" t="s">
        <v>114</v>
      </c>
      <c r="G1573" s="18" t="s">
        <v>23</v>
      </c>
      <c r="H1573" s="18" t="str">
        <f>Assumptions!$B$2</f>
        <v>Worst</v>
      </c>
      <c r="I1573" s="18">
        <f>_xlfn.XLOOKUP(Assumptions!$B$2,Assumptions!$F$4:$H$4,Assumptions!$F$5:$H$5)</f>
        <v>1200</v>
      </c>
      <c r="J1573" s="18">
        <f>_xlfn.XLOOKUP(Assumptions!$B$2,Assumptions!$F$4:$H$4,Assumptions!$F$6:$H$6)</f>
        <v>17</v>
      </c>
      <c r="K1573" s="12">
        <f>_xlfn.XLOOKUP(Assumptions!$B$2,Assumptions!$F$4:$H$4,Assumptions!$F$8:$H$8)</f>
        <v>0.1</v>
      </c>
      <c r="L1573" s="12">
        <f>_xlfn.XLOOKUP(Assumptions!$B$2,Assumptions!$F$4:$H$4,Assumptions!$F$9:$H$9)</f>
        <v>0.18</v>
      </c>
      <c r="M1573" s="18">
        <f>_xlfn.XLOOKUP(Assumptions!$B$2,Assumptions!$F$4:$H$4,Assumptions!$F$10:$H$10)</f>
        <v>18000</v>
      </c>
      <c r="N1573" s="12">
        <f>_xlfn.XLOOKUP(Assumptions!$B$2,Assumptions!$F$4:$H$4,Assumptions!$F$11:$H$11)</f>
        <v>0.3</v>
      </c>
      <c r="O1573" s="14">
        <f>Final_Table[[#This Row],[Units Sold]]*Final_Table[[#This Row],[Sale Price]]</f>
        <v>20400</v>
      </c>
      <c r="P1573" s="14">
        <f>Final_Table[[#This Row],[Gross Revenue]]*(1-Final_Table[[#This Row],[Discount %]])</f>
        <v>18360</v>
      </c>
      <c r="Q1573">
        <f>Final_Table[[#This Row],[Net Revenue]]*Final_Table[[#This Row],[Variable Cost %]]</f>
        <v>3304.7999999999997</v>
      </c>
      <c r="R1573">
        <f>Final_Table[[#This Row],[Variable Cost]]+Final_Table[[#This Row],[Fixed Monthly Cost]]</f>
        <v>21304.799999999999</v>
      </c>
      <c r="S1573" s="5">
        <f>Final_Table[[#This Row],[Net Revenue]]-Final_Table[[#This Row],[Total Cost (COGS)]]</f>
        <v>-2944.7999999999993</v>
      </c>
      <c r="T1573">
        <f>Final_Table[[#This Row],[Gross Profit]]*Final_Table[[#This Row],[Tax Rate]]</f>
        <v>-883.43999999999971</v>
      </c>
      <c r="U1573" s="5">
        <f>Final_Table[[#This Row],[Gross Profit]]-Final_Table[[#This Row],[Tax]]</f>
        <v>-2061.3599999999997</v>
      </c>
      <c r="V1573" s="12">
        <f>Final_Table[[#This Row],[Net Profit]]/Final_Table[[#This Row],[Gross Revenue]]</f>
        <v>-0.10104705882352939</v>
      </c>
    </row>
    <row r="1574" spans="1:22">
      <c r="A1574" s="18" t="s">
        <v>70</v>
      </c>
      <c r="B1574">
        <v>2014</v>
      </c>
      <c r="C1574" t="s">
        <v>130</v>
      </c>
      <c r="D1574">
        <v>1</v>
      </c>
      <c r="E1574" s="18" t="s">
        <v>22</v>
      </c>
      <c r="F1574" s="18" t="s">
        <v>114</v>
      </c>
      <c r="G1574" s="18" t="s">
        <v>21</v>
      </c>
      <c r="H1574" s="18" t="str">
        <f>Assumptions!$B$2</f>
        <v>Worst</v>
      </c>
      <c r="I1574" s="18">
        <f>_xlfn.XLOOKUP(Assumptions!$B$2,Assumptions!$F$4:$H$4,Assumptions!$F$5:$H$5)</f>
        <v>1200</v>
      </c>
      <c r="J1574" s="18">
        <f>_xlfn.XLOOKUP(Assumptions!$B$2,Assumptions!$F$4:$H$4,Assumptions!$F$6:$H$6)</f>
        <v>17</v>
      </c>
      <c r="K1574" s="12">
        <f>_xlfn.XLOOKUP(Assumptions!$B$2,Assumptions!$F$4:$H$4,Assumptions!$F$8:$H$8)</f>
        <v>0.1</v>
      </c>
      <c r="L1574" s="12">
        <f>_xlfn.XLOOKUP(Assumptions!$B$2,Assumptions!$F$4:$H$4,Assumptions!$F$9:$H$9)</f>
        <v>0.18</v>
      </c>
      <c r="M1574" s="18">
        <f>_xlfn.XLOOKUP(Assumptions!$B$2,Assumptions!$F$4:$H$4,Assumptions!$F$10:$H$10)</f>
        <v>18000</v>
      </c>
      <c r="N1574" s="12">
        <f>_xlfn.XLOOKUP(Assumptions!$B$2,Assumptions!$F$4:$H$4,Assumptions!$F$11:$H$11)</f>
        <v>0.3</v>
      </c>
      <c r="O1574" s="14">
        <f>Final_Table[[#This Row],[Units Sold]]*Final_Table[[#This Row],[Sale Price]]</f>
        <v>20400</v>
      </c>
      <c r="P1574" s="14">
        <f>Final_Table[[#This Row],[Gross Revenue]]*(1-Final_Table[[#This Row],[Discount %]])</f>
        <v>18360</v>
      </c>
      <c r="Q1574">
        <f>Final_Table[[#This Row],[Net Revenue]]*Final_Table[[#This Row],[Variable Cost %]]</f>
        <v>3304.7999999999997</v>
      </c>
      <c r="R1574">
        <f>Final_Table[[#This Row],[Variable Cost]]+Final_Table[[#This Row],[Fixed Monthly Cost]]</f>
        <v>21304.799999999999</v>
      </c>
      <c r="S1574" s="5">
        <f>Final_Table[[#This Row],[Net Revenue]]-Final_Table[[#This Row],[Total Cost (COGS)]]</f>
        <v>-2944.7999999999993</v>
      </c>
      <c r="T1574">
        <f>Final_Table[[#This Row],[Gross Profit]]*Final_Table[[#This Row],[Tax Rate]]</f>
        <v>-883.43999999999971</v>
      </c>
      <c r="U1574" s="5">
        <f>Final_Table[[#This Row],[Gross Profit]]-Final_Table[[#This Row],[Tax]]</f>
        <v>-2061.3599999999997</v>
      </c>
      <c r="V1574" s="12">
        <f>Final_Table[[#This Row],[Net Profit]]/Final_Table[[#This Row],[Gross Revenue]]</f>
        <v>-0.10104705882352939</v>
      </c>
    </row>
    <row r="1575" spans="1:22">
      <c r="A1575" s="18" t="s">
        <v>70</v>
      </c>
      <c r="B1575">
        <v>2014</v>
      </c>
      <c r="C1575" t="s">
        <v>130</v>
      </c>
      <c r="D1575">
        <v>1</v>
      </c>
      <c r="E1575" s="18" t="s">
        <v>22</v>
      </c>
      <c r="F1575" s="18" t="s">
        <v>114</v>
      </c>
      <c r="G1575" s="18" t="s">
        <v>25</v>
      </c>
      <c r="H1575" s="18" t="str">
        <f>Assumptions!$B$2</f>
        <v>Worst</v>
      </c>
      <c r="I1575" s="18">
        <f>_xlfn.XLOOKUP(Assumptions!$B$2,Assumptions!$F$4:$H$4,Assumptions!$F$5:$H$5)</f>
        <v>1200</v>
      </c>
      <c r="J1575" s="18">
        <f>_xlfn.XLOOKUP(Assumptions!$B$2,Assumptions!$F$4:$H$4,Assumptions!$F$6:$H$6)</f>
        <v>17</v>
      </c>
      <c r="K1575" s="12">
        <f>_xlfn.XLOOKUP(Assumptions!$B$2,Assumptions!$F$4:$H$4,Assumptions!$F$8:$H$8)</f>
        <v>0.1</v>
      </c>
      <c r="L1575" s="12">
        <f>_xlfn.XLOOKUP(Assumptions!$B$2,Assumptions!$F$4:$H$4,Assumptions!$F$9:$H$9)</f>
        <v>0.18</v>
      </c>
      <c r="M1575" s="18">
        <f>_xlfn.XLOOKUP(Assumptions!$B$2,Assumptions!$F$4:$H$4,Assumptions!$F$10:$H$10)</f>
        <v>18000</v>
      </c>
      <c r="N1575" s="12">
        <f>_xlfn.XLOOKUP(Assumptions!$B$2,Assumptions!$F$4:$H$4,Assumptions!$F$11:$H$11)</f>
        <v>0.3</v>
      </c>
      <c r="O1575" s="14">
        <f>Final_Table[[#This Row],[Units Sold]]*Final_Table[[#This Row],[Sale Price]]</f>
        <v>20400</v>
      </c>
      <c r="P1575" s="14">
        <f>Final_Table[[#This Row],[Gross Revenue]]*(1-Final_Table[[#This Row],[Discount %]])</f>
        <v>18360</v>
      </c>
      <c r="Q1575">
        <f>Final_Table[[#This Row],[Net Revenue]]*Final_Table[[#This Row],[Variable Cost %]]</f>
        <v>3304.7999999999997</v>
      </c>
      <c r="R1575">
        <f>Final_Table[[#This Row],[Variable Cost]]+Final_Table[[#This Row],[Fixed Monthly Cost]]</f>
        <v>21304.799999999999</v>
      </c>
      <c r="S1575" s="5">
        <f>Final_Table[[#This Row],[Net Revenue]]-Final_Table[[#This Row],[Total Cost (COGS)]]</f>
        <v>-2944.7999999999993</v>
      </c>
      <c r="T1575">
        <f>Final_Table[[#This Row],[Gross Profit]]*Final_Table[[#This Row],[Tax Rate]]</f>
        <v>-883.43999999999971</v>
      </c>
      <c r="U1575" s="5">
        <f>Final_Table[[#This Row],[Gross Profit]]-Final_Table[[#This Row],[Tax]]</f>
        <v>-2061.3599999999997</v>
      </c>
      <c r="V1575" s="12">
        <f>Final_Table[[#This Row],[Net Profit]]/Final_Table[[#This Row],[Gross Revenue]]</f>
        <v>-0.10104705882352939</v>
      </c>
    </row>
    <row r="1576" spans="1:22">
      <c r="A1576" s="18" t="s">
        <v>70</v>
      </c>
      <c r="B1576">
        <v>2014</v>
      </c>
      <c r="C1576" t="s">
        <v>130</v>
      </c>
      <c r="D1576">
        <v>1</v>
      </c>
      <c r="E1576" s="18" t="s">
        <v>22</v>
      </c>
      <c r="F1576" s="18" t="s">
        <v>114</v>
      </c>
      <c r="G1576" s="18" t="s">
        <v>17</v>
      </c>
      <c r="H1576" s="18" t="str">
        <f>Assumptions!$B$2</f>
        <v>Worst</v>
      </c>
      <c r="I1576" s="18">
        <f>_xlfn.XLOOKUP(Assumptions!$B$2,Assumptions!$F$4:$H$4,Assumptions!$F$5:$H$5)</f>
        <v>1200</v>
      </c>
      <c r="J1576" s="18">
        <f>_xlfn.XLOOKUP(Assumptions!$B$2,Assumptions!$F$4:$H$4,Assumptions!$F$6:$H$6)</f>
        <v>17</v>
      </c>
      <c r="K1576" s="12">
        <f>_xlfn.XLOOKUP(Assumptions!$B$2,Assumptions!$F$4:$H$4,Assumptions!$F$8:$H$8)</f>
        <v>0.1</v>
      </c>
      <c r="L1576" s="12">
        <f>_xlfn.XLOOKUP(Assumptions!$B$2,Assumptions!$F$4:$H$4,Assumptions!$F$9:$H$9)</f>
        <v>0.18</v>
      </c>
      <c r="M1576" s="18">
        <f>_xlfn.XLOOKUP(Assumptions!$B$2,Assumptions!$F$4:$H$4,Assumptions!$F$10:$H$10)</f>
        <v>18000</v>
      </c>
      <c r="N1576" s="12">
        <f>_xlfn.XLOOKUP(Assumptions!$B$2,Assumptions!$F$4:$H$4,Assumptions!$F$11:$H$11)</f>
        <v>0.3</v>
      </c>
      <c r="O1576" s="14">
        <f>Final_Table[[#This Row],[Units Sold]]*Final_Table[[#This Row],[Sale Price]]</f>
        <v>20400</v>
      </c>
      <c r="P1576" s="14">
        <f>Final_Table[[#This Row],[Gross Revenue]]*(1-Final_Table[[#This Row],[Discount %]])</f>
        <v>18360</v>
      </c>
      <c r="Q1576">
        <f>Final_Table[[#This Row],[Net Revenue]]*Final_Table[[#This Row],[Variable Cost %]]</f>
        <v>3304.7999999999997</v>
      </c>
      <c r="R1576">
        <f>Final_Table[[#This Row],[Variable Cost]]+Final_Table[[#This Row],[Fixed Monthly Cost]]</f>
        <v>21304.799999999999</v>
      </c>
      <c r="S1576" s="5">
        <f>Final_Table[[#This Row],[Net Revenue]]-Final_Table[[#This Row],[Total Cost (COGS)]]</f>
        <v>-2944.7999999999993</v>
      </c>
      <c r="T1576">
        <f>Final_Table[[#This Row],[Gross Profit]]*Final_Table[[#This Row],[Tax Rate]]</f>
        <v>-883.43999999999971</v>
      </c>
      <c r="U1576" s="5">
        <f>Final_Table[[#This Row],[Gross Profit]]-Final_Table[[#This Row],[Tax]]</f>
        <v>-2061.3599999999997</v>
      </c>
      <c r="V1576" s="12">
        <f>Final_Table[[#This Row],[Net Profit]]/Final_Table[[#This Row],[Gross Revenue]]</f>
        <v>-0.10104705882352939</v>
      </c>
    </row>
    <row r="1577" spans="1:22">
      <c r="A1577" s="18" t="s">
        <v>70</v>
      </c>
      <c r="B1577">
        <v>2014</v>
      </c>
      <c r="C1577" t="s">
        <v>130</v>
      </c>
      <c r="D1577">
        <v>1</v>
      </c>
      <c r="E1577" s="18" t="s">
        <v>16</v>
      </c>
      <c r="F1577" s="18" t="s">
        <v>80</v>
      </c>
      <c r="G1577" s="18" t="s">
        <v>36</v>
      </c>
      <c r="H1577" s="18" t="str">
        <f>Assumptions!$B$2</f>
        <v>Worst</v>
      </c>
      <c r="I1577" s="18">
        <f>_xlfn.XLOOKUP(Assumptions!$B$2,Assumptions!$F$4:$H$4,Assumptions!$F$5:$H$5)</f>
        <v>1200</v>
      </c>
      <c r="J1577" s="18">
        <f>_xlfn.XLOOKUP(Assumptions!$B$2,Assumptions!$F$4:$H$4,Assumptions!$F$6:$H$6)</f>
        <v>17</v>
      </c>
      <c r="K1577" s="12">
        <f>_xlfn.XLOOKUP(Assumptions!$B$2,Assumptions!$F$4:$H$4,Assumptions!$F$8:$H$8)</f>
        <v>0.1</v>
      </c>
      <c r="L1577" s="12">
        <f>_xlfn.XLOOKUP(Assumptions!$B$2,Assumptions!$F$4:$H$4,Assumptions!$F$9:$H$9)</f>
        <v>0.18</v>
      </c>
      <c r="M1577" s="18">
        <f>_xlfn.XLOOKUP(Assumptions!$B$2,Assumptions!$F$4:$H$4,Assumptions!$F$10:$H$10)</f>
        <v>18000</v>
      </c>
      <c r="N1577" s="12">
        <f>_xlfn.XLOOKUP(Assumptions!$B$2,Assumptions!$F$4:$H$4,Assumptions!$F$11:$H$11)</f>
        <v>0.3</v>
      </c>
      <c r="O1577" s="14">
        <f>Final_Table[[#This Row],[Units Sold]]*Final_Table[[#This Row],[Sale Price]]</f>
        <v>20400</v>
      </c>
      <c r="P1577" s="14">
        <f>Final_Table[[#This Row],[Gross Revenue]]*(1-Final_Table[[#This Row],[Discount %]])</f>
        <v>18360</v>
      </c>
      <c r="Q1577">
        <f>Final_Table[[#This Row],[Net Revenue]]*Final_Table[[#This Row],[Variable Cost %]]</f>
        <v>3304.7999999999997</v>
      </c>
      <c r="R1577">
        <f>Final_Table[[#This Row],[Variable Cost]]+Final_Table[[#This Row],[Fixed Monthly Cost]]</f>
        <v>21304.799999999999</v>
      </c>
      <c r="S1577" s="5">
        <f>Final_Table[[#This Row],[Net Revenue]]-Final_Table[[#This Row],[Total Cost (COGS)]]</f>
        <v>-2944.7999999999993</v>
      </c>
      <c r="T1577">
        <f>Final_Table[[#This Row],[Gross Profit]]*Final_Table[[#This Row],[Tax Rate]]</f>
        <v>-883.43999999999971</v>
      </c>
      <c r="U1577" s="5">
        <f>Final_Table[[#This Row],[Gross Profit]]-Final_Table[[#This Row],[Tax]]</f>
        <v>-2061.3599999999997</v>
      </c>
      <c r="V1577" s="12">
        <f>Final_Table[[#This Row],[Net Profit]]/Final_Table[[#This Row],[Gross Revenue]]</f>
        <v>-0.10104705882352939</v>
      </c>
    </row>
    <row r="1578" spans="1:22">
      <c r="A1578" s="18" t="s">
        <v>70</v>
      </c>
      <c r="B1578">
        <v>2014</v>
      </c>
      <c r="C1578" t="s">
        <v>130</v>
      </c>
      <c r="D1578">
        <v>1</v>
      </c>
      <c r="E1578" s="18" t="s">
        <v>16</v>
      </c>
      <c r="F1578" s="18" t="s">
        <v>80</v>
      </c>
      <c r="G1578" s="18" t="s">
        <v>23</v>
      </c>
      <c r="H1578" s="18" t="str">
        <f>Assumptions!$B$2</f>
        <v>Worst</v>
      </c>
      <c r="I1578" s="18">
        <f>_xlfn.XLOOKUP(Assumptions!$B$2,Assumptions!$F$4:$H$4,Assumptions!$F$5:$H$5)</f>
        <v>1200</v>
      </c>
      <c r="J1578" s="18">
        <f>_xlfn.XLOOKUP(Assumptions!$B$2,Assumptions!$F$4:$H$4,Assumptions!$F$6:$H$6)</f>
        <v>17</v>
      </c>
      <c r="K1578" s="12">
        <f>_xlfn.XLOOKUP(Assumptions!$B$2,Assumptions!$F$4:$H$4,Assumptions!$F$8:$H$8)</f>
        <v>0.1</v>
      </c>
      <c r="L1578" s="12">
        <f>_xlfn.XLOOKUP(Assumptions!$B$2,Assumptions!$F$4:$H$4,Assumptions!$F$9:$H$9)</f>
        <v>0.18</v>
      </c>
      <c r="M1578" s="18">
        <f>_xlfn.XLOOKUP(Assumptions!$B$2,Assumptions!$F$4:$H$4,Assumptions!$F$10:$H$10)</f>
        <v>18000</v>
      </c>
      <c r="N1578" s="12">
        <f>_xlfn.XLOOKUP(Assumptions!$B$2,Assumptions!$F$4:$H$4,Assumptions!$F$11:$H$11)</f>
        <v>0.3</v>
      </c>
      <c r="O1578" s="14">
        <f>Final_Table[[#This Row],[Units Sold]]*Final_Table[[#This Row],[Sale Price]]</f>
        <v>20400</v>
      </c>
      <c r="P1578" s="14">
        <f>Final_Table[[#This Row],[Gross Revenue]]*(1-Final_Table[[#This Row],[Discount %]])</f>
        <v>18360</v>
      </c>
      <c r="Q1578">
        <f>Final_Table[[#This Row],[Net Revenue]]*Final_Table[[#This Row],[Variable Cost %]]</f>
        <v>3304.7999999999997</v>
      </c>
      <c r="R1578">
        <f>Final_Table[[#This Row],[Variable Cost]]+Final_Table[[#This Row],[Fixed Monthly Cost]]</f>
        <v>21304.799999999999</v>
      </c>
      <c r="S1578" s="5">
        <f>Final_Table[[#This Row],[Net Revenue]]-Final_Table[[#This Row],[Total Cost (COGS)]]</f>
        <v>-2944.7999999999993</v>
      </c>
      <c r="T1578">
        <f>Final_Table[[#This Row],[Gross Profit]]*Final_Table[[#This Row],[Tax Rate]]</f>
        <v>-883.43999999999971</v>
      </c>
      <c r="U1578" s="5">
        <f>Final_Table[[#This Row],[Gross Profit]]-Final_Table[[#This Row],[Tax]]</f>
        <v>-2061.3599999999997</v>
      </c>
      <c r="V1578" s="12">
        <f>Final_Table[[#This Row],[Net Profit]]/Final_Table[[#This Row],[Gross Revenue]]</f>
        <v>-0.10104705882352939</v>
      </c>
    </row>
    <row r="1579" spans="1:22">
      <c r="A1579" s="18" t="s">
        <v>70</v>
      </c>
      <c r="B1579">
        <v>2014</v>
      </c>
      <c r="C1579" t="s">
        <v>130</v>
      </c>
      <c r="D1579">
        <v>1</v>
      </c>
      <c r="E1579" s="18" t="s">
        <v>16</v>
      </c>
      <c r="F1579" s="18" t="s">
        <v>80</v>
      </c>
      <c r="G1579" s="18" t="s">
        <v>21</v>
      </c>
      <c r="H1579" s="18" t="str">
        <f>Assumptions!$B$2</f>
        <v>Worst</v>
      </c>
      <c r="I1579" s="18">
        <f>_xlfn.XLOOKUP(Assumptions!$B$2,Assumptions!$F$4:$H$4,Assumptions!$F$5:$H$5)</f>
        <v>1200</v>
      </c>
      <c r="J1579" s="18">
        <f>_xlfn.XLOOKUP(Assumptions!$B$2,Assumptions!$F$4:$H$4,Assumptions!$F$6:$H$6)</f>
        <v>17</v>
      </c>
      <c r="K1579" s="12">
        <f>_xlfn.XLOOKUP(Assumptions!$B$2,Assumptions!$F$4:$H$4,Assumptions!$F$8:$H$8)</f>
        <v>0.1</v>
      </c>
      <c r="L1579" s="12">
        <f>_xlfn.XLOOKUP(Assumptions!$B$2,Assumptions!$F$4:$H$4,Assumptions!$F$9:$H$9)</f>
        <v>0.18</v>
      </c>
      <c r="M1579" s="18">
        <f>_xlfn.XLOOKUP(Assumptions!$B$2,Assumptions!$F$4:$H$4,Assumptions!$F$10:$H$10)</f>
        <v>18000</v>
      </c>
      <c r="N1579" s="12">
        <f>_xlfn.XLOOKUP(Assumptions!$B$2,Assumptions!$F$4:$H$4,Assumptions!$F$11:$H$11)</f>
        <v>0.3</v>
      </c>
      <c r="O1579" s="14">
        <f>Final_Table[[#This Row],[Units Sold]]*Final_Table[[#This Row],[Sale Price]]</f>
        <v>20400</v>
      </c>
      <c r="P1579" s="14">
        <f>Final_Table[[#This Row],[Gross Revenue]]*(1-Final_Table[[#This Row],[Discount %]])</f>
        <v>18360</v>
      </c>
      <c r="Q1579">
        <f>Final_Table[[#This Row],[Net Revenue]]*Final_Table[[#This Row],[Variable Cost %]]</f>
        <v>3304.7999999999997</v>
      </c>
      <c r="R1579">
        <f>Final_Table[[#This Row],[Variable Cost]]+Final_Table[[#This Row],[Fixed Monthly Cost]]</f>
        <v>21304.799999999999</v>
      </c>
      <c r="S1579" s="5">
        <f>Final_Table[[#This Row],[Net Revenue]]-Final_Table[[#This Row],[Total Cost (COGS)]]</f>
        <v>-2944.7999999999993</v>
      </c>
      <c r="T1579">
        <f>Final_Table[[#This Row],[Gross Profit]]*Final_Table[[#This Row],[Tax Rate]]</f>
        <v>-883.43999999999971</v>
      </c>
      <c r="U1579" s="5">
        <f>Final_Table[[#This Row],[Gross Profit]]-Final_Table[[#This Row],[Tax]]</f>
        <v>-2061.3599999999997</v>
      </c>
      <c r="V1579" s="12">
        <f>Final_Table[[#This Row],[Net Profit]]/Final_Table[[#This Row],[Gross Revenue]]</f>
        <v>-0.10104705882352939</v>
      </c>
    </row>
    <row r="1580" spans="1:22">
      <c r="A1580" s="18" t="s">
        <v>70</v>
      </c>
      <c r="B1580">
        <v>2014</v>
      </c>
      <c r="C1580" t="s">
        <v>130</v>
      </c>
      <c r="D1580">
        <v>1</v>
      </c>
      <c r="E1580" s="18" t="s">
        <v>16</v>
      </c>
      <c r="F1580" s="18" t="s">
        <v>80</v>
      </c>
      <c r="G1580" s="18" t="s">
        <v>25</v>
      </c>
      <c r="H1580" s="18" t="str">
        <f>Assumptions!$B$2</f>
        <v>Worst</v>
      </c>
      <c r="I1580" s="18">
        <f>_xlfn.XLOOKUP(Assumptions!$B$2,Assumptions!$F$4:$H$4,Assumptions!$F$5:$H$5)</f>
        <v>1200</v>
      </c>
      <c r="J1580" s="18">
        <f>_xlfn.XLOOKUP(Assumptions!$B$2,Assumptions!$F$4:$H$4,Assumptions!$F$6:$H$6)</f>
        <v>17</v>
      </c>
      <c r="K1580" s="12">
        <f>_xlfn.XLOOKUP(Assumptions!$B$2,Assumptions!$F$4:$H$4,Assumptions!$F$8:$H$8)</f>
        <v>0.1</v>
      </c>
      <c r="L1580" s="12">
        <f>_xlfn.XLOOKUP(Assumptions!$B$2,Assumptions!$F$4:$H$4,Assumptions!$F$9:$H$9)</f>
        <v>0.18</v>
      </c>
      <c r="M1580" s="18">
        <f>_xlfn.XLOOKUP(Assumptions!$B$2,Assumptions!$F$4:$H$4,Assumptions!$F$10:$H$10)</f>
        <v>18000</v>
      </c>
      <c r="N1580" s="12">
        <f>_xlfn.XLOOKUP(Assumptions!$B$2,Assumptions!$F$4:$H$4,Assumptions!$F$11:$H$11)</f>
        <v>0.3</v>
      </c>
      <c r="O1580" s="14">
        <f>Final_Table[[#This Row],[Units Sold]]*Final_Table[[#This Row],[Sale Price]]</f>
        <v>20400</v>
      </c>
      <c r="P1580" s="14">
        <f>Final_Table[[#This Row],[Gross Revenue]]*(1-Final_Table[[#This Row],[Discount %]])</f>
        <v>18360</v>
      </c>
      <c r="Q1580">
        <f>Final_Table[[#This Row],[Net Revenue]]*Final_Table[[#This Row],[Variable Cost %]]</f>
        <v>3304.7999999999997</v>
      </c>
      <c r="R1580">
        <f>Final_Table[[#This Row],[Variable Cost]]+Final_Table[[#This Row],[Fixed Monthly Cost]]</f>
        <v>21304.799999999999</v>
      </c>
      <c r="S1580" s="5">
        <f>Final_Table[[#This Row],[Net Revenue]]-Final_Table[[#This Row],[Total Cost (COGS)]]</f>
        <v>-2944.7999999999993</v>
      </c>
      <c r="T1580">
        <f>Final_Table[[#This Row],[Gross Profit]]*Final_Table[[#This Row],[Tax Rate]]</f>
        <v>-883.43999999999971</v>
      </c>
      <c r="U1580" s="5">
        <f>Final_Table[[#This Row],[Gross Profit]]-Final_Table[[#This Row],[Tax]]</f>
        <v>-2061.3599999999997</v>
      </c>
      <c r="V1580" s="12">
        <f>Final_Table[[#This Row],[Net Profit]]/Final_Table[[#This Row],[Gross Revenue]]</f>
        <v>-0.10104705882352939</v>
      </c>
    </row>
    <row r="1581" spans="1:22">
      <c r="A1581" s="18" t="s">
        <v>70</v>
      </c>
      <c r="B1581">
        <v>2014</v>
      </c>
      <c r="C1581" t="s">
        <v>130</v>
      </c>
      <c r="D1581">
        <v>1</v>
      </c>
      <c r="E1581" s="18" t="s">
        <v>16</v>
      </c>
      <c r="F1581" s="18" t="s">
        <v>80</v>
      </c>
      <c r="G1581" s="18" t="s">
        <v>17</v>
      </c>
      <c r="H1581" s="18" t="str">
        <f>Assumptions!$B$2</f>
        <v>Worst</v>
      </c>
      <c r="I1581" s="18">
        <f>_xlfn.XLOOKUP(Assumptions!$B$2,Assumptions!$F$4:$H$4,Assumptions!$F$5:$H$5)</f>
        <v>1200</v>
      </c>
      <c r="J1581" s="18">
        <f>_xlfn.XLOOKUP(Assumptions!$B$2,Assumptions!$F$4:$H$4,Assumptions!$F$6:$H$6)</f>
        <v>17</v>
      </c>
      <c r="K1581" s="12">
        <f>_xlfn.XLOOKUP(Assumptions!$B$2,Assumptions!$F$4:$H$4,Assumptions!$F$8:$H$8)</f>
        <v>0.1</v>
      </c>
      <c r="L1581" s="12">
        <f>_xlfn.XLOOKUP(Assumptions!$B$2,Assumptions!$F$4:$H$4,Assumptions!$F$9:$H$9)</f>
        <v>0.18</v>
      </c>
      <c r="M1581" s="18">
        <f>_xlfn.XLOOKUP(Assumptions!$B$2,Assumptions!$F$4:$H$4,Assumptions!$F$10:$H$10)</f>
        <v>18000</v>
      </c>
      <c r="N1581" s="12">
        <f>_xlfn.XLOOKUP(Assumptions!$B$2,Assumptions!$F$4:$H$4,Assumptions!$F$11:$H$11)</f>
        <v>0.3</v>
      </c>
      <c r="O1581" s="14">
        <f>Final_Table[[#This Row],[Units Sold]]*Final_Table[[#This Row],[Sale Price]]</f>
        <v>20400</v>
      </c>
      <c r="P1581" s="14">
        <f>Final_Table[[#This Row],[Gross Revenue]]*(1-Final_Table[[#This Row],[Discount %]])</f>
        <v>18360</v>
      </c>
      <c r="Q1581">
        <f>Final_Table[[#This Row],[Net Revenue]]*Final_Table[[#This Row],[Variable Cost %]]</f>
        <v>3304.7999999999997</v>
      </c>
      <c r="R1581">
        <f>Final_Table[[#This Row],[Variable Cost]]+Final_Table[[#This Row],[Fixed Monthly Cost]]</f>
        <v>21304.799999999999</v>
      </c>
      <c r="S1581" s="5">
        <f>Final_Table[[#This Row],[Net Revenue]]-Final_Table[[#This Row],[Total Cost (COGS)]]</f>
        <v>-2944.7999999999993</v>
      </c>
      <c r="T1581">
        <f>Final_Table[[#This Row],[Gross Profit]]*Final_Table[[#This Row],[Tax Rate]]</f>
        <v>-883.43999999999971</v>
      </c>
      <c r="U1581" s="5">
        <f>Final_Table[[#This Row],[Gross Profit]]-Final_Table[[#This Row],[Tax]]</f>
        <v>-2061.3599999999997</v>
      </c>
      <c r="V1581" s="12">
        <f>Final_Table[[#This Row],[Net Profit]]/Final_Table[[#This Row],[Gross Revenue]]</f>
        <v>-0.10104705882352939</v>
      </c>
    </row>
    <row r="1582" spans="1:22">
      <c r="A1582" s="18" t="s">
        <v>70</v>
      </c>
      <c r="B1582">
        <v>2014</v>
      </c>
      <c r="C1582" t="s">
        <v>130</v>
      </c>
      <c r="D1582">
        <v>1</v>
      </c>
      <c r="E1582" s="18" t="s">
        <v>16</v>
      </c>
      <c r="F1582" s="18" t="s">
        <v>108</v>
      </c>
      <c r="G1582" s="18" t="s">
        <v>36</v>
      </c>
      <c r="H1582" s="18" t="str">
        <f>Assumptions!$B$2</f>
        <v>Worst</v>
      </c>
      <c r="I1582" s="18">
        <f>_xlfn.XLOOKUP(Assumptions!$B$2,Assumptions!$F$4:$H$4,Assumptions!$F$5:$H$5)</f>
        <v>1200</v>
      </c>
      <c r="J1582" s="18">
        <f>_xlfn.XLOOKUP(Assumptions!$B$2,Assumptions!$F$4:$H$4,Assumptions!$F$6:$H$6)</f>
        <v>17</v>
      </c>
      <c r="K1582" s="12">
        <f>_xlfn.XLOOKUP(Assumptions!$B$2,Assumptions!$F$4:$H$4,Assumptions!$F$8:$H$8)</f>
        <v>0.1</v>
      </c>
      <c r="L1582" s="12">
        <f>_xlfn.XLOOKUP(Assumptions!$B$2,Assumptions!$F$4:$H$4,Assumptions!$F$9:$H$9)</f>
        <v>0.18</v>
      </c>
      <c r="M1582" s="18">
        <f>_xlfn.XLOOKUP(Assumptions!$B$2,Assumptions!$F$4:$H$4,Assumptions!$F$10:$H$10)</f>
        <v>18000</v>
      </c>
      <c r="N1582" s="12">
        <f>_xlfn.XLOOKUP(Assumptions!$B$2,Assumptions!$F$4:$H$4,Assumptions!$F$11:$H$11)</f>
        <v>0.3</v>
      </c>
      <c r="O1582" s="14">
        <f>Final_Table[[#This Row],[Units Sold]]*Final_Table[[#This Row],[Sale Price]]</f>
        <v>20400</v>
      </c>
      <c r="P1582" s="14">
        <f>Final_Table[[#This Row],[Gross Revenue]]*(1-Final_Table[[#This Row],[Discount %]])</f>
        <v>18360</v>
      </c>
      <c r="Q1582">
        <f>Final_Table[[#This Row],[Net Revenue]]*Final_Table[[#This Row],[Variable Cost %]]</f>
        <v>3304.7999999999997</v>
      </c>
      <c r="R1582">
        <f>Final_Table[[#This Row],[Variable Cost]]+Final_Table[[#This Row],[Fixed Monthly Cost]]</f>
        <v>21304.799999999999</v>
      </c>
      <c r="S1582" s="5">
        <f>Final_Table[[#This Row],[Net Revenue]]-Final_Table[[#This Row],[Total Cost (COGS)]]</f>
        <v>-2944.7999999999993</v>
      </c>
      <c r="T1582">
        <f>Final_Table[[#This Row],[Gross Profit]]*Final_Table[[#This Row],[Tax Rate]]</f>
        <v>-883.43999999999971</v>
      </c>
      <c r="U1582" s="5">
        <f>Final_Table[[#This Row],[Gross Profit]]-Final_Table[[#This Row],[Tax]]</f>
        <v>-2061.3599999999997</v>
      </c>
      <c r="V1582" s="12">
        <f>Final_Table[[#This Row],[Net Profit]]/Final_Table[[#This Row],[Gross Revenue]]</f>
        <v>-0.10104705882352939</v>
      </c>
    </row>
    <row r="1583" spans="1:22">
      <c r="A1583" s="18" t="s">
        <v>70</v>
      </c>
      <c r="B1583">
        <v>2014</v>
      </c>
      <c r="C1583" t="s">
        <v>130</v>
      </c>
      <c r="D1583">
        <v>1</v>
      </c>
      <c r="E1583" s="18" t="s">
        <v>16</v>
      </c>
      <c r="F1583" s="18" t="s">
        <v>108</v>
      </c>
      <c r="G1583" s="18" t="s">
        <v>23</v>
      </c>
      <c r="H1583" s="18" t="str">
        <f>Assumptions!$B$2</f>
        <v>Worst</v>
      </c>
      <c r="I1583" s="18">
        <f>_xlfn.XLOOKUP(Assumptions!$B$2,Assumptions!$F$4:$H$4,Assumptions!$F$5:$H$5)</f>
        <v>1200</v>
      </c>
      <c r="J1583" s="18">
        <f>_xlfn.XLOOKUP(Assumptions!$B$2,Assumptions!$F$4:$H$4,Assumptions!$F$6:$H$6)</f>
        <v>17</v>
      </c>
      <c r="K1583" s="12">
        <f>_xlfn.XLOOKUP(Assumptions!$B$2,Assumptions!$F$4:$H$4,Assumptions!$F$8:$H$8)</f>
        <v>0.1</v>
      </c>
      <c r="L1583" s="12">
        <f>_xlfn.XLOOKUP(Assumptions!$B$2,Assumptions!$F$4:$H$4,Assumptions!$F$9:$H$9)</f>
        <v>0.18</v>
      </c>
      <c r="M1583" s="18">
        <f>_xlfn.XLOOKUP(Assumptions!$B$2,Assumptions!$F$4:$H$4,Assumptions!$F$10:$H$10)</f>
        <v>18000</v>
      </c>
      <c r="N1583" s="12">
        <f>_xlfn.XLOOKUP(Assumptions!$B$2,Assumptions!$F$4:$H$4,Assumptions!$F$11:$H$11)</f>
        <v>0.3</v>
      </c>
      <c r="O1583" s="14">
        <f>Final_Table[[#This Row],[Units Sold]]*Final_Table[[#This Row],[Sale Price]]</f>
        <v>20400</v>
      </c>
      <c r="P1583" s="14">
        <f>Final_Table[[#This Row],[Gross Revenue]]*(1-Final_Table[[#This Row],[Discount %]])</f>
        <v>18360</v>
      </c>
      <c r="Q1583">
        <f>Final_Table[[#This Row],[Net Revenue]]*Final_Table[[#This Row],[Variable Cost %]]</f>
        <v>3304.7999999999997</v>
      </c>
      <c r="R1583">
        <f>Final_Table[[#This Row],[Variable Cost]]+Final_Table[[#This Row],[Fixed Monthly Cost]]</f>
        <v>21304.799999999999</v>
      </c>
      <c r="S1583" s="5">
        <f>Final_Table[[#This Row],[Net Revenue]]-Final_Table[[#This Row],[Total Cost (COGS)]]</f>
        <v>-2944.7999999999993</v>
      </c>
      <c r="T1583">
        <f>Final_Table[[#This Row],[Gross Profit]]*Final_Table[[#This Row],[Tax Rate]]</f>
        <v>-883.43999999999971</v>
      </c>
      <c r="U1583" s="5">
        <f>Final_Table[[#This Row],[Gross Profit]]-Final_Table[[#This Row],[Tax]]</f>
        <v>-2061.3599999999997</v>
      </c>
      <c r="V1583" s="12">
        <f>Final_Table[[#This Row],[Net Profit]]/Final_Table[[#This Row],[Gross Revenue]]</f>
        <v>-0.10104705882352939</v>
      </c>
    </row>
    <row r="1584" spans="1:22">
      <c r="A1584" s="18" t="s">
        <v>70</v>
      </c>
      <c r="B1584">
        <v>2014</v>
      </c>
      <c r="C1584" t="s">
        <v>130</v>
      </c>
      <c r="D1584">
        <v>1</v>
      </c>
      <c r="E1584" s="18" t="s">
        <v>16</v>
      </c>
      <c r="F1584" s="18" t="s">
        <v>108</v>
      </c>
      <c r="G1584" s="18" t="s">
        <v>21</v>
      </c>
      <c r="H1584" s="18" t="str">
        <f>Assumptions!$B$2</f>
        <v>Worst</v>
      </c>
      <c r="I1584" s="18">
        <f>_xlfn.XLOOKUP(Assumptions!$B$2,Assumptions!$F$4:$H$4,Assumptions!$F$5:$H$5)</f>
        <v>1200</v>
      </c>
      <c r="J1584" s="18">
        <f>_xlfn.XLOOKUP(Assumptions!$B$2,Assumptions!$F$4:$H$4,Assumptions!$F$6:$H$6)</f>
        <v>17</v>
      </c>
      <c r="K1584" s="12">
        <f>_xlfn.XLOOKUP(Assumptions!$B$2,Assumptions!$F$4:$H$4,Assumptions!$F$8:$H$8)</f>
        <v>0.1</v>
      </c>
      <c r="L1584" s="12">
        <f>_xlfn.XLOOKUP(Assumptions!$B$2,Assumptions!$F$4:$H$4,Assumptions!$F$9:$H$9)</f>
        <v>0.18</v>
      </c>
      <c r="M1584" s="18">
        <f>_xlfn.XLOOKUP(Assumptions!$B$2,Assumptions!$F$4:$H$4,Assumptions!$F$10:$H$10)</f>
        <v>18000</v>
      </c>
      <c r="N1584" s="12">
        <f>_xlfn.XLOOKUP(Assumptions!$B$2,Assumptions!$F$4:$H$4,Assumptions!$F$11:$H$11)</f>
        <v>0.3</v>
      </c>
      <c r="O1584" s="14">
        <f>Final_Table[[#This Row],[Units Sold]]*Final_Table[[#This Row],[Sale Price]]</f>
        <v>20400</v>
      </c>
      <c r="P1584" s="14">
        <f>Final_Table[[#This Row],[Gross Revenue]]*(1-Final_Table[[#This Row],[Discount %]])</f>
        <v>18360</v>
      </c>
      <c r="Q1584">
        <f>Final_Table[[#This Row],[Net Revenue]]*Final_Table[[#This Row],[Variable Cost %]]</f>
        <v>3304.7999999999997</v>
      </c>
      <c r="R1584">
        <f>Final_Table[[#This Row],[Variable Cost]]+Final_Table[[#This Row],[Fixed Monthly Cost]]</f>
        <v>21304.799999999999</v>
      </c>
      <c r="S1584" s="5">
        <f>Final_Table[[#This Row],[Net Revenue]]-Final_Table[[#This Row],[Total Cost (COGS)]]</f>
        <v>-2944.7999999999993</v>
      </c>
      <c r="T1584">
        <f>Final_Table[[#This Row],[Gross Profit]]*Final_Table[[#This Row],[Tax Rate]]</f>
        <v>-883.43999999999971</v>
      </c>
      <c r="U1584" s="5">
        <f>Final_Table[[#This Row],[Gross Profit]]-Final_Table[[#This Row],[Tax]]</f>
        <v>-2061.3599999999997</v>
      </c>
      <c r="V1584" s="12">
        <f>Final_Table[[#This Row],[Net Profit]]/Final_Table[[#This Row],[Gross Revenue]]</f>
        <v>-0.10104705882352939</v>
      </c>
    </row>
    <row r="1585" spans="1:22">
      <c r="A1585" s="18" t="s">
        <v>70</v>
      </c>
      <c r="B1585">
        <v>2014</v>
      </c>
      <c r="C1585" t="s">
        <v>130</v>
      </c>
      <c r="D1585">
        <v>1</v>
      </c>
      <c r="E1585" s="18" t="s">
        <v>16</v>
      </c>
      <c r="F1585" s="18" t="s">
        <v>108</v>
      </c>
      <c r="G1585" s="18" t="s">
        <v>25</v>
      </c>
      <c r="H1585" s="18" t="str">
        <f>Assumptions!$B$2</f>
        <v>Worst</v>
      </c>
      <c r="I1585" s="18">
        <f>_xlfn.XLOOKUP(Assumptions!$B$2,Assumptions!$F$4:$H$4,Assumptions!$F$5:$H$5)</f>
        <v>1200</v>
      </c>
      <c r="J1585" s="18">
        <f>_xlfn.XLOOKUP(Assumptions!$B$2,Assumptions!$F$4:$H$4,Assumptions!$F$6:$H$6)</f>
        <v>17</v>
      </c>
      <c r="K1585" s="12">
        <f>_xlfn.XLOOKUP(Assumptions!$B$2,Assumptions!$F$4:$H$4,Assumptions!$F$8:$H$8)</f>
        <v>0.1</v>
      </c>
      <c r="L1585" s="12">
        <f>_xlfn.XLOOKUP(Assumptions!$B$2,Assumptions!$F$4:$H$4,Assumptions!$F$9:$H$9)</f>
        <v>0.18</v>
      </c>
      <c r="M1585" s="18">
        <f>_xlfn.XLOOKUP(Assumptions!$B$2,Assumptions!$F$4:$H$4,Assumptions!$F$10:$H$10)</f>
        <v>18000</v>
      </c>
      <c r="N1585" s="12">
        <f>_xlfn.XLOOKUP(Assumptions!$B$2,Assumptions!$F$4:$H$4,Assumptions!$F$11:$H$11)</f>
        <v>0.3</v>
      </c>
      <c r="O1585" s="14">
        <f>Final_Table[[#This Row],[Units Sold]]*Final_Table[[#This Row],[Sale Price]]</f>
        <v>20400</v>
      </c>
      <c r="P1585" s="14">
        <f>Final_Table[[#This Row],[Gross Revenue]]*(1-Final_Table[[#This Row],[Discount %]])</f>
        <v>18360</v>
      </c>
      <c r="Q1585">
        <f>Final_Table[[#This Row],[Net Revenue]]*Final_Table[[#This Row],[Variable Cost %]]</f>
        <v>3304.7999999999997</v>
      </c>
      <c r="R1585">
        <f>Final_Table[[#This Row],[Variable Cost]]+Final_Table[[#This Row],[Fixed Monthly Cost]]</f>
        <v>21304.799999999999</v>
      </c>
      <c r="S1585" s="5">
        <f>Final_Table[[#This Row],[Net Revenue]]-Final_Table[[#This Row],[Total Cost (COGS)]]</f>
        <v>-2944.7999999999993</v>
      </c>
      <c r="T1585">
        <f>Final_Table[[#This Row],[Gross Profit]]*Final_Table[[#This Row],[Tax Rate]]</f>
        <v>-883.43999999999971</v>
      </c>
      <c r="U1585" s="5">
        <f>Final_Table[[#This Row],[Gross Profit]]-Final_Table[[#This Row],[Tax]]</f>
        <v>-2061.3599999999997</v>
      </c>
      <c r="V1585" s="12">
        <f>Final_Table[[#This Row],[Net Profit]]/Final_Table[[#This Row],[Gross Revenue]]</f>
        <v>-0.10104705882352939</v>
      </c>
    </row>
    <row r="1586" spans="1:22">
      <c r="A1586" s="18" t="s">
        <v>70</v>
      </c>
      <c r="B1586">
        <v>2014</v>
      </c>
      <c r="C1586" t="s">
        <v>130</v>
      </c>
      <c r="D1586">
        <v>1</v>
      </c>
      <c r="E1586" s="18" t="s">
        <v>16</v>
      </c>
      <c r="F1586" s="18" t="s">
        <v>108</v>
      </c>
      <c r="G1586" s="18" t="s">
        <v>17</v>
      </c>
      <c r="H1586" s="18" t="str">
        <f>Assumptions!$B$2</f>
        <v>Worst</v>
      </c>
      <c r="I1586" s="18">
        <f>_xlfn.XLOOKUP(Assumptions!$B$2,Assumptions!$F$4:$H$4,Assumptions!$F$5:$H$5)</f>
        <v>1200</v>
      </c>
      <c r="J1586" s="18">
        <f>_xlfn.XLOOKUP(Assumptions!$B$2,Assumptions!$F$4:$H$4,Assumptions!$F$6:$H$6)</f>
        <v>17</v>
      </c>
      <c r="K1586" s="12">
        <f>_xlfn.XLOOKUP(Assumptions!$B$2,Assumptions!$F$4:$H$4,Assumptions!$F$8:$H$8)</f>
        <v>0.1</v>
      </c>
      <c r="L1586" s="12">
        <f>_xlfn.XLOOKUP(Assumptions!$B$2,Assumptions!$F$4:$H$4,Assumptions!$F$9:$H$9)</f>
        <v>0.18</v>
      </c>
      <c r="M1586" s="18">
        <f>_xlfn.XLOOKUP(Assumptions!$B$2,Assumptions!$F$4:$H$4,Assumptions!$F$10:$H$10)</f>
        <v>18000</v>
      </c>
      <c r="N1586" s="12">
        <f>_xlfn.XLOOKUP(Assumptions!$B$2,Assumptions!$F$4:$H$4,Assumptions!$F$11:$H$11)</f>
        <v>0.3</v>
      </c>
      <c r="O1586" s="14">
        <f>Final_Table[[#This Row],[Units Sold]]*Final_Table[[#This Row],[Sale Price]]</f>
        <v>20400</v>
      </c>
      <c r="P1586" s="14">
        <f>Final_Table[[#This Row],[Gross Revenue]]*(1-Final_Table[[#This Row],[Discount %]])</f>
        <v>18360</v>
      </c>
      <c r="Q1586">
        <f>Final_Table[[#This Row],[Net Revenue]]*Final_Table[[#This Row],[Variable Cost %]]</f>
        <v>3304.7999999999997</v>
      </c>
      <c r="R1586">
        <f>Final_Table[[#This Row],[Variable Cost]]+Final_Table[[#This Row],[Fixed Monthly Cost]]</f>
        <v>21304.799999999999</v>
      </c>
      <c r="S1586" s="5">
        <f>Final_Table[[#This Row],[Net Revenue]]-Final_Table[[#This Row],[Total Cost (COGS)]]</f>
        <v>-2944.7999999999993</v>
      </c>
      <c r="T1586">
        <f>Final_Table[[#This Row],[Gross Profit]]*Final_Table[[#This Row],[Tax Rate]]</f>
        <v>-883.43999999999971</v>
      </c>
      <c r="U1586" s="5">
        <f>Final_Table[[#This Row],[Gross Profit]]-Final_Table[[#This Row],[Tax]]</f>
        <v>-2061.3599999999997</v>
      </c>
      <c r="V1586" s="12">
        <f>Final_Table[[#This Row],[Net Profit]]/Final_Table[[#This Row],[Gross Revenue]]</f>
        <v>-0.10104705882352939</v>
      </c>
    </row>
    <row r="1587" spans="1:22">
      <c r="A1587" s="18" t="s">
        <v>70</v>
      </c>
      <c r="B1587">
        <v>2014</v>
      </c>
      <c r="C1587" t="s">
        <v>130</v>
      </c>
      <c r="D1587">
        <v>1</v>
      </c>
      <c r="E1587" s="18" t="s">
        <v>16</v>
      </c>
      <c r="F1587" s="18" t="s">
        <v>112</v>
      </c>
      <c r="G1587" s="18" t="s">
        <v>36</v>
      </c>
      <c r="H1587" s="18" t="str">
        <f>Assumptions!$B$2</f>
        <v>Worst</v>
      </c>
      <c r="I1587" s="18">
        <f>_xlfn.XLOOKUP(Assumptions!$B$2,Assumptions!$F$4:$H$4,Assumptions!$F$5:$H$5)</f>
        <v>1200</v>
      </c>
      <c r="J1587" s="18">
        <f>_xlfn.XLOOKUP(Assumptions!$B$2,Assumptions!$F$4:$H$4,Assumptions!$F$6:$H$6)</f>
        <v>17</v>
      </c>
      <c r="K1587" s="12">
        <f>_xlfn.XLOOKUP(Assumptions!$B$2,Assumptions!$F$4:$H$4,Assumptions!$F$8:$H$8)</f>
        <v>0.1</v>
      </c>
      <c r="L1587" s="12">
        <f>_xlfn.XLOOKUP(Assumptions!$B$2,Assumptions!$F$4:$H$4,Assumptions!$F$9:$H$9)</f>
        <v>0.18</v>
      </c>
      <c r="M1587" s="18">
        <f>_xlfn.XLOOKUP(Assumptions!$B$2,Assumptions!$F$4:$H$4,Assumptions!$F$10:$H$10)</f>
        <v>18000</v>
      </c>
      <c r="N1587" s="12">
        <f>_xlfn.XLOOKUP(Assumptions!$B$2,Assumptions!$F$4:$H$4,Assumptions!$F$11:$H$11)</f>
        <v>0.3</v>
      </c>
      <c r="O1587" s="14">
        <f>Final_Table[[#This Row],[Units Sold]]*Final_Table[[#This Row],[Sale Price]]</f>
        <v>20400</v>
      </c>
      <c r="P1587" s="14">
        <f>Final_Table[[#This Row],[Gross Revenue]]*(1-Final_Table[[#This Row],[Discount %]])</f>
        <v>18360</v>
      </c>
      <c r="Q1587">
        <f>Final_Table[[#This Row],[Net Revenue]]*Final_Table[[#This Row],[Variable Cost %]]</f>
        <v>3304.7999999999997</v>
      </c>
      <c r="R1587">
        <f>Final_Table[[#This Row],[Variable Cost]]+Final_Table[[#This Row],[Fixed Monthly Cost]]</f>
        <v>21304.799999999999</v>
      </c>
      <c r="S1587" s="5">
        <f>Final_Table[[#This Row],[Net Revenue]]-Final_Table[[#This Row],[Total Cost (COGS)]]</f>
        <v>-2944.7999999999993</v>
      </c>
      <c r="T1587">
        <f>Final_Table[[#This Row],[Gross Profit]]*Final_Table[[#This Row],[Tax Rate]]</f>
        <v>-883.43999999999971</v>
      </c>
      <c r="U1587" s="5">
        <f>Final_Table[[#This Row],[Gross Profit]]-Final_Table[[#This Row],[Tax]]</f>
        <v>-2061.3599999999997</v>
      </c>
      <c r="V1587" s="12">
        <f>Final_Table[[#This Row],[Net Profit]]/Final_Table[[#This Row],[Gross Revenue]]</f>
        <v>-0.10104705882352939</v>
      </c>
    </row>
    <row r="1588" spans="1:22">
      <c r="A1588" s="18" t="s">
        <v>70</v>
      </c>
      <c r="B1588">
        <v>2014</v>
      </c>
      <c r="C1588" t="s">
        <v>130</v>
      </c>
      <c r="D1588">
        <v>1</v>
      </c>
      <c r="E1588" s="18" t="s">
        <v>16</v>
      </c>
      <c r="F1588" s="18" t="s">
        <v>112</v>
      </c>
      <c r="G1588" s="18" t="s">
        <v>23</v>
      </c>
      <c r="H1588" s="18" t="str">
        <f>Assumptions!$B$2</f>
        <v>Worst</v>
      </c>
      <c r="I1588" s="18">
        <f>_xlfn.XLOOKUP(Assumptions!$B$2,Assumptions!$F$4:$H$4,Assumptions!$F$5:$H$5)</f>
        <v>1200</v>
      </c>
      <c r="J1588" s="18">
        <f>_xlfn.XLOOKUP(Assumptions!$B$2,Assumptions!$F$4:$H$4,Assumptions!$F$6:$H$6)</f>
        <v>17</v>
      </c>
      <c r="K1588" s="12">
        <f>_xlfn.XLOOKUP(Assumptions!$B$2,Assumptions!$F$4:$H$4,Assumptions!$F$8:$H$8)</f>
        <v>0.1</v>
      </c>
      <c r="L1588" s="12">
        <f>_xlfn.XLOOKUP(Assumptions!$B$2,Assumptions!$F$4:$H$4,Assumptions!$F$9:$H$9)</f>
        <v>0.18</v>
      </c>
      <c r="M1588" s="18">
        <f>_xlfn.XLOOKUP(Assumptions!$B$2,Assumptions!$F$4:$H$4,Assumptions!$F$10:$H$10)</f>
        <v>18000</v>
      </c>
      <c r="N1588" s="12">
        <f>_xlfn.XLOOKUP(Assumptions!$B$2,Assumptions!$F$4:$H$4,Assumptions!$F$11:$H$11)</f>
        <v>0.3</v>
      </c>
      <c r="O1588" s="14">
        <f>Final_Table[[#This Row],[Units Sold]]*Final_Table[[#This Row],[Sale Price]]</f>
        <v>20400</v>
      </c>
      <c r="P1588" s="14">
        <f>Final_Table[[#This Row],[Gross Revenue]]*(1-Final_Table[[#This Row],[Discount %]])</f>
        <v>18360</v>
      </c>
      <c r="Q1588">
        <f>Final_Table[[#This Row],[Net Revenue]]*Final_Table[[#This Row],[Variable Cost %]]</f>
        <v>3304.7999999999997</v>
      </c>
      <c r="R1588">
        <f>Final_Table[[#This Row],[Variable Cost]]+Final_Table[[#This Row],[Fixed Monthly Cost]]</f>
        <v>21304.799999999999</v>
      </c>
      <c r="S1588" s="5">
        <f>Final_Table[[#This Row],[Net Revenue]]-Final_Table[[#This Row],[Total Cost (COGS)]]</f>
        <v>-2944.7999999999993</v>
      </c>
      <c r="T1588">
        <f>Final_Table[[#This Row],[Gross Profit]]*Final_Table[[#This Row],[Tax Rate]]</f>
        <v>-883.43999999999971</v>
      </c>
      <c r="U1588" s="5">
        <f>Final_Table[[#This Row],[Gross Profit]]-Final_Table[[#This Row],[Tax]]</f>
        <v>-2061.3599999999997</v>
      </c>
      <c r="V1588" s="12">
        <f>Final_Table[[#This Row],[Net Profit]]/Final_Table[[#This Row],[Gross Revenue]]</f>
        <v>-0.10104705882352939</v>
      </c>
    </row>
    <row r="1589" spans="1:22">
      <c r="A1589" s="18" t="s">
        <v>70</v>
      </c>
      <c r="B1589">
        <v>2014</v>
      </c>
      <c r="C1589" t="s">
        <v>130</v>
      </c>
      <c r="D1589">
        <v>1</v>
      </c>
      <c r="E1589" s="18" t="s">
        <v>16</v>
      </c>
      <c r="F1589" s="18" t="s">
        <v>112</v>
      </c>
      <c r="G1589" s="18" t="s">
        <v>21</v>
      </c>
      <c r="H1589" s="18" t="str">
        <f>Assumptions!$B$2</f>
        <v>Worst</v>
      </c>
      <c r="I1589" s="18">
        <f>_xlfn.XLOOKUP(Assumptions!$B$2,Assumptions!$F$4:$H$4,Assumptions!$F$5:$H$5)</f>
        <v>1200</v>
      </c>
      <c r="J1589" s="18">
        <f>_xlfn.XLOOKUP(Assumptions!$B$2,Assumptions!$F$4:$H$4,Assumptions!$F$6:$H$6)</f>
        <v>17</v>
      </c>
      <c r="K1589" s="12">
        <f>_xlfn.XLOOKUP(Assumptions!$B$2,Assumptions!$F$4:$H$4,Assumptions!$F$8:$H$8)</f>
        <v>0.1</v>
      </c>
      <c r="L1589" s="12">
        <f>_xlfn.XLOOKUP(Assumptions!$B$2,Assumptions!$F$4:$H$4,Assumptions!$F$9:$H$9)</f>
        <v>0.18</v>
      </c>
      <c r="M1589" s="18">
        <f>_xlfn.XLOOKUP(Assumptions!$B$2,Assumptions!$F$4:$H$4,Assumptions!$F$10:$H$10)</f>
        <v>18000</v>
      </c>
      <c r="N1589" s="12">
        <f>_xlfn.XLOOKUP(Assumptions!$B$2,Assumptions!$F$4:$H$4,Assumptions!$F$11:$H$11)</f>
        <v>0.3</v>
      </c>
      <c r="O1589" s="14">
        <f>Final_Table[[#This Row],[Units Sold]]*Final_Table[[#This Row],[Sale Price]]</f>
        <v>20400</v>
      </c>
      <c r="P1589" s="14">
        <f>Final_Table[[#This Row],[Gross Revenue]]*(1-Final_Table[[#This Row],[Discount %]])</f>
        <v>18360</v>
      </c>
      <c r="Q1589">
        <f>Final_Table[[#This Row],[Net Revenue]]*Final_Table[[#This Row],[Variable Cost %]]</f>
        <v>3304.7999999999997</v>
      </c>
      <c r="R1589">
        <f>Final_Table[[#This Row],[Variable Cost]]+Final_Table[[#This Row],[Fixed Monthly Cost]]</f>
        <v>21304.799999999999</v>
      </c>
      <c r="S1589" s="5">
        <f>Final_Table[[#This Row],[Net Revenue]]-Final_Table[[#This Row],[Total Cost (COGS)]]</f>
        <v>-2944.7999999999993</v>
      </c>
      <c r="T1589">
        <f>Final_Table[[#This Row],[Gross Profit]]*Final_Table[[#This Row],[Tax Rate]]</f>
        <v>-883.43999999999971</v>
      </c>
      <c r="U1589" s="5">
        <f>Final_Table[[#This Row],[Gross Profit]]-Final_Table[[#This Row],[Tax]]</f>
        <v>-2061.3599999999997</v>
      </c>
      <c r="V1589" s="12">
        <f>Final_Table[[#This Row],[Net Profit]]/Final_Table[[#This Row],[Gross Revenue]]</f>
        <v>-0.10104705882352939</v>
      </c>
    </row>
    <row r="1590" spans="1:22">
      <c r="A1590" s="18" t="s">
        <v>70</v>
      </c>
      <c r="B1590">
        <v>2014</v>
      </c>
      <c r="C1590" t="s">
        <v>130</v>
      </c>
      <c r="D1590">
        <v>1</v>
      </c>
      <c r="E1590" s="18" t="s">
        <v>16</v>
      </c>
      <c r="F1590" s="18" t="s">
        <v>112</v>
      </c>
      <c r="G1590" s="18" t="s">
        <v>25</v>
      </c>
      <c r="H1590" s="18" t="str">
        <f>Assumptions!$B$2</f>
        <v>Worst</v>
      </c>
      <c r="I1590" s="18">
        <f>_xlfn.XLOOKUP(Assumptions!$B$2,Assumptions!$F$4:$H$4,Assumptions!$F$5:$H$5)</f>
        <v>1200</v>
      </c>
      <c r="J1590" s="18">
        <f>_xlfn.XLOOKUP(Assumptions!$B$2,Assumptions!$F$4:$H$4,Assumptions!$F$6:$H$6)</f>
        <v>17</v>
      </c>
      <c r="K1590" s="12">
        <f>_xlfn.XLOOKUP(Assumptions!$B$2,Assumptions!$F$4:$H$4,Assumptions!$F$8:$H$8)</f>
        <v>0.1</v>
      </c>
      <c r="L1590" s="12">
        <f>_xlfn.XLOOKUP(Assumptions!$B$2,Assumptions!$F$4:$H$4,Assumptions!$F$9:$H$9)</f>
        <v>0.18</v>
      </c>
      <c r="M1590" s="18">
        <f>_xlfn.XLOOKUP(Assumptions!$B$2,Assumptions!$F$4:$H$4,Assumptions!$F$10:$H$10)</f>
        <v>18000</v>
      </c>
      <c r="N1590" s="12">
        <f>_xlfn.XLOOKUP(Assumptions!$B$2,Assumptions!$F$4:$H$4,Assumptions!$F$11:$H$11)</f>
        <v>0.3</v>
      </c>
      <c r="O1590" s="14">
        <f>Final_Table[[#This Row],[Units Sold]]*Final_Table[[#This Row],[Sale Price]]</f>
        <v>20400</v>
      </c>
      <c r="P1590" s="14">
        <f>Final_Table[[#This Row],[Gross Revenue]]*(1-Final_Table[[#This Row],[Discount %]])</f>
        <v>18360</v>
      </c>
      <c r="Q1590">
        <f>Final_Table[[#This Row],[Net Revenue]]*Final_Table[[#This Row],[Variable Cost %]]</f>
        <v>3304.7999999999997</v>
      </c>
      <c r="R1590">
        <f>Final_Table[[#This Row],[Variable Cost]]+Final_Table[[#This Row],[Fixed Monthly Cost]]</f>
        <v>21304.799999999999</v>
      </c>
      <c r="S1590" s="5">
        <f>Final_Table[[#This Row],[Net Revenue]]-Final_Table[[#This Row],[Total Cost (COGS)]]</f>
        <v>-2944.7999999999993</v>
      </c>
      <c r="T1590">
        <f>Final_Table[[#This Row],[Gross Profit]]*Final_Table[[#This Row],[Tax Rate]]</f>
        <v>-883.43999999999971</v>
      </c>
      <c r="U1590" s="5">
        <f>Final_Table[[#This Row],[Gross Profit]]-Final_Table[[#This Row],[Tax]]</f>
        <v>-2061.3599999999997</v>
      </c>
      <c r="V1590" s="12">
        <f>Final_Table[[#This Row],[Net Profit]]/Final_Table[[#This Row],[Gross Revenue]]</f>
        <v>-0.10104705882352939</v>
      </c>
    </row>
    <row r="1591" spans="1:22">
      <c r="A1591" s="18" t="s">
        <v>70</v>
      </c>
      <c r="B1591">
        <v>2014</v>
      </c>
      <c r="C1591" t="s">
        <v>130</v>
      </c>
      <c r="D1591">
        <v>1</v>
      </c>
      <c r="E1591" s="18" t="s">
        <v>16</v>
      </c>
      <c r="F1591" s="18" t="s">
        <v>112</v>
      </c>
      <c r="G1591" s="18" t="s">
        <v>17</v>
      </c>
      <c r="H1591" s="18" t="str">
        <f>Assumptions!$B$2</f>
        <v>Worst</v>
      </c>
      <c r="I1591" s="18">
        <f>_xlfn.XLOOKUP(Assumptions!$B$2,Assumptions!$F$4:$H$4,Assumptions!$F$5:$H$5)</f>
        <v>1200</v>
      </c>
      <c r="J1591" s="18">
        <f>_xlfn.XLOOKUP(Assumptions!$B$2,Assumptions!$F$4:$H$4,Assumptions!$F$6:$H$6)</f>
        <v>17</v>
      </c>
      <c r="K1591" s="12">
        <f>_xlfn.XLOOKUP(Assumptions!$B$2,Assumptions!$F$4:$H$4,Assumptions!$F$8:$H$8)</f>
        <v>0.1</v>
      </c>
      <c r="L1591" s="12">
        <f>_xlfn.XLOOKUP(Assumptions!$B$2,Assumptions!$F$4:$H$4,Assumptions!$F$9:$H$9)</f>
        <v>0.18</v>
      </c>
      <c r="M1591" s="18">
        <f>_xlfn.XLOOKUP(Assumptions!$B$2,Assumptions!$F$4:$H$4,Assumptions!$F$10:$H$10)</f>
        <v>18000</v>
      </c>
      <c r="N1591" s="12">
        <f>_xlfn.XLOOKUP(Assumptions!$B$2,Assumptions!$F$4:$H$4,Assumptions!$F$11:$H$11)</f>
        <v>0.3</v>
      </c>
      <c r="O1591" s="14">
        <f>Final_Table[[#This Row],[Units Sold]]*Final_Table[[#This Row],[Sale Price]]</f>
        <v>20400</v>
      </c>
      <c r="P1591" s="14">
        <f>Final_Table[[#This Row],[Gross Revenue]]*(1-Final_Table[[#This Row],[Discount %]])</f>
        <v>18360</v>
      </c>
      <c r="Q1591">
        <f>Final_Table[[#This Row],[Net Revenue]]*Final_Table[[#This Row],[Variable Cost %]]</f>
        <v>3304.7999999999997</v>
      </c>
      <c r="R1591">
        <f>Final_Table[[#This Row],[Variable Cost]]+Final_Table[[#This Row],[Fixed Monthly Cost]]</f>
        <v>21304.799999999999</v>
      </c>
      <c r="S1591" s="5">
        <f>Final_Table[[#This Row],[Net Revenue]]-Final_Table[[#This Row],[Total Cost (COGS)]]</f>
        <v>-2944.7999999999993</v>
      </c>
      <c r="T1591">
        <f>Final_Table[[#This Row],[Gross Profit]]*Final_Table[[#This Row],[Tax Rate]]</f>
        <v>-883.43999999999971</v>
      </c>
      <c r="U1591" s="5">
        <f>Final_Table[[#This Row],[Gross Profit]]-Final_Table[[#This Row],[Tax]]</f>
        <v>-2061.3599999999997</v>
      </c>
      <c r="V1591" s="12">
        <f>Final_Table[[#This Row],[Net Profit]]/Final_Table[[#This Row],[Gross Revenue]]</f>
        <v>-0.10104705882352939</v>
      </c>
    </row>
    <row r="1592" spans="1:22">
      <c r="A1592" s="18" t="s">
        <v>70</v>
      </c>
      <c r="B1592">
        <v>2014</v>
      </c>
      <c r="C1592" t="s">
        <v>130</v>
      </c>
      <c r="D1592">
        <v>1</v>
      </c>
      <c r="E1592" s="18" t="s">
        <v>16</v>
      </c>
      <c r="F1592" s="18" t="s">
        <v>113</v>
      </c>
      <c r="G1592" s="18" t="s">
        <v>36</v>
      </c>
      <c r="H1592" s="18" t="str">
        <f>Assumptions!$B$2</f>
        <v>Worst</v>
      </c>
      <c r="I1592" s="18">
        <f>_xlfn.XLOOKUP(Assumptions!$B$2,Assumptions!$F$4:$H$4,Assumptions!$F$5:$H$5)</f>
        <v>1200</v>
      </c>
      <c r="J1592" s="18">
        <f>_xlfn.XLOOKUP(Assumptions!$B$2,Assumptions!$F$4:$H$4,Assumptions!$F$6:$H$6)</f>
        <v>17</v>
      </c>
      <c r="K1592" s="12">
        <f>_xlfn.XLOOKUP(Assumptions!$B$2,Assumptions!$F$4:$H$4,Assumptions!$F$8:$H$8)</f>
        <v>0.1</v>
      </c>
      <c r="L1592" s="12">
        <f>_xlfn.XLOOKUP(Assumptions!$B$2,Assumptions!$F$4:$H$4,Assumptions!$F$9:$H$9)</f>
        <v>0.18</v>
      </c>
      <c r="M1592" s="18">
        <f>_xlfn.XLOOKUP(Assumptions!$B$2,Assumptions!$F$4:$H$4,Assumptions!$F$10:$H$10)</f>
        <v>18000</v>
      </c>
      <c r="N1592" s="12">
        <f>_xlfn.XLOOKUP(Assumptions!$B$2,Assumptions!$F$4:$H$4,Assumptions!$F$11:$H$11)</f>
        <v>0.3</v>
      </c>
      <c r="O1592" s="14">
        <f>Final_Table[[#This Row],[Units Sold]]*Final_Table[[#This Row],[Sale Price]]</f>
        <v>20400</v>
      </c>
      <c r="P1592" s="14">
        <f>Final_Table[[#This Row],[Gross Revenue]]*(1-Final_Table[[#This Row],[Discount %]])</f>
        <v>18360</v>
      </c>
      <c r="Q1592">
        <f>Final_Table[[#This Row],[Net Revenue]]*Final_Table[[#This Row],[Variable Cost %]]</f>
        <v>3304.7999999999997</v>
      </c>
      <c r="R1592">
        <f>Final_Table[[#This Row],[Variable Cost]]+Final_Table[[#This Row],[Fixed Monthly Cost]]</f>
        <v>21304.799999999999</v>
      </c>
      <c r="S1592" s="5">
        <f>Final_Table[[#This Row],[Net Revenue]]-Final_Table[[#This Row],[Total Cost (COGS)]]</f>
        <v>-2944.7999999999993</v>
      </c>
      <c r="T1592">
        <f>Final_Table[[#This Row],[Gross Profit]]*Final_Table[[#This Row],[Tax Rate]]</f>
        <v>-883.43999999999971</v>
      </c>
      <c r="U1592" s="5">
        <f>Final_Table[[#This Row],[Gross Profit]]-Final_Table[[#This Row],[Tax]]</f>
        <v>-2061.3599999999997</v>
      </c>
      <c r="V1592" s="12">
        <f>Final_Table[[#This Row],[Net Profit]]/Final_Table[[#This Row],[Gross Revenue]]</f>
        <v>-0.10104705882352939</v>
      </c>
    </row>
    <row r="1593" spans="1:22">
      <c r="A1593" s="18" t="s">
        <v>70</v>
      </c>
      <c r="B1593">
        <v>2014</v>
      </c>
      <c r="C1593" t="s">
        <v>130</v>
      </c>
      <c r="D1593">
        <v>1</v>
      </c>
      <c r="E1593" s="18" t="s">
        <v>16</v>
      </c>
      <c r="F1593" s="18" t="s">
        <v>113</v>
      </c>
      <c r="G1593" s="18" t="s">
        <v>23</v>
      </c>
      <c r="H1593" s="18" t="str">
        <f>Assumptions!$B$2</f>
        <v>Worst</v>
      </c>
      <c r="I1593" s="18">
        <f>_xlfn.XLOOKUP(Assumptions!$B$2,Assumptions!$F$4:$H$4,Assumptions!$F$5:$H$5)</f>
        <v>1200</v>
      </c>
      <c r="J1593" s="18">
        <f>_xlfn.XLOOKUP(Assumptions!$B$2,Assumptions!$F$4:$H$4,Assumptions!$F$6:$H$6)</f>
        <v>17</v>
      </c>
      <c r="K1593" s="12">
        <f>_xlfn.XLOOKUP(Assumptions!$B$2,Assumptions!$F$4:$H$4,Assumptions!$F$8:$H$8)</f>
        <v>0.1</v>
      </c>
      <c r="L1593" s="12">
        <f>_xlfn.XLOOKUP(Assumptions!$B$2,Assumptions!$F$4:$H$4,Assumptions!$F$9:$H$9)</f>
        <v>0.18</v>
      </c>
      <c r="M1593" s="18">
        <f>_xlfn.XLOOKUP(Assumptions!$B$2,Assumptions!$F$4:$H$4,Assumptions!$F$10:$H$10)</f>
        <v>18000</v>
      </c>
      <c r="N1593" s="12">
        <f>_xlfn.XLOOKUP(Assumptions!$B$2,Assumptions!$F$4:$H$4,Assumptions!$F$11:$H$11)</f>
        <v>0.3</v>
      </c>
      <c r="O1593" s="14">
        <f>Final_Table[[#This Row],[Units Sold]]*Final_Table[[#This Row],[Sale Price]]</f>
        <v>20400</v>
      </c>
      <c r="P1593" s="14">
        <f>Final_Table[[#This Row],[Gross Revenue]]*(1-Final_Table[[#This Row],[Discount %]])</f>
        <v>18360</v>
      </c>
      <c r="Q1593">
        <f>Final_Table[[#This Row],[Net Revenue]]*Final_Table[[#This Row],[Variable Cost %]]</f>
        <v>3304.7999999999997</v>
      </c>
      <c r="R1593">
        <f>Final_Table[[#This Row],[Variable Cost]]+Final_Table[[#This Row],[Fixed Monthly Cost]]</f>
        <v>21304.799999999999</v>
      </c>
      <c r="S1593" s="5">
        <f>Final_Table[[#This Row],[Net Revenue]]-Final_Table[[#This Row],[Total Cost (COGS)]]</f>
        <v>-2944.7999999999993</v>
      </c>
      <c r="T1593">
        <f>Final_Table[[#This Row],[Gross Profit]]*Final_Table[[#This Row],[Tax Rate]]</f>
        <v>-883.43999999999971</v>
      </c>
      <c r="U1593" s="5">
        <f>Final_Table[[#This Row],[Gross Profit]]-Final_Table[[#This Row],[Tax]]</f>
        <v>-2061.3599999999997</v>
      </c>
      <c r="V1593" s="12">
        <f>Final_Table[[#This Row],[Net Profit]]/Final_Table[[#This Row],[Gross Revenue]]</f>
        <v>-0.10104705882352939</v>
      </c>
    </row>
    <row r="1594" spans="1:22">
      <c r="A1594" s="18" t="s">
        <v>70</v>
      </c>
      <c r="B1594">
        <v>2014</v>
      </c>
      <c r="C1594" t="s">
        <v>130</v>
      </c>
      <c r="D1594">
        <v>1</v>
      </c>
      <c r="E1594" s="18" t="s">
        <v>16</v>
      </c>
      <c r="F1594" s="18" t="s">
        <v>113</v>
      </c>
      <c r="G1594" s="18" t="s">
        <v>21</v>
      </c>
      <c r="H1594" s="18" t="str">
        <f>Assumptions!$B$2</f>
        <v>Worst</v>
      </c>
      <c r="I1594" s="18">
        <f>_xlfn.XLOOKUP(Assumptions!$B$2,Assumptions!$F$4:$H$4,Assumptions!$F$5:$H$5)</f>
        <v>1200</v>
      </c>
      <c r="J1594" s="18">
        <f>_xlfn.XLOOKUP(Assumptions!$B$2,Assumptions!$F$4:$H$4,Assumptions!$F$6:$H$6)</f>
        <v>17</v>
      </c>
      <c r="K1594" s="12">
        <f>_xlfn.XLOOKUP(Assumptions!$B$2,Assumptions!$F$4:$H$4,Assumptions!$F$8:$H$8)</f>
        <v>0.1</v>
      </c>
      <c r="L1594" s="12">
        <f>_xlfn.XLOOKUP(Assumptions!$B$2,Assumptions!$F$4:$H$4,Assumptions!$F$9:$H$9)</f>
        <v>0.18</v>
      </c>
      <c r="M1594" s="18">
        <f>_xlfn.XLOOKUP(Assumptions!$B$2,Assumptions!$F$4:$H$4,Assumptions!$F$10:$H$10)</f>
        <v>18000</v>
      </c>
      <c r="N1594" s="12">
        <f>_xlfn.XLOOKUP(Assumptions!$B$2,Assumptions!$F$4:$H$4,Assumptions!$F$11:$H$11)</f>
        <v>0.3</v>
      </c>
      <c r="O1594" s="14">
        <f>Final_Table[[#This Row],[Units Sold]]*Final_Table[[#This Row],[Sale Price]]</f>
        <v>20400</v>
      </c>
      <c r="P1594" s="14">
        <f>Final_Table[[#This Row],[Gross Revenue]]*(1-Final_Table[[#This Row],[Discount %]])</f>
        <v>18360</v>
      </c>
      <c r="Q1594">
        <f>Final_Table[[#This Row],[Net Revenue]]*Final_Table[[#This Row],[Variable Cost %]]</f>
        <v>3304.7999999999997</v>
      </c>
      <c r="R1594">
        <f>Final_Table[[#This Row],[Variable Cost]]+Final_Table[[#This Row],[Fixed Monthly Cost]]</f>
        <v>21304.799999999999</v>
      </c>
      <c r="S1594" s="5">
        <f>Final_Table[[#This Row],[Net Revenue]]-Final_Table[[#This Row],[Total Cost (COGS)]]</f>
        <v>-2944.7999999999993</v>
      </c>
      <c r="T1594">
        <f>Final_Table[[#This Row],[Gross Profit]]*Final_Table[[#This Row],[Tax Rate]]</f>
        <v>-883.43999999999971</v>
      </c>
      <c r="U1594" s="5">
        <f>Final_Table[[#This Row],[Gross Profit]]-Final_Table[[#This Row],[Tax]]</f>
        <v>-2061.3599999999997</v>
      </c>
      <c r="V1594" s="12">
        <f>Final_Table[[#This Row],[Net Profit]]/Final_Table[[#This Row],[Gross Revenue]]</f>
        <v>-0.10104705882352939</v>
      </c>
    </row>
    <row r="1595" spans="1:22">
      <c r="A1595" s="18" t="s">
        <v>70</v>
      </c>
      <c r="B1595">
        <v>2014</v>
      </c>
      <c r="C1595" t="s">
        <v>130</v>
      </c>
      <c r="D1595">
        <v>1</v>
      </c>
      <c r="E1595" s="18" t="s">
        <v>16</v>
      </c>
      <c r="F1595" s="18" t="s">
        <v>113</v>
      </c>
      <c r="G1595" s="18" t="s">
        <v>25</v>
      </c>
      <c r="H1595" s="18" t="str">
        <f>Assumptions!$B$2</f>
        <v>Worst</v>
      </c>
      <c r="I1595" s="18">
        <f>_xlfn.XLOOKUP(Assumptions!$B$2,Assumptions!$F$4:$H$4,Assumptions!$F$5:$H$5)</f>
        <v>1200</v>
      </c>
      <c r="J1595" s="18">
        <f>_xlfn.XLOOKUP(Assumptions!$B$2,Assumptions!$F$4:$H$4,Assumptions!$F$6:$H$6)</f>
        <v>17</v>
      </c>
      <c r="K1595" s="12">
        <f>_xlfn.XLOOKUP(Assumptions!$B$2,Assumptions!$F$4:$H$4,Assumptions!$F$8:$H$8)</f>
        <v>0.1</v>
      </c>
      <c r="L1595" s="12">
        <f>_xlfn.XLOOKUP(Assumptions!$B$2,Assumptions!$F$4:$H$4,Assumptions!$F$9:$H$9)</f>
        <v>0.18</v>
      </c>
      <c r="M1595" s="18">
        <f>_xlfn.XLOOKUP(Assumptions!$B$2,Assumptions!$F$4:$H$4,Assumptions!$F$10:$H$10)</f>
        <v>18000</v>
      </c>
      <c r="N1595" s="12">
        <f>_xlfn.XLOOKUP(Assumptions!$B$2,Assumptions!$F$4:$H$4,Assumptions!$F$11:$H$11)</f>
        <v>0.3</v>
      </c>
      <c r="O1595" s="14">
        <f>Final_Table[[#This Row],[Units Sold]]*Final_Table[[#This Row],[Sale Price]]</f>
        <v>20400</v>
      </c>
      <c r="P1595" s="14">
        <f>Final_Table[[#This Row],[Gross Revenue]]*(1-Final_Table[[#This Row],[Discount %]])</f>
        <v>18360</v>
      </c>
      <c r="Q1595">
        <f>Final_Table[[#This Row],[Net Revenue]]*Final_Table[[#This Row],[Variable Cost %]]</f>
        <v>3304.7999999999997</v>
      </c>
      <c r="R1595">
        <f>Final_Table[[#This Row],[Variable Cost]]+Final_Table[[#This Row],[Fixed Monthly Cost]]</f>
        <v>21304.799999999999</v>
      </c>
      <c r="S1595" s="5">
        <f>Final_Table[[#This Row],[Net Revenue]]-Final_Table[[#This Row],[Total Cost (COGS)]]</f>
        <v>-2944.7999999999993</v>
      </c>
      <c r="T1595">
        <f>Final_Table[[#This Row],[Gross Profit]]*Final_Table[[#This Row],[Tax Rate]]</f>
        <v>-883.43999999999971</v>
      </c>
      <c r="U1595" s="5">
        <f>Final_Table[[#This Row],[Gross Profit]]-Final_Table[[#This Row],[Tax]]</f>
        <v>-2061.3599999999997</v>
      </c>
      <c r="V1595" s="12">
        <f>Final_Table[[#This Row],[Net Profit]]/Final_Table[[#This Row],[Gross Revenue]]</f>
        <v>-0.10104705882352939</v>
      </c>
    </row>
    <row r="1596" spans="1:22">
      <c r="A1596" s="18" t="s">
        <v>70</v>
      </c>
      <c r="B1596">
        <v>2014</v>
      </c>
      <c r="C1596" t="s">
        <v>130</v>
      </c>
      <c r="D1596">
        <v>1</v>
      </c>
      <c r="E1596" s="18" t="s">
        <v>16</v>
      </c>
      <c r="F1596" s="18" t="s">
        <v>113</v>
      </c>
      <c r="G1596" s="18" t="s">
        <v>17</v>
      </c>
      <c r="H1596" s="18" t="str">
        <f>Assumptions!$B$2</f>
        <v>Worst</v>
      </c>
      <c r="I1596" s="18">
        <f>_xlfn.XLOOKUP(Assumptions!$B$2,Assumptions!$F$4:$H$4,Assumptions!$F$5:$H$5)</f>
        <v>1200</v>
      </c>
      <c r="J1596" s="18">
        <f>_xlfn.XLOOKUP(Assumptions!$B$2,Assumptions!$F$4:$H$4,Assumptions!$F$6:$H$6)</f>
        <v>17</v>
      </c>
      <c r="K1596" s="12">
        <f>_xlfn.XLOOKUP(Assumptions!$B$2,Assumptions!$F$4:$H$4,Assumptions!$F$8:$H$8)</f>
        <v>0.1</v>
      </c>
      <c r="L1596" s="12">
        <f>_xlfn.XLOOKUP(Assumptions!$B$2,Assumptions!$F$4:$H$4,Assumptions!$F$9:$H$9)</f>
        <v>0.18</v>
      </c>
      <c r="M1596" s="18">
        <f>_xlfn.XLOOKUP(Assumptions!$B$2,Assumptions!$F$4:$H$4,Assumptions!$F$10:$H$10)</f>
        <v>18000</v>
      </c>
      <c r="N1596" s="12">
        <f>_xlfn.XLOOKUP(Assumptions!$B$2,Assumptions!$F$4:$H$4,Assumptions!$F$11:$H$11)</f>
        <v>0.3</v>
      </c>
      <c r="O1596" s="14">
        <f>Final_Table[[#This Row],[Units Sold]]*Final_Table[[#This Row],[Sale Price]]</f>
        <v>20400</v>
      </c>
      <c r="P1596" s="14">
        <f>Final_Table[[#This Row],[Gross Revenue]]*(1-Final_Table[[#This Row],[Discount %]])</f>
        <v>18360</v>
      </c>
      <c r="Q1596">
        <f>Final_Table[[#This Row],[Net Revenue]]*Final_Table[[#This Row],[Variable Cost %]]</f>
        <v>3304.7999999999997</v>
      </c>
      <c r="R1596">
        <f>Final_Table[[#This Row],[Variable Cost]]+Final_Table[[#This Row],[Fixed Monthly Cost]]</f>
        <v>21304.799999999999</v>
      </c>
      <c r="S1596" s="5">
        <f>Final_Table[[#This Row],[Net Revenue]]-Final_Table[[#This Row],[Total Cost (COGS)]]</f>
        <v>-2944.7999999999993</v>
      </c>
      <c r="T1596">
        <f>Final_Table[[#This Row],[Gross Profit]]*Final_Table[[#This Row],[Tax Rate]]</f>
        <v>-883.43999999999971</v>
      </c>
      <c r="U1596" s="5">
        <f>Final_Table[[#This Row],[Gross Profit]]-Final_Table[[#This Row],[Tax]]</f>
        <v>-2061.3599999999997</v>
      </c>
      <c r="V1596" s="12">
        <f>Final_Table[[#This Row],[Net Profit]]/Final_Table[[#This Row],[Gross Revenue]]</f>
        <v>-0.10104705882352939</v>
      </c>
    </row>
    <row r="1597" spans="1:22">
      <c r="A1597" s="18" t="s">
        <v>70</v>
      </c>
      <c r="B1597">
        <v>2014</v>
      </c>
      <c r="C1597" t="s">
        <v>130</v>
      </c>
      <c r="D1597">
        <v>1</v>
      </c>
      <c r="E1597" s="18" t="s">
        <v>16</v>
      </c>
      <c r="F1597" s="18" t="s">
        <v>114</v>
      </c>
      <c r="G1597" s="18" t="s">
        <v>36</v>
      </c>
      <c r="H1597" s="18" t="str">
        <f>Assumptions!$B$2</f>
        <v>Worst</v>
      </c>
      <c r="I1597" s="18">
        <f>_xlfn.XLOOKUP(Assumptions!$B$2,Assumptions!$F$4:$H$4,Assumptions!$F$5:$H$5)</f>
        <v>1200</v>
      </c>
      <c r="J1597" s="18">
        <f>_xlfn.XLOOKUP(Assumptions!$B$2,Assumptions!$F$4:$H$4,Assumptions!$F$6:$H$6)</f>
        <v>17</v>
      </c>
      <c r="K1597" s="12">
        <f>_xlfn.XLOOKUP(Assumptions!$B$2,Assumptions!$F$4:$H$4,Assumptions!$F$8:$H$8)</f>
        <v>0.1</v>
      </c>
      <c r="L1597" s="12">
        <f>_xlfn.XLOOKUP(Assumptions!$B$2,Assumptions!$F$4:$H$4,Assumptions!$F$9:$H$9)</f>
        <v>0.18</v>
      </c>
      <c r="M1597" s="18">
        <f>_xlfn.XLOOKUP(Assumptions!$B$2,Assumptions!$F$4:$H$4,Assumptions!$F$10:$H$10)</f>
        <v>18000</v>
      </c>
      <c r="N1597" s="12">
        <f>_xlfn.XLOOKUP(Assumptions!$B$2,Assumptions!$F$4:$H$4,Assumptions!$F$11:$H$11)</f>
        <v>0.3</v>
      </c>
      <c r="O1597" s="14">
        <f>Final_Table[[#This Row],[Units Sold]]*Final_Table[[#This Row],[Sale Price]]</f>
        <v>20400</v>
      </c>
      <c r="P1597" s="14">
        <f>Final_Table[[#This Row],[Gross Revenue]]*(1-Final_Table[[#This Row],[Discount %]])</f>
        <v>18360</v>
      </c>
      <c r="Q1597">
        <f>Final_Table[[#This Row],[Net Revenue]]*Final_Table[[#This Row],[Variable Cost %]]</f>
        <v>3304.7999999999997</v>
      </c>
      <c r="R1597">
        <f>Final_Table[[#This Row],[Variable Cost]]+Final_Table[[#This Row],[Fixed Monthly Cost]]</f>
        <v>21304.799999999999</v>
      </c>
      <c r="S1597" s="5">
        <f>Final_Table[[#This Row],[Net Revenue]]-Final_Table[[#This Row],[Total Cost (COGS)]]</f>
        <v>-2944.7999999999993</v>
      </c>
      <c r="T1597">
        <f>Final_Table[[#This Row],[Gross Profit]]*Final_Table[[#This Row],[Tax Rate]]</f>
        <v>-883.43999999999971</v>
      </c>
      <c r="U1597" s="5">
        <f>Final_Table[[#This Row],[Gross Profit]]-Final_Table[[#This Row],[Tax]]</f>
        <v>-2061.3599999999997</v>
      </c>
      <c r="V1597" s="12">
        <f>Final_Table[[#This Row],[Net Profit]]/Final_Table[[#This Row],[Gross Revenue]]</f>
        <v>-0.10104705882352939</v>
      </c>
    </row>
    <row r="1598" spans="1:22">
      <c r="A1598" s="18" t="s">
        <v>70</v>
      </c>
      <c r="B1598">
        <v>2014</v>
      </c>
      <c r="C1598" t="s">
        <v>130</v>
      </c>
      <c r="D1598">
        <v>1</v>
      </c>
      <c r="E1598" s="18" t="s">
        <v>16</v>
      </c>
      <c r="F1598" s="18" t="s">
        <v>114</v>
      </c>
      <c r="G1598" s="18" t="s">
        <v>23</v>
      </c>
      <c r="H1598" s="18" t="str">
        <f>Assumptions!$B$2</f>
        <v>Worst</v>
      </c>
      <c r="I1598" s="18">
        <f>_xlfn.XLOOKUP(Assumptions!$B$2,Assumptions!$F$4:$H$4,Assumptions!$F$5:$H$5)</f>
        <v>1200</v>
      </c>
      <c r="J1598" s="18">
        <f>_xlfn.XLOOKUP(Assumptions!$B$2,Assumptions!$F$4:$H$4,Assumptions!$F$6:$H$6)</f>
        <v>17</v>
      </c>
      <c r="K1598" s="12">
        <f>_xlfn.XLOOKUP(Assumptions!$B$2,Assumptions!$F$4:$H$4,Assumptions!$F$8:$H$8)</f>
        <v>0.1</v>
      </c>
      <c r="L1598" s="12">
        <f>_xlfn.XLOOKUP(Assumptions!$B$2,Assumptions!$F$4:$H$4,Assumptions!$F$9:$H$9)</f>
        <v>0.18</v>
      </c>
      <c r="M1598" s="18">
        <f>_xlfn.XLOOKUP(Assumptions!$B$2,Assumptions!$F$4:$H$4,Assumptions!$F$10:$H$10)</f>
        <v>18000</v>
      </c>
      <c r="N1598" s="12">
        <f>_xlfn.XLOOKUP(Assumptions!$B$2,Assumptions!$F$4:$H$4,Assumptions!$F$11:$H$11)</f>
        <v>0.3</v>
      </c>
      <c r="O1598" s="14">
        <f>Final_Table[[#This Row],[Units Sold]]*Final_Table[[#This Row],[Sale Price]]</f>
        <v>20400</v>
      </c>
      <c r="P1598" s="14">
        <f>Final_Table[[#This Row],[Gross Revenue]]*(1-Final_Table[[#This Row],[Discount %]])</f>
        <v>18360</v>
      </c>
      <c r="Q1598">
        <f>Final_Table[[#This Row],[Net Revenue]]*Final_Table[[#This Row],[Variable Cost %]]</f>
        <v>3304.7999999999997</v>
      </c>
      <c r="R1598">
        <f>Final_Table[[#This Row],[Variable Cost]]+Final_Table[[#This Row],[Fixed Monthly Cost]]</f>
        <v>21304.799999999999</v>
      </c>
      <c r="S1598" s="5">
        <f>Final_Table[[#This Row],[Net Revenue]]-Final_Table[[#This Row],[Total Cost (COGS)]]</f>
        <v>-2944.7999999999993</v>
      </c>
      <c r="T1598">
        <f>Final_Table[[#This Row],[Gross Profit]]*Final_Table[[#This Row],[Tax Rate]]</f>
        <v>-883.43999999999971</v>
      </c>
      <c r="U1598" s="5">
        <f>Final_Table[[#This Row],[Gross Profit]]-Final_Table[[#This Row],[Tax]]</f>
        <v>-2061.3599999999997</v>
      </c>
      <c r="V1598" s="12">
        <f>Final_Table[[#This Row],[Net Profit]]/Final_Table[[#This Row],[Gross Revenue]]</f>
        <v>-0.10104705882352939</v>
      </c>
    </row>
    <row r="1599" spans="1:22">
      <c r="A1599" s="18" t="s">
        <v>70</v>
      </c>
      <c r="B1599">
        <v>2014</v>
      </c>
      <c r="C1599" t="s">
        <v>130</v>
      </c>
      <c r="D1599">
        <v>1</v>
      </c>
      <c r="E1599" s="18" t="s">
        <v>16</v>
      </c>
      <c r="F1599" s="18" t="s">
        <v>114</v>
      </c>
      <c r="G1599" s="18" t="s">
        <v>21</v>
      </c>
      <c r="H1599" s="18" t="str">
        <f>Assumptions!$B$2</f>
        <v>Worst</v>
      </c>
      <c r="I1599" s="18">
        <f>_xlfn.XLOOKUP(Assumptions!$B$2,Assumptions!$F$4:$H$4,Assumptions!$F$5:$H$5)</f>
        <v>1200</v>
      </c>
      <c r="J1599" s="18">
        <f>_xlfn.XLOOKUP(Assumptions!$B$2,Assumptions!$F$4:$H$4,Assumptions!$F$6:$H$6)</f>
        <v>17</v>
      </c>
      <c r="K1599" s="12">
        <f>_xlfn.XLOOKUP(Assumptions!$B$2,Assumptions!$F$4:$H$4,Assumptions!$F$8:$H$8)</f>
        <v>0.1</v>
      </c>
      <c r="L1599" s="12">
        <f>_xlfn.XLOOKUP(Assumptions!$B$2,Assumptions!$F$4:$H$4,Assumptions!$F$9:$H$9)</f>
        <v>0.18</v>
      </c>
      <c r="M1599" s="18">
        <f>_xlfn.XLOOKUP(Assumptions!$B$2,Assumptions!$F$4:$H$4,Assumptions!$F$10:$H$10)</f>
        <v>18000</v>
      </c>
      <c r="N1599" s="12">
        <f>_xlfn.XLOOKUP(Assumptions!$B$2,Assumptions!$F$4:$H$4,Assumptions!$F$11:$H$11)</f>
        <v>0.3</v>
      </c>
      <c r="O1599" s="14">
        <f>Final_Table[[#This Row],[Units Sold]]*Final_Table[[#This Row],[Sale Price]]</f>
        <v>20400</v>
      </c>
      <c r="P1599" s="14">
        <f>Final_Table[[#This Row],[Gross Revenue]]*(1-Final_Table[[#This Row],[Discount %]])</f>
        <v>18360</v>
      </c>
      <c r="Q1599">
        <f>Final_Table[[#This Row],[Net Revenue]]*Final_Table[[#This Row],[Variable Cost %]]</f>
        <v>3304.7999999999997</v>
      </c>
      <c r="R1599">
        <f>Final_Table[[#This Row],[Variable Cost]]+Final_Table[[#This Row],[Fixed Monthly Cost]]</f>
        <v>21304.799999999999</v>
      </c>
      <c r="S1599" s="5">
        <f>Final_Table[[#This Row],[Net Revenue]]-Final_Table[[#This Row],[Total Cost (COGS)]]</f>
        <v>-2944.7999999999993</v>
      </c>
      <c r="T1599">
        <f>Final_Table[[#This Row],[Gross Profit]]*Final_Table[[#This Row],[Tax Rate]]</f>
        <v>-883.43999999999971</v>
      </c>
      <c r="U1599" s="5">
        <f>Final_Table[[#This Row],[Gross Profit]]-Final_Table[[#This Row],[Tax]]</f>
        <v>-2061.3599999999997</v>
      </c>
      <c r="V1599" s="12">
        <f>Final_Table[[#This Row],[Net Profit]]/Final_Table[[#This Row],[Gross Revenue]]</f>
        <v>-0.10104705882352939</v>
      </c>
    </row>
    <row r="1600" spans="1:22">
      <c r="A1600" s="18" t="s">
        <v>70</v>
      </c>
      <c r="B1600">
        <v>2014</v>
      </c>
      <c r="C1600" t="s">
        <v>130</v>
      </c>
      <c r="D1600">
        <v>1</v>
      </c>
      <c r="E1600" s="18" t="s">
        <v>16</v>
      </c>
      <c r="F1600" s="18" t="s">
        <v>114</v>
      </c>
      <c r="G1600" s="18" t="s">
        <v>25</v>
      </c>
      <c r="H1600" s="18" t="str">
        <f>Assumptions!$B$2</f>
        <v>Worst</v>
      </c>
      <c r="I1600" s="18">
        <f>_xlfn.XLOOKUP(Assumptions!$B$2,Assumptions!$F$4:$H$4,Assumptions!$F$5:$H$5)</f>
        <v>1200</v>
      </c>
      <c r="J1600" s="18">
        <f>_xlfn.XLOOKUP(Assumptions!$B$2,Assumptions!$F$4:$H$4,Assumptions!$F$6:$H$6)</f>
        <v>17</v>
      </c>
      <c r="K1600" s="12">
        <f>_xlfn.XLOOKUP(Assumptions!$B$2,Assumptions!$F$4:$H$4,Assumptions!$F$8:$H$8)</f>
        <v>0.1</v>
      </c>
      <c r="L1600" s="12">
        <f>_xlfn.XLOOKUP(Assumptions!$B$2,Assumptions!$F$4:$H$4,Assumptions!$F$9:$H$9)</f>
        <v>0.18</v>
      </c>
      <c r="M1600" s="18">
        <f>_xlfn.XLOOKUP(Assumptions!$B$2,Assumptions!$F$4:$H$4,Assumptions!$F$10:$H$10)</f>
        <v>18000</v>
      </c>
      <c r="N1600" s="12">
        <f>_xlfn.XLOOKUP(Assumptions!$B$2,Assumptions!$F$4:$H$4,Assumptions!$F$11:$H$11)</f>
        <v>0.3</v>
      </c>
      <c r="O1600" s="14">
        <f>Final_Table[[#This Row],[Units Sold]]*Final_Table[[#This Row],[Sale Price]]</f>
        <v>20400</v>
      </c>
      <c r="P1600" s="14">
        <f>Final_Table[[#This Row],[Gross Revenue]]*(1-Final_Table[[#This Row],[Discount %]])</f>
        <v>18360</v>
      </c>
      <c r="Q1600">
        <f>Final_Table[[#This Row],[Net Revenue]]*Final_Table[[#This Row],[Variable Cost %]]</f>
        <v>3304.7999999999997</v>
      </c>
      <c r="R1600">
        <f>Final_Table[[#This Row],[Variable Cost]]+Final_Table[[#This Row],[Fixed Monthly Cost]]</f>
        <v>21304.799999999999</v>
      </c>
      <c r="S1600" s="5">
        <f>Final_Table[[#This Row],[Net Revenue]]-Final_Table[[#This Row],[Total Cost (COGS)]]</f>
        <v>-2944.7999999999993</v>
      </c>
      <c r="T1600">
        <f>Final_Table[[#This Row],[Gross Profit]]*Final_Table[[#This Row],[Tax Rate]]</f>
        <v>-883.43999999999971</v>
      </c>
      <c r="U1600" s="5">
        <f>Final_Table[[#This Row],[Gross Profit]]-Final_Table[[#This Row],[Tax]]</f>
        <v>-2061.3599999999997</v>
      </c>
      <c r="V1600" s="12">
        <f>Final_Table[[#This Row],[Net Profit]]/Final_Table[[#This Row],[Gross Revenue]]</f>
        <v>-0.10104705882352939</v>
      </c>
    </row>
    <row r="1601" spans="1:22">
      <c r="A1601" s="18" t="s">
        <v>70</v>
      </c>
      <c r="B1601">
        <v>2014</v>
      </c>
      <c r="C1601" t="s">
        <v>130</v>
      </c>
      <c r="D1601">
        <v>1</v>
      </c>
      <c r="E1601" s="18" t="s">
        <v>16</v>
      </c>
      <c r="F1601" s="18" t="s">
        <v>114</v>
      </c>
      <c r="G1601" s="18" t="s">
        <v>17</v>
      </c>
      <c r="H1601" s="18" t="str">
        <f>Assumptions!$B$2</f>
        <v>Worst</v>
      </c>
      <c r="I1601" s="18">
        <f>_xlfn.XLOOKUP(Assumptions!$B$2,Assumptions!$F$4:$H$4,Assumptions!$F$5:$H$5)</f>
        <v>1200</v>
      </c>
      <c r="J1601" s="18">
        <f>_xlfn.XLOOKUP(Assumptions!$B$2,Assumptions!$F$4:$H$4,Assumptions!$F$6:$H$6)</f>
        <v>17</v>
      </c>
      <c r="K1601" s="12">
        <f>_xlfn.XLOOKUP(Assumptions!$B$2,Assumptions!$F$4:$H$4,Assumptions!$F$8:$H$8)</f>
        <v>0.1</v>
      </c>
      <c r="L1601" s="12">
        <f>_xlfn.XLOOKUP(Assumptions!$B$2,Assumptions!$F$4:$H$4,Assumptions!$F$9:$H$9)</f>
        <v>0.18</v>
      </c>
      <c r="M1601" s="18">
        <f>_xlfn.XLOOKUP(Assumptions!$B$2,Assumptions!$F$4:$H$4,Assumptions!$F$10:$H$10)</f>
        <v>18000</v>
      </c>
      <c r="N1601" s="12">
        <f>_xlfn.XLOOKUP(Assumptions!$B$2,Assumptions!$F$4:$H$4,Assumptions!$F$11:$H$11)</f>
        <v>0.3</v>
      </c>
      <c r="O1601" s="14">
        <f>Final_Table[[#This Row],[Units Sold]]*Final_Table[[#This Row],[Sale Price]]</f>
        <v>20400</v>
      </c>
      <c r="P1601" s="14">
        <f>Final_Table[[#This Row],[Gross Revenue]]*(1-Final_Table[[#This Row],[Discount %]])</f>
        <v>18360</v>
      </c>
      <c r="Q1601">
        <f>Final_Table[[#This Row],[Net Revenue]]*Final_Table[[#This Row],[Variable Cost %]]</f>
        <v>3304.7999999999997</v>
      </c>
      <c r="R1601">
        <f>Final_Table[[#This Row],[Variable Cost]]+Final_Table[[#This Row],[Fixed Monthly Cost]]</f>
        <v>21304.799999999999</v>
      </c>
      <c r="S1601" s="5">
        <f>Final_Table[[#This Row],[Net Revenue]]-Final_Table[[#This Row],[Total Cost (COGS)]]</f>
        <v>-2944.7999999999993</v>
      </c>
      <c r="T1601">
        <f>Final_Table[[#This Row],[Gross Profit]]*Final_Table[[#This Row],[Tax Rate]]</f>
        <v>-883.43999999999971</v>
      </c>
      <c r="U1601" s="5">
        <f>Final_Table[[#This Row],[Gross Profit]]-Final_Table[[#This Row],[Tax]]</f>
        <v>-2061.3599999999997</v>
      </c>
      <c r="V1601" s="12">
        <f>Final_Table[[#This Row],[Net Profit]]/Final_Table[[#This Row],[Gross Revenue]]</f>
        <v>-0.10104705882352939</v>
      </c>
    </row>
    <row r="1602" spans="1:22">
      <c r="A1602" s="18" t="s">
        <v>70</v>
      </c>
      <c r="B1602">
        <v>2014</v>
      </c>
      <c r="C1602" t="s">
        <v>130</v>
      </c>
      <c r="D1602">
        <v>1</v>
      </c>
      <c r="E1602" s="18" t="s">
        <v>32</v>
      </c>
      <c r="F1602" s="18" t="s">
        <v>80</v>
      </c>
      <c r="G1602" s="18" t="s">
        <v>36</v>
      </c>
      <c r="H1602" s="18" t="str">
        <f>Assumptions!$B$2</f>
        <v>Worst</v>
      </c>
      <c r="I1602" s="18">
        <f>_xlfn.XLOOKUP(Assumptions!$B$2,Assumptions!$F$4:$H$4,Assumptions!$F$5:$H$5)</f>
        <v>1200</v>
      </c>
      <c r="J1602" s="18">
        <f>_xlfn.XLOOKUP(Assumptions!$B$2,Assumptions!$F$4:$H$4,Assumptions!$F$6:$H$6)</f>
        <v>17</v>
      </c>
      <c r="K1602" s="12">
        <f>_xlfn.XLOOKUP(Assumptions!$B$2,Assumptions!$F$4:$H$4,Assumptions!$F$8:$H$8)</f>
        <v>0.1</v>
      </c>
      <c r="L1602" s="12">
        <f>_xlfn.XLOOKUP(Assumptions!$B$2,Assumptions!$F$4:$H$4,Assumptions!$F$9:$H$9)</f>
        <v>0.18</v>
      </c>
      <c r="M1602" s="18">
        <f>_xlfn.XLOOKUP(Assumptions!$B$2,Assumptions!$F$4:$H$4,Assumptions!$F$10:$H$10)</f>
        <v>18000</v>
      </c>
      <c r="N1602" s="12">
        <f>_xlfn.XLOOKUP(Assumptions!$B$2,Assumptions!$F$4:$H$4,Assumptions!$F$11:$H$11)</f>
        <v>0.3</v>
      </c>
      <c r="O1602" s="14">
        <f>Final_Table[[#This Row],[Units Sold]]*Final_Table[[#This Row],[Sale Price]]</f>
        <v>20400</v>
      </c>
      <c r="P1602" s="14">
        <f>Final_Table[[#This Row],[Gross Revenue]]*(1-Final_Table[[#This Row],[Discount %]])</f>
        <v>18360</v>
      </c>
      <c r="Q1602">
        <f>Final_Table[[#This Row],[Net Revenue]]*Final_Table[[#This Row],[Variable Cost %]]</f>
        <v>3304.7999999999997</v>
      </c>
      <c r="R1602">
        <f>Final_Table[[#This Row],[Variable Cost]]+Final_Table[[#This Row],[Fixed Monthly Cost]]</f>
        <v>21304.799999999999</v>
      </c>
      <c r="S1602" s="5">
        <f>Final_Table[[#This Row],[Net Revenue]]-Final_Table[[#This Row],[Total Cost (COGS)]]</f>
        <v>-2944.7999999999993</v>
      </c>
      <c r="T1602">
        <f>Final_Table[[#This Row],[Gross Profit]]*Final_Table[[#This Row],[Tax Rate]]</f>
        <v>-883.43999999999971</v>
      </c>
      <c r="U1602" s="5">
        <f>Final_Table[[#This Row],[Gross Profit]]-Final_Table[[#This Row],[Tax]]</f>
        <v>-2061.3599999999997</v>
      </c>
      <c r="V1602" s="12">
        <f>Final_Table[[#This Row],[Net Profit]]/Final_Table[[#This Row],[Gross Revenue]]</f>
        <v>-0.10104705882352939</v>
      </c>
    </row>
    <row r="1603" spans="1:22">
      <c r="A1603" s="18" t="s">
        <v>70</v>
      </c>
      <c r="B1603">
        <v>2014</v>
      </c>
      <c r="C1603" t="s">
        <v>130</v>
      </c>
      <c r="D1603">
        <v>1</v>
      </c>
      <c r="E1603" s="18" t="s">
        <v>32</v>
      </c>
      <c r="F1603" s="18" t="s">
        <v>80</v>
      </c>
      <c r="G1603" s="18" t="s">
        <v>23</v>
      </c>
      <c r="H1603" s="18" t="str">
        <f>Assumptions!$B$2</f>
        <v>Worst</v>
      </c>
      <c r="I1603" s="18">
        <f>_xlfn.XLOOKUP(Assumptions!$B$2,Assumptions!$F$4:$H$4,Assumptions!$F$5:$H$5)</f>
        <v>1200</v>
      </c>
      <c r="J1603" s="18">
        <f>_xlfn.XLOOKUP(Assumptions!$B$2,Assumptions!$F$4:$H$4,Assumptions!$F$6:$H$6)</f>
        <v>17</v>
      </c>
      <c r="K1603" s="12">
        <f>_xlfn.XLOOKUP(Assumptions!$B$2,Assumptions!$F$4:$H$4,Assumptions!$F$8:$H$8)</f>
        <v>0.1</v>
      </c>
      <c r="L1603" s="12">
        <f>_xlfn.XLOOKUP(Assumptions!$B$2,Assumptions!$F$4:$H$4,Assumptions!$F$9:$H$9)</f>
        <v>0.18</v>
      </c>
      <c r="M1603" s="18">
        <f>_xlfn.XLOOKUP(Assumptions!$B$2,Assumptions!$F$4:$H$4,Assumptions!$F$10:$H$10)</f>
        <v>18000</v>
      </c>
      <c r="N1603" s="12">
        <f>_xlfn.XLOOKUP(Assumptions!$B$2,Assumptions!$F$4:$H$4,Assumptions!$F$11:$H$11)</f>
        <v>0.3</v>
      </c>
      <c r="O1603" s="14">
        <f>Final_Table[[#This Row],[Units Sold]]*Final_Table[[#This Row],[Sale Price]]</f>
        <v>20400</v>
      </c>
      <c r="P1603" s="14">
        <f>Final_Table[[#This Row],[Gross Revenue]]*(1-Final_Table[[#This Row],[Discount %]])</f>
        <v>18360</v>
      </c>
      <c r="Q1603">
        <f>Final_Table[[#This Row],[Net Revenue]]*Final_Table[[#This Row],[Variable Cost %]]</f>
        <v>3304.7999999999997</v>
      </c>
      <c r="R1603">
        <f>Final_Table[[#This Row],[Variable Cost]]+Final_Table[[#This Row],[Fixed Monthly Cost]]</f>
        <v>21304.799999999999</v>
      </c>
      <c r="S1603" s="5">
        <f>Final_Table[[#This Row],[Net Revenue]]-Final_Table[[#This Row],[Total Cost (COGS)]]</f>
        <v>-2944.7999999999993</v>
      </c>
      <c r="T1603">
        <f>Final_Table[[#This Row],[Gross Profit]]*Final_Table[[#This Row],[Tax Rate]]</f>
        <v>-883.43999999999971</v>
      </c>
      <c r="U1603" s="5">
        <f>Final_Table[[#This Row],[Gross Profit]]-Final_Table[[#This Row],[Tax]]</f>
        <v>-2061.3599999999997</v>
      </c>
      <c r="V1603" s="12">
        <f>Final_Table[[#This Row],[Net Profit]]/Final_Table[[#This Row],[Gross Revenue]]</f>
        <v>-0.10104705882352939</v>
      </c>
    </row>
    <row r="1604" spans="1:22">
      <c r="A1604" s="18" t="s">
        <v>70</v>
      </c>
      <c r="B1604">
        <v>2014</v>
      </c>
      <c r="C1604" t="s">
        <v>130</v>
      </c>
      <c r="D1604">
        <v>1</v>
      </c>
      <c r="E1604" s="18" t="s">
        <v>32</v>
      </c>
      <c r="F1604" s="18" t="s">
        <v>80</v>
      </c>
      <c r="G1604" s="18" t="s">
        <v>21</v>
      </c>
      <c r="H1604" s="18" t="str">
        <f>Assumptions!$B$2</f>
        <v>Worst</v>
      </c>
      <c r="I1604" s="18">
        <f>_xlfn.XLOOKUP(Assumptions!$B$2,Assumptions!$F$4:$H$4,Assumptions!$F$5:$H$5)</f>
        <v>1200</v>
      </c>
      <c r="J1604" s="18">
        <f>_xlfn.XLOOKUP(Assumptions!$B$2,Assumptions!$F$4:$H$4,Assumptions!$F$6:$H$6)</f>
        <v>17</v>
      </c>
      <c r="K1604" s="12">
        <f>_xlfn.XLOOKUP(Assumptions!$B$2,Assumptions!$F$4:$H$4,Assumptions!$F$8:$H$8)</f>
        <v>0.1</v>
      </c>
      <c r="L1604" s="12">
        <f>_xlfn.XLOOKUP(Assumptions!$B$2,Assumptions!$F$4:$H$4,Assumptions!$F$9:$H$9)</f>
        <v>0.18</v>
      </c>
      <c r="M1604" s="18">
        <f>_xlfn.XLOOKUP(Assumptions!$B$2,Assumptions!$F$4:$H$4,Assumptions!$F$10:$H$10)</f>
        <v>18000</v>
      </c>
      <c r="N1604" s="12">
        <f>_xlfn.XLOOKUP(Assumptions!$B$2,Assumptions!$F$4:$H$4,Assumptions!$F$11:$H$11)</f>
        <v>0.3</v>
      </c>
      <c r="O1604" s="14">
        <f>Final_Table[[#This Row],[Units Sold]]*Final_Table[[#This Row],[Sale Price]]</f>
        <v>20400</v>
      </c>
      <c r="P1604" s="14">
        <f>Final_Table[[#This Row],[Gross Revenue]]*(1-Final_Table[[#This Row],[Discount %]])</f>
        <v>18360</v>
      </c>
      <c r="Q1604">
        <f>Final_Table[[#This Row],[Net Revenue]]*Final_Table[[#This Row],[Variable Cost %]]</f>
        <v>3304.7999999999997</v>
      </c>
      <c r="R1604">
        <f>Final_Table[[#This Row],[Variable Cost]]+Final_Table[[#This Row],[Fixed Monthly Cost]]</f>
        <v>21304.799999999999</v>
      </c>
      <c r="S1604" s="5">
        <f>Final_Table[[#This Row],[Net Revenue]]-Final_Table[[#This Row],[Total Cost (COGS)]]</f>
        <v>-2944.7999999999993</v>
      </c>
      <c r="T1604">
        <f>Final_Table[[#This Row],[Gross Profit]]*Final_Table[[#This Row],[Tax Rate]]</f>
        <v>-883.43999999999971</v>
      </c>
      <c r="U1604" s="5">
        <f>Final_Table[[#This Row],[Gross Profit]]-Final_Table[[#This Row],[Tax]]</f>
        <v>-2061.3599999999997</v>
      </c>
      <c r="V1604" s="12">
        <f>Final_Table[[#This Row],[Net Profit]]/Final_Table[[#This Row],[Gross Revenue]]</f>
        <v>-0.10104705882352939</v>
      </c>
    </row>
    <row r="1605" spans="1:22">
      <c r="A1605" s="18" t="s">
        <v>70</v>
      </c>
      <c r="B1605">
        <v>2014</v>
      </c>
      <c r="C1605" t="s">
        <v>130</v>
      </c>
      <c r="D1605">
        <v>1</v>
      </c>
      <c r="E1605" s="18" t="s">
        <v>32</v>
      </c>
      <c r="F1605" s="18" t="s">
        <v>80</v>
      </c>
      <c r="G1605" s="18" t="s">
        <v>25</v>
      </c>
      <c r="H1605" s="18" t="str">
        <f>Assumptions!$B$2</f>
        <v>Worst</v>
      </c>
      <c r="I1605" s="18">
        <f>_xlfn.XLOOKUP(Assumptions!$B$2,Assumptions!$F$4:$H$4,Assumptions!$F$5:$H$5)</f>
        <v>1200</v>
      </c>
      <c r="J1605" s="18">
        <f>_xlfn.XLOOKUP(Assumptions!$B$2,Assumptions!$F$4:$H$4,Assumptions!$F$6:$H$6)</f>
        <v>17</v>
      </c>
      <c r="K1605" s="12">
        <f>_xlfn.XLOOKUP(Assumptions!$B$2,Assumptions!$F$4:$H$4,Assumptions!$F$8:$H$8)</f>
        <v>0.1</v>
      </c>
      <c r="L1605" s="12">
        <f>_xlfn.XLOOKUP(Assumptions!$B$2,Assumptions!$F$4:$H$4,Assumptions!$F$9:$H$9)</f>
        <v>0.18</v>
      </c>
      <c r="M1605" s="18">
        <f>_xlfn.XLOOKUP(Assumptions!$B$2,Assumptions!$F$4:$H$4,Assumptions!$F$10:$H$10)</f>
        <v>18000</v>
      </c>
      <c r="N1605" s="12">
        <f>_xlfn.XLOOKUP(Assumptions!$B$2,Assumptions!$F$4:$H$4,Assumptions!$F$11:$H$11)</f>
        <v>0.3</v>
      </c>
      <c r="O1605" s="14">
        <f>Final_Table[[#This Row],[Units Sold]]*Final_Table[[#This Row],[Sale Price]]</f>
        <v>20400</v>
      </c>
      <c r="P1605" s="14">
        <f>Final_Table[[#This Row],[Gross Revenue]]*(1-Final_Table[[#This Row],[Discount %]])</f>
        <v>18360</v>
      </c>
      <c r="Q1605">
        <f>Final_Table[[#This Row],[Net Revenue]]*Final_Table[[#This Row],[Variable Cost %]]</f>
        <v>3304.7999999999997</v>
      </c>
      <c r="R1605">
        <f>Final_Table[[#This Row],[Variable Cost]]+Final_Table[[#This Row],[Fixed Monthly Cost]]</f>
        <v>21304.799999999999</v>
      </c>
      <c r="S1605" s="5">
        <f>Final_Table[[#This Row],[Net Revenue]]-Final_Table[[#This Row],[Total Cost (COGS)]]</f>
        <v>-2944.7999999999993</v>
      </c>
      <c r="T1605">
        <f>Final_Table[[#This Row],[Gross Profit]]*Final_Table[[#This Row],[Tax Rate]]</f>
        <v>-883.43999999999971</v>
      </c>
      <c r="U1605" s="5">
        <f>Final_Table[[#This Row],[Gross Profit]]-Final_Table[[#This Row],[Tax]]</f>
        <v>-2061.3599999999997</v>
      </c>
      <c r="V1605" s="12">
        <f>Final_Table[[#This Row],[Net Profit]]/Final_Table[[#This Row],[Gross Revenue]]</f>
        <v>-0.10104705882352939</v>
      </c>
    </row>
    <row r="1606" spans="1:22">
      <c r="A1606" s="18" t="s">
        <v>70</v>
      </c>
      <c r="B1606">
        <v>2014</v>
      </c>
      <c r="C1606" t="s">
        <v>130</v>
      </c>
      <c r="D1606">
        <v>1</v>
      </c>
      <c r="E1606" s="18" t="s">
        <v>32</v>
      </c>
      <c r="F1606" s="18" t="s">
        <v>80</v>
      </c>
      <c r="G1606" s="18" t="s">
        <v>17</v>
      </c>
      <c r="H1606" s="18" t="str">
        <f>Assumptions!$B$2</f>
        <v>Worst</v>
      </c>
      <c r="I1606" s="18">
        <f>_xlfn.XLOOKUP(Assumptions!$B$2,Assumptions!$F$4:$H$4,Assumptions!$F$5:$H$5)</f>
        <v>1200</v>
      </c>
      <c r="J1606" s="18">
        <f>_xlfn.XLOOKUP(Assumptions!$B$2,Assumptions!$F$4:$H$4,Assumptions!$F$6:$H$6)</f>
        <v>17</v>
      </c>
      <c r="K1606" s="12">
        <f>_xlfn.XLOOKUP(Assumptions!$B$2,Assumptions!$F$4:$H$4,Assumptions!$F$8:$H$8)</f>
        <v>0.1</v>
      </c>
      <c r="L1606" s="12">
        <f>_xlfn.XLOOKUP(Assumptions!$B$2,Assumptions!$F$4:$H$4,Assumptions!$F$9:$H$9)</f>
        <v>0.18</v>
      </c>
      <c r="M1606" s="18">
        <f>_xlfn.XLOOKUP(Assumptions!$B$2,Assumptions!$F$4:$H$4,Assumptions!$F$10:$H$10)</f>
        <v>18000</v>
      </c>
      <c r="N1606" s="12">
        <f>_xlfn.XLOOKUP(Assumptions!$B$2,Assumptions!$F$4:$H$4,Assumptions!$F$11:$H$11)</f>
        <v>0.3</v>
      </c>
      <c r="O1606" s="14">
        <f>Final_Table[[#This Row],[Units Sold]]*Final_Table[[#This Row],[Sale Price]]</f>
        <v>20400</v>
      </c>
      <c r="P1606" s="14">
        <f>Final_Table[[#This Row],[Gross Revenue]]*(1-Final_Table[[#This Row],[Discount %]])</f>
        <v>18360</v>
      </c>
      <c r="Q1606">
        <f>Final_Table[[#This Row],[Net Revenue]]*Final_Table[[#This Row],[Variable Cost %]]</f>
        <v>3304.7999999999997</v>
      </c>
      <c r="R1606">
        <f>Final_Table[[#This Row],[Variable Cost]]+Final_Table[[#This Row],[Fixed Monthly Cost]]</f>
        <v>21304.799999999999</v>
      </c>
      <c r="S1606" s="5">
        <f>Final_Table[[#This Row],[Net Revenue]]-Final_Table[[#This Row],[Total Cost (COGS)]]</f>
        <v>-2944.7999999999993</v>
      </c>
      <c r="T1606">
        <f>Final_Table[[#This Row],[Gross Profit]]*Final_Table[[#This Row],[Tax Rate]]</f>
        <v>-883.43999999999971</v>
      </c>
      <c r="U1606" s="5">
        <f>Final_Table[[#This Row],[Gross Profit]]-Final_Table[[#This Row],[Tax]]</f>
        <v>-2061.3599999999997</v>
      </c>
      <c r="V1606" s="12">
        <f>Final_Table[[#This Row],[Net Profit]]/Final_Table[[#This Row],[Gross Revenue]]</f>
        <v>-0.10104705882352939</v>
      </c>
    </row>
    <row r="1607" spans="1:22">
      <c r="A1607" s="18" t="s">
        <v>70</v>
      </c>
      <c r="B1607">
        <v>2014</v>
      </c>
      <c r="C1607" t="s">
        <v>130</v>
      </c>
      <c r="D1607">
        <v>1</v>
      </c>
      <c r="E1607" s="18" t="s">
        <v>32</v>
      </c>
      <c r="F1607" s="18" t="s">
        <v>108</v>
      </c>
      <c r="G1607" s="18" t="s">
        <v>36</v>
      </c>
      <c r="H1607" s="18" t="str">
        <f>Assumptions!$B$2</f>
        <v>Worst</v>
      </c>
      <c r="I1607" s="18">
        <f>_xlfn.XLOOKUP(Assumptions!$B$2,Assumptions!$F$4:$H$4,Assumptions!$F$5:$H$5)</f>
        <v>1200</v>
      </c>
      <c r="J1607" s="18">
        <f>_xlfn.XLOOKUP(Assumptions!$B$2,Assumptions!$F$4:$H$4,Assumptions!$F$6:$H$6)</f>
        <v>17</v>
      </c>
      <c r="K1607" s="12">
        <f>_xlfn.XLOOKUP(Assumptions!$B$2,Assumptions!$F$4:$H$4,Assumptions!$F$8:$H$8)</f>
        <v>0.1</v>
      </c>
      <c r="L1607" s="12">
        <f>_xlfn.XLOOKUP(Assumptions!$B$2,Assumptions!$F$4:$H$4,Assumptions!$F$9:$H$9)</f>
        <v>0.18</v>
      </c>
      <c r="M1607" s="18">
        <f>_xlfn.XLOOKUP(Assumptions!$B$2,Assumptions!$F$4:$H$4,Assumptions!$F$10:$H$10)</f>
        <v>18000</v>
      </c>
      <c r="N1607" s="12">
        <f>_xlfn.XLOOKUP(Assumptions!$B$2,Assumptions!$F$4:$H$4,Assumptions!$F$11:$H$11)</f>
        <v>0.3</v>
      </c>
      <c r="O1607" s="14">
        <f>Final_Table[[#This Row],[Units Sold]]*Final_Table[[#This Row],[Sale Price]]</f>
        <v>20400</v>
      </c>
      <c r="P1607" s="14">
        <f>Final_Table[[#This Row],[Gross Revenue]]*(1-Final_Table[[#This Row],[Discount %]])</f>
        <v>18360</v>
      </c>
      <c r="Q1607">
        <f>Final_Table[[#This Row],[Net Revenue]]*Final_Table[[#This Row],[Variable Cost %]]</f>
        <v>3304.7999999999997</v>
      </c>
      <c r="R1607">
        <f>Final_Table[[#This Row],[Variable Cost]]+Final_Table[[#This Row],[Fixed Monthly Cost]]</f>
        <v>21304.799999999999</v>
      </c>
      <c r="S1607" s="5">
        <f>Final_Table[[#This Row],[Net Revenue]]-Final_Table[[#This Row],[Total Cost (COGS)]]</f>
        <v>-2944.7999999999993</v>
      </c>
      <c r="T1607">
        <f>Final_Table[[#This Row],[Gross Profit]]*Final_Table[[#This Row],[Tax Rate]]</f>
        <v>-883.43999999999971</v>
      </c>
      <c r="U1607" s="5">
        <f>Final_Table[[#This Row],[Gross Profit]]-Final_Table[[#This Row],[Tax]]</f>
        <v>-2061.3599999999997</v>
      </c>
      <c r="V1607" s="12">
        <f>Final_Table[[#This Row],[Net Profit]]/Final_Table[[#This Row],[Gross Revenue]]</f>
        <v>-0.10104705882352939</v>
      </c>
    </row>
    <row r="1608" spans="1:22">
      <c r="A1608" s="18" t="s">
        <v>70</v>
      </c>
      <c r="B1608">
        <v>2014</v>
      </c>
      <c r="C1608" t="s">
        <v>130</v>
      </c>
      <c r="D1608">
        <v>1</v>
      </c>
      <c r="E1608" s="18" t="s">
        <v>32</v>
      </c>
      <c r="F1608" s="18" t="s">
        <v>108</v>
      </c>
      <c r="G1608" s="18" t="s">
        <v>23</v>
      </c>
      <c r="H1608" s="18" t="str">
        <f>Assumptions!$B$2</f>
        <v>Worst</v>
      </c>
      <c r="I1608" s="18">
        <f>_xlfn.XLOOKUP(Assumptions!$B$2,Assumptions!$F$4:$H$4,Assumptions!$F$5:$H$5)</f>
        <v>1200</v>
      </c>
      <c r="J1608" s="18">
        <f>_xlfn.XLOOKUP(Assumptions!$B$2,Assumptions!$F$4:$H$4,Assumptions!$F$6:$H$6)</f>
        <v>17</v>
      </c>
      <c r="K1608" s="12">
        <f>_xlfn.XLOOKUP(Assumptions!$B$2,Assumptions!$F$4:$H$4,Assumptions!$F$8:$H$8)</f>
        <v>0.1</v>
      </c>
      <c r="L1608" s="12">
        <f>_xlfn.XLOOKUP(Assumptions!$B$2,Assumptions!$F$4:$H$4,Assumptions!$F$9:$H$9)</f>
        <v>0.18</v>
      </c>
      <c r="M1608" s="18">
        <f>_xlfn.XLOOKUP(Assumptions!$B$2,Assumptions!$F$4:$H$4,Assumptions!$F$10:$H$10)</f>
        <v>18000</v>
      </c>
      <c r="N1608" s="12">
        <f>_xlfn.XLOOKUP(Assumptions!$B$2,Assumptions!$F$4:$H$4,Assumptions!$F$11:$H$11)</f>
        <v>0.3</v>
      </c>
      <c r="O1608" s="14">
        <f>Final_Table[[#This Row],[Units Sold]]*Final_Table[[#This Row],[Sale Price]]</f>
        <v>20400</v>
      </c>
      <c r="P1608" s="14">
        <f>Final_Table[[#This Row],[Gross Revenue]]*(1-Final_Table[[#This Row],[Discount %]])</f>
        <v>18360</v>
      </c>
      <c r="Q1608">
        <f>Final_Table[[#This Row],[Net Revenue]]*Final_Table[[#This Row],[Variable Cost %]]</f>
        <v>3304.7999999999997</v>
      </c>
      <c r="R1608">
        <f>Final_Table[[#This Row],[Variable Cost]]+Final_Table[[#This Row],[Fixed Monthly Cost]]</f>
        <v>21304.799999999999</v>
      </c>
      <c r="S1608" s="5">
        <f>Final_Table[[#This Row],[Net Revenue]]-Final_Table[[#This Row],[Total Cost (COGS)]]</f>
        <v>-2944.7999999999993</v>
      </c>
      <c r="T1608">
        <f>Final_Table[[#This Row],[Gross Profit]]*Final_Table[[#This Row],[Tax Rate]]</f>
        <v>-883.43999999999971</v>
      </c>
      <c r="U1608" s="5">
        <f>Final_Table[[#This Row],[Gross Profit]]-Final_Table[[#This Row],[Tax]]</f>
        <v>-2061.3599999999997</v>
      </c>
      <c r="V1608" s="12">
        <f>Final_Table[[#This Row],[Net Profit]]/Final_Table[[#This Row],[Gross Revenue]]</f>
        <v>-0.10104705882352939</v>
      </c>
    </row>
    <row r="1609" spans="1:22">
      <c r="A1609" s="18" t="s">
        <v>70</v>
      </c>
      <c r="B1609">
        <v>2014</v>
      </c>
      <c r="C1609" t="s">
        <v>130</v>
      </c>
      <c r="D1609">
        <v>1</v>
      </c>
      <c r="E1609" s="18" t="s">
        <v>32</v>
      </c>
      <c r="F1609" s="18" t="s">
        <v>108</v>
      </c>
      <c r="G1609" s="18" t="s">
        <v>21</v>
      </c>
      <c r="H1609" s="18" t="str">
        <f>Assumptions!$B$2</f>
        <v>Worst</v>
      </c>
      <c r="I1609" s="18">
        <f>_xlfn.XLOOKUP(Assumptions!$B$2,Assumptions!$F$4:$H$4,Assumptions!$F$5:$H$5)</f>
        <v>1200</v>
      </c>
      <c r="J1609" s="18">
        <f>_xlfn.XLOOKUP(Assumptions!$B$2,Assumptions!$F$4:$H$4,Assumptions!$F$6:$H$6)</f>
        <v>17</v>
      </c>
      <c r="K1609" s="12">
        <f>_xlfn.XLOOKUP(Assumptions!$B$2,Assumptions!$F$4:$H$4,Assumptions!$F$8:$H$8)</f>
        <v>0.1</v>
      </c>
      <c r="L1609" s="12">
        <f>_xlfn.XLOOKUP(Assumptions!$B$2,Assumptions!$F$4:$H$4,Assumptions!$F$9:$H$9)</f>
        <v>0.18</v>
      </c>
      <c r="M1609" s="18">
        <f>_xlfn.XLOOKUP(Assumptions!$B$2,Assumptions!$F$4:$H$4,Assumptions!$F$10:$H$10)</f>
        <v>18000</v>
      </c>
      <c r="N1609" s="12">
        <f>_xlfn.XLOOKUP(Assumptions!$B$2,Assumptions!$F$4:$H$4,Assumptions!$F$11:$H$11)</f>
        <v>0.3</v>
      </c>
      <c r="O1609" s="14">
        <f>Final_Table[[#This Row],[Units Sold]]*Final_Table[[#This Row],[Sale Price]]</f>
        <v>20400</v>
      </c>
      <c r="P1609" s="14">
        <f>Final_Table[[#This Row],[Gross Revenue]]*(1-Final_Table[[#This Row],[Discount %]])</f>
        <v>18360</v>
      </c>
      <c r="Q1609">
        <f>Final_Table[[#This Row],[Net Revenue]]*Final_Table[[#This Row],[Variable Cost %]]</f>
        <v>3304.7999999999997</v>
      </c>
      <c r="R1609">
        <f>Final_Table[[#This Row],[Variable Cost]]+Final_Table[[#This Row],[Fixed Monthly Cost]]</f>
        <v>21304.799999999999</v>
      </c>
      <c r="S1609" s="5">
        <f>Final_Table[[#This Row],[Net Revenue]]-Final_Table[[#This Row],[Total Cost (COGS)]]</f>
        <v>-2944.7999999999993</v>
      </c>
      <c r="T1609">
        <f>Final_Table[[#This Row],[Gross Profit]]*Final_Table[[#This Row],[Tax Rate]]</f>
        <v>-883.43999999999971</v>
      </c>
      <c r="U1609" s="5">
        <f>Final_Table[[#This Row],[Gross Profit]]-Final_Table[[#This Row],[Tax]]</f>
        <v>-2061.3599999999997</v>
      </c>
      <c r="V1609" s="12">
        <f>Final_Table[[#This Row],[Net Profit]]/Final_Table[[#This Row],[Gross Revenue]]</f>
        <v>-0.10104705882352939</v>
      </c>
    </row>
    <row r="1610" spans="1:22">
      <c r="A1610" s="18" t="s">
        <v>70</v>
      </c>
      <c r="B1610">
        <v>2014</v>
      </c>
      <c r="C1610" t="s">
        <v>130</v>
      </c>
      <c r="D1610">
        <v>1</v>
      </c>
      <c r="E1610" s="18" t="s">
        <v>32</v>
      </c>
      <c r="F1610" s="18" t="s">
        <v>108</v>
      </c>
      <c r="G1610" s="18" t="s">
        <v>25</v>
      </c>
      <c r="H1610" s="18" t="str">
        <f>Assumptions!$B$2</f>
        <v>Worst</v>
      </c>
      <c r="I1610" s="18">
        <f>_xlfn.XLOOKUP(Assumptions!$B$2,Assumptions!$F$4:$H$4,Assumptions!$F$5:$H$5)</f>
        <v>1200</v>
      </c>
      <c r="J1610" s="18">
        <f>_xlfn.XLOOKUP(Assumptions!$B$2,Assumptions!$F$4:$H$4,Assumptions!$F$6:$H$6)</f>
        <v>17</v>
      </c>
      <c r="K1610" s="12">
        <f>_xlfn.XLOOKUP(Assumptions!$B$2,Assumptions!$F$4:$H$4,Assumptions!$F$8:$H$8)</f>
        <v>0.1</v>
      </c>
      <c r="L1610" s="12">
        <f>_xlfn.XLOOKUP(Assumptions!$B$2,Assumptions!$F$4:$H$4,Assumptions!$F$9:$H$9)</f>
        <v>0.18</v>
      </c>
      <c r="M1610" s="18">
        <f>_xlfn.XLOOKUP(Assumptions!$B$2,Assumptions!$F$4:$H$4,Assumptions!$F$10:$H$10)</f>
        <v>18000</v>
      </c>
      <c r="N1610" s="12">
        <f>_xlfn.XLOOKUP(Assumptions!$B$2,Assumptions!$F$4:$H$4,Assumptions!$F$11:$H$11)</f>
        <v>0.3</v>
      </c>
      <c r="O1610" s="14">
        <f>Final_Table[[#This Row],[Units Sold]]*Final_Table[[#This Row],[Sale Price]]</f>
        <v>20400</v>
      </c>
      <c r="P1610" s="14">
        <f>Final_Table[[#This Row],[Gross Revenue]]*(1-Final_Table[[#This Row],[Discount %]])</f>
        <v>18360</v>
      </c>
      <c r="Q1610">
        <f>Final_Table[[#This Row],[Net Revenue]]*Final_Table[[#This Row],[Variable Cost %]]</f>
        <v>3304.7999999999997</v>
      </c>
      <c r="R1610">
        <f>Final_Table[[#This Row],[Variable Cost]]+Final_Table[[#This Row],[Fixed Monthly Cost]]</f>
        <v>21304.799999999999</v>
      </c>
      <c r="S1610" s="5">
        <f>Final_Table[[#This Row],[Net Revenue]]-Final_Table[[#This Row],[Total Cost (COGS)]]</f>
        <v>-2944.7999999999993</v>
      </c>
      <c r="T1610">
        <f>Final_Table[[#This Row],[Gross Profit]]*Final_Table[[#This Row],[Tax Rate]]</f>
        <v>-883.43999999999971</v>
      </c>
      <c r="U1610" s="5">
        <f>Final_Table[[#This Row],[Gross Profit]]-Final_Table[[#This Row],[Tax]]</f>
        <v>-2061.3599999999997</v>
      </c>
      <c r="V1610" s="12">
        <f>Final_Table[[#This Row],[Net Profit]]/Final_Table[[#This Row],[Gross Revenue]]</f>
        <v>-0.10104705882352939</v>
      </c>
    </row>
    <row r="1611" spans="1:22">
      <c r="A1611" s="18" t="s">
        <v>70</v>
      </c>
      <c r="B1611">
        <v>2014</v>
      </c>
      <c r="C1611" t="s">
        <v>130</v>
      </c>
      <c r="D1611">
        <v>1</v>
      </c>
      <c r="E1611" s="18" t="s">
        <v>32</v>
      </c>
      <c r="F1611" s="18" t="s">
        <v>108</v>
      </c>
      <c r="G1611" s="18" t="s">
        <v>17</v>
      </c>
      <c r="H1611" s="18" t="str">
        <f>Assumptions!$B$2</f>
        <v>Worst</v>
      </c>
      <c r="I1611" s="18">
        <f>_xlfn.XLOOKUP(Assumptions!$B$2,Assumptions!$F$4:$H$4,Assumptions!$F$5:$H$5)</f>
        <v>1200</v>
      </c>
      <c r="J1611" s="18">
        <f>_xlfn.XLOOKUP(Assumptions!$B$2,Assumptions!$F$4:$H$4,Assumptions!$F$6:$H$6)</f>
        <v>17</v>
      </c>
      <c r="K1611" s="12">
        <f>_xlfn.XLOOKUP(Assumptions!$B$2,Assumptions!$F$4:$H$4,Assumptions!$F$8:$H$8)</f>
        <v>0.1</v>
      </c>
      <c r="L1611" s="12">
        <f>_xlfn.XLOOKUP(Assumptions!$B$2,Assumptions!$F$4:$H$4,Assumptions!$F$9:$H$9)</f>
        <v>0.18</v>
      </c>
      <c r="M1611" s="18">
        <f>_xlfn.XLOOKUP(Assumptions!$B$2,Assumptions!$F$4:$H$4,Assumptions!$F$10:$H$10)</f>
        <v>18000</v>
      </c>
      <c r="N1611" s="12">
        <f>_xlfn.XLOOKUP(Assumptions!$B$2,Assumptions!$F$4:$H$4,Assumptions!$F$11:$H$11)</f>
        <v>0.3</v>
      </c>
      <c r="O1611" s="14">
        <f>Final_Table[[#This Row],[Units Sold]]*Final_Table[[#This Row],[Sale Price]]</f>
        <v>20400</v>
      </c>
      <c r="P1611" s="14">
        <f>Final_Table[[#This Row],[Gross Revenue]]*(1-Final_Table[[#This Row],[Discount %]])</f>
        <v>18360</v>
      </c>
      <c r="Q1611">
        <f>Final_Table[[#This Row],[Net Revenue]]*Final_Table[[#This Row],[Variable Cost %]]</f>
        <v>3304.7999999999997</v>
      </c>
      <c r="R1611">
        <f>Final_Table[[#This Row],[Variable Cost]]+Final_Table[[#This Row],[Fixed Monthly Cost]]</f>
        <v>21304.799999999999</v>
      </c>
      <c r="S1611" s="5">
        <f>Final_Table[[#This Row],[Net Revenue]]-Final_Table[[#This Row],[Total Cost (COGS)]]</f>
        <v>-2944.7999999999993</v>
      </c>
      <c r="T1611">
        <f>Final_Table[[#This Row],[Gross Profit]]*Final_Table[[#This Row],[Tax Rate]]</f>
        <v>-883.43999999999971</v>
      </c>
      <c r="U1611" s="5">
        <f>Final_Table[[#This Row],[Gross Profit]]-Final_Table[[#This Row],[Tax]]</f>
        <v>-2061.3599999999997</v>
      </c>
      <c r="V1611" s="12">
        <f>Final_Table[[#This Row],[Net Profit]]/Final_Table[[#This Row],[Gross Revenue]]</f>
        <v>-0.10104705882352939</v>
      </c>
    </row>
    <row r="1612" spans="1:22">
      <c r="A1612" s="18" t="s">
        <v>70</v>
      </c>
      <c r="B1612">
        <v>2014</v>
      </c>
      <c r="C1612" t="s">
        <v>130</v>
      </c>
      <c r="D1612">
        <v>1</v>
      </c>
      <c r="E1612" s="18" t="s">
        <v>32</v>
      </c>
      <c r="F1612" s="18" t="s">
        <v>112</v>
      </c>
      <c r="G1612" s="18" t="s">
        <v>36</v>
      </c>
      <c r="H1612" s="18" t="str">
        <f>Assumptions!$B$2</f>
        <v>Worst</v>
      </c>
      <c r="I1612" s="18">
        <f>_xlfn.XLOOKUP(Assumptions!$B$2,Assumptions!$F$4:$H$4,Assumptions!$F$5:$H$5)</f>
        <v>1200</v>
      </c>
      <c r="J1612" s="18">
        <f>_xlfn.XLOOKUP(Assumptions!$B$2,Assumptions!$F$4:$H$4,Assumptions!$F$6:$H$6)</f>
        <v>17</v>
      </c>
      <c r="K1612" s="12">
        <f>_xlfn.XLOOKUP(Assumptions!$B$2,Assumptions!$F$4:$H$4,Assumptions!$F$8:$H$8)</f>
        <v>0.1</v>
      </c>
      <c r="L1612" s="12">
        <f>_xlfn.XLOOKUP(Assumptions!$B$2,Assumptions!$F$4:$H$4,Assumptions!$F$9:$H$9)</f>
        <v>0.18</v>
      </c>
      <c r="M1612" s="18">
        <f>_xlfn.XLOOKUP(Assumptions!$B$2,Assumptions!$F$4:$H$4,Assumptions!$F$10:$H$10)</f>
        <v>18000</v>
      </c>
      <c r="N1612" s="12">
        <f>_xlfn.XLOOKUP(Assumptions!$B$2,Assumptions!$F$4:$H$4,Assumptions!$F$11:$H$11)</f>
        <v>0.3</v>
      </c>
      <c r="O1612" s="14">
        <f>Final_Table[[#This Row],[Units Sold]]*Final_Table[[#This Row],[Sale Price]]</f>
        <v>20400</v>
      </c>
      <c r="P1612" s="14">
        <f>Final_Table[[#This Row],[Gross Revenue]]*(1-Final_Table[[#This Row],[Discount %]])</f>
        <v>18360</v>
      </c>
      <c r="Q1612">
        <f>Final_Table[[#This Row],[Net Revenue]]*Final_Table[[#This Row],[Variable Cost %]]</f>
        <v>3304.7999999999997</v>
      </c>
      <c r="R1612">
        <f>Final_Table[[#This Row],[Variable Cost]]+Final_Table[[#This Row],[Fixed Monthly Cost]]</f>
        <v>21304.799999999999</v>
      </c>
      <c r="S1612" s="5">
        <f>Final_Table[[#This Row],[Net Revenue]]-Final_Table[[#This Row],[Total Cost (COGS)]]</f>
        <v>-2944.7999999999993</v>
      </c>
      <c r="T1612">
        <f>Final_Table[[#This Row],[Gross Profit]]*Final_Table[[#This Row],[Tax Rate]]</f>
        <v>-883.43999999999971</v>
      </c>
      <c r="U1612" s="5">
        <f>Final_Table[[#This Row],[Gross Profit]]-Final_Table[[#This Row],[Tax]]</f>
        <v>-2061.3599999999997</v>
      </c>
      <c r="V1612" s="12">
        <f>Final_Table[[#This Row],[Net Profit]]/Final_Table[[#This Row],[Gross Revenue]]</f>
        <v>-0.10104705882352939</v>
      </c>
    </row>
    <row r="1613" spans="1:22">
      <c r="A1613" s="18" t="s">
        <v>70</v>
      </c>
      <c r="B1613">
        <v>2014</v>
      </c>
      <c r="C1613" t="s">
        <v>130</v>
      </c>
      <c r="D1613">
        <v>1</v>
      </c>
      <c r="E1613" s="18" t="s">
        <v>32</v>
      </c>
      <c r="F1613" s="18" t="s">
        <v>112</v>
      </c>
      <c r="G1613" s="18" t="s">
        <v>23</v>
      </c>
      <c r="H1613" s="18" t="str">
        <f>Assumptions!$B$2</f>
        <v>Worst</v>
      </c>
      <c r="I1613" s="18">
        <f>_xlfn.XLOOKUP(Assumptions!$B$2,Assumptions!$F$4:$H$4,Assumptions!$F$5:$H$5)</f>
        <v>1200</v>
      </c>
      <c r="J1613" s="18">
        <f>_xlfn.XLOOKUP(Assumptions!$B$2,Assumptions!$F$4:$H$4,Assumptions!$F$6:$H$6)</f>
        <v>17</v>
      </c>
      <c r="K1613" s="12">
        <f>_xlfn.XLOOKUP(Assumptions!$B$2,Assumptions!$F$4:$H$4,Assumptions!$F$8:$H$8)</f>
        <v>0.1</v>
      </c>
      <c r="L1613" s="12">
        <f>_xlfn.XLOOKUP(Assumptions!$B$2,Assumptions!$F$4:$H$4,Assumptions!$F$9:$H$9)</f>
        <v>0.18</v>
      </c>
      <c r="M1613" s="18">
        <f>_xlfn.XLOOKUP(Assumptions!$B$2,Assumptions!$F$4:$H$4,Assumptions!$F$10:$H$10)</f>
        <v>18000</v>
      </c>
      <c r="N1613" s="12">
        <f>_xlfn.XLOOKUP(Assumptions!$B$2,Assumptions!$F$4:$H$4,Assumptions!$F$11:$H$11)</f>
        <v>0.3</v>
      </c>
      <c r="O1613" s="14">
        <f>Final_Table[[#This Row],[Units Sold]]*Final_Table[[#This Row],[Sale Price]]</f>
        <v>20400</v>
      </c>
      <c r="P1613" s="14">
        <f>Final_Table[[#This Row],[Gross Revenue]]*(1-Final_Table[[#This Row],[Discount %]])</f>
        <v>18360</v>
      </c>
      <c r="Q1613">
        <f>Final_Table[[#This Row],[Net Revenue]]*Final_Table[[#This Row],[Variable Cost %]]</f>
        <v>3304.7999999999997</v>
      </c>
      <c r="R1613">
        <f>Final_Table[[#This Row],[Variable Cost]]+Final_Table[[#This Row],[Fixed Monthly Cost]]</f>
        <v>21304.799999999999</v>
      </c>
      <c r="S1613" s="5">
        <f>Final_Table[[#This Row],[Net Revenue]]-Final_Table[[#This Row],[Total Cost (COGS)]]</f>
        <v>-2944.7999999999993</v>
      </c>
      <c r="T1613">
        <f>Final_Table[[#This Row],[Gross Profit]]*Final_Table[[#This Row],[Tax Rate]]</f>
        <v>-883.43999999999971</v>
      </c>
      <c r="U1613" s="5">
        <f>Final_Table[[#This Row],[Gross Profit]]-Final_Table[[#This Row],[Tax]]</f>
        <v>-2061.3599999999997</v>
      </c>
      <c r="V1613" s="12">
        <f>Final_Table[[#This Row],[Net Profit]]/Final_Table[[#This Row],[Gross Revenue]]</f>
        <v>-0.10104705882352939</v>
      </c>
    </row>
    <row r="1614" spans="1:22">
      <c r="A1614" s="18" t="s">
        <v>70</v>
      </c>
      <c r="B1614">
        <v>2014</v>
      </c>
      <c r="C1614" t="s">
        <v>130</v>
      </c>
      <c r="D1614">
        <v>1</v>
      </c>
      <c r="E1614" s="18" t="s">
        <v>32</v>
      </c>
      <c r="F1614" s="18" t="s">
        <v>112</v>
      </c>
      <c r="G1614" s="18" t="s">
        <v>21</v>
      </c>
      <c r="H1614" s="18" t="str">
        <f>Assumptions!$B$2</f>
        <v>Worst</v>
      </c>
      <c r="I1614" s="18">
        <f>_xlfn.XLOOKUP(Assumptions!$B$2,Assumptions!$F$4:$H$4,Assumptions!$F$5:$H$5)</f>
        <v>1200</v>
      </c>
      <c r="J1614" s="18">
        <f>_xlfn.XLOOKUP(Assumptions!$B$2,Assumptions!$F$4:$H$4,Assumptions!$F$6:$H$6)</f>
        <v>17</v>
      </c>
      <c r="K1614" s="12">
        <f>_xlfn.XLOOKUP(Assumptions!$B$2,Assumptions!$F$4:$H$4,Assumptions!$F$8:$H$8)</f>
        <v>0.1</v>
      </c>
      <c r="L1614" s="12">
        <f>_xlfn.XLOOKUP(Assumptions!$B$2,Assumptions!$F$4:$H$4,Assumptions!$F$9:$H$9)</f>
        <v>0.18</v>
      </c>
      <c r="M1614" s="18">
        <f>_xlfn.XLOOKUP(Assumptions!$B$2,Assumptions!$F$4:$H$4,Assumptions!$F$10:$H$10)</f>
        <v>18000</v>
      </c>
      <c r="N1614" s="12">
        <f>_xlfn.XLOOKUP(Assumptions!$B$2,Assumptions!$F$4:$H$4,Assumptions!$F$11:$H$11)</f>
        <v>0.3</v>
      </c>
      <c r="O1614" s="14">
        <f>Final_Table[[#This Row],[Units Sold]]*Final_Table[[#This Row],[Sale Price]]</f>
        <v>20400</v>
      </c>
      <c r="P1614" s="14">
        <f>Final_Table[[#This Row],[Gross Revenue]]*(1-Final_Table[[#This Row],[Discount %]])</f>
        <v>18360</v>
      </c>
      <c r="Q1614">
        <f>Final_Table[[#This Row],[Net Revenue]]*Final_Table[[#This Row],[Variable Cost %]]</f>
        <v>3304.7999999999997</v>
      </c>
      <c r="R1614">
        <f>Final_Table[[#This Row],[Variable Cost]]+Final_Table[[#This Row],[Fixed Monthly Cost]]</f>
        <v>21304.799999999999</v>
      </c>
      <c r="S1614" s="5">
        <f>Final_Table[[#This Row],[Net Revenue]]-Final_Table[[#This Row],[Total Cost (COGS)]]</f>
        <v>-2944.7999999999993</v>
      </c>
      <c r="T1614">
        <f>Final_Table[[#This Row],[Gross Profit]]*Final_Table[[#This Row],[Tax Rate]]</f>
        <v>-883.43999999999971</v>
      </c>
      <c r="U1614" s="5">
        <f>Final_Table[[#This Row],[Gross Profit]]-Final_Table[[#This Row],[Tax]]</f>
        <v>-2061.3599999999997</v>
      </c>
      <c r="V1614" s="12">
        <f>Final_Table[[#This Row],[Net Profit]]/Final_Table[[#This Row],[Gross Revenue]]</f>
        <v>-0.10104705882352939</v>
      </c>
    </row>
    <row r="1615" spans="1:22">
      <c r="A1615" s="18" t="s">
        <v>70</v>
      </c>
      <c r="B1615">
        <v>2014</v>
      </c>
      <c r="C1615" t="s">
        <v>130</v>
      </c>
      <c r="D1615">
        <v>1</v>
      </c>
      <c r="E1615" s="18" t="s">
        <v>32</v>
      </c>
      <c r="F1615" s="18" t="s">
        <v>112</v>
      </c>
      <c r="G1615" s="18" t="s">
        <v>25</v>
      </c>
      <c r="H1615" s="18" t="str">
        <f>Assumptions!$B$2</f>
        <v>Worst</v>
      </c>
      <c r="I1615" s="18">
        <f>_xlfn.XLOOKUP(Assumptions!$B$2,Assumptions!$F$4:$H$4,Assumptions!$F$5:$H$5)</f>
        <v>1200</v>
      </c>
      <c r="J1615" s="18">
        <f>_xlfn.XLOOKUP(Assumptions!$B$2,Assumptions!$F$4:$H$4,Assumptions!$F$6:$H$6)</f>
        <v>17</v>
      </c>
      <c r="K1615" s="12">
        <f>_xlfn.XLOOKUP(Assumptions!$B$2,Assumptions!$F$4:$H$4,Assumptions!$F$8:$H$8)</f>
        <v>0.1</v>
      </c>
      <c r="L1615" s="12">
        <f>_xlfn.XLOOKUP(Assumptions!$B$2,Assumptions!$F$4:$H$4,Assumptions!$F$9:$H$9)</f>
        <v>0.18</v>
      </c>
      <c r="M1615" s="18">
        <f>_xlfn.XLOOKUP(Assumptions!$B$2,Assumptions!$F$4:$H$4,Assumptions!$F$10:$H$10)</f>
        <v>18000</v>
      </c>
      <c r="N1615" s="12">
        <f>_xlfn.XLOOKUP(Assumptions!$B$2,Assumptions!$F$4:$H$4,Assumptions!$F$11:$H$11)</f>
        <v>0.3</v>
      </c>
      <c r="O1615" s="14">
        <f>Final_Table[[#This Row],[Units Sold]]*Final_Table[[#This Row],[Sale Price]]</f>
        <v>20400</v>
      </c>
      <c r="P1615" s="14">
        <f>Final_Table[[#This Row],[Gross Revenue]]*(1-Final_Table[[#This Row],[Discount %]])</f>
        <v>18360</v>
      </c>
      <c r="Q1615">
        <f>Final_Table[[#This Row],[Net Revenue]]*Final_Table[[#This Row],[Variable Cost %]]</f>
        <v>3304.7999999999997</v>
      </c>
      <c r="R1615">
        <f>Final_Table[[#This Row],[Variable Cost]]+Final_Table[[#This Row],[Fixed Monthly Cost]]</f>
        <v>21304.799999999999</v>
      </c>
      <c r="S1615" s="5">
        <f>Final_Table[[#This Row],[Net Revenue]]-Final_Table[[#This Row],[Total Cost (COGS)]]</f>
        <v>-2944.7999999999993</v>
      </c>
      <c r="T1615">
        <f>Final_Table[[#This Row],[Gross Profit]]*Final_Table[[#This Row],[Tax Rate]]</f>
        <v>-883.43999999999971</v>
      </c>
      <c r="U1615" s="5">
        <f>Final_Table[[#This Row],[Gross Profit]]-Final_Table[[#This Row],[Tax]]</f>
        <v>-2061.3599999999997</v>
      </c>
      <c r="V1615" s="12">
        <f>Final_Table[[#This Row],[Net Profit]]/Final_Table[[#This Row],[Gross Revenue]]</f>
        <v>-0.10104705882352939</v>
      </c>
    </row>
    <row r="1616" spans="1:22">
      <c r="A1616" s="18" t="s">
        <v>70</v>
      </c>
      <c r="B1616">
        <v>2014</v>
      </c>
      <c r="C1616" t="s">
        <v>130</v>
      </c>
      <c r="D1616">
        <v>1</v>
      </c>
      <c r="E1616" s="18" t="s">
        <v>32</v>
      </c>
      <c r="F1616" s="18" t="s">
        <v>112</v>
      </c>
      <c r="G1616" s="18" t="s">
        <v>17</v>
      </c>
      <c r="H1616" s="18" t="str">
        <f>Assumptions!$B$2</f>
        <v>Worst</v>
      </c>
      <c r="I1616" s="18">
        <f>_xlfn.XLOOKUP(Assumptions!$B$2,Assumptions!$F$4:$H$4,Assumptions!$F$5:$H$5)</f>
        <v>1200</v>
      </c>
      <c r="J1616" s="18">
        <f>_xlfn.XLOOKUP(Assumptions!$B$2,Assumptions!$F$4:$H$4,Assumptions!$F$6:$H$6)</f>
        <v>17</v>
      </c>
      <c r="K1616" s="12">
        <f>_xlfn.XLOOKUP(Assumptions!$B$2,Assumptions!$F$4:$H$4,Assumptions!$F$8:$H$8)</f>
        <v>0.1</v>
      </c>
      <c r="L1616" s="12">
        <f>_xlfn.XLOOKUP(Assumptions!$B$2,Assumptions!$F$4:$H$4,Assumptions!$F$9:$H$9)</f>
        <v>0.18</v>
      </c>
      <c r="M1616" s="18">
        <f>_xlfn.XLOOKUP(Assumptions!$B$2,Assumptions!$F$4:$H$4,Assumptions!$F$10:$H$10)</f>
        <v>18000</v>
      </c>
      <c r="N1616" s="12">
        <f>_xlfn.XLOOKUP(Assumptions!$B$2,Assumptions!$F$4:$H$4,Assumptions!$F$11:$H$11)</f>
        <v>0.3</v>
      </c>
      <c r="O1616" s="14">
        <f>Final_Table[[#This Row],[Units Sold]]*Final_Table[[#This Row],[Sale Price]]</f>
        <v>20400</v>
      </c>
      <c r="P1616" s="14">
        <f>Final_Table[[#This Row],[Gross Revenue]]*(1-Final_Table[[#This Row],[Discount %]])</f>
        <v>18360</v>
      </c>
      <c r="Q1616">
        <f>Final_Table[[#This Row],[Net Revenue]]*Final_Table[[#This Row],[Variable Cost %]]</f>
        <v>3304.7999999999997</v>
      </c>
      <c r="R1616">
        <f>Final_Table[[#This Row],[Variable Cost]]+Final_Table[[#This Row],[Fixed Monthly Cost]]</f>
        <v>21304.799999999999</v>
      </c>
      <c r="S1616" s="5">
        <f>Final_Table[[#This Row],[Net Revenue]]-Final_Table[[#This Row],[Total Cost (COGS)]]</f>
        <v>-2944.7999999999993</v>
      </c>
      <c r="T1616">
        <f>Final_Table[[#This Row],[Gross Profit]]*Final_Table[[#This Row],[Tax Rate]]</f>
        <v>-883.43999999999971</v>
      </c>
      <c r="U1616" s="5">
        <f>Final_Table[[#This Row],[Gross Profit]]-Final_Table[[#This Row],[Tax]]</f>
        <v>-2061.3599999999997</v>
      </c>
      <c r="V1616" s="12">
        <f>Final_Table[[#This Row],[Net Profit]]/Final_Table[[#This Row],[Gross Revenue]]</f>
        <v>-0.10104705882352939</v>
      </c>
    </row>
    <row r="1617" spans="1:22">
      <c r="A1617" s="18" t="s">
        <v>70</v>
      </c>
      <c r="B1617">
        <v>2014</v>
      </c>
      <c r="C1617" t="s">
        <v>130</v>
      </c>
      <c r="D1617">
        <v>1</v>
      </c>
      <c r="E1617" s="18" t="s">
        <v>32</v>
      </c>
      <c r="F1617" s="18" t="s">
        <v>113</v>
      </c>
      <c r="G1617" s="18" t="s">
        <v>36</v>
      </c>
      <c r="H1617" s="18" t="str">
        <f>Assumptions!$B$2</f>
        <v>Worst</v>
      </c>
      <c r="I1617" s="18">
        <f>_xlfn.XLOOKUP(Assumptions!$B$2,Assumptions!$F$4:$H$4,Assumptions!$F$5:$H$5)</f>
        <v>1200</v>
      </c>
      <c r="J1617" s="18">
        <f>_xlfn.XLOOKUP(Assumptions!$B$2,Assumptions!$F$4:$H$4,Assumptions!$F$6:$H$6)</f>
        <v>17</v>
      </c>
      <c r="K1617" s="12">
        <f>_xlfn.XLOOKUP(Assumptions!$B$2,Assumptions!$F$4:$H$4,Assumptions!$F$8:$H$8)</f>
        <v>0.1</v>
      </c>
      <c r="L1617" s="12">
        <f>_xlfn.XLOOKUP(Assumptions!$B$2,Assumptions!$F$4:$H$4,Assumptions!$F$9:$H$9)</f>
        <v>0.18</v>
      </c>
      <c r="M1617" s="18">
        <f>_xlfn.XLOOKUP(Assumptions!$B$2,Assumptions!$F$4:$H$4,Assumptions!$F$10:$H$10)</f>
        <v>18000</v>
      </c>
      <c r="N1617" s="12">
        <f>_xlfn.XLOOKUP(Assumptions!$B$2,Assumptions!$F$4:$H$4,Assumptions!$F$11:$H$11)</f>
        <v>0.3</v>
      </c>
      <c r="O1617" s="14">
        <f>Final_Table[[#This Row],[Units Sold]]*Final_Table[[#This Row],[Sale Price]]</f>
        <v>20400</v>
      </c>
      <c r="P1617" s="14">
        <f>Final_Table[[#This Row],[Gross Revenue]]*(1-Final_Table[[#This Row],[Discount %]])</f>
        <v>18360</v>
      </c>
      <c r="Q1617">
        <f>Final_Table[[#This Row],[Net Revenue]]*Final_Table[[#This Row],[Variable Cost %]]</f>
        <v>3304.7999999999997</v>
      </c>
      <c r="R1617">
        <f>Final_Table[[#This Row],[Variable Cost]]+Final_Table[[#This Row],[Fixed Monthly Cost]]</f>
        <v>21304.799999999999</v>
      </c>
      <c r="S1617" s="5">
        <f>Final_Table[[#This Row],[Net Revenue]]-Final_Table[[#This Row],[Total Cost (COGS)]]</f>
        <v>-2944.7999999999993</v>
      </c>
      <c r="T1617">
        <f>Final_Table[[#This Row],[Gross Profit]]*Final_Table[[#This Row],[Tax Rate]]</f>
        <v>-883.43999999999971</v>
      </c>
      <c r="U1617" s="5">
        <f>Final_Table[[#This Row],[Gross Profit]]-Final_Table[[#This Row],[Tax]]</f>
        <v>-2061.3599999999997</v>
      </c>
      <c r="V1617" s="12">
        <f>Final_Table[[#This Row],[Net Profit]]/Final_Table[[#This Row],[Gross Revenue]]</f>
        <v>-0.10104705882352939</v>
      </c>
    </row>
    <row r="1618" spans="1:22">
      <c r="A1618" s="18" t="s">
        <v>70</v>
      </c>
      <c r="B1618">
        <v>2014</v>
      </c>
      <c r="C1618" t="s">
        <v>130</v>
      </c>
      <c r="D1618">
        <v>1</v>
      </c>
      <c r="E1618" s="18" t="s">
        <v>32</v>
      </c>
      <c r="F1618" s="18" t="s">
        <v>113</v>
      </c>
      <c r="G1618" s="18" t="s">
        <v>23</v>
      </c>
      <c r="H1618" s="18" t="str">
        <f>Assumptions!$B$2</f>
        <v>Worst</v>
      </c>
      <c r="I1618" s="18">
        <f>_xlfn.XLOOKUP(Assumptions!$B$2,Assumptions!$F$4:$H$4,Assumptions!$F$5:$H$5)</f>
        <v>1200</v>
      </c>
      <c r="J1618" s="18">
        <f>_xlfn.XLOOKUP(Assumptions!$B$2,Assumptions!$F$4:$H$4,Assumptions!$F$6:$H$6)</f>
        <v>17</v>
      </c>
      <c r="K1618" s="12">
        <f>_xlfn.XLOOKUP(Assumptions!$B$2,Assumptions!$F$4:$H$4,Assumptions!$F$8:$H$8)</f>
        <v>0.1</v>
      </c>
      <c r="L1618" s="12">
        <f>_xlfn.XLOOKUP(Assumptions!$B$2,Assumptions!$F$4:$H$4,Assumptions!$F$9:$H$9)</f>
        <v>0.18</v>
      </c>
      <c r="M1618" s="18">
        <f>_xlfn.XLOOKUP(Assumptions!$B$2,Assumptions!$F$4:$H$4,Assumptions!$F$10:$H$10)</f>
        <v>18000</v>
      </c>
      <c r="N1618" s="12">
        <f>_xlfn.XLOOKUP(Assumptions!$B$2,Assumptions!$F$4:$H$4,Assumptions!$F$11:$H$11)</f>
        <v>0.3</v>
      </c>
      <c r="O1618" s="14">
        <f>Final_Table[[#This Row],[Units Sold]]*Final_Table[[#This Row],[Sale Price]]</f>
        <v>20400</v>
      </c>
      <c r="P1618" s="14">
        <f>Final_Table[[#This Row],[Gross Revenue]]*(1-Final_Table[[#This Row],[Discount %]])</f>
        <v>18360</v>
      </c>
      <c r="Q1618">
        <f>Final_Table[[#This Row],[Net Revenue]]*Final_Table[[#This Row],[Variable Cost %]]</f>
        <v>3304.7999999999997</v>
      </c>
      <c r="R1618">
        <f>Final_Table[[#This Row],[Variable Cost]]+Final_Table[[#This Row],[Fixed Monthly Cost]]</f>
        <v>21304.799999999999</v>
      </c>
      <c r="S1618" s="5">
        <f>Final_Table[[#This Row],[Net Revenue]]-Final_Table[[#This Row],[Total Cost (COGS)]]</f>
        <v>-2944.7999999999993</v>
      </c>
      <c r="T1618">
        <f>Final_Table[[#This Row],[Gross Profit]]*Final_Table[[#This Row],[Tax Rate]]</f>
        <v>-883.43999999999971</v>
      </c>
      <c r="U1618" s="5">
        <f>Final_Table[[#This Row],[Gross Profit]]-Final_Table[[#This Row],[Tax]]</f>
        <v>-2061.3599999999997</v>
      </c>
      <c r="V1618" s="12">
        <f>Final_Table[[#This Row],[Net Profit]]/Final_Table[[#This Row],[Gross Revenue]]</f>
        <v>-0.10104705882352939</v>
      </c>
    </row>
    <row r="1619" spans="1:22">
      <c r="A1619" s="18" t="s">
        <v>70</v>
      </c>
      <c r="B1619">
        <v>2014</v>
      </c>
      <c r="C1619" t="s">
        <v>130</v>
      </c>
      <c r="D1619">
        <v>1</v>
      </c>
      <c r="E1619" s="18" t="s">
        <v>32</v>
      </c>
      <c r="F1619" s="18" t="s">
        <v>113</v>
      </c>
      <c r="G1619" s="18" t="s">
        <v>21</v>
      </c>
      <c r="H1619" s="18" t="str">
        <f>Assumptions!$B$2</f>
        <v>Worst</v>
      </c>
      <c r="I1619" s="18">
        <f>_xlfn.XLOOKUP(Assumptions!$B$2,Assumptions!$F$4:$H$4,Assumptions!$F$5:$H$5)</f>
        <v>1200</v>
      </c>
      <c r="J1619" s="18">
        <f>_xlfn.XLOOKUP(Assumptions!$B$2,Assumptions!$F$4:$H$4,Assumptions!$F$6:$H$6)</f>
        <v>17</v>
      </c>
      <c r="K1619" s="12">
        <f>_xlfn.XLOOKUP(Assumptions!$B$2,Assumptions!$F$4:$H$4,Assumptions!$F$8:$H$8)</f>
        <v>0.1</v>
      </c>
      <c r="L1619" s="12">
        <f>_xlfn.XLOOKUP(Assumptions!$B$2,Assumptions!$F$4:$H$4,Assumptions!$F$9:$H$9)</f>
        <v>0.18</v>
      </c>
      <c r="M1619" s="18">
        <f>_xlfn.XLOOKUP(Assumptions!$B$2,Assumptions!$F$4:$H$4,Assumptions!$F$10:$H$10)</f>
        <v>18000</v>
      </c>
      <c r="N1619" s="12">
        <f>_xlfn.XLOOKUP(Assumptions!$B$2,Assumptions!$F$4:$H$4,Assumptions!$F$11:$H$11)</f>
        <v>0.3</v>
      </c>
      <c r="O1619" s="14">
        <f>Final_Table[[#This Row],[Units Sold]]*Final_Table[[#This Row],[Sale Price]]</f>
        <v>20400</v>
      </c>
      <c r="P1619" s="14">
        <f>Final_Table[[#This Row],[Gross Revenue]]*(1-Final_Table[[#This Row],[Discount %]])</f>
        <v>18360</v>
      </c>
      <c r="Q1619">
        <f>Final_Table[[#This Row],[Net Revenue]]*Final_Table[[#This Row],[Variable Cost %]]</f>
        <v>3304.7999999999997</v>
      </c>
      <c r="R1619">
        <f>Final_Table[[#This Row],[Variable Cost]]+Final_Table[[#This Row],[Fixed Monthly Cost]]</f>
        <v>21304.799999999999</v>
      </c>
      <c r="S1619" s="5">
        <f>Final_Table[[#This Row],[Net Revenue]]-Final_Table[[#This Row],[Total Cost (COGS)]]</f>
        <v>-2944.7999999999993</v>
      </c>
      <c r="T1619">
        <f>Final_Table[[#This Row],[Gross Profit]]*Final_Table[[#This Row],[Tax Rate]]</f>
        <v>-883.43999999999971</v>
      </c>
      <c r="U1619" s="5">
        <f>Final_Table[[#This Row],[Gross Profit]]-Final_Table[[#This Row],[Tax]]</f>
        <v>-2061.3599999999997</v>
      </c>
      <c r="V1619" s="12">
        <f>Final_Table[[#This Row],[Net Profit]]/Final_Table[[#This Row],[Gross Revenue]]</f>
        <v>-0.10104705882352939</v>
      </c>
    </row>
    <row r="1620" spans="1:22">
      <c r="A1620" s="18" t="s">
        <v>70</v>
      </c>
      <c r="B1620">
        <v>2014</v>
      </c>
      <c r="C1620" t="s">
        <v>130</v>
      </c>
      <c r="D1620">
        <v>1</v>
      </c>
      <c r="E1620" s="18" t="s">
        <v>32</v>
      </c>
      <c r="F1620" s="18" t="s">
        <v>113</v>
      </c>
      <c r="G1620" s="18" t="s">
        <v>25</v>
      </c>
      <c r="H1620" s="18" t="str">
        <f>Assumptions!$B$2</f>
        <v>Worst</v>
      </c>
      <c r="I1620" s="18">
        <f>_xlfn.XLOOKUP(Assumptions!$B$2,Assumptions!$F$4:$H$4,Assumptions!$F$5:$H$5)</f>
        <v>1200</v>
      </c>
      <c r="J1620" s="18">
        <f>_xlfn.XLOOKUP(Assumptions!$B$2,Assumptions!$F$4:$H$4,Assumptions!$F$6:$H$6)</f>
        <v>17</v>
      </c>
      <c r="K1620" s="12">
        <f>_xlfn.XLOOKUP(Assumptions!$B$2,Assumptions!$F$4:$H$4,Assumptions!$F$8:$H$8)</f>
        <v>0.1</v>
      </c>
      <c r="L1620" s="12">
        <f>_xlfn.XLOOKUP(Assumptions!$B$2,Assumptions!$F$4:$H$4,Assumptions!$F$9:$H$9)</f>
        <v>0.18</v>
      </c>
      <c r="M1620" s="18">
        <f>_xlfn.XLOOKUP(Assumptions!$B$2,Assumptions!$F$4:$H$4,Assumptions!$F$10:$H$10)</f>
        <v>18000</v>
      </c>
      <c r="N1620" s="12">
        <f>_xlfn.XLOOKUP(Assumptions!$B$2,Assumptions!$F$4:$H$4,Assumptions!$F$11:$H$11)</f>
        <v>0.3</v>
      </c>
      <c r="O1620" s="14">
        <f>Final_Table[[#This Row],[Units Sold]]*Final_Table[[#This Row],[Sale Price]]</f>
        <v>20400</v>
      </c>
      <c r="P1620" s="14">
        <f>Final_Table[[#This Row],[Gross Revenue]]*(1-Final_Table[[#This Row],[Discount %]])</f>
        <v>18360</v>
      </c>
      <c r="Q1620">
        <f>Final_Table[[#This Row],[Net Revenue]]*Final_Table[[#This Row],[Variable Cost %]]</f>
        <v>3304.7999999999997</v>
      </c>
      <c r="R1620">
        <f>Final_Table[[#This Row],[Variable Cost]]+Final_Table[[#This Row],[Fixed Monthly Cost]]</f>
        <v>21304.799999999999</v>
      </c>
      <c r="S1620" s="5">
        <f>Final_Table[[#This Row],[Net Revenue]]-Final_Table[[#This Row],[Total Cost (COGS)]]</f>
        <v>-2944.7999999999993</v>
      </c>
      <c r="T1620">
        <f>Final_Table[[#This Row],[Gross Profit]]*Final_Table[[#This Row],[Tax Rate]]</f>
        <v>-883.43999999999971</v>
      </c>
      <c r="U1620" s="5">
        <f>Final_Table[[#This Row],[Gross Profit]]-Final_Table[[#This Row],[Tax]]</f>
        <v>-2061.3599999999997</v>
      </c>
      <c r="V1620" s="12">
        <f>Final_Table[[#This Row],[Net Profit]]/Final_Table[[#This Row],[Gross Revenue]]</f>
        <v>-0.10104705882352939</v>
      </c>
    </row>
    <row r="1621" spans="1:22">
      <c r="A1621" s="18" t="s">
        <v>70</v>
      </c>
      <c r="B1621">
        <v>2014</v>
      </c>
      <c r="C1621" t="s">
        <v>130</v>
      </c>
      <c r="D1621">
        <v>1</v>
      </c>
      <c r="E1621" s="18" t="s">
        <v>32</v>
      </c>
      <c r="F1621" s="18" t="s">
        <v>113</v>
      </c>
      <c r="G1621" s="18" t="s">
        <v>17</v>
      </c>
      <c r="H1621" s="18" t="str">
        <f>Assumptions!$B$2</f>
        <v>Worst</v>
      </c>
      <c r="I1621" s="18">
        <f>_xlfn.XLOOKUP(Assumptions!$B$2,Assumptions!$F$4:$H$4,Assumptions!$F$5:$H$5)</f>
        <v>1200</v>
      </c>
      <c r="J1621" s="18">
        <f>_xlfn.XLOOKUP(Assumptions!$B$2,Assumptions!$F$4:$H$4,Assumptions!$F$6:$H$6)</f>
        <v>17</v>
      </c>
      <c r="K1621" s="12">
        <f>_xlfn.XLOOKUP(Assumptions!$B$2,Assumptions!$F$4:$H$4,Assumptions!$F$8:$H$8)</f>
        <v>0.1</v>
      </c>
      <c r="L1621" s="12">
        <f>_xlfn.XLOOKUP(Assumptions!$B$2,Assumptions!$F$4:$H$4,Assumptions!$F$9:$H$9)</f>
        <v>0.18</v>
      </c>
      <c r="M1621" s="18">
        <f>_xlfn.XLOOKUP(Assumptions!$B$2,Assumptions!$F$4:$H$4,Assumptions!$F$10:$H$10)</f>
        <v>18000</v>
      </c>
      <c r="N1621" s="12">
        <f>_xlfn.XLOOKUP(Assumptions!$B$2,Assumptions!$F$4:$H$4,Assumptions!$F$11:$H$11)</f>
        <v>0.3</v>
      </c>
      <c r="O1621" s="14">
        <f>Final_Table[[#This Row],[Units Sold]]*Final_Table[[#This Row],[Sale Price]]</f>
        <v>20400</v>
      </c>
      <c r="P1621" s="14">
        <f>Final_Table[[#This Row],[Gross Revenue]]*(1-Final_Table[[#This Row],[Discount %]])</f>
        <v>18360</v>
      </c>
      <c r="Q1621">
        <f>Final_Table[[#This Row],[Net Revenue]]*Final_Table[[#This Row],[Variable Cost %]]</f>
        <v>3304.7999999999997</v>
      </c>
      <c r="R1621">
        <f>Final_Table[[#This Row],[Variable Cost]]+Final_Table[[#This Row],[Fixed Monthly Cost]]</f>
        <v>21304.799999999999</v>
      </c>
      <c r="S1621" s="5">
        <f>Final_Table[[#This Row],[Net Revenue]]-Final_Table[[#This Row],[Total Cost (COGS)]]</f>
        <v>-2944.7999999999993</v>
      </c>
      <c r="T1621">
        <f>Final_Table[[#This Row],[Gross Profit]]*Final_Table[[#This Row],[Tax Rate]]</f>
        <v>-883.43999999999971</v>
      </c>
      <c r="U1621" s="5">
        <f>Final_Table[[#This Row],[Gross Profit]]-Final_Table[[#This Row],[Tax]]</f>
        <v>-2061.3599999999997</v>
      </c>
      <c r="V1621" s="12">
        <f>Final_Table[[#This Row],[Net Profit]]/Final_Table[[#This Row],[Gross Revenue]]</f>
        <v>-0.10104705882352939</v>
      </c>
    </row>
    <row r="1622" spans="1:22">
      <c r="A1622" s="18" t="s">
        <v>70</v>
      </c>
      <c r="B1622">
        <v>2014</v>
      </c>
      <c r="C1622" t="s">
        <v>130</v>
      </c>
      <c r="D1622">
        <v>1</v>
      </c>
      <c r="E1622" s="18" t="s">
        <v>32</v>
      </c>
      <c r="F1622" s="18" t="s">
        <v>114</v>
      </c>
      <c r="G1622" s="18" t="s">
        <v>36</v>
      </c>
      <c r="H1622" s="18" t="str">
        <f>Assumptions!$B$2</f>
        <v>Worst</v>
      </c>
      <c r="I1622" s="18">
        <f>_xlfn.XLOOKUP(Assumptions!$B$2,Assumptions!$F$4:$H$4,Assumptions!$F$5:$H$5)</f>
        <v>1200</v>
      </c>
      <c r="J1622" s="18">
        <f>_xlfn.XLOOKUP(Assumptions!$B$2,Assumptions!$F$4:$H$4,Assumptions!$F$6:$H$6)</f>
        <v>17</v>
      </c>
      <c r="K1622" s="12">
        <f>_xlfn.XLOOKUP(Assumptions!$B$2,Assumptions!$F$4:$H$4,Assumptions!$F$8:$H$8)</f>
        <v>0.1</v>
      </c>
      <c r="L1622" s="12">
        <f>_xlfn.XLOOKUP(Assumptions!$B$2,Assumptions!$F$4:$H$4,Assumptions!$F$9:$H$9)</f>
        <v>0.18</v>
      </c>
      <c r="M1622" s="18">
        <f>_xlfn.XLOOKUP(Assumptions!$B$2,Assumptions!$F$4:$H$4,Assumptions!$F$10:$H$10)</f>
        <v>18000</v>
      </c>
      <c r="N1622" s="12">
        <f>_xlfn.XLOOKUP(Assumptions!$B$2,Assumptions!$F$4:$H$4,Assumptions!$F$11:$H$11)</f>
        <v>0.3</v>
      </c>
      <c r="O1622" s="14">
        <f>Final_Table[[#This Row],[Units Sold]]*Final_Table[[#This Row],[Sale Price]]</f>
        <v>20400</v>
      </c>
      <c r="P1622" s="14">
        <f>Final_Table[[#This Row],[Gross Revenue]]*(1-Final_Table[[#This Row],[Discount %]])</f>
        <v>18360</v>
      </c>
      <c r="Q1622">
        <f>Final_Table[[#This Row],[Net Revenue]]*Final_Table[[#This Row],[Variable Cost %]]</f>
        <v>3304.7999999999997</v>
      </c>
      <c r="R1622">
        <f>Final_Table[[#This Row],[Variable Cost]]+Final_Table[[#This Row],[Fixed Monthly Cost]]</f>
        <v>21304.799999999999</v>
      </c>
      <c r="S1622" s="5">
        <f>Final_Table[[#This Row],[Net Revenue]]-Final_Table[[#This Row],[Total Cost (COGS)]]</f>
        <v>-2944.7999999999993</v>
      </c>
      <c r="T1622">
        <f>Final_Table[[#This Row],[Gross Profit]]*Final_Table[[#This Row],[Tax Rate]]</f>
        <v>-883.43999999999971</v>
      </c>
      <c r="U1622" s="5">
        <f>Final_Table[[#This Row],[Gross Profit]]-Final_Table[[#This Row],[Tax]]</f>
        <v>-2061.3599999999997</v>
      </c>
      <c r="V1622" s="12">
        <f>Final_Table[[#This Row],[Net Profit]]/Final_Table[[#This Row],[Gross Revenue]]</f>
        <v>-0.10104705882352939</v>
      </c>
    </row>
    <row r="1623" spans="1:22">
      <c r="A1623" s="18" t="s">
        <v>70</v>
      </c>
      <c r="B1623">
        <v>2014</v>
      </c>
      <c r="C1623" t="s">
        <v>130</v>
      </c>
      <c r="D1623">
        <v>1</v>
      </c>
      <c r="E1623" s="18" t="s">
        <v>32</v>
      </c>
      <c r="F1623" s="18" t="s">
        <v>114</v>
      </c>
      <c r="G1623" s="18" t="s">
        <v>23</v>
      </c>
      <c r="H1623" s="18" t="str">
        <f>Assumptions!$B$2</f>
        <v>Worst</v>
      </c>
      <c r="I1623" s="18">
        <f>_xlfn.XLOOKUP(Assumptions!$B$2,Assumptions!$F$4:$H$4,Assumptions!$F$5:$H$5)</f>
        <v>1200</v>
      </c>
      <c r="J1623" s="18">
        <f>_xlfn.XLOOKUP(Assumptions!$B$2,Assumptions!$F$4:$H$4,Assumptions!$F$6:$H$6)</f>
        <v>17</v>
      </c>
      <c r="K1623" s="12">
        <f>_xlfn.XLOOKUP(Assumptions!$B$2,Assumptions!$F$4:$H$4,Assumptions!$F$8:$H$8)</f>
        <v>0.1</v>
      </c>
      <c r="L1623" s="12">
        <f>_xlfn.XLOOKUP(Assumptions!$B$2,Assumptions!$F$4:$H$4,Assumptions!$F$9:$H$9)</f>
        <v>0.18</v>
      </c>
      <c r="M1623" s="18">
        <f>_xlfn.XLOOKUP(Assumptions!$B$2,Assumptions!$F$4:$H$4,Assumptions!$F$10:$H$10)</f>
        <v>18000</v>
      </c>
      <c r="N1623" s="12">
        <f>_xlfn.XLOOKUP(Assumptions!$B$2,Assumptions!$F$4:$H$4,Assumptions!$F$11:$H$11)</f>
        <v>0.3</v>
      </c>
      <c r="O1623" s="14">
        <f>Final_Table[[#This Row],[Units Sold]]*Final_Table[[#This Row],[Sale Price]]</f>
        <v>20400</v>
      </c>
      <c r="P1623" s="14">
        <f>Final_Table[[#This Row],[Gross Revenue]]*(1-Final_Table[[#This Row],[Discount %]])</f>
        <v>18360</v>
      </c>
      <c r="Q1623">
        <f>Final_Table[[#This Row],[Net Revenue]]*Final_Table[[#This Row],[Variable Cost %]]</f>
        <v>3304.7999999999997</v>
      </c>
      <c r="R1623">
        <f>Final_Table[[#This Row],[Variable Cost]]+Final_Table[[#This Row],[Fixed Monthly Cost]]</f>
        <v>21304.799999999999</v>
      </c>
      <c r="S1623" s="5">
        <f>Final_Table[[#This Row],[Net Revenue]]-Final_Table[[#This Row],[Total Cost (COGS)]]</f>
        <v>-2944.7999999999993</v>
      </c>
      <c r="T1623">
        <f>Final_Table[[#This Row],[Gross Profit]]*Final_Table[[#This Row],[Tax Rate]]</f>
        <v>-883.43999999999971</v>
      </c>
      <c r="U1623" s="5">
        <f>Final_Table[[#This Row],[Gross Profit]]-Final_Table[[#This Row],[Tax]]</f>
        <v>-2061.3599999999997</v>
      </c>
      <c r="V1623" s="12">
        <f>Final_Table[[#This Row],[Net Profit]]/Final_Table[[#This Row],[Gross Revenue]]</f>
        <v>-0.10104705882352939</v>
      </c>
    </row>
    <row r="1624" spans="1:22">
      <c r="A1624" s="18" t="s">
        <v>70</v>
      </c>
      <c r="B1624">
        <v>2014</v>
      </c>
      <c r="C1624" t="s">
        <v>130</v>
      </c>
      <c r="D1624">
        <v>1</v>
      </c>
      <c r="E1624" s="18" t="s">
        <v>32</v>
      </c>
      <c r="F1624" s="18" t="s">
        <v>114</v>
      </c>
      <c r="G1624" s="18" t="s">
        <v>21</v>
      </c>
      <c r="H1624" s="18" t="str">
        <f>Assumptions!$B$2</f>
        <v>Worst</v>
      </c>
      <c r="I1624" s="18">
        <f>_xlfn.XLOOKUP(Assumptions!$B$2,Assumptions!$F$4:$H$4,Assumptions!$F$5:$H$5)</f>
        <v>1200</v>
      </c>
      <c r="J1624" s="18">
        <f>_xlfn.XLOOKUP(Assumptions!$B$2,Assumptions!$F$4:$H$4,Assumptions!$F$6:$H$6)</f>
        <v>17</v>
      </c>
      <c r="K1624" s="12">
        <f>_xlfn.XLOOKUP(Assumptions!$B$2,Assumptions!$F$4:$H$4,Assumptions!$F$8:$H$8)</f>
        <v>0.1</v>
      </c>
      <c r="L1624" s="12">
        <f>_xlfn.XLOOKUP(Assumptions!$B$2,Assumptions!$F$4:$H$4,Assumptions!$F$9:$H$9)</f>
        <v>0.18</v>
      </c>
      <c r="M1624" s="18">
        <f>_xlfn.XLOOKUP(Assumptions!$B$2,Assumptions!$F$4:$H$4,Assumptions!$F$10:$H$10)</f>
        <v>18000</v>
      </c>
      <c r="N1624" s="12">
        <f>_xlfn.XLOOKUP(Assumptions!$B$2,Assumptions!$F$4:$H$4,Assumptions!$F$11:$H$11)</f>
        <v>0.3</v>
      </c>
      <c r="O1624" s="14">
        <f>Final_Table[[#This Row],[Units Sold]]*Final_Table[[#This Row],[Sale Price]]</f>
        <v>20400</v>
      </c>
      <c r="P1624" s="14">
        <f>Final_Table[[#This Row],[Gross Revenue]]*(1-Final_Table[[#This Row],[Discount %]])</f>
        <v>18360</v>
      </c>
      <c r="Q1624">
        <f>Final_Table[[#This Row],[Net Revenue]]*Final_Table[[#This Row],[Variable Cost %]]</f>
        <v>3304.7999999999997</v>
      </c>
      <c r="R1624">
        <f>Final_Table[[#This Row],[Variable Cost]]+Final_Table[[#This Row],[Fixed Monthly Cost]]</f>
        <v>21304.799999999999</v>
      </c>
      <c r="S1624" s="5">
        <f>Final_Table[[#This Row],[Net Revenue]]-Final_Table[[#This Row],[Total Cost (COGS)]]</f>
        <v>-2944.7999999999993</v>
      </c>
      <c r="T1624">
        <f>Final_Table[[#This Row],[Gross Profit]]*Final_Table[[#This Row],[Tax Rate]]</f>
        <v>-883.43999999999971</v>
      </c>
      <c r="U1624" s="5">
        <f>Final_Table[[#This Row],[Gross Profit]]-Final_Table[[#This Row],[Tax]]</f>
        <v>-2061.3599999999997</v>
      </c>
      <c r="V1624" s="12">
        <f>Final_Table[[#This Row],[Net Profit]]/Final_Table[[#This Row],[Gross Revenue]]</f>
        <v>-0.10104705882352939</v>
      </c>
    </row>
    <row r="1625" spans="1:22">
      <c r="A1625" s="18" t="s">
        <v>70</v>
      </c>
      <c r="B1625">
        <v>2014</v>
      </c>
      <c r="C1625" t="s">
        <v>130</v>
      </c>
      <c r="D1625">
        <v>1</v>
      </c>
      <c r="E1625" s="18" t="s">
        <v>32</v>
      </c>
      <c r="F1625" s="18" t="s">
        <v>114</v>
      </c>
      <c r="G1625" s="18" t="s">
        <v>25</v>
      </c>
      <c r="H1625" s="18" t="str">
        <f>Assumptions!$B$2</f>
        <v>Worst</v>
      </c>
      <c r="I1625" s="18">
        <f>_xlfn.XLOOKUP(Assumptions!$B$2,Assumptions!$F$4:$H$4,Assumptions!$F$5:$H$5)</f>
        <v>1200</v>
      </c>
      <c r="J1625" s="18">
        <f>_xlfn.XLOOKUP(Assumptions!$B$2,Assumptions!$F$4:$H$4,Assumptions!$F$6:$H$6)</f>
        <v>17</v>
      </c>
      <c r="K1625" s="12">
        <f>_xlfn.XLOOKUP(Assumptions!$B$2,Assumptions!$F$4:$H$4,Assumptions!$F$8:$H$8)</f>
        <v>0.1</v>
      </c>
      <c r="L1625" s="12">
        <f>_xlfn.XLOOKUP(Assumptions!$B$2,Assumptions!$F$4:$H$4,Assumptions!$F$9:$H$9)</f>
        <v>0.18</v>
      </c>
      <c r="M1625" s="18">
        <f>_xlfn.XLOOKUP(Assumptions!$B$2,Assumptions!$F$4:$H$4,Assumptions!$F$10:$H$10)</f>
        <v>18000</v>
      </c>
      <c r="N1625" s="12">
        <f>_xlfn.XLOOKUP(Assumptions!$B$2,Assumptions!$F$4:$H$4,Assumptions!$F$11:$H$11)</f>
        <v>0.3</v>
      </c>
      <c r="O1625" s="14">
        <f>Final_Table[[#This Row],[Units Sold]]*Final_Table[[#This Row],[Sale Price]]</f>
        <v>20400</v>
      </c>
      <c r="P1625" s="14">
        <f>Final_Table[[#This Row],[Gross Revenue]]*(1-Final_Table[[#This Row],[Discount %]])</f>
        <v>18360</v>
      </c>
      <c r="Q1625">
        <f>Final_Table[[#This Row],[Net Revenue]]*Final_Table[[#This Row],[Variable Cost %]]</f>
        <v>3304.7999999999997</v>
      </c>
      <c r="R1625">
        <f>Final_Table[[#This Row],[Variable Cost]]+Final_Table[[#This Row],[Fixed Monthly Cost]]</f>
        <v>21304.799999999999</v>
      </c>
      <c r="S1625" s="5">
        <f>Final_Table[[#This Row],[Net Revenue]]-Final_Table[[#This Row],[Total Cost (COGS)]]</f>
        <v>-2944.7999999999993</v>
      </c>
      <c r="T1625">
        <f>Final_Table[[#This Row],[Gross Profit]]*Final_Table[[#This Row],[Tax Rate]]</f>
        <v>-883.43999999999971</v>
      </c>
      <c r="U1625" s="5">
        <f>Final_Table[[#This Row],[Gross Profit]]-Final_Table[[#This Row],[Tax]]</f>
        <v>-2061.3599999999997</v>
      </c>
      <c r="V1625" s="12">
        <f>Final_Table[[#This Row],[Net Profit]]/Final_Table[[#This Row],[Gross Revenue]]</f>
        <v>-0.10104705882352939</v>
      </c>
    </row>
    <row r="1626" spans="1:22">
      <c r="A1626" s="18" t="s">
        <v>70</v>
      </c>
      <c r="B1626">
        <v>2014</v>
      </c>
      <c r="C1626" t="s">
        <v>130</v>
      </c>
      <c r="D1626">
        <v>1</v>
      </c>
      <c r="E1626" s="18" t="s">
        <v>32</v>
      </c>
      <c r="F1626" s="18" t="s">
        <v>114</v>
      </c>
      <c r="G1626" s="18" t="s">
        <v>17</v>
      </c>
      <c r="H1626" s="18" t="str">
        <f>Assumptions!$B$2</f>
        <v>Worst</v>
      </c>
      <c r="I1626" s="18">
        <f>_xlfn.XLOOKUP(Assumptions!$B$2,Assumptions!$F$4:$H$4,Assumptions!$F$5:$H$5)</f>
        <v>1200</v>
      </c>
      <c r="J1626" s="18">
        <f>_xlfn.XLOOKUP(Assumptions!$B$2,Assumptions!$F$4:$H$4,Assumptions!$F$6:$H$6)</f>
        <v>17</v>
      </c>
      <c r="K1626" s="12">
        <f>_xlfn.XLOOKUP(Assumptions!$B$2,Assumptions!$F$4:$H$4,Assumptions!$F$8:$H$8)</f>
        <v>0.1</v>
      </c>
      <c r="L1626" s="12">
        <f>_xlfn.XLOOKUP(Assumptions!$B$2,Assumptions!$F$4:$H$4,Assumptions!$F$9:$H$9)</f>
        <v>0.18</v>
      </c>
      <c r="M1626" s="18">
        <f>_xlfn.XLOOKUP(Assumptions!$B$2,Assumptions!$F$4:$H$4,Assumptions!$F$10:$H$10)</f>
        <v>18000</v>
      </c>
      <c r="N1626" s="12">
        <f>_xlfn.XLOOKUP(Assumptions!$B$2,Assumptions!$F$4:$H$4,Assumptions!$F$11:$H$11)</f>
        <v>0.3</v>
      </c>
      <c r="O1626" s="14">
        <f>Final_Table[[#This Row],[Units Sold]]*Final_Table[[#This Row],[Sale Price]]</f>
        <v>20400</v>
      </c>
      <c r="P1626" s="14">
        <f>Final_Table[[#This Row],[Gross Revenue]]*(1-Final_Table[[#This Row],[Discount %]])</f>
        <v>18360</v>
      </c>
      <c r="Q1626">
        <f>Final_Table[[#This Row],[Net Revenue]]*Final_Table[[#This Row],[Variable Cost %]]</f>
        <v>3304.7999999999997</v>
      </c>
      <c r="R1626">
        <f>Final_Table[[#This Row],[Variable Cost]]+Final_Table[[#This Row],[Fixed Monthly Cost]]</f>
        <v>21304.799999999999</v>
      </c>
      <c r="S1626" s="5">
        <f>Final_Table[[#This Row],[Net Revenue]]-Final_Table[[#This Row],[Total Cost (COGS)]]</f>
        <v>-2944.7999999999993</v>
      </c>
      <c r="T1626">
        <f>Final_Table[[#This Row],[Gross Profit]]*Final_Table[[#This Row],[Tax Rate]]</f>
        <v>-883.43999999999971</v>
      </c>
      <c r="U1626" s="5">
        <f>Final_Table[[#This Row],[Gross Profit]]-Final_Table[[#This Row],[Tax]]</f>
        <v>-2061.3599999999997</v>
      </c>
      <c r="V1626" s="12">
        <f>Final_Table[[#This Row],[Net Profit]]/Final_Table[[#This Row],[Gross Revenue]]</f>
        <v>-0.10104705882352939</v>
      </c>
    </row>
    <row r="1627" spans="1:22">
      <c r="A1627" s="18" t="s">
        <v>79</v>
      </c>
      <c r="B1627">
        <v>2014</v>
      </c>
      <c r="C1627" t="s">
        <v>131</v>
      </c>
      <c r="D1627">
        <v>1</v>
      </c>
      <c r="E1627" s="18" t="s">
        <v>30</v>
      </c>
      <c r="F1627" s="18" t="s">
        <v>80</v>
      </c>
      <c r="G1627" s="18" t="s">
        <v>36</v>
      </c>
      <c r="H1627" s="18" t="str">
        <f>Assumptions!$B$2</f>
        <v>Worst</v>
      </c>
      <c r="I1627" s="18">
        <f>_xlfn.XLOOKUP(Assumptions!$B$2,Assumptions!$F$4:$H$4,Assumptions!$F$5:$H$5)</f>
        <v>1200</v>
      </c>
      <c r="J1627" s="18">
        <f>_xlfn.XLOOKUP(Assumptions!$B$2,Assumptions!$F$4:$H$4,Assumptions!$F$6:$H$6)</f>
        <v>17</v>
      </c>
      <c r="K1627" s="12">
        <f>_xlfn.XLOOKUP(Assumptions!$B$2,Assumptions!$F$4:$H$4,Assumptions!$F$8:$H$8)</f>
        <v>0.1</v>
      </c>
      <c r="L1627" s="12">
        <f>_xlfn.XLOOKUP(Assumptions!$B$2,Assumptions!$F$4:$H$4,Assumptions!$F$9:$H$9)</f>
        <v>0.18</v>
      </c>
      <c r="M1627" s="18">
        <f>_xlfn.XLOOKUP(Assumptions!$B$2,Assumptions!$F$4:$H$4,Assumptions!$F$10:$H$10)</f>
        <v>18000</v>
      </c>
      <c r="N1627" s="12">
        <f>_xlfn.XLOOKUP(Assumptions!$B$2,Assumptions!$F$4:$H$4,Assumptions!$F$11:$H$11)</f>
        <v>0.3</v>
      </c>
      <c r="O1627" s="14">
        <f>Final_Table[[#This Row],[Units Sold]]*Final_Table[[#This Row],[Sale Price]]</f>
        <v>20400</v>
      </c>
      <c r="P1627" s="14">
        <f>Final_Table[[#This Row],[Gross Revenue]]*(1-Final_Table[[#This Row],[Discount %]])</f>
        <v>18360</v>
      </c>
      <c r="Q1627">
        <f>Final_Table[[#This Row],[Net Revenue]]*Final_Table[[#This Row],[Variable Cost %]]</f>
        <v>3304.7999999999997</v>
      </c>
      <c r="R1627">
        <f>Final_Table[[#This Row],[Variable Cost]]+Final_Table[[#This Row],[Fixed Monthly Cost]]</f>
        <v>21304.799999999999</v>
      </c>
      <c r="S1627" s="5">
        <f>Final_Table[[#This Row],[Net Revenue]]-Final_Table[[#This Row],[Total Cost (COGS)]]</f>
        <v>-2944.7999999999993</v>
      </c>
      <c r="T1627">
        <f>Final_Table[[#This Row],[Gross Profit]]*Final_Table[[#This Row],[Tax Rate]]</f>
        <v>-883.43999999999971</v>
      </c>
      <c r="U1627" s="5">
        <f>Final_Table[[#This Row],[Gross Profit]]-Final_Table[[#This Row],[Tax]]</f>
        <v>-2061.3599999999997</v>
      </c>
      <c r="V1627" s="12">
        <f>Final_Table[[#This Row],[Net Profit]]/Final_Table[[#This Row],[Gross Revenue]]</f>
        <v>-0.10104705882352939</v>
      </c>
    </row>
    <row r="1628" spans="1:22">
      <c r="A1628" s="18" t="s">
        <v>79</v>
      </c>
      <c r="B1628">
        <v>2014</v>
      </c>
      <c r="C1628" t="s">
        <v>131</v>
      </c>
      <c r="D1628">
        <v>1</v>
      </c>
      <c r="E1628" s="18" t="s">
        <v>30</v>
      </c>
      <c r="F1628" s="18" t="s">
        <v>80</v>
      </c>
      <c r="G1628" s="18" t="s">
        <v>23</v>
      </c>
      <c r="H1628" s="18" t="str">
        <f>Assumptions!$B$2</f>
        <v>Worst</v>
      </c>
      <c r="I1628" s="18">
        <f>_xlfn.XLOOKUP(Assumptions!$B$2,Assumptions!$F$4:$H$4,Assumptions!$F$5:$H$5)</f>
        <v>1200</v>
      </c>
      <c r="J1628" s="18">
        <f>_xlfn.XLOOKUP(Assumptions!$B$2,Assumptions!$F$4:$H$4,Assumptions!$F$6:$H$6)</f>
        <v>17</v>
      </c>
      <c r="K1628" s="12">
        <f>_xlfn.XLOOKUP(Assumptions!$B$2,Assumptions!$F$4:$H$4,Assumptions!$F$8:$H$8)</f>
        <v>0.1</v>
      </c>
      <c r="L1628" s="12">
        <f>_xlfn.XLOOKUP(Assumptions!$B$2,Assumptions!$F$4:$H$4,Assumptions!$F$9:$H$9)</f>
        <v>0.18</v>
      </c>
      <c r="M1628" s="18">
        <f>_xlfn.XLOOKUP(Assumptions!$B$2,Assumptions!$F$4:$H$4,Assumptions!$F$10:$H$10)</f>
        <v>18000</v>
      </c>
      <c r="N1628" s="12">
        <f>_xlfn.XLOOKUP(Assumptions!$B$2,Assumptions!$F$4:$H$4,Assumptions!$F$11:$H$11)</f>
        <v>0.3</v>
      </c>
      <c r="O1628" s="14">
        <f>Final_Table[[#This Row],[Units Sold]]*Final_Table[[#This Row],[Sale Price]]</f>
        <v>20400</v>
      </c>
      <c r="P1628" s="14">
        <f>Final_Table[[#This Row],[Gross Revenue]]*(1-Final_Table[[#This Row],[Discount %]])</f>
        <v>18360</v>
      </c>
      <c r="Q1628">
        <f>Final_Table[[#This Row],[Net Revenue]]*Final_Table[[#This Row],[Variable Cost %]]</f>
        <v>3304.7999999999997</v>
      </c>
      <c r="R1628">
        <f>Final_Table[[#This Row],[Variable Cost]]+Final_Table[[#This Row],[Fixed Monthly Cost]]</f>
        <v>21304.799999999999</v>
      </c>
      <c r="S1628" s="5">
        <f>Final_Table[[#This Row],[Net Revenue]]-Final_Table[[#This Row],[Total Cost (COGS)]]</f>
        <v>-2944.7999999999993</v>
      </c>
      <c r="T1628">
        <f>Final_Table[[#This Row],[Gross Profit]]*Final_Table[[#This Row],[Tax Rate]]</f>
        <v>-883.43999999999971</v>
      </c>
      <c r="U1628" s="5">
        <f>Final_Table[[#This Row],[Gross Profit]]-Final_Table[[#This Row],[Tax]]</f>
        <v>-2061.3599999999997</v>
      </c>
      <c r="V1628" s="12">
        <f>Final_Table[[#This Row],[Net Profit]]/Final_Table[[#This Row],[Gross Revenue]]</f>
        <v>-0.10104705882352939</v>
      </c>
    </row>
    <row r="1629" spans="1:22">
      <c r="A1629" s="18" t="s">
        <v>79</v>
      </c>
      <c r="B1629">
        <v>2014</v>
      </c>
      <c r="C1629" t="s">
        <v>131</v>
      </c>
      <c r="D1629">
        <v>1</v>
      </c>
      <c r="E1629" s="18" t="s">
        <v>30</v>
      </c>
      <c r="F1629" s="18" t="s">
        <v>80</v>
      </c>
      <c r="G1629" s="18" t="s">
        <v>21</v>
      </c>
      <c r="H1629" s="18" t="str">
        <f>Assumptions!$B$2</f>
        <v>Worst</v>
      </c>
      <c r="I1629" s="18">
        <f>_xlfn.XLOOKUP(Assumptions!$B$2,Assumptions!$F$4:$H$4,Assumptions!$F$5:$H$5)</f>
        <v>1200</v>
      </c>
      <c r="J1629" s="18">
        <f>_xlfn.XLOOKUP(Assumptions!$B$2,Assumptions!$F$4:$H$4,Assumptions!$F$6:$H$6)</f>
        <v>17</v>
      </c>
      <c r="K1629" s="12">
        <f>_xlfn.XLOOKUP(Assumptions!$B$2,Assumptions!$F$4:$H$4,Assumptions!$F$8:$H$8)</f>
        <v>0.1</v>
      </c>
      <c r="L1629" s="12">
        <f>_xlfn.XLOOKUP(Assumptions!$B$2,Assumptions!$F$4:$H$4,Assumptions!$F$9:$H$9)</f>
        <v>0.18</v>
      </c>
      <c r="M1629" s="18">
        <f>_xlfn.XLOOKUP(Assumptions!$B$2,Assumptions!$F$4:$H$4,Assumptions!$F$10:$H$10)</f>
        <v>18000</v>
      </c>
      <c r="N1629" s="12">
        <f>_xlfn.XLOOKUP(Assumptions!$B$2,Assumptions!$F$4:$H$4,Assumptions!$F$11:$H$11)</f>
        <v>0.3</v>
      </c>
      <c r="O1629" s="14">
        <f>Final_Table[[#This Row],[Units Sold]]*Final_Table[[#This Row],[Sale Price]]</f>
        <v>20400</v>
      </c>
      <c r="P1629" s="14">
        <f>Final_Table[[#This Row],[Gross Revenue]]*(1-Final_Table[[#This Row],[Discount %]])</f>
        <v>18360</v>
      </c>
      <c r="Q1629">
        <f>Final_Table[[#This Row],[Net Revenue]]*Final_Table[[#This Row],[Variable Cost %]]</f>
        <v>3304.7999999999997</v>
      </c>
      <c r="R1629">
        <f>Final_Table[[#This Row],[Variable Cost]]+Final_Table[[#This Row],[Fixed Monthly Cost]]</f>
        <v>21304.799999999999</v>
      </c>
      <c r="S1629" s="5">
        <f>Final_Table[[#This Row],[Net Revenue]]-Final_Table[[#This Row],[Total Cost (COGS)]]</f>
        <v>-2944.7999999999993</v>
      </c>
      <c r="T1629">
        <f>Final_Table[[#This Row],[Gross Profit]]*Final_Table[[#This Row],[Tax Rate]]</f>
        <v>-883.43999999999971</v>
      </c>
      <c r="U1629" s="5">
        <f>Final_Table[[#This Row],[Gross Profit]]-Final_Table[[#This Row],[Tax]]</f>
        <v>-2061.3599999999997</v>
      </c>
      <c r="V1629" s="12">
        <f>Final_Table[[#This Row],[Net Profit]]/Final_Table[[#This Row],[Gross Revenue]]</f>
        <v>-0.10104705882352939</v>
      </c>
    </row>
    <row r="1630" spans="1:22">
      <c r="A1630" s="18" t="s">
        <v>79</v>
      </c>
      <c r="B1630">
        <v>2014</v>
      </c>
      <c r="C1630" t="s">
        <v>131</v>
      </c>
      <c r="D1630">
        <v>1</v>
      </c>
      <c r="E1630" s="18" t="s">
        <v>30</v>
      </c>
      <c r="F1630" s="18" t="s">
        <v>80</v>
      </c>
      <c r="G1630" s="18" t="s">
        <v>25</v>
      </c>
      <c r="H1630" s="18" t="str">
        <f>Assumptions!$B$2</f>
        <v>Worst</v>
      </c>
      <c r="I1630" s="18">
        <f>_xlfn.XLOOKUP(Assumptions!$B$2,Assumptions!$F$4:$H$4,Assumptions!$F$5:$H$5)</f>
        <v>1200</v>
      </c>
      <c r="J1630" s="18">
        <f>_xlfn.XLOOKUP(Assumptions!$B$2,Assumptions!$F$4:$H$4,Assumptions!$F$6:$H$6)</f>
        <v>17</v>
      </c>
      <c r="K1630" s="12">
        <f>_xlfn.XLOOKUP(Assumptions!$B$2,Assumptions!$F$4:$H$4,Assumptions!$F$8:$H$8)</f>
        <v>0.1</v>
      </c>
      <c r="L1630" s="12">
        <f>_xlfn.XLOOKUP(Assumptions!$B$2,Assumptions!$F$4:$H$4,Assumptions!$F$9:$H$9)</f>
        <v>0.18</v>
      </c>
      <c r="M1630" s="18">
        <f>_xlfn.XLOOKUP(Assumptions!$B$2,Assumptions!$F$4:$H$4,Assumptions!$F$10:$H$10)</f>
        <v>18000</v>
      </c>
      <c r="N1630" s="12">
        <f>_xlfn.XLOOKUP(Assumptions!$B$2,Assumptions!$F$4:$H$4,Assumptions!$F$11:$H$11)</f>
        <v>0.3</v>
      </c>
      <c r="O1630" s="14">
        <f>Final_Table[[#This Row],[Units Sold]]*Final_Table[[#This Row],[Sale Price]]</f>
        <v>20400</v>
      </c>
      <c r="P1630" s="14">
        <f>Final_Table[[#This Row],[Gross Revenue]]*(1-Final_Table[[#This Row],[Discount %]])</f>
        <v>18360</v>
      </c>
      <c r="Q1630">
        <f>Final_Table[[#This Row],[Net Revenue]]*Final_Table[[#This Row],[Variable Cost %]]</f>
        <v>3304.7999999999997</v>
      </c>
      <c r="R1630">
        <f>Final_Table[[#This Row],[Variable Cost]]+Final_Table[[#This Row],[Fixed Monthly Cost]]</f>
        <v>21304.799999999999</v>
      </c>
      <c r="S1630" s="5">
        <f>Final_Table[[#This Row],[Net Revenue]]-Final_Table[[#This Row],[Total Cost (COGS)]]</f>
        <v>-2944.7999999999993</v>
      </c>
      <c r="T1630">
        <f>Final_Table[[#This Row],[Gross Profit]]*Final_Table[[#This Row],[Tax Rate]]</f>
        <v>-883.43999999999971</v>
      </c>
      <c r="U1630" s="5">
        <f>Final_Table[[#This Row],[Gross Profit]]-Final_Table[[#This Row],[Tax]]</f>
        <v>-2061.3599999999997</v>
      </c>
      <c r="V1630" s="12">
        <f>Final_Table[[#This Row],[Net Profit]]/Final_Table[[#This Row],[Gross Revenue]]</f>
        <v>-0.10104705882352939</v>
      </c>
    </row>
    <row r="1631" spans="1:22">
      <c r="A1631" s="18" t="s">
        <v>79</v>
      </c>
      <c r="B1631">
        <v>2014</v>
      </c>
      <c r="C1631" t="s">
        <v>131</v>
      </c>
      <c r="D1631">
        <v>1</v>
      </c>
      <c r="E1631" s="18" t="s">
        <v>30</v>
      </c>
      <c r="F1631" s="18" t="s">
        <v>80</v>
      </c>
      <c r="G1631" s="18" t="s">
        <v>17</v>
      </c>
      <c r="H1631" s="18" t="str">
        <f>Assumptions!$B$2</f>
        <v>Worst</v>
      </c>
      <c r="I1631" s="18">
        <f>_xlfn.XLOOKUP(Assumptions!$B$2,Assumptions!$F$4:$H$4,Assumptions!$F$5:$H$5)</f>
        <v>1200</v>
      </c>
      <c r="J1631" s="18">
        <f>_xlfn.XLOOKUP(Assumptions!$B$2,Assumptions!$F$4:$H$4,Assumptions!$F$6:$H$6)</f>
        <v>17</v>
      </c>
      <c r="K1631" s="12">
        <f>_xlfn.XLOOKUP(Assumptions!$B$2,Assumptions!$F$4:$H$4,Assumptions!$F$8:$H$8)</f>
        <v>0.1</v>
      </c>
      <c r="L1631" s="12">
        <f>_xlfn.XLOOKUP(Assumptions!$B$2,Assumptions!$F$4:$H$4,Assumptions!$F$9:$H$9)</f>
        <v>0.18</v>
      </c>
      <c r="M1631" s="18">
        <f>_xlfn.XLOOKUP(Assumptions!$B$2,Assumptions!$F$4:$H$4,Assumptions!$F$10:$H$10)</f>
        <v>18000</v>
      </c>
      <c r="N1631" s="12">
        <f>_xlfn.XLOOKUP(Assumptions!$B$2,Assumptions!$F$4:$H$4,Assumptions!$F$11:$H$11)</f>
        <v>0.3</v>
      </c>
      <c r="O1631" s="14">
        <f>Final_Table[[#This Row],[Units Sold]]*Final_Table[[#This Row],[Sale Price]]</f>
        <v>20400</v>
      </c>
      <c r="P1631" s="14">
        <f>Final_Table[[#This Row],[Gross Revenue]]*(1-Final_Table[[#This Row],[Discount %]])</f>
        <v>18360</v>
      </c>
      <c r="Q1631">
        <f>Final_Table[[#This Row],[Net Revenue]]*Final_Table[[#This Row],[Variable Cost %]]</f>
        <v>3304.7999999999997</v>
      </c>
      <c r="R1631">
        <f>Final_Table[[#This Row],[Variable Cost]]+Final_Table[[#This Row],[Fixed Monthly Cost]]</f>
        <v>21304.799999999999</v>
      </c>
      <c r="S1631" s="5">
        <f>Final_Table[[#This Row],[Net Revenue]]-Final_Table[[#This Row],[Total Cost (COGS)]]</f>
        <v>-2944.7999999999993</v>
      </c>
      <c r="T1631">
        <f>Final_Table[[#This Row],[Gross Profit]]*Final_Table[[#This Row],[Tax Rate]]</f>
        <v>-883.43999999999971</v>
      </c>
      <c r="U1631" s="5">
        <f>Final_Table[[#This Row],[Gross Profit]]-Final_Table[[#This Row],[Tax]]</f>
        <v>-2061.3599999999997</v>
      </c>
      <c r="V1631" s="12">
        <f>Final_Table[[#This Row],[Net Profit]]/Final_Table[[#This Row],[Gross Revenue]]</f>
        <v>-0.10104705882352939</v>
      </c>
    </row>
    <row r="1632" spans="1:22">
      <c r="A1632" s="18" t="s">
        <v>79</v>
      </c>
      <c r="B1632">
        <v>2014</v>
      </c>
      <c r="C1632" t="s">
        <v>131</v>
      </c>
      <c r="D1632">
        <v>1</v>
      </c>
      <c r="E1632" s="18" t="s">
        <v>30</v>
      </c>
      <c r="F1632" s="18" t="s">
        <v>108</v>
      </c>
      <c r="G1632" s="18" t="s">
        <v>36</v>
      </c>
      <c r="H1632" s="18" t="str">
        <f>Assumptions!$B$2</f>
        <v>Worst</v>
      </c>
      <c r="I1632" s="18">
        <f>_xlfn.XLOOKUP(Assumptions!$B$2,Assumptions!$F$4:$H$4,Assumptions!$F$5:$H$5)</f>
        <v>1200</v>
      </c>
      <c r="J1632" s="18">
        <f>_xlfn.XLOOKUP(Assumptions!$B$2,Assumptions!$F$4:$H$4,Assumptions!$F$6:$H$6)</f>
        <v>17</v>
      </c>
      <c r="K1632" s="12">
        <f>_xlfn.XLOOKUP(Assumptions!$B$2,Assumptions!$F$4:$H$4,Assumptions!$F$8:$H$8)</f>
        <v>0.1</v>
      </c>
      <c r="L1632" s="12">
        <f>_xlfn.XLOOKUP(Assumptions!$B$2,Assumptions!$F$4:$H$4,Assumptions!$F$9:$H$9)</f>
        <v>0.18</v>
      </c>
      <c r="M1632" s="18">
        <f>_xlfn.XLOOKUP(Assumptions!$B$2,Assumptions!$F$4:$H$4,Assumptions!$F$10:$H$10)</f>
        <v>18000</v>
      </c>
      <c r="N1632" s="12">
        <f>_xlfn.XLOOKUP(Assumptions!$B$2,Assumptions!$F$4:$H$4,Assumptions!$F$11:$H$11)</f>
        <v>0.3</v>
      </c>
      <c r="O1632" s="14">
        <f>Final_Table[[#This Row],[Units Sold]]*Final_Table[[#This Row],[Sale Price]]</f>
        <v>20400</v>
      </c>
      <c r="P1632" s="14">
        <f>Final_Table[[#This Row],[Gross Revenue]]*(1-Final_Table[[#This Row],[Discount %]])</f>
        <v>18360</v>
      </c>
      <c r="Q1632">
        <f>Final_Table[[#This Row],[Net Revenue]]*Final_Table[[#This Row],[Variable Cost %]]</f>
        <v>3304.7999999999997</v>
      </c>
      <c r="R1632">
        <f>Final_Table[[#This Row],[Variable Cost]]+Final_Table[[#This Row],[Fixed Monthly Cost]]</f>
        <v>21304.799999999999</v>
      </c>
      <c r="S1632" s="5">
        <f>Final_Table[[#This Row],[Net Revenue]]-Final_Table[[#This Row],[Total Cost (COGS)]]</f>
        <v>-2944.7999999999993</v>
      </c>
      <c r="T1632">
        <f>Final_Table[[#This Row],[Gross Profit]]*Final_Table[[#This Row],[Tax Rate]]</f>
        <v>-883.43999999999971</v>
      </c>
      <c r="U1632" s="5">
        <f>Final_Table[[#This Row],[Gross Profit]]-Final_Table[[#This Row],[Tax]]</f>
        <v>-2061.3599999999997</v>
      </c>
      <c r="V1632" s="12">
        <f>Final_Table[[#This Row],[Net Profit]]/Final_Table[[#This Row],[Gross Revenue]]</f>
        <v>-0.10104705882352939</v>
      </c>
    </row>
    <row r="1633" spans="1:22">
      <c r="A1633" s="18" t="s">
        <v>79</v>
      </c>
      <c r="B1633">
        <v>2014</v>
      </c>
      <c r="C1633" t="s">
        <v>131</v>
      </c>
      <c r="D1633">
        <v>1</v>
      </c>
      <c r="E1633" s="18" t="s">
        <v>30</v>
      </c>
      <c r="F1633" s="18" t="s">
        <v>108</v>
      </c>
      <c r="G1633" s="18" t="s">
        <v>23</v>
      </c>
      <c r="H1633" s="18" t="str">
        <f>Assumptions!$B$2</f>
        <v>Worst</v>
      </c>
      <c r="I1633" s="18">
        <f>_xlfn.XLOOKUP(Assumptions!$B$2,Assumptions!$F$4:$H$4,Assumptions!$F$5:$H$5)</f>
        <v>1200</v>
      </c>
      <c r="J1633" s="18">
        <f>_xlfn.XLOOKUP(Assumptions!$B$2,Assumptions!$F$4:$H$4,Assumptions!$F$6:$H$6)</f>
        <v>17</v>
      </c>
      <c r="K1633" s="12">
        <f>_xlfn.XLOOKUP(Assumptions!$B$2,Assumptions!$F$4:$H$4,Assumptions!$F$8:$H$8)</f>
        <v>0.1</v>
      </c>
      <c r="L1633" s="12">
        <f>_xlfn.XLOOKUP(Assumptions!$B$2,Assumptions!$F$4:$H$4,Assumptions!$F$9:$H$9)</f>
        <v>0.18</v>
      </c>
      <c r="M1633" s="18">
        <f>_xlfn.XLOOKUP(Assumptions!$B$2,Assumptions!$F$4:$H$4,Assumptions!$F$10:$H$10)</f>
        <v>18000</v>
      </c>
      <c r="N1633" s="12">
        <f>_xlfn.XLOOKUP(Assumptions!$B$2,Assumptions!$F$4:$H$4,Assumptions!$F$11:$H$11)</f>
        <v>0.3</v>
      </c>
      <c r="O1633" s="14">
        <f>Final_Table[[#This Row],[Units Sold]]*Final_Table[[#This Row],[Sale Price]]</f>
        <v>20400</v>
      </c>
      <c r="P1633" s="14">
        <f>Final_Table[[#This Row],[Gross Revenue]]*(1-Final_Table[[#This Row],[Discount %]])</f>
        <v>18360</v>
      </c>
      <c r="Q1633">
        <f>Final_Table[[#This Row],[Net Revenue]]*Final_Table[[#This Row],[Variable Cost %]]</f>
        <v>3304.7999999999997</v>
      </c>
      <c r="R1633">
        <f>Final_Table[[#This Row],[Variable Cost]]+Final_Table[[#This Row],[Fixed Monthly Cost]]</f>
        <v>21304.799999999999</v>
      </c>
      <c r="S1633" s="5">
        <f>Final_Table[[#This Row],[Net Revenue]]-Final_Table[[#This Row],[Total Cost (COGS)]]</f>
        <v>-2944.7999999999993</v>
      </c>
      <c r="T1633">
        <f>Final_Table[[#This Row],[Gross Profit]]*Final_Table[[#This Row],[Tax Rate]]</f>
        <v>-883.43999999999971</v>
      </c>
      <c r="U1633" s="5">
        <f>Final_Table[[#This Row],[Gross Profit]]-Final_Table[[#This Row],[Tax]]</f>
        <v>-2061.3599999999997</v>
      </c>
      <c r="V1633" s="12">
        <f>Final_Table[[#This Row],[Net Profit]]/Final_Table[[#This Row],[Gross Revenue]]</f>
        <v>-0.10104705882352939</v>
      </c>
    </row>
    <row r="1634" spans="1:22">
      <c r="A1634" s="18" t="s">
        <v>79</v>
      </c>
      <c r="B1634">
        <v>2014</v>
      </c>
      <c r="C1634" t="s">
        <v>131</v>
      </c>
      <c r="D1634">
        <v>1</v>
      </c>
      <c r="E1634" s="18" t="s">
        <v>30</v>
      </c>
      <c r="F1634" s="18" t="s">
        <v>108</v>
      </c>
      <c r="G1634" s="18" t="s">
        <v>21</v>
      </c>
      <c r="H1634" s="18" t="str">
        <f>Assumptions!$B$2</f>
        <v>Worst</v>
      </c>
      <c r="I1634" s="18">
        <f>_xlfn.XLOOKUP(Assumptions!$B$2,Assumptions!$F$4:$H$4,Assumptions!$F$5:$H$5)</f>
        <v>1200</v>
      </c>
      <c r="J1634" s="18">
        <f>_xlfn.XLOOKUP(Assumptions!$B$2,Assumptions!$F$4:$H$4,Assumptions!$F$6:$H$6)</f>
        <v>17</v>
      </c>
      <c r="K1634" s="12">
        <f>_xlfn.XLOOKUP(Assumptions!$B$2,Assumptions!$F$4:$H$4,Assumptions!$F$8:$H$8)</f>
        <v>0.1</v>
      </c>
      <c r="L1634" s="12">
        <f>_xlfn.XLOOKUP(Assumptions!$B$2,Assumptions!$F$4:$H$4,Assumptions!$F$9:$H$9)</f>
        <v>0.18</v>
      </c>
      <c r="M1634" s="18">
        <f>_xlfn.XLOOKUP(Assumptions!$B$2,Assumptions!$F$4:$H$4,Assumptions!$F$10:$H$10)</f>
        <v>18000</v>
      </c>
      <c r="N1634" s="12">
        <f>_xlfn.XLOOKUP(Assumptions!$B$2,Assumptions!$F$4:$H$4,Assumptions!$F$11:$H$11)</f>
        <v>0.3</v>
      </c>
      <c r="O1634" s="14">
        <f>Final_Table[[#This Row],[Units Sold]]*Final_Table[[#This Row],[Sale Price]]</f>
        <v>20400</v>
      </c>
      <c r="P1634" s="14">
        <f>Final_Table[[#This Row],[Gross Revenue]]*(1-Final_Table[[#This Row],[Discount %]])</f>
        <v>18360</v>
      </c>
      <c r="Q1634">
        <f>Final_Table[[#This Row],[Net Revenue]]*Final_Table[[#This Row],[Variable Cost %]]</f>
        <v>3304.7999999999997</v>
      </c>
      <c r="R1634">
        <f>Final_Table[[#This Row],[Variable Cost]]+Final_Table[[#This Row],[Fixed Monthly Cost]]</f>
        <v>21304.799999999999</v>
      </c>
      <c r="S1634" s="5">
        <f>Final_Table[[#This Row],[Net Revenue]]-Final_Table[[#This Row],[Total Cost (COGS)]]</f>
        <v>-2944.7999999999993</v>
      </c>
      <c r="T1634">
        <f>Final_Table[[#This Row],[Gross Profit]]*Final_Table[[#This Row],[Tax Rate]]</f>
        <v>-883.43999999999971</v>
      </c>
      <c r="U1634" s="5">
        <f>Final_Table[[#This Row],[Gross Profit]]-Final_Table[[#This Row],[Tax]]</f>
        <v>-2061.3599999999997</v>
      </c>
      <c r="V1634" s="12">
        <f>Final_Table[[#This Row],[Net Profit]]/Final_Table[[#This Row],[Gross Revenue]]</f>
        <v>-0.10104705882352939</v>
      </c>
    </row>
    <row r="1635" spans="1:22">
      <c r="A1635" s="18" t="s">
        <v>79</v>
      </c>
      <c r="B1635">
        <v>2014</v>
      </c>
      <c r="C1635" t="s">
        <v>131</v>
      </c>
      <c r="D1635">
        <v>1</v>
      </c>
      <c r="E1635" s="18" t="s">
        <v>30</v>
      </c>
      <c r="F1635" s="18" t="s">
        <v>108</v>
      </c>
      <c r="G1635" s="18" t="s">
        <v>25</v>
      </c>
      <c r="H1635" s="18" t="str">
        <f>Assumptions!$B$2</f>
        <v>Worst</v>
      </c>
      <c r="I1635" s="18">
        <f>_xlfn.XLOOKUP(Assumptions!$B$2,Assumptions!$F$4:$H$4,Assumptions!$F$5:$H$5)</f>
        <v>1200</v>
      </c>
      <c r="J1635" s="18">
        <f>_xlfn.XLOOKUP(Assumptions!$B$2,Assumptions!$F$4:$H$4,Assumptions!$F$6:$H$6)</f>
        <v>17</v>
      </c>
      <c r="K1635" s="12">
        <f>_xlfn.XLOOKUP(Assumptions!$B$2,Assumptions!$F$4:$H$4,Assumptions!$F$8:$H$8)</f>
        <v>0.1</v>
      </c>
      <c r="L1635" s="12">
        <f>_xlfn.XLOOKUP(Assumptions!$B$2,Assumptions!$F$4:$H$4,Assumptions!$F$9:$H$9)</f>
        <v>0.18</v>
      </c>
      <c r="M1635" s="18">
        <f>_xlfn.XLOOKUP(Assumptions!$B$2,Assumptions!$F$4:$H$4,Assumptions!$F$10:$H$10)</f>
        <v>18000</v>
      </c>
      <c r="N1635" s="12">
        <f>_xlfn.XLOOKUP(Assumptions!$B$2,Assumptions!$F$4:$H$4,Assumptions!$F$11:$H$11)</f>
        <v>0.3</v>
      </c>
      <c r="O1635" s="14">
        <f>Final_Table[[#This Row],[Units Sold]]*Final_Table[[#This Row],[Sale Price]]</f>
        <v>20400</v>
      </c>
      <c r="P1635" s="14">
        <f>Final_Table[[#This Row],[Gross Revenue]]*(1-Final_Table[[#This Row],[Discount %]])</f>
        <v>18360</v>
      </c>
      <c r="Q1635">
        <f>Final_Table[[#This Row],[Net Revenue]]*Final_Table[[#This Row],[Variable Cost %]]</f>
        <v>3304.7999999999997</v>
      </c>
      <c r="R1635">
        <f>Final_Table[[#This Row],[Variable Cost]]+Final_Table[[#This Row],[Fixed Monthly Cost]]</f>
        <v>21304.799999999999</v>
      </c>
      <c r="S1635" s="5">
        <f>Final_Table[[#This Row],[Net Revenue]]-Final_Table[[#This Row],[Total Cost (COGS)]]</f>
        <v>-2944.7999999999993</v>
      </c>
      <c r="T1635">
        <f>Final_Table[[#This Row],[Gross Profit]]*Final_Table[[#This Row],[Tax Rate]]</f>
        <v>-883.43999999999971</v>
      </c>
      <c r="U1635" s="5">
        <f>Final_Table[[#This Row],[Gross Profit]]-Final_Table[[#This Row],[Tax]]</f>
        <v>-2061.3599999999997</v>
      </c>
      <c r="V1635" s="12">
        <f>Final_Table[[#This Row],[Net Profit]]/Final_Table[[#This Row],[Gross Revenue]]</f>
        <v>-0.10104705882352939</v>
      </c>
    </row>
    <row r="1636" spans="1:22">
      <c r="A1636" s="18" t="s">
        <v>79</v>
      </c>
      <c r="B1636">
        <v>2014</v>
      </c>
      <c r="C1636" t="s">
        <v>131</v>
      </c>
      <c r="D1636">
        <v>1</v>
      </c>
      <c r="E1636" s="18" t="s">
        <v>30</v>
      </c>
      <c r="F1636" s="18" t="s">
        <v>108</v>
      </c>
      <c r="G1636" s="18" t="s">
        <v>17</v>
      </c>
      <c r="H1636" s="18" t="str">
        <f>Assumptions!$B$2</f>
        <v>Worst</v>
      </c>
      <c r="I1636" s="18">
        <f>_xlfn.XLOOKUP(Assumptions!$B$2,Assumptions!$F$4:$H$4,Assumptions!$F$5:$H$5)</f>
        <v>1200</v>
      </c>
      <c r="J1636" s="18">
        <f>_xlfn.XLOOKUP(Assumptions!$B$2,Assumptions!$F$4:$H$4,Assumptions!$F$6:$H$6)</f>
        <v>17</v>
      </c>
      <c r="K1636" s="12">
        <f>_xlfn.XLOOKUP(Assumptions!$B$2,Assumptions!$F$4:$H$4,Assumptions!$F$8:$H$8)</f>
        <v>0.1</v>
      </c>
      <c r="L1636" s="12">
        <f>_xlfn.XLOOKUP(Assumptions!$B$2,Assumptions!$F$4:$H$4,Assumptions!$F$9:$H$9)</f>
        <v>0.18</v>
      </c>
      <c r="M1636" s="18">
        <f>_xlfn.XLOOKUP(Assumptions!$B$2,Assumptions!$F$4:$H$4,Assumptions!$F$10:$H$10)</f>
        <v>18000</v>
      </c>
      <c r="N1636" s="12">
        <f>_xlfn.XLOOKUP(Assumptions!$B$2,Assumptions!$F$4:$H$4,Assumptions!$F$11:$H$11)</f>
        <v>0.3</v>
      </c>
      <c r="O1636" s="14">
        <f>Final_Table[[#This Row],[Units Sold]]*Final_Table[[#This Row],[Sale Price]]</f>
        <v>20400</v>
      </c>
      <c r="P1636" s="14">
        <f>Final_Table[[#This Row],[Gross Revenue]]*(1-Final_Table[[#This Row],[Discount %]])</f>
        <v>18360</v>
      </c>
      <c r="Q1636">
        <f>Final_Table[[#This Row],[Net Revenue]]*Final_Table[[#This Row],[Variable Cost %]]</f>
        <v>3304.7999999999997</v>
      </c>
      <c r="R1636">
        <f>Final_Table[[#This Row],[Variable Cost]]+Final_Table[[#This Row],[Fixed Monthly Cost]]</f>
        <v>21304.799999999999</v>
      </c>
      <c r="S1636" s="5">
        <f>Final_Table[[#This Row],[Net Revenue]]-Final_Table[[#This Row],[Total Cost (COGS)]]</f>
        <v>-2944.7999999999993</v>
      </c>
      <c r="T1636">
        <f>Final_Table[[#This Row],[Gross Profit]]*Final_Table[[#This Row],[Tax Rate]]</f>
        <v>-883.43999999999971</v>
      </c>
      <c r="U1636" s="5">
        <f>Final_Table[[#This Row],[Gross Profit]]-Final_Table[[#This Row],[Tax]]</f>
        <v>-2061.3599999999997</v>
      </c>
      <c r="V1636" s="12">
        <f>Final_Table[[#This Row],[Net Profit]]/Final_Table[[#This Row],[Gross Revenue]]</f>
        <v>-0.10104705882352939</v>
      </c>
    </row>
    <row r="1637" spans="1:22">
      <c r="A1637" s="18" t="s">
        <v>79</v>
      </c>
      <c r="B1637">
        <v>2014</v>
      </c>
      <c r="C1637" t="s">
        <v>131</v>
      </c>
      <c r="D1637">
        <v>1</v>
      </c>
      <c r="E1637" s="18" t="s">
        <v>30</v>
      </c>
      <c r="F1637" s="18" t="s">
        <v>112</v>
      </c>
      <c r="G1637" s="18" t="s">
        <v>36</v>
      </c>
      <c r="H1637" s="18" t="str">
        <f>Assumptions!$B$2</f>
        <v>Worst</v>
      </c>
      <c r="I1637" s="18">
        <f>_xlfn.XLOOKUP(Assumptions!$B$2,Assumptions!$F$4:$H$4,Assumptions!$F$5:$H$5)</f>
        <v>1200</v>
      </c>
      <c r="J1637" s="18">
        <f>_xlfn.XLOOKUP(Assumptions!$B$2,Assumptions!$F$4:$H$4,Assumptions!$F$6:$H$6)</f>
        <v>17</v>
      </c>
      <c r="K1637" s="12">
        <f>_xlfn.XLOOKUP(Assumptions!$B$2,Assumptions!$F$4:$H$4,Assumptions!$F$8:$H$8)</f>
        <v>0.1</v>
      </c>
      <c r="L1637" s="12">
        <f>_xlfn.XLOOKUP(Assumptions!$B$2,Assumptions!$F$4:$H$4,Assumptions!$F$9:$H$9)</f>
        <v>0.18</v>
      </c>
      <c r="M1637" s="18">
        <f>_xlfn.XLOOKUP(Assumptions!$B$2,Assumptions!$F$4:$H$4,Assumptions!$F$10:$H$10)</f>
        <v>18000</v>
      </c>
      <c r="N1637" s="12">
        <f>_xlfn.XLOOKUP(Assumptions!$B$2,Assumptions!$F$4:$H$4,Assumptions!$F$11:$H$11)</f>
        <v>0.3</v>
      </c>
      <c r="O1637" s="14">
        <f>Final_Table[[#This Row],[Units Sold]]*Final_Table[[#This Row],[Sale Price]]</f>
        <v>20400</v>
      </c>
      <c r="P1637" s="14">
        <f>Final_Table[[#This Row],[Gross Revenue]]*(1-Final_Table[[#This Row],[Discount %]])</f>
        <v>18360</v>
      </c>
      <c r="Q1637">
        <f>Final_Table[[#This Row],[Net Revenue]]*Final_Table[[#This Row],[Variable Cost %]]</f>
        <v>3304.7999999999997</v>
      </c>
      <c r="R1637">
        <f>Final_Table[[#This Row],[Variable Cost]]+Final_Table[[#This Row],[Fixed Monthly Cost]]</f>
        <v>21304.799999999999</v>
      </c>
      <c r="S1637" s="5">
        <f>Final_Table[[#This Row],[Net Revenue]]-Final_Table[[#This Row],[Total Cost (COGS)]]</f>
        <v>-2944.7999999999993</v>
      </c>
      <c r="T1637">
        <f>Final_Table[[#This Row],[Gross Profit]]*Final_Table[[#This Row],[Tax Rate]]</f>
        <v>-883.43999999999971</v>
      </c>
      <c r="U1637" s="5">
        <f>Final_Table[[#This Row],[Gross Profit]]-Final_Table[[#This Row],[Tax]]</f>
        <v>-2061.3599999999997</v>
      </c>
      <c r="V1637" s="12">
        <f>Final_Table[[#This Row],[Net Profit]]/Final_Table[[#This Row],[Gross Revenue]]</f>
        <v>-0.10104705882352939</v>
      </c>
    </row>
    <row r="1638" spans="1:22">
      <c r="A1638" s="18" t="s">
        <v>79</v>
      </c>
      <c r="B1638">
        <v>2014</v>
      </c>
      <c r="C1638" t="s">
        <v>131</v>
      </c>
      <c r="D1638">
        <v>1</v>
      </c>
      <c r="E1638" s="18" t="s">
        <v>30</v>
      </c>
      <c r="F1638" s="18" t="s">
        <v>112</v>
      </c>
      <c r="G1638" s="18" t="s">
        <v>23</v>
      </c>
      <c r="H1638" s="18" t="str">
        <f>Assumptions!$B$2</f>
        <v>Worst</v>
      </c>
      <c r="I1638" s="18">
        <f>_xlfn.XLOOKUP(Assumptions!$B$2,Assumptions!$F$4:$H$4,Assumptions!$F$5:$H$5)</f>
        <v>1200</v>
      </c>
      <c r="J1638" s="18">
        <f>_xlfn.XLOOKUP(Assumptions!$B$2,Assumptions!$F$4:$H$4,Assumptions!$F$6:$H$6)</f>
        <v>17</v>
      </c>
      <c r="K1638" s="12">
        <f>_xlfn.XLOOKUP(Assumptions!$B$2,Assumptions!$F$4:$H$4,Assumptions!$F$8:$H$8)</f>
        <v>0.1</v>
      </c>
      <c r="L1638" s="12">
        <f>_xlfn.XLOOKUP(Assumptions!$B$2,Assumptions!$F$4:$H$4,Assumptions!$F$9:$H$9)</f>
        <v>0.18</v>
      </c>
      <c r="M1638" s="18">
        <f>_xlfn.XLOOKUP(Assumptions!$B$2,Assumptions!$F$4:$H$4,Assumptions!$F$10:$H$10)</f>
        <v>18000</v>
      </c>
      <c r="N1638" s="12">
        <f>_xlfn.XLOOKUP(Assumptions!$B$2,Assumptions!$F$4:$H$4,Assumptions!$F$11:$H$11)</f>
        <v>0.3</v>
      </c>
      <c r="O1638" s="14">
        <f>Final_Table[[#This Row],[Units Sold]]*Final_Table[[#This Row],[Sale Price]]</f>
        <v>20400</v>
      </c>
      <c r="P1638" s="14">
        <f>Final_Table[[#This Row],[Gross Revenue]]*(1-Final_Table[[#This Row],[Discount %]])</f>
        <v>18360</v>
      </c>
      <c r="Q1638">
        <f>Final_Table[[#This Row],[Net Revenue]]*Final_Table[[#This Row],[Variable Cost %]]</f>
        <v>3304.7999999999997</v>
      </c>
      <c r="R1638">
        <f>Final_Table[[#This Row],[Variable Cost]]+Final_Table[[#This Row],[Fixed Monthly Cost]]</f>
        <v>21304.799999999999</v>
      </c>
      <c r="S1638" s="5">
        <f>Final_Table[[#This Row],[Net Revenue]]-Final_Table[[#This Row],[Total Cost (COGS)]]</f>
        <v>-2944.7999999999993</v>
      </c>
      <c r="T1638">
        <f>Final_Table[[#This Row],[Gross Profit]]*Final_Table[[#This Row],[Tax Rate]]</f>
        <v>-883.43999999999971</v>
      </c>
      <c r="U1638" s="5">
        <f>Final_Table[[#This Row],[Gross Profit]]-Final_Table[[#This Row],[Tax]]</f>
        <v>-2061.3599999999997</v>
      </c>
      <c r="V1638" s="12">
        <f>Final_Table[[#This Row],[Net Profit]]/Final_Table[[#This Row],[Gross Revenue]]</f>
        <v>-0.10104705882352939</v>
      </c>
    </row>
    <row r="1639" spans="1:22">
      <c r="A1639" s="18" t="s">
        <v>79</v>
      </c>
      <c r="B1639">
        <v>2014</v>
      </c>
      <c r="C1639" t="s">
        <v>131</v>
      </c>
      <c r="D1639">
        <v>1</v>
      </c>
      <c r="E1639" s="18" t="s">
        <v>30</v>
      </c>
      <c r="F1639" s="18" t="s">
        <v>112</v>
      </c>
      <c r="G1639" s="18" t="s">
        <v>21</v>
      </c>
      <c r="H1639" s="18" t="str">
        <f>Assumptions!$B$2</f>
        <v>Worst</v>
      </c>
      <c r="I1639" s="18">
        <f>_xlfn.XLOOKUP(Assumptions!$B$2,Assumptions!$F$4:$H$4,Assumptions!$F$5:$H$5)</f>
        <v>1200</v>
      </c>
      <c r="J1639" s="18">
        <f>_xlfn.XLOOKUP(Assumptions!$B$2,Assumptions!$F$4:$H$4,Assumptions!$F$6:$H$6)</f>
        <v>17</v>
      </c>
      <c r="K1639" s="12">
        <f>_xlfn.XLOOKUP(Assumptions!$B$2,Assumptions!$F$4:$H$4,Assumptions!$F$8:$H$8)</f>
        <v>0.1</v>
      </c>
      <c r="L1639" s="12">
        <f>_xlfn.XLOOKUP(Assumptions!$B$2,Assumptions!$F$4:$H$4,Assumptions!$F$9:$H$9)</f>
        <v>0.18</v>
      </c>
      <c r="M1639" s="18">
        <f>_xlfn.XLOOKUP(Assumptions!$B$2,Assumptions!$F$4:$H$4,Assumptions!$F$10:$H$10)</f>
        <v>18000</v>
      </c>
      <c r="N1639" s="12">
        <f>_xlfn.XLOOKUP(Assumptions!$B$2,Assumptions!$F$4:$H$4,Assumptions!$F$11:$H$11)</f>
        <v>0.3</v>
      </c>
      <c r="O1639" s="14">
        <f>Final_Table[[#This Row],[Units Sold]]*Final_Table[[#This Row],[Sale Price]]</f>
        <v>20400</v>
      </c>
      <c r="P1639" s="14">
        <f>Final_Table[[#This Row],[Gross Revenue]]*(1-Final_Table[[#This Row],[Discount %]])</f>
        <v>18360</v>
      </c>
      <c r="Q1639">
        <f>Final_Table[[#This Row],[Net Revenue]]*Final_Table[[#This Row],[Variable Cost %]]</f>
        <v>3304.7999999999997</v>
      </c>
      <c r="R1639">
        <f>Final_Table[[#This Row],[Variable Cost]]+Final_Table[[#This Row],[Fixed Monthly Cost]]</f>
        <v>21304.799999999999</v>
      </c>
      <c r="S1639" s="5">
        <f>Final_Table[[#This Row],[Net Revenue]]-Final_Table[[#This Row],[Total Cost (COGS)]]</f>
        <v>-2944.7999999999993</v>
      </c>
      <c r="T1639">
        <f>Final_Table[[#This Row],[Gross Profit]]*Final_Table[[#This Row],[Tax Rate]]</f>
        <v>-883.43999999999971</v>
      </c>
      <c r="U1639" s="5">
        <f>Final_Table[[#This Row],[Gross Profit]]-Final_Table[[#This Row],[Tax]]</f>
        <v>-2061.3599999999997</v>
      </c>
      <c r="V1639" s="12">
        <f>Final_Table[[#This Row],[Net Profit]]/Final_Table[[#This Row],[Gross Revenue]]</f>
        <v>-0.10104705882352939</v>
      </c>
    </row>
    <row r="1640" spans="1:22">
      <c r="A1640" s="18" t="s">
        <v>79</v>
      </c>
      <c r="B1640">
        <v>2014</v>
      </c>
      <c r="C1640" t="s">
        <v>131</v>
      </c>
      <c r="D1640">
        <v>1</v>
      </c>
      <c r="E1640" s="18" t="s">
        <v>30</v>
      </c>
      <c r="F1640" s="18" t="s">
        <v>112</v>
      </c>
      <c r="G1640" s="18" t="s">
        <v>25</v>
      </c>
      <c r="H1640" s="18" t="str">
        <f>Assumptions!$B$2</f>
        <v>Worst</v>
      </c>
      <c r="I1640" s="18">
        <f>_xlfn.XLOOKUP(Assumptions!$B$2,Assumptions!$F$4:$H$4,Assumptions!$F$5:$H$5)</f>
        <v>1200</v>
      </c>
      <c r="J1640" s="18">
        <f>_xlfn.XLOOKUP(Assumptions!$B$2,Assumptions!$F$4:$H$4,Assumptions!$F$6:$H$6)</f>
        <v>17</v>
      </c>
      <c r="K1640" s="12">
        <f>_xlfn.XLOOKUP(Assumptions!$B$2,Assumptions!$F$4:$H$4,Assumptions!$F$8:$H$8)</f>
        <v>0.1</v>
      </c>
      <c r="L1640" s="12">
        <f>_xlfn.XLOOKUP(Assumptions!$B$2,Assumptions!$F$4:$H$4,Assumptions!$F$9:$H$9)</f>
        <v>0.18</v>
      </c>
      <c r="M1640" s="18">
        <f>_xlfn.XLOOKUP(Assumptions!$B$2,Assumptions!$F$4:$H$4,Assumptions!$F$10:$H$10)</f>
        <v>18000</v>
      </c>
      <c r="N1640" s="12">
        <f>_xlfn.XLOOKUP(Assumptions!$B$2,Assumptions!$F$4:$H$4,Assumptions!$F$11:$H$11)</f>
        <v>0.3</v>
      </c>
      <c r="O1640" s="14">
        <f>Final_Table[[#This Row],[Units Sold]]*Final_Table[[#This Row],[Sale Price]]</f>
        <v>20400</v>
      </c>
      <c r="P1640" s="14">
        <f>Final_Table[[#This Row],[Gross Revenue]]*(1-Final_Table[[#This Row],[Discount %]])</f>
        <v>18360</v>
      </c>
      <c r="Q1640">
        <f>Final_Table[[#This Row],[Net Revenue]]*Final_Table[[#This Row],[Variable Cost %]]</f>
        <v>3304.7999999999997</v>
      </c>
      <c r="R1640">
        <f>Final_Table[[#This Row],[Variable Cost]]+Final_Table[[#This Row],[Fixed Monthly Cost]]</f>
        <v>21304.799999999999</v>
      </c>
      <c r="S1640" s="5">
        <f>Final_Table[[#This Row],[Net Revenue]]-Final_Table[[#This Row],[Total Cost (COGS)]]</f>
        <v>-2944.7999999999993</v>
      </c>
      <c r="T1640">
        <f>Final_Table[[#This Row],[Gross Profit]]*Final_Table[[#This Row],[Tax Rate]]</f>
        <v>-883.43999999999971</v>
      </c>
      <c r="U1640" s="5">
        <f>Final_Table[[#This Row],[Gross Profit]]-Final_Table[[#This Row],[Tax]]</f>
        <v>-2061.3599999999997</v>
      </c>
      <c r="V1640" s="12">
        <f>Final_Table[[#This Row],[Net Profit]]/Final_Table[[#This Row],[Gross Revenue]]</f>
        <v>-0.10104705882352939</v>
      </c>
    </row>
    <row r="1641" spans="1:22">
      <c r="A1641" s="18" t="s">
        <v>79</v>
      </c>
      <c r="B1641">
        <v>2014</v>
      </c>
      <c r="C1641" t="s">
        <v>131</v>
      </c>
      <c r="D1641">
        <v>1</v>
      </c>
      <c r="E1641" s="18" t="s">
        <v>30</v>
      </c>
      <c r="F1641" s="18" t="s">
        <v>112</v>
      </c>
      <c r="G1641" s="18" t="s">
        <v>17</v>
      </c>
      <c r="H1641" s="18" t="str">
        <f>Assumptions!$B$2</f>
        <v>Worst</v>
      </c>
      <c r="I1641" s="18">
        <f>_xlfn.XLOOKUP(Assumptions!$B$2,Assumptions!$F$4:$H$4,Assumptions!$F$5:$H$5)</f>
        <v>1200</v>
      </c>
      <c r="J1641" s="18">
        <f>_xlfn.XLOOKUP(Assumptions!$B$2,Assumptions!$F$4:$H$4,Assumptions!$F$6:$H$6)</f>
        <v>17</v>
      </c>
      <c r="K1641" s="12">
        <f>_xlfn.XLOOKUP(Assumptions!$B$2,Assumptions!$F$4:$H$4,Assumptions!$F$8:$H$8)</f>
        <v>0.1</v>
      </c>
      <c r="L1641" s="12">
        <f>_xlfn.XLOOKUP(Assumptions!$B$2,Assumptions!$F$4:$H$4,Assumptions!$F$9:$H$9)</f>
        <v>0.18</v>
      </c>
      <c r="M1641" s="18">
        <f>_xlfn.XLOOKUP(Assumptions!$B$2,Assumptions!$F$4:$H$4,Assumptions!$F$10:$H$10)</f>
        <v>18000</v>
      </c>
      <c r="N1641" s="12">
        <f>_xlfn.XLOOKUP(Assumptions!$B$2,Assumptions!$F$4:$H$4,Assumptions!$F$11:$H$11)</f>
        <v>0.3</v>
      </c>
      <c r="O1641" s="14">
        <f>Final_Table[[#This Row],[Units Sold]]*Final_Table[[#This Row],[Sale Price]]</f>
        <v>20400</v>
      </c>
      <c r="P1641" s="14">
        <f>Final_Table[[#This Row],[Gross Revenue]]*(1-Final_Table[[#This Row],[Discount %]])</f>
        <v>18360</v>
      </c>
      <c r="Q1641">
        <f>Final_Table[[#This Row],[Net Revenue]]*Final_Table[[#This Row],[Variable Cost %]]</f>
        <v>3304.7999999999997</v>
      </c>
      <c r="R1641">
        <f>Final_Table[[#This Row],[Variable Cost]]+Final_Table[[#This Row],[Fixed Monthly Cost]]</f>
        <v>21304.799999999999</v>
      </c>
      <c r="S1641" s="5">
        <f>Final_Table[[#This Row],[Net Revenue]]-Final_Table[[#This Row],[Total Cost (COGS)]]</f>
        <v>-2944.7999999999993</v>
      </c>
      <c r="T1641">
        <f>Final_Table[[#This Row],[Gross Profit]]*Final_Table[[#This Row],[Tax Rate]]</f>
        <v>-883.43999999999971</v>
      </c>
      <c r="U1641" s="5">
        <f>Final_Table[[#This Row],[Gross Profit]]-Final_Table[[#This Row],[Tax]]</f>
        <v>-2061.3599999999997</v>
      </c>
      <c r="V1641" s="12">
        <f>Final_Table[[#This Row],[Net Profit]]/Final_Table[[#This Row],[Gross Revenue]]</f>
        <v>-0.10104705882352939</v>
      </c>
    </row>
    <row r="1642" spans="1:22">
      <c r="A1642" s="18" t="s">
        <v>79</v>
      </c>
      <c r="B1642">
        <v>2014</v>
      </c>
      <c r="C1642" t="s">
        <v>131</v>
      </c>
      <c r="D1642">
        <v>1</v>
      </c>
      <c r="E1642" s="18" t="s">
        <v>30</v>
      </c>
      <c r="F1642" s="18" t="s">
        <v>113</v>
      </c>
      <c r="G1642" s="18" t="s">
        <v>36</v>
      </c>
      <c r="H1642" s="18" t="str">
        <f>Assumptions!$B$2</f>
        <v>Worst</v>
      </c>
      <c r="I1642" s="18">
        <f>_xlfn.XLOOKUP(Assumptions!$B$2,Assumptions!$F$4:$H$4,Assumptions!$F$5:$H$5)</f>
        <v>1200</v>
      </c>
      <c r="J1642" s="18">
        <f>_xlfn.XLOOKUP(Assumptions!$B$2,Assumptions!$F$4:$H$4,Assumptions!$F$6:$H$6)</f>
        <v>17</v>
      </c>
      <c r="K1642" s="12">
        <f>_xlfn.XLOOKUP(Assumptions!$B$2,Assumptions!$F$4:$H$4,Assumptions!$F$8:$H$8)</f>
        <v>0.1</v>
      </c>
      <c r="L1642" s="12">
        <f>_xlfn.XLOOKUP(Assumptions!$B$2,Assumptions!$F$4:$H$4,Assumptions!$F$9:$H$9)</f>
        <v>0.18</v>
      </c>
      <c r="M1642" s="18">
        <f>_xlfn.XLOOKUP(Assumptions!$B$2,Assumptions!$F$4:$H$4,Assumptions!$F$10:$H$10)</f>
        <v>18000</v>
      </c>
      <c r="N1642" s="12">
        <f>_xlfn.XLOOKUP(Assumptions!$B$2,Assumptions!$F$4:$H$4,Assumptions!$F$11:$H$11)</f>
        <v>0.3</v>
      </c>
      <c r="O1642" s="14">
        <f>Final_Table[[#This Row],[Units Sold]]*Final_Table[[#This Row],[Sale Price]]</f>
        <v>20400</v>
      </c>
      <c r="P1642" s="14">
        <f>Final_Table[[#This Row],[Gross Revenue]]*(1-Final_Table[[#This Row],[Discount %]])</f>
        <v>18360</v>
      </c>
      <c r="Q1642">
        <f>Final_Table[[#This Row],[Net Revenue]]*Final_Table[[#This Row],[Variable Cost %]]</f>
        <v>3304.7999999999997</v>
      </c>
      <c r="R1642">
        <f>Final_Table[[#This Row],[Variable Cost]]+Final_Table[[#This Row],[Fixed Monthly Cost]]</f>
        <v>21304.799999999999</v>
      </c>
      <c r="S1642" s="5">
        <f>Final_Table[[#This Row],[Net Revenue]]-Final_Table[[#This Row],[Total Cost (COGS)]]</f>
        <v>-2944.7999999999993</v>
      </c>
      <c r="T1642">
        <f>Final_Table[[#This Row],[Gross Profit]]*Final_Table[[#This Row],[Tax Rate]]</f>
        <v>-883.43999999999971</v>
      </c>
      <c r="U1642" s="5">
        <f>Final_Table[[#This Row],[Gross Profit]]-Final_Table[[#This Row],[Tax]]</f>
        <v>-2061.3599999999997</v>
      </c>
      <c r="V1642" s="12">
        <f>Final_Table[[#This Row],[Net Profit]]/Final_Table[[#This Row],[Gross Revenue]]</f>
        <v>-0.10104705882352939</v>
      </c>
    </row>
    <row r="1643" spans="1:22">
      <c r="A1643" s="18" t="s">
        <v>79</v>
      </c>
      <c r="B1643">
        <v>2014</v>
      </c>
      <c r="C1643" t="s">
        <v>131</v>
      </c>
      <c r="D1643">
        <v>1</v>
      </c>
      <c r="E1643" s="18" t="s">
        <v>30</v>
      </c>
      <c r="F1643" s="18" t="s">
        <v>113</v>
      </c>
      <c r="G1643" s="18" t="s">
        <v>23</v>
      </c>
      <c r="H1643" s="18" t="str">
        <f>Assumptions!$B$2</f>
        <v>Worst</v>
      </c>
      <c r="I1643" s="18">
        <f>_xlfn.XLOOKUP(Assumptions!$B$2,Assumptions!$F$4:$H$4,Assumptions!$F$5:$H$5)</f>
        <v>1200</v>
      </c>
      <c r="J1643" s="18">
        <f>_xlfn.XLOOKUP(Assumptions!$B$2,Assumptions!$F$4:$H$4,Assumptions!$F$6:$H$6)</f>
        <v>17</v>
      </c>
      <c r="K1643" s="12">
        <f>_xlfn.XLOOKUP(Assumptions!$B$2,Assumptions!$F$4:$H$4,Assumptions!$F$8:$H$8)</f>
        <v>0.1</v>
      </c>
      <c r="L1643" s="12">
        <f>_xlfn.XLOOKUP(Assumptions!$B$2,Assumptions!$F$4:$H$4,Assumptions!$F$9:$H$9)</f>
        <v>0.18</v>
      </c>
      <c r="M1643" s="18">
        <f>_xlfn.XLOOKUP(Assumptions!$B$2,Assumptions!$F$4:$H$4,Assumptions!$F$10:$H$10)</f>
        <v>18000</v>
      </c>
      <c r="N1643" s="12">
        <f>_xlfn.XLOOKUP(Assumptions!$B$2,Assumptions!$F$4:$H$4,Assumptions!$F$11:$H$11)</f>
        <v>0.3</v>
      </c>
      <c r="O1643" s="14">
        <f>Final_Table[[#This Row],[Units Sold]]*Final_Table[[#This Row],[Sale Price]]</f>
        <v>20400</v>
      </c>
      <c r="P1643" s="14">
        <f>Final_Table[[#This Row],[Gross Revenue]]*(1-Final_Table[[#This Row],[Discount %]])</f>
        <v>18360</v>
      </c>
      <c r="Q1643">
        <f>Final_Table[[#This Row],[Net Revenue]]*Final_Table[[#This Row],[Variable Cost %]]</f>
        <v>3304.7999999999997</v>
      </c>
      <c r="R1643">
        <f>Final_Table[[#This Row],[Variable Cost]]+Final_Table[[#This Row],[Fixed Monthly Cost]]</f>
        <v>21304.799999999999</v>
      </c>
      <c r="S1643" s="5">
        <f>Final_Table[[#This Row],[Net Revenue]]-Final_Table[[#This Row],[Total Cost (COGS)]]</f>
        <v>-2944.7999999999993</v>
      </c>
      <c r="T1643">
        <f>Final_Table[[#This Row],[Gross Profit]]*Final_Table[[#This Row],[Tax Rate]]</f>
        <v>-883.43999999999971</v>
      </c>
      <c r="U1643" s="5">
        <f>Final_Table[[#This Row],[Gross Profit]]-Final_Table[[#This Row],[Tax]]</f>
        <v>-2061.3599999999997</v>
      </c>
      <c r="V1643" s="12">
        <f>Final_Table[[#This Row],[Net Profit]]/Final_Table[[#This Row],[Gross Revenue]]</f>
        <v>-0.10104705882352939</v>
      </c>
    </row>
    <row r="1644" spans="1:22">
      <c r="A1644" s="18" t="s">
        <v>79</v>
      </c>
      <c r="B1644">
        <v>2014</v>
      </c>
      <c r="C1644" t="s">
        <v>131</v>
      </c>
      <c r="D1644">
        <v>1</v>
      </c>
      <c r="E1644" s="18" t="s">
        <v>30</v>
      </c>
      <c r="F1644" s="18" t="s">
        <v>113</v>
      </c>
      <c r="G1644" s="18" t="s">
        <v>21</v>
      </c>
      <c r="H1644" s="18" t="str">
        <f>Assumptions!$B$2</f>
        <v>Worst</v>
      </c>
      <c r="I1644" s="18">
        <f>_xlfn.XLOOKUP(Assumptions!$B$2,Assumptions!$F$4:$H$4,Assumptions!$F$5:$H$5)</f>
        <v>1200</v>
      </c>
      <c r="J1644" s="18">
        <f>_xlfn.XLOOKUP(Assumptions!$B$2,Assumptions!$F$4:$H$4,Assumptions!$F$6:$H$6)</f>
        <v>17</v>
      </c>
      <c r="K1644" s="12">
        <f>_xlfn.XLOOKUP(Assumptions!$B$2,Assumptions!$F$4:$H$4,Assumptions!$F$8:$H$8)</f>
        <v>0.1</v>
      </c>
      <c r="L1644" s="12">
        <f>_xlfn.XLOOKUP(Assumptions!$B$2,Assumptions!$F$4:$H$4,Assumptions!$F$9:$H$9)</f>
        <v>0.18</v>
      </c>
      <c r="M1644" s="18">
        <f>_xlfn.XLOOKUP(Assumptions!$B$2,Assumptions!$F$4:$H$4,Assumptions!$F$10:$H$10)</f>
        <v>18000</v>
      </c>
      <c r="N1644" s="12">
        <f>_xlfn.XLOOKUP(Assumptions!$B$2,Assumptions!$F$4:$H$4,Assumptions!$F$11:$H$11)</f>
        <v>0.3</v>
      </c>
      <c r="O1644" s="14">
        <f>Final_Table[[#This Row],[Units Sold]]*Final_Table[[#This Row],[Sale Price]]</f>
        <v>20400</v>
      </c>
      <c r="P1644" s="14">
        <f>Final_Table[[#This Row],[Gross Revenue]]*(1-Final_Table[[#This Row],[Discount %]])</f>
        <v>18360</v>
      </c>
      <c r="Q1644">
        <f>Final_Table[[#This Row],[Net Revenue]]*Final_Table[[#This Row],[Variable Cost %]]</f>
        <v>3304.7999999999997</v>
      </c>
      <c r="R1644">
        <f>Final_Table[[#This Row],[Variable Cost]]+Final_Table[[#This Row],[Fixed Monthly Cost]]</f>
        <v>21304.799999999999</v>
      </c>
      <c r="S1644" s="5">
        <f>Final_Table[[#This Row],[Net Revenue]]-Final_Table[[#This Row],[Total Cost (COGS)]]</f>
        <v>-2944.7999999999993</v>
      </c>
      <c r="T1644">
        <f>Final_Table[[#This Row],[Gross Profit]]*Final_Table[[#This Row],[Tax Rate]]</f>
        <v>-883.43999999999971</v>
      </c>
      <c r="U1644" s="5">
        <f>Final_Table[[#This Row],[Gross Profit]]-Final_Table[[#This Row],[Tax]]</f>
        <v>-2061.3599999999997</v>
      </c>
      <c r="V1644" s="12">
        <f>Final_Table[[#This Row],[Net Profit]]/Final_Table[[#This Row],[Gross Revenue]]</f>
        <v>-0.10104705882352939</v>
      </c>
    </row>
    <row r="1645" spans="1:22">
      <c r="A1645" s="18" t="s">
        <v>79</v>
      </c>
      <c r="B1645">
        <v>2014</v>
      </c>
      <c r="C1645" t="s">
        <v>131</v>
      </c>
      <c r="D1645">
        <v>1</v>
      </c>
      <c r="E1645" s="18" t="s">
        <v>30</v>
      </c>
      <c r="F1645" s="18" t="s">
        <v>113</v>
      </c>
      <c r="G1645" s="18" t="s">
        <v>25</v>
      </c>
      <c r="H1645" s="18" t="str">
        <f>Assumptions!$B$2</f>
        <v>Worst</v>
      </c>
      <c r="I1645" s="18">
        <f>_xlfn.XLOOKUP(Assumptions!$B$2,Assumptions!$F$4:$H$4,Assumptions!$F$5:$H$5)</f>
        <v>1200</v>
      </c>
      <c r="J1645" s="18">
        <f>_xlfn.XLOOKUP(Assumptions!$B$2,Assumptions!$F$4:$H$4,Assumptions!$F$6:$H$6)</f>
        <v>17</v>
      </c>
      <c r="K1645" s="12">
        <f>_xlfn.XLOOKUP(Assumptions!$B$2,Assumptions!$F$4:$H$4,Assumptions!$F$8:$H$8)</f>
        <v>0.1</v>
      </c>
      <c r="L1645" s="12">
        <f>_xlfn.XLOOKUP(Assumptions!$B$2,Assumptions!$F$4:$H$4,Assumptions!$F$9:$H$9)</f>
        <v>0.18</v>
      </c>
      <c r="M1645" s="18">
        <f>_xlfn.XLOOKUP(Assumptions!$B$2,Assumptions!$F$4:$H$4,Assumptions!$F$10:$H$10)</f>
        <v>18000</v>
      </c>
      <c r="N1645" s="12">
        <f>_xlfn.XLOOKUP(Assumptions!$B$2,Assumptions!$F$4:$H$4,Assumptions!$F$11:$H$11)</f>
        <v>0.3</v>
      </c>
      <c r="O1645" s="14">
        <f>Final_Table[[#This Row],[Units Sold]]*Final_Table[[#This Row],[Sale Price]]</f>
        <v>20400</v>
      </c>
      <c r="P1645" s="14">
        <f>Final_Table[[#This Row],[Gross Revenue]]*(1-Final_Table[[#This Row],[Discount %]])</f>
        <v>18360</v>
      </c>
      <c r="Q1645">
        <f>Final_Table[[#This Row],[Net Revenue]]*Final_Table[[#This Row],[Variable Cost %]]</f>
        <v>3304.7999999999997</v>
      </c>
      <c r="R1645">
        <f>Final_Table[[#This Row],[Variable Cost]]+Final_Table[[#This Row],[Fixed Monthly Cost]]</f>
        <v>21304.799999999999</v>
      </c>
      <c r="S1645" s="5">
        <f>Final_Table[[#This Row],[Net Revenue]]-Final_Table[[#This Row],[Total Cost (COGS)]]</f>
        <v>-2944.7999999999993</v>
      </c>
      <c r="T1645">
        <f>Final_Table[[#This Row],[Gross Profit]]*Final_Table[[#This Row],[Tax Rate]]</f>
        <v>-883.43999999999971</v>
      </c>
      <c r="U1645" s="5">
        <f>Final_Table[[#This Row],[Gross Profit]]-Final_Table[[#This Row],[Tax]]</f>
        <v>-2061.3599999999997</v>
      </c>
      <c r="V1645" s="12">
        <f>Final_Table[[#This Row],[Net Profit]]/Final_Table[[#This Row],[Gross Revenue]]</f>
        <v>-0.10104705882352939</v>
      </c>
    </row>
    <row r="1646" spans="1:22">
      <c r="A1646" s="18" t="s">
        <v>79</v>
      </c>
      <c r="B1646">
        <v>2014</v>
      </c>
      <c r="C1646" t="s">
        <v>131</v>
      </c>
      <c r="D1646">
        <v>1</v>
      </c>
      <c r="E1646" s="18" t="s">
        <v>30</v>
      </c>
      <c r="F1646" s="18" t="s">
        <v>113</v>
      </c>
      <c r="G1646" s="18" t="s">
        <v>17</v>
      </c>
      <c r="H1646" s="18" t="str">
        <f>Assumptions!$B$2</f>
        <v>Worst</v>
      </c>
      <c r="I1646" s="18">
        <f>_xlfn.XLOOKUP(Assumptions!$B$2,Assumptions!$F$4:$H$4,Assumptions!$F$5:$H$5)</f>
        <v>1200</v>
      </c>
      <c r="J1646" s="18">
        <f>_xlfn.XLOOKUP(Assumptions!$B$2,Assumptions!$F$4:$H$4,Assumptions!$F$6:$H$6)</f>
        <v>17</v>
      </c>
      <c r="K1646" s="12">
        <f>_xlfn.XLOOKUP(Assumptions!$B$2,Assumptions!$F$4:$H$4,Assumptions!$F$8:$H$8)</f>
        <v>0.1</v>
      </c>
      <c r="L1646" s="12">
        <f>_xlfn.XLOOKUP(Assumptions!$B$2,Assumptions!$F$4:$H$4,Assumptions!$F$9:$H$9)</f>
        <v>0.18</v>
      </c>
      <c r="M1646" s="18">
        <f>_xlfn.XLOOKUP(Assumptions!$B$2,Assumptions!$F$4:$H$4,Assumptions!$F$10:$H$10)</f>
        <v>18000</v>
      </c>
      <c r="N1646" s="12">
        <f>_xlfn.XLOOKUP(Assumptions!$B$2,Assumptions!$F$4:$H$4,Assumptions!$F$11:$H$11)</f>
        <v>0.3</v>
      </c>
      <c r="O1646" s="14">
        <f>Final_Table[[#This Row],[Units Sold]]*Final_Table[[#This Row],[Sale Price]]</f>
        <v>20400</v>
      </c>
      <c r="P1646" s="14">
        <f>Final_Table[[#This Row],[Gross Revenue]]*(1-Final_Table[[#This Row],[Discount %]])</f>
        <v>18360</v>
      </c>
      <c r="Q1646">
        <f>Final_Table[[#This Row],[Net Revenue]]*Final_Table[[#This Row],[Variable Cost %]]</f>
        <v>3304.7999999999997</v>
      </c>
      <c r="R1646">
        <f>Final_Table[[#This Row],[Variable Cost]]+Final_Table[[#This Row],[Fixed Monthly Cost]]</f>
        <v>21304.799999999999</v>
      </c>
      <c r="S1646" s="5">
        <f>Final_Table[[#This Row],[Net Revenue]]-Final_Table[[#This Row],[Total Cost (COGS)]]</f>
        <v>-2944.7999999999993</v>
      </c>
      <c r="T1646">
        <f>Final_Table[[#This Row],[Gross Profit]]*Final_Table[[#This Row],[Tax Rate]]</f>
        <v>-883.43999999999971</v>
      </c>
      <c r="U1646" s="5">
        <f>Final_Table[[#This Row],[Gross Profit]]-Final_Table[[#This Row],[Tax]]</f>
        <v>-2061.3599999999997</v>
      </c>
      <c r="V1646" s="12">
        <f>Final_Table[[#This Row],[Net Profit]]/Final_Table[[#This Row],[Gross Revenue]]</f>
        <v>-0.10104705882352939</v>
      </c>
    </row>
    <row r="1647" spans="1:22">
      <c r="A1647" s="18" t="s">
        <v>79</v>
      </c>
      <c r="B1647">
        <v>2014</v>
      </c>
      <c r="C1647" t="s">
        <v>131</v>
      </c>
      <c r="D1647">
        <v>1</v>
      </c>
      <c r="E1647" s="18" t="s">
        <v>30</v>
      </c>
      <c r="F1647" s="18" t="s">
        <v>114</v>
      </c>
      <c r="G1647" s="18" t="s">
        <v>36</v>
      </c>
      <c r="H1647" s="18" t="str">
        <f>Assumptions!$B$2</f>
        <v>Worst</v>
      </c>
      <c r="I1647" s="18">
        <f>_xlfn.XLOOKUP(Assumptions!$B$2,Assumptions!$F$4:$H$4,Assumptions!$F$5:$H$5)</f>
        <v>1200</v>
      </c>
      <c r="J1647" s="18">
        <f>_xlfn.XLOOKUP(Assumptions!$B$2,Assumptions!$F$4:$H$4,Assumptions!$F$6:$H$6)</f>
        <v>17</v>
      </c>
      <c r="K1647" s="12">
        <f>_xlfn.XLOOKUP(Assumptions!$B$2,Assumptions!$F$4:$H$4,Assumptions!$F$8:$H$8)</f>
        <v>0.1</v>
      </c>
      <c r="L1647" s="12">
        <f>_xlfn.XLOOKUP(Assumptions!$B$2,Assumptions!$F$4:$H$4,Assumptions!$F$9:$H$9)</f>
        <v>0.18</v>
      </c>
      <c r="M1647" s="18">
        <f>_xlfn.XLOOKUP(Assumptions!$B$2,Assumptions!$F$4:$H$4,Assumptions!$F$10:$H$10)</f>
        <v>18000</v>
      </c>
      <c r="N1647" s="12">
        <f>_xlfn.XLOOKUP(Assumptions!$B$2,Assumptions!$F$4:$H$4,Assumptions!$F$11:$H$11)</f>
        <v>0.3</v>
      </c>
      <c r="O1647" s="14">
        <f>Final_Table[[#This Row],[Units Sold]]*Final_Table[[#This Row],[Sale Price]]</f>
        <v>20400</v>
      </c>
      <c r="P1647" s="14">
        <f>Final_Table[[#This Row],[Gross Revenue]]*(1-Final_Table[[#This Row],[Discount %]])</f>
        <v>18360</v>
      </c>
      <c r="Q1647">
        <f>Final_Table[[#This Row],[Net Revenue]]*Final_Table[[#This Row],[Variable Cost %]]</f>
        <v>3304.7999999999997</v>
      </c>
      <c r="R1647">
        <f>Final_Table[[#This Row],[Variable Cost]]+Final_Table[[#This Row],[Fixed Monthly Cost]]</f>
        <v>21304.799999999999</v>
      </c>
      <c r="S1647" s="5">
        <f>Final_Table[[#This Row],[Net Revenue]]-Final_Table[[#This Row],[Total Cost (COGS)]]</f>
        <v>-2944.7999999999993</v>
      </c>
      <c r="T1647">
        <f>Final_Table[[#This Row],[Gross Profit]]*Final_Table[[#This Row],[Tax Rate]]</f>
        <v>-883.43999999999971</v>
      </c>
      <c r="U1647" s="5">
        <f>Final_Table[[#This Row],[Gross Profit]]-Final_Table[[#This Row],[Tax]]</f>
        <v>-2061.3599999999997</v>
      </c>
      <c r="V1647" s="12">
        <f>Final_Table[[#This Row],[Net Profit]]/Final_Table[[#This Row],[Gross Revenue]]</f>
        <v>-0.10104705882352939</v>
      </c>
    </row>
    <row r="1648" spans="1:22">
      <c r="A1648" s="18" t="s">
        <v>79</v>
      </c>
      <c r="B1648">
        <v>2014</v>
      </c>
      <c r="C1648" t="s">
        <v>131</v>
      </c>
      <c r="D1648">
        <v>1</v>
      </c>
      <c r="E1648" s="18" t="s">
        <v>30</v>
      </c>
      <c r="F1648" s="18" t="s">
        <v>114</v>
      </c>
      <c r="G1648" s="18" t="s">
        <v>23</v>
      </c>
      <c r="H1648" s="18" t="str">
        <f>Assumptions!$B$2</f>
        <v>Worst</v>
      </c>
      <c r="I1648" s="18">
        <f>_xlfn.XLOOKUP(Assumptions!$B$2,Assumptions!$F$4:$H$4,Assumptions!$F$5:$H$5)</f>
        <v>1200</v>
      </c>
      <c r="J1648" s="18">
        <f>_xlfn.XLOOKUP(Assumptions!$B$2,Assumptions!$F$4:$H$4,Assumptions!$F$6:$H$6)</f>
        <v>17</v>
      </c>
      <c r="K1648" s="12">
        <f>_xlfn.XLOOKUP(Assumptions!$B$2,Assumptions!$F$4:$H$4,Assumptions!$F$8:$H$8)</f>
        <v>0.1</v>
      </c>
      <c r="L1648" s="12">
        <f>_xlfn.XLOOKUP(Assumptions!$B$2,Assumptions!$F$4:$H$4,Assumptions!$F$9:$H$9)</f>
        <v>0.18</v>
      </c>
      <c r="M1648" s="18">
        <f>_xlfn.XLOOKUP(Assumptions!$B$2,Assumptions!$F$4:$H$4,Assumptions!$F$10:$H$10)</f>
        <v>18000</v>
      </c>
      <c r="N1648" s="12">
        <f>_xlfn.XLOOKUP(Assumptions!$B$2,Assumptions!$F$4:$H$4,Assumptions!$F$11:$H$11)</f>
        <v>0.3</v>
      </c>
      <c r="O1648" s="14">
        <f>Final_Table[[#This Row],[Units Sold]]*Final_Table[[#This Row],[Sale Price]]</f>
        <v>20400</v>
      </c>
      <c r="P1648" s="14">
        <f>Final_Table[[#This Row],[Gross Revenue]]*(1-Final_Table[[#This Row],[Discount %]])</f>
        <v>18360</v>
      </c>
      <c r="Q1648">
        <f>Final_Table[[#This Row],[Net Revenue]]*Final_Table[[#This Row],[Variable Cost %]]</f>
        <v>3304.7999999999997</v>
      </c>
      <c r="R1648">
        <f>Final_Table[[#This Row],[Variable Cost]]+Final_Table[[#This Row],[Fixed Monthly Cost]]</f>
        <v>21304.799999999999</v>
      </c>
      <c r="S1648" s="5">
        <f>Final_Table[[#This Row],[Net Revenue]]-Final_Table[[#This Row],[Total Cost (COGS)]]</f>
        <v>-2944.7999999999993</v>
      </c>
      <c r="T1648">
        <f>Final_Table[[#This Row],[Gross Profit]]*Final_Table[[#This Row],[Tax Rate]]</f>
        <v>-883.43999999999971</v>
      </c>
      <c r="U1648" s="5">
        <f>Final_Table[[#This Row],[Gross Profit]]-Final_Table[[#This Row],[Tax]]</f>
        <v>-2061.3599999999997</v>
      </c>
      <c r="V1648" s="12">
        <f>Final_Table[[#This Row],[Net Profit]]/Final_Table[[#This Row],[Gross Revenue]]</f>
        <v>-0.10104705882352939</v>
      </c>
    </row>
    <row r="1649" spans="1:22">
      <c r="A1649" s="18" t="s">
        <v>79</v>
      </c>
      <c r="B1649">
        <v>2014</v>
      </c>
      <c r="C1649" t="s">
        <v>131</v>
      </c>
      <c r="D1649">
        <v>1</v>
      </c>
      <c r="E1649" s="18" t="s">
        <v>30</v>
      </c>
      <c r="F1649" s="18" t="s">
        <v>114</v>
      </c>
      <c r="G1649" s="18" t="s">
        <v>21</v>
      </c>
      <c r="H1649" s="18" t="str">
        <f>Assumptions!$B$2</f>
        <v>Worst</v>
      </c>
      <c r="I1649" s="18">
        <f>_xlfn.XLOOKUP(Assumptions!$B$2,Assumptions!$F$4:$H$4,Assumptions!$F$5:$H$5)</f>
        <v>1200</v>
      </c>
      <c r="J1649" s="18">
        <f>_xlfn.XLOOKUP(Assumptions!$B$2,Assumptions!$F$4:$H$4,Assumptions!$F$6:$H$6)</f>
        <v>17</v>
      </c>
      <c r="K1649" s="12">
        <f>_xlfn.XLOOKUP(Assumptions!$B$2,Assumptions!$F$4:$H$4,Assumptions!$F$8:$H$8)</f>
        <v>0.1</v>
      </c>
      <c r="L1649" s="12">
        <f>_xlfn.XLOOKUP(Assumptions!$B$2,Assumptions!$F$4:$H$4,Assumptions!$F$9:$H$9)</f>
        <v>0.18</v>
      </c>
      <c r="M1649" s="18">
        <f>_xlfn.XLOOKUP(Assumptions!$B$2,Assumptions!$F$4:$H$4,Assumptions!$F$10:$H$10)</f>
        <v>18000</v>
      </c>
      <c r="N1649" s="12">
        <f>_xlfn.XLOOKUP(Assumptions!$B$2,Assumptions!$F$4:$H$4,Assumptions!$F$11:$H$11)</f>
        <v>0.3</v>
      </c>
      <c r="O1649" s="14">
        <f>Final_Table[[#This Row],[Units Sold]]*Final_Table[[#This Row],[Sale Price]]</f>
        <v>20400</v>
      </c>
      <c r="P1649" s="14">
        <f>Final_Table[[#This Row],[Gross Revenue]]*(1-Final_Table[[#This Row],[Discount %]])</f>
        <v>18360</v>
      </c>
      <c r="Q1649">
        <f>Final_Table[[#This Row],[Net Revenue]]*Final_Table[[#This Row],[Variable Cost %]]</f>
        <v>3304.7999999999997</v>
      </c>
      <c r="R1649">
        <f>Final_Table[[#This Row],[Variable Cost]]+Final_Table[[#This Row],[Fixed Monthly Cost]]</f>
        <v>21304.799999999999</v>
      </c>
      <c r="S1649" s="5">
        <f>Final_Table[[#This Row],[Net Revenue]]-Final_Table[[#This Row],[Total Cost (COGS)]]</f>
        <v>-2944.7999999999993</v>
      </c>
      <c r="T1649">
        <f>Final_Table[[#This Row],[Gross Profit]]*Final_Table[[#This Row],[Tax Rate]]</f>
        <v>-883.43999999999971</v>
      </c>
      <c r="U1649" s="5">
        <f>Final_Table[[#This Row],[Gross Profit]]-Final_Table[[#This Row],[Tax]]</f>
        <v>-2061.3599999999997</v>
      </c>
      <c r="V1649" s="12">
        <f>Final_Table[[#This Row],[Net Profit]]/Final_Table[[#This Row],[Gross Revenue]]</f>
        <v>-0.10104705882352939</v>
      </c>
    </row>
    <row r="1650" spans="1:22">
      <c r="A1650" s="18" t="s">
        <v>79</v>
      </c>
      <c r="B1650">
        <v>2014</v>
      </c>
      <c r="C1650" t="s">
        <v>131</v>
      </c>
      <c r="D1650">
        <v>1</v>
      </c>
      <c r="E1650" s="18" t="s">
        <v>30</v>
      </c>
      <c r="F1650" s="18" t="s">
        <v>114</v>
      </c>
      <c r="G1650" s="18" t="s">
        <v>25</v>
      </c>
      <c r="H1650" s="18" t="str">
        <f>Assumptions!$B$2</f>
        <v>Worst</v>
      </c>
      <c r="I1650" s="18">
        <f>_xlfn.XLOOKUP(Assumptions!$B$2,Assumptions!$F$4:$H$4,Assumptions!$F$5:$H$5)</f>
        <v>1200</v>
      </c>
      <c r="J1650" s="18">
        <f>_xlfn.XLOOKUP(Assumptions!$B$2,Assumptions!$F$4:$H$4,Assumptions!$F$6:$H$6)</f>
        <v>17</v>
      </c>
      <c r="K1650" s="12">
        <f>_xlfn.XLOOKUP(Assumptions!$B$2,Assumptions!$F$4:$H$4,Assumptions!$F$8:$H$8)</f>
        <v>0.1</v>
      </c>
      <c r="L1650" s="12">
        <f>_xlfn.XLOOKUP(Assumptions!$B$2,Assumptions!$F$4:$H$4,Assumptions!$F$9:$H$9)</f>
        <v>0.18</v>
      </c>
      <c r="M1650" s="18">
        <f>_xlfn.XLOOKUP(Assumptions!$B$2,Assumptions!$F$4:$H$4,Assumptions!$F$10:$H$10)</f>
        <v>18000</v>
      </c>
      <c r="N1650" s="12">
        <f>_xlfn.XLOOKUP(Assumptions!$B$2,Assumptions!$F$4:$H$4,Assumptions!$F$11:$H$11)</f>
        <v>0.3</v>
      </c>
      <c r="O1650" s="14">
        <f>Final_Table[[#This Row],[Units Sold]]*Final_Table[[#This Row],[Sale Price]]</f>
        <v>20400</v>
      </c>
      <c r="P1650" s="14">
        <f>Final_Table[[#This Row],[Gross Revenue]]*(1-Final_Table[[#This Row],[Discount %]])</f>
        <v>18360</v>
      </c>
      <c r="Q1650">
        <f>Final_Table[[#This Row],[Net Revenue]]*Final_Table[[#This Row],[Variable Cost %]]</f>
        <v>3304.7999999999997</v>
      </c>
      <c r="R1650">
        <f>Final_Table[[#This Row],[Variable Cost]]+Final_Table[[#This Row],[Fixed Monthly Cost]]</f>
        <v>21304.799999999999</v>
      </c>
      <c r="S1650" s="5">
        <f>Final_Table[[#This Row],[Net Revenue]]-Final_Table[[#This Row],[Total Cost (COGS)]]</f>
        <v>-2944.7999999999993</v>
      </c>
      <c r="T1650">
        <f>Final_Table[[#This Row],[Gross Profit]]*Final_Table[[#This Row],[Tax Rate]]</f>
        <v>-883.43999999999971</v>
      </c>
      <c r="U1650" s="5">
        <f>Final_Table[[#This Row],[Gross Profit]]-Final_Table[[#This Row],[Tax]]</f>
        <v>-2061.3599999999997</v>
      </c>
      <c r="V1650" s="12">
        <f>Final_Table[[#This Row],[Net Profit]]/Final_Table[[#This Row],[Gross Revenue]]</f>
        <v>-0.10104705882352939</v>
      </c>
    </row>
    <row r="1651" spans="1:22">
      <c r="A1651" s="18" t="s">
        <v>79</v>
      </c>
      <c r="B1651">
        <v>2014</v>
      </c>
      <c r="C1651" t="s">
        <v>131</v>
      </c>
      <c r="D1651">
        <v>1</v>
      </c>
      <c r="E1651" s="18" t="s">
        <v>30</v>
      </c>
      <c r="F1651" s="18" t="s">
        <v>114</v>
      </c>
      <c r="G1651" s="18" t="s">
        <v>17</v>
      </c>
      <c r="H1651" s="18" t="str">
        <f>Assumptions!$B$2</f>
        <v>Worst</v>
      </c>
      <c r="I1651" s="18">
        <f>_xlfn.XLOOKUP(Assumptions!$B$2,Assumptions!$F$4:$H$4,Assumptions!$F$5:$H$5)</f>
        <v>1200</v>
      </c>
      <c r="J1651" s="18">
        <f>_xlfn.XLOOKUP(Assumptions!$B$2,Assumptions!$F$4:$H$4,Assumptions!$F$6:$H$6)</f>
        <v>17</v>
      </c>
      <c r="K1651" s="12">
        <f>_xlfn.XLOOKUP(Assumptions!$B$2,Assumptions!$F$4:$H$4,Assumptions!$F$8:$H$8)</f>
        <v>0.1</v>
      </c>
      <c r="L1651" s="12">
        <f>_xlfn.XLOOKUP(Assumptions!$B$2,Assumptions!$F$4:$H$4,Assumptions!$F$9:$H$9)</f>
        <v>0.18</v>
      </c>
      <c r="M1651" s="18">
        <f>_xlfn.XLOOKUP(Assumptions!$B$2,Assumptions!$F$4:$H$4,Assumptions!$F$10:$H$10)</f>
        <v>18000</v>
      </c>
      <c r="N1651" s="12">
        <f>_xlfn.XLOOKUP(Assumptions!$B$2,Assumptions!$F$4:$H$4,Assumptions!$F$11:$H$11)</f>
        <v>0.3</v>
      </c>
      <c r="O1651" s="14">
        <f>Final_Table[[#This Row],[Units Sold]]*Final_Table[[#This Row],[Sale Price]]</f>
        <v>20400</v>
      </c>
      <c r="P1651" s="14">
        <f>Final_Table[[#This Row],[Gross Revenue]]*(1-Final_Table[[#This Row],[Discount %]])</f>
        <v>18360</v>
      </c>
      <c r="Q1651">
        <f>Final_Table[[#This Row],[Net Revenue]]*Final_Table[[#This Row],[Variable Cost %]]</f>
        <v>3304.7999999999997</v>
      </c>
      <c r="R1651">
        <f>Final_Table[[#This Row],[Variable Cost]]+Final_Table[[#This Row],[Fixed Monthly Cost]]</f>
        <v>21304.799999999999</v>
      </c>
      <c r="S1651" s="5">
        <f>Final_Table[[#This Row],[Net Revenue]]-Final_Table[[#This Row],[Total Cost (COGS)]]</f>
        <v>-2944.7999999999993</v>
      </c>
      <c r="T1651">
        <f>Final_Table[[#This Row],[Gross Profit]]*Final_Table[[#This Row],[Tax Rate]]</f>
        <v>-883.43999999999971</v>
      </c>
      <c r="U1651" s="5">
        <f>Final_Table[[#This Row],[Gross Profit]]-Final_Table[[#This Row],[Tax]]</f>
        <v>-2061.3599999999997</v>
      </c>
      <c r="V1651" s="12">
        <f>Final_Table[[#This Row],[Net Profit]]/Final_Table[[#This Row],[Gross Revenue]]</f>
        <v>-0.10104705882352939</v>
      </c>
    </row>
    <row r="1652" spans="1:22">
      <c r="A1652" s="18" t="s">
        <v>79</v>
      </c>
      <c r="B1652">
        <v>2014</v>
      </c>
      <c r="C1652" t="s">
        <v>131</v>
      </c>
      <c r="D1652">
        <v>1</v>
      </c>
      <c r="E1652" s="18" t="s">
        <v>29</v>
      </c>
      <c r="F1652" s="18" t="s">
        <v>80</v>
      </c>
      <c r="G1652" s="18" t="s">
        <v>36</v>
      </c>
      <c r="H1652" s="18" t="str">
        <f>Assumptions!$B$2</f>
        <v>Worst</v>
      </c>
      <c r="I1652" s="18">
        <f>_xlfn.XLOOKUP(Assumptions!$B$2,Assumptions!$F$4:$H$4,Assumptions!$F$5:$H$5)</f>
        <v>1200</v>
      </c>
      <c r="J1652" s="18">
        <f>_xlfn.XLOOKUP(Assumptions!$B$2,Assumptions!$F$4:$H$4,Assumptions!$F$6:$H$6)</f>
        <v>17</v>
      </c>
      <c r="K1652" s="12">
        <f>_xlfn.XLOOKUP(Assumptions!$B$2,Assumptions!$F$4:$H$4,Assumptions!$F$8:$H$8)</f>
        <v>0.1</v>
      </c>
      <c r="L1652" s="12">
        <f>_xlfn.XLOOKUP(Assumptions!$B$2,Assumptions!$F$4:$H$4,Assumptions!$F$9:$H$9)</f>
        <v>0.18</v>
      </c>
      <c r="M1652" s="18">
        <f>_xlfn.XLOOKUP(Assumptions!$B$2,Assumptions!$F$4:$H$4,Assumptions!$F$10:$H$10)</f>
        <v>18000</v>
      </c>
      <c r="N1652" s="12">
        <f>_xlfn.XLOOKUP(Assumptions!$B$2,Assumptions!$F$4:$H$4,Assumptions!$F$11:$H$11)</f>
        <v>0.3</v>
      </c>
      <c r="O1652" s="14">
        <f>Final_Table[[#This Row],[Units Sold]]*Final_Table[[#This Row],[Sale Price]]</f>
        <v>20400</v>
      </c>
      <c r="P1652" s="14">
        <f>Final_Table[[#This Row],[Gross Revenue]]*(1-Final_Table[[#This Row],[Discount %]])</f>
        <v>18360</v>
      </c>
      <c r="Q1652">
        <f>Final_Table[[#This Row],[Net Revenue]]*Final_Table[[#This Row],[Variable Cost %]]</f>
        <v>3304.7999999999997</v>
      </c>
      <c r="R1652">
        <f>Final_Table[[#This Row],[Variable Cost]]+Final_Table[[#This Row],[Fixed Monthly Cost]]</f>
        <v>21304.799999999999</v>
      </c>
      <c r="S1652" s="5">
        <f>Final_Table[[#This Row],[Net Revenue]]-Final_Table[[#This Row],[Total Cost (COGS)]]</f>
        <v>-2944.7999999999993</v>
      </c>
      <c r="T1652">
        <f>Final_Table[[#This Row],[Gross Profit]]*Final_Table[[#This Row],[Tax Rate]]</f>
        <v>-883.43999999999971</v>
      </c>
      <c r="U1652" s="5">
        <f>Final_Table[[#This Row],[Gross Profit]]-Final_Table[[#This Row],[Tax]]</f>
        <v>-2061.3599999999997</v>
      </c>
      <c r="V1652" s="12">
        <f>Final_Table[[#This Row],[Net Profit]]/Final_Table[[#This Row],[Gross Revenue]]</f>
        <v>-0.10104705882352939</v>
      </c>
    </row>
    <row r="1653" spans="1:22">
      <c r="A1653" s="18" t="s">
        <v>79</v>
      </c>
      <c r="B1653">
        <v>2014</v>
      </c>
      <c r="C1653" t="s">
        <v>131</v>
      </c>
      <c r="D1653">
        <v>1</v>
      </c>
      <c r="E1653" s="18" t="s">
        <v>29</v>
      </c>
      <c r="F1653" s="18" t="s">
        <v>80</v>
      </c>
      <c r="G1653" s="18" t="s">
        <v>23</v>
      </c>
      <c r="H1653" s="18" t="str">
        <f>Assumptions!$B$2</f>
        <v>Worst</v>
      </c>
      <c r="I1653" s="18">
        <f>_xlfn.XLOOKUP(Assumptions!$B$2,Assumptions!$F$4:$H$4,Assumptions!$F$5:$H$5)</f>
        <v>1200</v>
      </c>
      <c r="J1653" s="18">
        <f>_xlfn.XLOOKUP(Assumptions!$B$2,Assumptions!$F$4:$H$4,Assumptions!$F$6:$H$6)</f>
        <v>17</v>
      </c>
      <c r="K1653" s="12">
        <f>_xlfn.XLOOKUP(Assumptions!$B$2,Assumptions!$F$4:$H$4,Assumptions!$F$8:$H$8)</f>
        <v>0.1</v>
      </c>
      <c r="L1653" s="12">
        <f>_xlfn.XLOOKUP(Assumptions!$B$2,Assumptions!$F$4:$H$4,Assumptions!$F$9:$H$9)</f>
        <v>0.18</v>
      </c>
      <c r="M1653" s="18">
        <f>_xlfn.XLOOKUP(Assumptions!$B$2,Assumptions!$F$4:$H$4,Assumptions!$F$10:$H$10)</f>
        <v>18000</v>
      </c>
      <c r="N1653" s="12">
        <f>_xlfn.XLOOKUP(Assumptions!$B$2,Assumptions!$F$4:$H$4,Assumptions!$F$11:$H$11)</f>
        <v>0.3</v>
      </c>
      <c r="O1653" s="14">
        <f>Final_Table[[#This Row],[Units Sold]]*Final_Table[[#This Row],[Sale Price]]</f>
        <v>20400</v>
      </c>
      <c r="P1653" s="14">
        <f>Final_Table[[#This Row],[Gross Revenue]]*(1-Final_Table[[#This Row],[Discount %]])</f>
        <v>18360</v>
      </c>
      <c r="Q1653">
        <f>Final_Table[[#This Row],[Net Revenue]]*Final_Table[[#This Row],[Variable Cost %]]</f>
        <v>3304.7999999999997</v>
      </c>
      <c r="R1653">
        <f>Final_Table[[#This Row],[Variable Cost]]+Final_Table[[#This Row],[Fixed Monthly Cost]]</f>
        <v>21304.799999999999</v>
      </c>
      <c r="S1653" s="5">
        <f>Final_Table[[#This Row],[Net Revenue]]-Final_Table[[#This Row],[Total Cost (COGS)]]</f>
        <v>-2944.7999999999993</v>
      </c>
      <c r="T1653">
        <f>Final_Table[[#This Row],[Gross Profit]]*Final_Table[[#This Row],[Tax Rate]]</f>
        <v>-883.43999999999971</v>
      </c>
      <c r="U1653" s="5">
        <f>Final_Table[[#This Row],[Gross Profit]]-Final_Table[[#This Row],[Tax]]</f>
        <v>-2061.3599999999997</v>
      </c>
      <c r="V1653" s="12">
        <f>Final_Table[[#This Row],[Net Profit]]/Final_Table[[#This Row],[Gross Revenue]]</f>
        <v>-0.10104705882352939</v>
      </c>
    </row>
    <row r="1654" spans="1:22">
      <c r="A1654" s="18" t="s">
        <v>79</v>
      </c>
      <c r="B1654">
        <v>2014</v>
      </c>
      <c r="C1654" t="s">
        <v>131</v>
      </c>
      <c r="D1654">
        <v>1</v>
      </c>
      <c r="E1654" s="18" t="s">
        <v>29</v>
      </c>
      <c r="F1654" s="18" t="s">
        <v>80</v>
      </c>
      <c r="G1654" s="18" t="s">
        <v>21</v>
      </c>
      <c r="H1654" s="18" t="str">
        <f>Assumptions!$B$2</f>
        <v>Worst</v>
      </c>
      <c r="I1654" s="18">
        <f>_xlfn.XLOOKUP(Assumptions!$B$2,Assumptions!$F$4:$H$4,Assumptions!$F$5:$H$5)</f>
        <v>1200</v>
      </c>
      <c r="J1654" s="18">
        <f>_xlfn.XLOOKUP(Assumptions!$B$2,Assumptions!$F$4:$H$4,Assumptions!$F$6:$H$6)</f>
        <v>17</v>
      </c>
      <c r="K1654" s="12">
        <f>_xlfn.XLOOKUP(Assumptions!$B$2,Assumptions!$F$4:$H$4,Assumptions!$F$8:$H$8)</f>
        <v>0.1</v>
      </c>
      <c r="L1654" s="12">
        <f>_xlfn.XLOOKUP(Assumptions!$B$2,Assumptions!$F$4:$H$4,Assumptions!$F$9:$H$9)</f>
        <v>0.18</v>
      </c>
      <c r="M1654" s="18">
        <f>_xlfn.XLOOKUP(Assumptions!$B$2,Assumptions!$F$4:$H$4,Assumptions!$F$10:$H$10)</f>
        <v>18000</v>
      </c>
      <c r="N1654" s="12">
        <f>_xlfn.XLOOKUP(Assumptions!$B$2,Assumptions!$F$4:$H$4,Assumptions!$F$11:$H$11)</f>
        <v>0.3</v>
      </c>
      <c r="O1654" s="14">
        <f>Final_Table[[#This Row],[Units Sold]]*Final_Table[[#This Row],[Sale Price]]</f>
        <v>20400</v>
      </c>
      <c r="P1654" s="14">
        <f>Final_Table[[#This Row],[Gross Revenue]]*(1-Final_Table[[#This Row],[Discount %]])</f>
        <v>18360</v>
      </c>
      <c r="Q1654">
        <f>Final_Table[[#This Row],[Net Revenue]]*Final_Table[[#This Row],[Variable Cost %]]</f>
        <v>3304.7999999999997</v>
      </c>
      <c r="R1654">
        <f>Final_Table[[#This Row],[Variable Cost]]+Final_Table[[#This Row],[Fixed Monthly Cost]]</f>
        <v>21304.799999999999</v>
      </c>
      <c r="S1654" s="5">
        <f>Final_Table[[#This Row],[Net Revenue]]-Final_Table[[#This Row],[Total Cost (COGS)]]</f>
        <v>-2944.7999999999993</v>
      </c>
      <c r="T1654">
        <f>Final_Table[[#This Row],[Gross Profit]]*Final_Table[[#This Row],[Tax Rate]]</f>
        <v>-883.43999999999971</v>
      </c>
      <c r="U1654" s="5">
        <f>Final_Table[[#This Row],[Gross Profit]]-Final_Table[[#This Row],[Tax]]</f>
        <v>-2061.3599999999997</v>
      </c>
      <c r="V1654" s="12">
        <f>Final_Table[[#This Row],[Net Profit]]/Final_Table[[#This Row],[Gross Revenue]]</f>
        <v>-0.10104705882352939</v>
      </c>
    </row>
    <row r="1655" spans="1:22">
      <c r="A1655" s="18" t="s">
        <v>79</v>
      </c>
      <c r="B1655">
        <v>2014</v>
      </c>
      <c r="C1655" t="s">
        <v>131</v>
      </c>
      <c r="D1655">
        <v>1</v>
      </c>
      <c r="E1655" s="18" t="s">
        <v>29</v>
      </c>
      <c r="F1655" s="18" t="s">
        <v>80</v>
      </c>
      <c r="G1655" s="18" t="s">
        <v>25</v>
      </c>
      <c r="H1655" s="18" t="str">
        <f>Assumptions!$B$2</f>
        <v>Worst</v>
      </c>
      <c r="I1655" s="18">
        <f>_xlfn.XLOOKUP(Assumptions!$B$2,Assumptions!$F$4:$H$4,Assumptions!$F$5:$H$5)</f>
        <v>1200</v>
      </c>
      <c r="J1655" s="18">
        <f>_xlfn.XLOOKUP(Assumptions!$B$2,Assumptions!$F$4:$H$4,Assumptions!$F$6:$H$6)</f>
        <v>17</v>
      </c>
      <c r="K1655" s="12">
        <f>_xlfn.XLOOKUP(Assumptions!$B$2,Assumptions!$F$4:$H$4,Assumptions!$F$8:$H$8)</f>
        <v>0.1</v>
      </c>
      <c r="L1655" s="12">
        <f>_xlfn.XLOOKUP(Assumptions!$B$2,Assumptions!$F$4:$H$4,Assumptions!$F$9:$H$9)</f>
        <v>0.18</v>
      </c>
      <c r="M1655" s="18">
        <f>_xlfn.XLOOKUP(Assumptions!$B$2,Assumptions!$F$4:$H$4,Assumptions!$F$10:$H$10)</f>
        <v>18000</v>
      </c>
      <c r="N1655" s="12">
        <f>_xlfn.XLOOKUP(Assumptions!$B$2,Assumptions!$F$4:$H$4,Assumptions!$F$11:$H$11)</f>
        <v>0.3</v>
      </c>
      <c r="O1655" s="14">
        <f>Final_Table[[#This Row],[Units Sold]]*Final_Table[[#This Row],[Sale Price]]</f>
        <v>20400</v>
      </c>
      <c r="P1655" s="14">
        <f>Final_Table[[#This Row],[Gross Revenue]]*(1-Final_Table[[#This Row],[Discount %]])</f>
        <v>18360</v>
      </c>
      <c r="Q1655">
        <f>Final_Table[[#This Row],[Net Revenue]]*Final_Table[[#This Row],[Variable Cost %]]</f>
        <v>3304.7999999999997</v>
      </c>
      <c r="R1655">
        <f>Final_Table[[#This Row],[Variable Cost]]+Final_Table[[#This Row],[Fixed Monthly Cost]]</f>
        <v>21304.799999999999</v>
      </c>
      <c r="S1655" s="5">
        <f>Final_Table[[#This Row],[Net Revenue]]-Final_Table[[#This Row],[Total Cost (COGS)]]</f>
        <v>-2944.7999999999993</v>
      </c>
      <c r="T1655">
        <f>Final_Table[[#This Row],[Gross Profit]]*Final_Table[[#This Row],[Tax Rate]]</f>
        <v>-883.43999999999971</v>
      </c>
      <c r="U1655" s="5">
        <f>Final_Table[[#This Row],[Gross Profit]]-Final_Table[[#This Row],[Tax]]</f>
        <v>-2061.3599999999997</v>
      </c>
      <c r="V1655" s="12">
        <f>Final_Table[[#This Row],[Net Profit]]/Final_Table[[#This Row],[Gross Revenue]]</f>
        <v>-0.10104705882352939</v>
      </c>
    </row>
    <row r="1656" spans="1:22">
      <c r="A1656" s="18" t="s">
        <v>79</v>
      </c>
      <c r="B1656">
        <v>2014</v>
      </c>
      <c r="C1656" t="s">
        <v>131</v>
      </c>
      <c r="D1656">
        <v>1</v>
      </c>
      <c r="E1656" s="18" t="s">
        <v>29</v>
      </c>
      <c r="F1656" s="18" t="s">
        <v>80</v>
      </c>
      <c r="G1656" s="18" t="s">
        <v>17</v>
      </c>
      <c r="H1656" s="18" t="str">
        <f>Assumptions!$B$2</f>
        <v>Worst</v>
      </c>
      <c r="I1656" s="18">
        <f>_xlfn.XLOOKUP(Assumptions!$B$2,Assumptions!$F$4:$H$4,Assumptions!$F$5:$H$5)</f>
        <v>1200</v>
      </c>
      <c r="J1656" s="18">
        <f>_xlfn.XLOOKUP(Assumptions!$B$2,Assumptions!$F$4:$H$4,Assumptions!$F$6:$H$6)</f>
        <v>17</v>
      </c>
      <c r="K1656" s="12">
        <f>_xlfn.XLOOKUP(Assumptions!$B$2,Assumptions!$F$4:$H$4,Assumptions!$F$8:$H$8)</f>
        <v>0.1</v>
      </c>
      <c r="L1656" s="12">
        <f>_xlfn.XLOOKUP(Assumptions!$B$2,Assumptions!$F$4:$H$4,Assumptions!$F$9:$H$9)</f>
        <v>0.18</v>
      </c>
      <c r="M1656" s="18">
        <f>_xlfn.XLOOKUP(Assumptions!$B$2,Assumptions!$F$4:$H$4,Assumptions!$F$10:$H$10)</f>
        <v>18000</v>
      </c>
      <c r="N1656" s="12">
        <f>_xlfn.XLOOKUP(Assumptions!$B$2,Assumptions!$F$4:$H$4,Assumptions!$F$11:$H$11)</f>
        <v>0.3</v>
      </c>
      <c r="O1656" s="14">
        <f>Final_Table[[#This Row],[Units Sold]]*Final_Table[[#This Row],[Sale Price]]</f>
        <v>20400</v>
      </c>
      <c r="P1656" s="14">
        <f>Final_Table[[#This Row],[Gross Revenue]]*(1-Final_Table[[#This Row],[Discount %]])</f>
        <v>18360</v>
      </c>
      <c r="Q1656">
        <f>Final_Table[[#This Row],[Net Revenue]]*Final_Table[[#This Row],[Variable Cost %]]</f>
        <v>3304.7999999999997</v>
      </c>
      <c r="R1656">
        <f>Final_Table[[#This Row],[Variable Cost]]+Final_Table[[#This Row],[Fixed Monthly Cost]]</f>
        <v>21304.799999999999</v>
      </c>
      <c r="S1656" s="5">
        <f>Final_Table[[#This Row],[Net Revenue]]-Final_Table[[#This Row],[Total Cost (COGS)]]</f>
        <v>-2944.7999999999993</v>
      </c>
      <c r="T1656">
        <f>Final_Table[[#This Row],[Gross Profit]]*Final_Table[[#This Row],[Tax Rate]]</f>
        <v>-883.43999999999971</v>
      </c>
      <c r="U1656" s="5">
        <f>Final_Table[[#This Row],[Gross Profit]]-Final_Table[[#This Row],[Tax]]</f>
        <v>-2061.3599999999997</v>
      </c>
      <c r="V1656" s="12">
        <f>Final_Table[[#This Row],[Net Profit]]/Final_Table[[#This Row],[Gross Revenue]]</f>
        <v>-0.10104705882352939</v>
      </c>
    </row>
    <row r="1657" spans="1:22">
      <c r="A1657" s="18" t="s">
        <v>79</v>
      </c>
      <c r="B1657">
        <v>2014</v>
      </c>
      <c r="C1657" t="s">
        <v>131</v>
      </c>
      <c r="D1657">
        <v>1</v>
      </c>
      <c r="E1657" s="18" t="s">
        <v>29</v>
      </c>
      <c r="F1657" s="18" t="s">
        <v>108</v>
      </c>
      <c r="G1657" s="18" t="s">
        <v>36</v>
      </c>
      <c r="H1657" s="18" t="str">
        <f>Assumptions!$B$2</f>
        <v>Worst</v>
      </c>
      <c r="I1657" s="18">
        <f>_xlfn.XLOOKUP(Assumptions!$B$2,Assumptions!$F$4:$H$4,Assumptions!$F$5:$H$5)</f>
        <v>1200</v>
      </c>
      <c r="J1657" s="18">
        <f>_xlfn.XLOOKUP(Assumptions!$B$2,Assumptions!$F$4:$H$4,Assumptions!$F$6:$H$6)</f>
        <v>17</v>
      </c>
      <c r="K1657" s="12">
        <f>_xlfn.XLOOKUP(Assumptions!$B$2,Assumptions!$F$4:$H$4,Assumptions!$F$8:$H$8)</f>
        <v>0.1</v>
      </c>
      <c r="L1657" s="12">
        <f>_xlfn.XLOOKUP(Assumptions!$B$2,Assumptions!$F$4:$H$4,Assumptions!$F$9:$H$9)</f>
        <v>0.18</v>
      </c>
      <c r="M1657" s="18">
        <f>_xlfn.XLOOKUP(Assumptions!$B$2,Assumptions!$F$4:$H$4,Assumptions!$F$10:$H$10)</f>
        <v>18000</v>
      </c>
      <c r="N1657" s="12">
        <f>_xlfn.XLOOKUP(Assumptions!$B$2,Assumptions!$F$4:$H$4,Assumptions!$F$11:$H$11)</f>
        <v>0.3</v>
      </c>
      <c r="O1657" s="14">
        <f>Final_Table[[#This Row],[Units Sold]]*Final_Table[[#This Row],[Sale Price]]</f>
        <v>20400</v>
      </c>
      <c r="P1657" s="14">
        <f>Final_Table[[#This Row],[Gross Revenue]]*(1-Final_Table[[#This Row],[Discount %]])</f>
        <v>18360</v>
      </c>
      <c r="Q1657">
        <f>Final_Table[[#This Row],[Net Revenue]]*Final_Table[[#This Row],[Variable Cost %]]</f>
        <v>3304.7999999999997</v>
      </c>
      <c r="R1657">
        <f>Final_Table[[#This Row],[Variable Cost]]+Final_Table[[#This Row],[Fixed Monthly Cost]]</f>
        <v>21304.799999999999</v>
      </c>
      <c r="S1657" s="5">
        <f>Final_Table[[#This Row],[Net Revenue]]-Final_Table[[#This Row],[Total Cost (COGS)]]</f>
        <v>-2944.7999999999993</v>
      </c>
      <c r="T1657">
        <f>Final_Table[[#This Row],[Gross Profit]]*Final_Table[[#This Row],[Tax Rate]]</f>
        <v>-883.43999999999971</v>
      </c>
      <c r="U1657" s="5">
        <f>Final_Table[[#This Row],[Gross Profit]]-Final_Table[[#This Row],[Tax]]</f>
        <v>-2061.3599999999997</v>
      </c>
      <c r="V1657" s="12">
        <f>Final_Table[[#This Row],[Net Profit]]/Final_Table[[#This Row],[Gross Revenue]]</f>
        <v>-0.10104705882352939</v>
      </c>
    </row>
    <row r="1658" spans="1:22">
      <c r="A1658" s="18" t="s">
        <v>79</v>
      </c>
      <c r="B1658">
        <v>2014</v>
      </c>
      <c r="C1658" t="s">
        <v>131</v>
      </c>
      <c r="D1658">
        <v>1</v>
      </c>
      <c r="E1658" s="18" t="s">
        <v>29</v>
      </c>
      <c r="F1658" s="18" t="s">
        <v>108</v>
      </c>
      <c r="G1658" s="18" t="s">
        <v>23</v>
      </c>
      <c r="H1658" s="18" t="str">
        <f>Assumptions!$B$2</f>
        <v>Worst</v>
      </c>
      <c r="I1658" s="18">
        <f>_xlfn.XLOOKUP(Assumptions!$B$2,Assumptions!$F$4:$H$4,Assumptions!$F$5:$H$5)</f>
        <v>1200</v>
      </c>
      <c r="J1658" s="18">
        <f>_xlfn.XLOOKUP(Assumptions!$B$2,Assumptions!$F$4:$H$4,Assumptions!$F$6:$H$6)</f>
        <v>17</v>
      </c>
      <c r="K1658" s="12">
        <f>_xlfn.XLOOKUP(Assumptions!$B$2,Assumptions!$F$4:$H$4,Assumptions!$F$8:$H$8)</f>
        <v>0.1</v>
      </c>
      <c r="L1658" s="12">
        <f>_xlfn.XLOOKUP(Assumptions!$B$2,Assumptions!$F$4:$H$4,Assumptions!$F$9:$H$9)</f>
        <v>0.18</v>
      </c>
      <c r="M1658" s="18">
        <f>_xlfn.XLOOKUP(Assumptions!$B$2,Assumptions!$F$4:$H$4,Assumptions!$F$10:$H$10)</f>
        <v>18000</v>
      </c>
      <c r="N1658" s="12">
        <f>_xlfn.XLOOKUP(Assumptions!$B$2,Assumptions!$F$4:$H$4,Assumptions!$F$11:$H$11)</f>
        <v>0.3</v>
      </c>
      <c r="O1658" s="14">
        <f>Final_Table[[#This Row],[Units Sold]]*Final_Table[[#This Row],[Sale Price]]</f>
        <v>20400</v>
      </c>
      <c r="P1658" s="14">
        <f>Final_Table[[#This Row],[Gross Revenue]]*(1-Final_Table[[#This Row],[Discount %]])</f>
        <v>18360</v>
      </c>
      <c r="Q1658">
        <f>Final_Table[[#This Row],[Net Revenue]]*Final_Table[[#This Row],[Variable Cost %]]</f>
        <v>3304.7999999999997</v>
      </c>
      <c r="R1658">
        <f>Final_Table[[#This Row],[Variable Cost]]+Final_Table[[#This Row],[Fixed Monthly Cost]]</f>
        <v>21304.799999999999</v>
      </c>
      <c r="S1658" s="5">
        <f>Final_Table[[#This Row],[Net Revenue]]-Final_Table[[#This Row],[Total Cost (COGS)]]</f>
        <v>-2944.7999999999993</v>
      </c>
      <c r="T1658">
        <f>Final_Table[[#This Row],[Gross Profit]]*Final_Table[[#This Row],[Tax Rate]]</f>
        <v>-883.43999999999971</v>
      </c>
      <c r="U1658" s="5">
        <f>Final_Table[[#This Row],[Gross Profit]]-Final_Table[[#This Row],[Tax]]</f>
        <v>-2061.3599999999997</v>
      </c>
      <c r="V1658" s="12">
        <f>Final_Table[[#This Row],[Net Profit]]/Final_Table[[#This Row],[Gross Revenue]]</f>
        <v>-0.10104705882352939</v>
      </c>
    </row>
    <row r="1659" spans="1:22">
      <c r="A1659" s="18" t="s">
        <v>79</v>
      </c>
      <c r="B1659">
        <v>2014</v>
      </c>
      <c r="C1659" t="s">
        <v>131</v>
      </c>
      <c r="D1659">
        <v>1</v>
      </c>
      <c r="E1659" s="18" t="s">
        <v>29</v>
      </c>
      <c r="F1659" s="18" t="s">
        <v>108</v>
      </c>
      <c r="G1659" s="18" t="s">
        <v>21</v>
      </c>
      <c r="H1659" s="18" t="str">
        <f>Assumptions!$B$2</f>
        <v>Worst</v>
      </c>
      <c r="I1659" s="18">
        <f>_xlfn.XLOOKUP(Assumptions!$B$2,Assumptions!$F$4:$H$4,Assumptions!$F$5:$H$5)</f>
        <v>1200</v>
      </c>
      <c r="J1659" s="18">
        <f>_xlfn.XLOOKUP(Assumptions!$B$2,Assumptions!$F$4:$H$4,Assumptions!$F$6:$H$6)</f>
        <v>17</v>
      </c>
      <c r="K1659" s="12">
        <f>_xlfn.XLOOKUP(Assumptions!$B$2,Assumptions!$F$4:$H$4,Assumptions!$F$8:$H$8)</f>
        <v>0.1</v>
      </c>
      <c r="L1659" s="12">
        <f>_xlfn.XLOOKUP(Assumptions!$B$2,Assumptions!$F$4:$H$4,Assumptions!$F$9:$H$9)</f>
        <v>0.18</v>
      </c>
      <c r="M1659" s="18">
        <f>_xlfn.XLOOKUP(Assumptions!$B$2,Assumptions!$F$4:$H$4,Assumptions!$F$10:$H$10)</f>
        <v>18000</v>
      </c>
      <c r="N1659" s="12">
        <f>_xlfn.XLOOKUP(Assumptions!$B$2,Assumptions!$F$4:$H$4,Assumptions!$F$11:$H$11)</f>
        <v>0.3</v>
      </c>
      <c r="O1659" s="14">
        <f>Final_Table[[#This Row],[Units Sold]]*Final_Table[[#This Row],[Sale Price]]</f>
        <v>20400</v>
      </c>
      <c r="P1659" s="14">
        <f>Final_Table[[#This Row],[Gross Revenue]]*(1-Final_Table[[#This Row],[Discount %]])</f>
        <v>18360</v>
      </c>
      <c r="Q1659">
        <f>Final_Table[[#This Row],[Net Revenue]]*Final_Table[[#This Row],[Variable Cost %]]</f>
        <v>3304.7999999999997</v>
      </c>
      <c r="R1659">
        <f>Final_Table[[#This Row],[Variable Cost]]+Final_Table[[#This Row],[Fixed Monthly Cost]]</f>
        <v>21304.799999999999</v>
      </c>
      <c r="S1659" s="5">
        <f>Final_Table[[#This Row],[Net Revenue]]-Final_Table[[#This Row],[Total Cost (COGS)]]</f>
        <v>-2944.7999999999993</v>
      </c>
      <c r="T1659">
        <f>Final_Table[[#This Row],[Gross Profit]]*Final_Table[[#This Row],[Tax Rate]]</f>
        <v>-883.43999999999971</v>
      </c>
      <c r="U1659" s="5">
        <f>Final_Table[[#This Row],[Gross Profit]]-Final_Table[[#This Row],[Tax]]</f>
        <v>-2061.3599999999997</v>
      </c>
      <c r="V1659" s="12">
        <f>Final_Table[[#This Row],[Net Profit]]/Final_Table[[#This Row],[Gross Revenue]]</f>
        <v>-0.10104705882352939</v>
      </c>
    </row>
    <row r="1660" spans="1:22">
      <c r="A1660" s="18" t="s">
        <v>79</v>
      </c>
      <c r="B1660">
        <v>2014</v>
      </c>
      <c r="C1660" t="s">
        <v>131</v>
      </c>
      <c r="D1660">
        <v>1</v>
      </c>
      <c r="E1660" s="18" t="s">
        <v>29</v>
      </c>
      <c r="F1660" s="18" t="s">
        <v>108</v>
      </c>
      <c r="G1660" s="18" t="s">
        <v>25</v>
      </c>
      <c r="H1660" s="18" t="str">
        <f>Assumptions!$B$2</f>
        <v>Worst</v>
      </c>
      <c r="I1660" s="18">
        <f>_xlfn.XLOOKUP(Assumptions!$B$2,Assumptions!$F$4:$H$4,Assumptions!$F$5:$H$5)</f>
        <v>1200</v>
      </c>
      <c r="J1660" s="18">
        <f>_xlfn.XLOOKUP(Assumptions!$B$2,Assumptions!$F$4:$H$4,Assumptions!$F$6:$H$6)</f>
        <v>17</v>
      </c>
      <c r="K1660" s="12">
        <f>_xlfn.XLOOKUP(Assumptions!$B$2,Assumptions!$F$4:$H$4,Assumptions!$F$8:$H$8)</f>
        <v>0.1</v>
      </c>
      <c r="L1660" s="12">
        <f>_xlfn.XLOOKUP(Assumptions!$B$2,Assumptions!$F$4:$H$4,Assumptions!$F$9:$H$9)</f>
        <v>0.18</v>
      </c>
      <c r="M1660" s="18">
        <f>_xlfn.XLOOKUP(Assumptions!$B$2,Assumptions!$F$4:$H$4,Assumptions!$F$10:$H$10)</f>
        <v>18000</v>
      </c>
      <c r="N1660" s="12">
        <f>_xlfn.XLOOKUP(Assumptions!$B$2,Assumptions!$F$4:$H$4,Assumptions!$F$11:$H$11)</f>
        <v>0.3</v>
      </c>
      <c r="O1660" s="14">
        <f>Final_Table[[#This Row],[Units Sold]]*Final_Table[[#This Row],[Sale Price]]</f>
        <v>20400</v>
      </c>
      <c r="P1660" s="14">
        <f>Final_Table[[#This Row],[Gross Revenue]]*(1-Final_Table[[#This Row],[Discount %]])</f>
        <v>18360</v>
      </c>
      <c r="Q1660">
        <f>Final_Table[[#This Row],[Net Revenue]]*Final_Table[[#This Row],[Variable Cost %]]</f>
        <v>3304.7999999999997</v>
      </c>
      <c r="R1660">
        <f>Final_Table[[#This Row],[Variable Cost]]+Final_Table[[#This Row],[Fixed Monthly Cost]]</f>
        <v>21304.799999999999</v>
      </c>
      <c r="S1660" s="5">
        <f>Final_Table[[#This Row],[Net Revenue]]-Final_Table[[#This Row],[Total Cost (COGS)]]</f>
        <v>-2944.7999999999993</v>
      </c>
      <c r="T1660">
        <f>Final_Table[[#This Row],[Gross Profit]]*Final_Table[[#This Row],[Tax Rate]]</f>
        <v>-883.43999999999971</v>
      </c>
      <c r="U1660" s="5">
        <f>Final_Table[[#This Row],[Gross Profit]]-Final_Table[[#This Row],[Tax]]</f>
        <v>-2061.3599999999997</v>
      </c>
      <c r="V1660" s="12">
        <f>Final_Table[[#This Row],[Net Profit]]/Final_Table[[#This Row],[Gross Revenue]]</f>
        <v>-0.10104705882352939</v>
      </c>
    </row>
    <row r="1661" spans="1:22">
      <c r="A1661" s="18" t="s">
        <v>79</v>
      </c>
      <c r="B1661">
        <v>2014</v>
      </c>
      <c r="C1661" t="s">
        <v>131</v>
      </c>
      <c r="D1661">
        <v>1</v>
      </c>
      <c r="E1661" s="18" t="s">
        <v>29</v>
      </c>
      <c r="F1661" s="18" t="s">
        <v>108</v>
      </c>
      <c r="G1661" s="18" t="s">
        <v>17</v>
      </c>
      <c r="H1661" s="18" t="str">
        <f>Assumptions!$B$2</f>
        <v>Worst</v>
      </c>
      <c r="I1661" s="18">
        <f>_xlfn.XLOOKUP(Assumptions!$B$2,Assumptions!$F$4:$H$4,Assumptions!$F$5:$H$5)</f>
        <v>1200</v>
      </c>
      <c r="J1661" s="18">
        <f>_xlfn.XLOOKUP(Assumptions!$B$2,Assumptions!$F$4:$H$4,Assumptions!$F$6:$H$6)</f>
        <v>17</v>
      </c>
      <c r="K1661" s="12">
        <f>_xlfn.XLOOKUP(Assumptions!$B$2,Assumptions!$F$4:$H$4,Assumptions!$F$8:$H$8)</f>
        <v>0.1</v>
      </c>
      <c r="L1661" s="12">
        <f>_xlfn.XLOOKUP(Assumptions!$B$2,Assumptions!$F$4:$H$4,Assumptions!$F$9:$H$9)</f>
        <v>0.18</v>
      </c>
      <c r="M1661" s="18">
        <f>_xlfn.XLOOKUP(Assumptions!$B$2,Assumptions!$F$4:$H$4,Assumptions!$F$10:$H$10)</f>
        <v>18000</v>
      </c>
      <c r="N1661" s="12">
        <f>_xlfn.XLOOKUP(Assumptions!$B$2,Assumptions!$F$4:$H$4,Assumptions!$F$11:$H$11)</f>
        <v>0.3</v>
      </c>
      <c r="O1661" s="14">
        <f>Final_Table[[#This Row],[Units Sold]]*Final_Table[[#This Row],[Sale Price]]</f>
        <v>20400</v>
      </c>
      <c r="P1661" s="14">
        <f>Final_Table[[#This Row],[Gross Revenue]]*(1-Final_Table[[#This Row],[Discount %]])</f>
        <v>18360</v>
      </c>
      <c r="Q1661">
        <f>Final_Table[[#This Row],[Net Revenue]]*Final_Table[[#This Row],[Variable Cost %]]</f>
        <v>3304.7999999999997</v>
      </c>
      <c r="R1661">
        <f>Final_Table[[#This Row],[Variable Cost]]+Final_Table[[#This Row],[Fixed Monthly Cost]]</f>
        <v>21304.799999999999</v>
      </c>
      <c r="S1661" s="5">
        <f>Final_Table[[#This Row],[Net Revenue]]-Final_Table[[#This Row],[Total Cost (COGS)]]</f>
        <v>-2944.7999999999993</v>
      </c>
      <c r="T1661">
        <f>Final_Table[[#This Row],[Gross Profit]]*Final_Table[[#This Row],[Tax Rate]]</f>
        <v>-883.43999999999971</v>
      </c>
      <c r="U1661" s="5">
        <f>Final_Table[[#This Row],[Gross Profit]]-Final_Table[[#This Row],[Tax]]</f>
        <v>-2061.3599999999997</v>
      </c>
      <c r="V1661" s="12">
        <f>Final_Table[[#This Row],[Net Profit]]/Final_Table[[#This Row],[Gross Revenue]]</f>
        <v>-0.10104705882352939</v>
      </c>
    </row>
    <row r="1662" spans="1:22">
      <c r="A1662" s="18" t="s">
        <v>79</v>
      </c>
      <c r="B1662">
        <v>2014</v>
      </c>
      <c r="C1662" t="s">
        <v>131</v>
      </c>
      <c r="D1662">
        <v>1</v>
      </c>
      <c r="E1662" s="18" t="s">
        <v>29</v>
      </c>
      <c r="F1662" s="18" t="s">
        <v>112</v>
      </c>
      <c r="G1662" s="18" t="s">
        <v>36</v>
      </c>
      <c r="H1662" s="18" t="str">
        <f>Assumptions!$B$2</f>
        <v>Worst</v>
      </c>
      <c r="I1662" s="18">
        <f>_xlfn.XLOOKUP(Assumptions!$B$2,Assumptions!$F$4:$H$4,Assumptions!$F$5:$H$5)</f>
        <v>1200</v>
      </c>
      <c r="J1662" s="18">
        <f>_xlfn.XLOOKUP(Assumptions!$B$2,Assumptions!$F$4:$H$4,Assumptions!$F$6:$H$6)</f>
        <v>17</v>
      </c>
      <c r="K1662" s="12">
        <f>_xlfn.XLOOKUP(Assumptions!$B$2,Assumptions!$F$4:$H$4,Assumptions!$F$8:$H$8)</f>
        <v>0.1</v>
      </c>
      <c r="L1662" s="12">
        <f>_xlfn.XLOOKUP(Assumptions!$B$2,Assumptions!$F$4:$H$4,Assumptions!$F$9:$H$9)</f>
        <v>0.18</v>
      </c>
      <c r="M1662" s="18">
        <f>_xlfn.XLOOKUP(Assumptions!$B$2,Assumptions!$F$4:$H$4,Assumptions!$F$10:$H$10)</f>
        <v>18000</v>
      </c>
      <c r="N1662" s="12">
        <f>_xlfn.XLOOKUP(Assumptions!$B$2,Assumptions!$F$4:$H$4,Assumptions!$F$11:$H$11)</f>
        <v>0.3</v>
      </c>
      <c r="O1662" s="14">
        <f>Final_Table[[#This Row],[Units Sold]]*Final_Table[[#This Row],[Sale Price]]</f>
        <v>20400</v>
      </c>
      <c r="P1662" s="14">
        <f>Final_Table[[#This Row],[Gross Revenue]]*(1-Final_Table[[#This Row],[Discount %]])</f>
        <v>18360</v>
      </c>
      <c r="Q1662">
        <f>Final_Table[[#This Row],[Net Revenue]]*Final_Table[[#This Row],[Variable Cost %]]</f>
        <v>3304.7999999999997</v>
      </c>
      <c r="R1662">
        <f>Final_Table[[#This Row],[Variable Cost]]+Final_Table[[#This Row],[Fixed Monthly Cost]]</f>
        <v>21304.799999999999</v>
      </c>
      <c r="S1662" s="5">
        <f>Final_Table[[#This Row],[Net Revenue]]-Final_Table[[#This Row],[Total Cost (COGS)]]</f>
        <v>-2944.7999999999993</v>
      </c>
      <c r="T1662">
        <f>Final_Table[[#This Row],[Gross Profit]]*Final_Table[[#This Row],[Tax Rate]]</f>
        <v>-883.43999999999971</v>
      </c>
      <c r="U1662" s="5">
        <f>Final_Table[[#This Row],[Gross Profit]]-Final_Table[[#This Row],[Tax]]</f>
        <v>-2061.3599999999997</v>
      </c>
      <c r="V1662" s="12">
        <f>Final_Table[[#This Row],[Net Profit]]/Final_Table[[#This Row],[Gross Revenue]]</f>
        <v>-0.10104705882352939</v>
      </c>
    </row>
    <row r="1663" spans="1:22">
      <c r="A1663" s="18" t="s">
        <v>79</v>
      </c>
      <c r="B1663">
        <v>2014</v>
      </c>
      <c r="C1663" t="s">
        <v>131</v>
      </c>
      <c r="D1663">
        <v>1</v>
      </c>
      <c r="E1663" s="18" t="s">
        <v>29</v>
      </c>
      <c r="F1663" s="18" t="s">
        <v>112</v>
      </c>
      <c r="G1663" s="18" t="s">
        <v>23</v>
      </c>
      <c r="H1663" s="18" t="str">
        <f>Assumptions!$B$2</f>
        <v>Worst</v>
      </c>
      <c r="I1663" s="18">
        <f>_xlfn.XLOOKUP(Assumptions!$B$2,Assumptions!$F$4:$H$4,Assumptions!$F$5:$H$5)</f>
        <v>1200</v>
      </c>
      <c r="J1663" s="18">
        <f>_xlfn.XLOOKUP(Assumptions!$B$2,Assumptions!$F$4:$H$4,Assumptions!$F$6:$H$6)</f>
        <v>17</v>
      </c>
      <c r="K1663" s="12">
        <f>_xlfn.XLOOKUP(Assumptions!$B$2,Assumptions!$F$4:$H$4,Assumptions!$F$8:$H$8)</f>
        <v>0.1</v>
      </c>
      <c r="L1663" s="12">
        <f>_xlfn.XLOOKUP(Assumptions!$B$2,Assumptions!$F$4:$H$4,Assumptions!$F$9:$H$9)</f>
        <v>0.18</v>
      </c>
      <c r="M1663" s="18">
        <f>_xlfn.XLOOKUP(Assumptions!$B$2,Assumptions!$F$4:$H$4,Assumptions!$F$10:$H$10)</f>
        <v>18000</v>
      </c>
      <c r="N1663" s="12">
        <f>_xlfn.XLOOKUP(Assumptions!$B$2,Assumptions!$F$4:$H$4,Assumptions!$F$11:$H$11)</f>
        <v>0.3</v>
      </c>
      <c r="O1663" s="14">
        <f>Final_Table[[#This Row],[Units Sold]]*Final_Table[[#This Row],[Sale Price]]</f>
        <v>20400</v>
      </c>
      <c r="P1663" s="14">
        <f>Final_Table[[#This Row],[Gross Revenue]]*(1-Final_Table[[#This Row],[Discount %]])</f>
        <v>18360</v>
      </c>
      <c r="Q1663">
        <f>Final_Table[[#This Row],[Net Revenue]]*Final_Table[[#This Row],[Variable Cost %]]</f>
        <v>3304.7999999999997</v>
      </c>
      <c r="R1663">
        <f>Final_Table[[#This Row],[Variable Cost]]+Final_Table[[#This Row],[Fixed Monthly Cost]]</f>
        <v>21304.799999999999</v>
      </c>
      <c r="S1663" s="5">
        <f>Final_Table[[#This Row],[Net Revenue]]-Final_Table[[#This Row],[Total Cost (COGS)]]</f>
        <v>-2944.7999999999993</v>
      </c>
      <c r="T1663">
        <f>Final_Table[[#This Row],[Gross Profit]]*Final_Table[[#This Row],[Tax Rate]]</f>
        <v>-883.43999999999971</v>
      </c>
      <c r="U1663" s="5">
        <f>Final_Table[[#This Row],[Gross Profit]]-Final_Table[[#This Row],[Tax]]</f>
        <v>-2061.3599999999997</v>
      </c>
      <c r="V1663" s="12">
        <f>Final_Table[[#This Row],[Net Profit]]/Final_Table[[#This Row],[Gross Revenue]]</f>
        <v>-0.10104705882352939</v>
      </c>
    </row>
    <row r="1664" spans="1:22">
      <c r="A1664" s="18" t="s">
        <v>79</v>
      </c>
      <c r="B1664">
        <v>2014</v>
      </c>
      <c r="C1664" t="s">
        <v>131</v>
      </c>
      <c r="D1664">
        <v>1</v>
      </c>
      <c r="E1664" s="18" t="s">
        <v>29</v>
      </c>
      <c r="F1664" s="18" t="s">
        <v>112</v>
      </c>
      <c r="G1664" s="18" t="s">
        <v>21</v>
      </c>
      <c r="H1664" s="18" t="str">
        <f>Assumptions!$B$2</f>
        <v>Worst</v>
      </c>
      <c r="I1664" s="18">
        <f>_xlfn.XLOOKUP(Assumptions!$B$2,Assumptions!$F$4:$H$4,Assumptions!$F$5:$H$5)</f>
        <v>1200</v>
      </c>
      <c r="J1664" s="18">
        <f>_xlfn.XLOOKUP(Assumptions!$B$2,Assumptions!$F$4:$H$4,Assumptions!$F$6:$H$6)</f>
        <v>17</v>
      </c>
      <c r="K1664" s="12">
        <f>_xlfn.XLOOKUP(Assumptions!$B$2,Assumptions!$F$4:$H$4,Assumptions!$F$8:$H$8)</f>
        <v>0.1</v>
      </c>
      <c r="L1664" s="12">
        <f>_xlfn.XLOOKUP(Assumptions!$B$2,Assumptions!$F$4:$H$4,Assumptions!$F$9:$H$9)</f>
        <v>0.18</v>
      </c>
      <c r="M1664" s="18">
        <f>_xlfn.XLOOKUP(Assumptions!$B$2,Assumptions!$F$4:$H$4,Assumptions!$F$10:$H$10)</f>
        <v>18000</v>
      </c>
      <c r="N1664" s="12">
        <f>_xlfn.XLOOKUP(Assumptions!$B$2,Assumptions!$F$4:$H$4,Assumptions!$F$11:$H$11)</f>
        <v>0.3</v>
      </c>
      <c r="O1664" s="14">
        <f>Final_Table[[#This Row],[Units Sold]]*Final_Table[[#This Row],[Sale Price]]</f>
        <v>20400</v>
      </c>
      <c r="P1664" s="14">
        <f>Final_Table[[#This Row],[Gross Revenue]]*(1-Final_Table[[#This Row],[Discount %]])</f>
        <v>18360</v>
      </c>
      <c r="Q1664">
        <f>Final_Table[[#This Row],[Net Revenue]]*Final_Table[[#This Row],[Variable Cost %]]</f>
        <v>3304.7999999999997</v>
      </c>
      <c r="R1664">
        <f>Final_Table[[#This Row],[Variable Cost]]+Final_Table[[#This Row],[Fixed Monthly Cost]]</f>
        <v>21304.799999999999</v>
      </c>
      <c r="S1664" s="5">
        <f>Final_Table[[#This Row],[Net Revenue]]-Final_Table[[#This Row],[Total Cost (COGS)]]</f>
        <v>-2944.7999999999993</v>
      </c>
      <c r="T1664">
        <f>Final_Table[[#This Row],[Gross Profit]]*Final_Table[[#This Row],[Tax Rate]]</f>
        <v>-883.43999999999971</v>
      </c>
      <c r="U1664" s="5">
        <f>Final_Table[[#This Row],[Gross Profit]]-Final_Table[[#This Row],[Tax]]</f>
        <v>-2061.3599999999997</v>
      </c>
      <c r="V1664" s="12">
        <f>Final_Table[[#This Row],[Net Profit]]/Final_Table[[#This Row],[Gross Revenue]]</f>
        <v>-0.10104705882352939</v>
      </c>
    </row>
    <row r="1665" spans="1:22">
      <c r="A1665" s="18" t="s">
        <v>79</v>
      </c>
      <c r="B1665">
        <v>2014</v>
      </c>
      <c r="C1665" t="s">
        <v>131</v>
      </c>
      <c r="D1665">
        <v>1</v>
      </c>
      <c r="E1665" s="18" t="s">
        <v>29</v>
      </c>
      <c r="F1665" s="18" t="s">
        <v>112</v>
      </c>
      <c r="G1665" s="18" t="s">
        <v>25</v>
      </c>
      <c r="H1665" s="18" t="str">
        <f>Assumptions!$B$2</f>
        <v>Worst</v>
      </c>
      <c r="I1665" s="18">
        <f>_xlfn.XLOOKUP(Assumptions!$B$2,Assumptions!$F$4:$H$4,Assumptions!$F$5:$H$5)</f>
        <v>1200</v>
      </c>
      <c r="J1665" s="18">
        <f>_xlfn.XLOOKUP(Assumptions!$B$2,Assumptions!$F$4:$H$4,Assumptions!$F$6:$H$6)</f>
        <v>17</v>
      </c>
      <c r="K1665" s="12">
        <f>_xlfn.XLOOKUP(Assumptions!$B$2,Assumptions!$F$4:$H$4,Assumptions!$F$8:$H$8)</f>
        <v>0.1</v>
      </c>
      <c r="L1665" s="12">
        <f>_xlfn.XLOOKUP(Assumptions!$B$2,Assumptions!$F$4:$H$4,Assumptions!$F$9:$H$9)</f>
        <v>0.18</v>
      </c>
      <c r="M1665" s="18">
        <f>_xlfn.XLOOKUP(Assumptions!$B$2,Assumptions!$F$4:$H$4,Assumptions!$F$10:$H$10)</f>
        <v>18000</v>
      </c>
      <c r="N1665" s="12">
        <f>_xlfn.XLOOKUP(Assumptions!$B$2,Assumptions!$F$4:$H$4,Assumptions!$F$11:$H$11)</f>
        <v>0.3</v>
      </c>
      <c r="O1665" s="14">
        <f>Final_Table[[#This Row],[Units Sold]]*Final_Table[[#This Row],[Sale Price]]</f>
        <v>20400</v>
      </c>
      <c r="P1665" s="14">
        <f>Final_Table[[#This Row],[Gross Revenue]]*(1-Final_Table[[#This Row],[Discount %]])</f>
        <v>18360</v>
      </c>
      <c r="Q1665">
        <f>Final_Table[[#This Row],[Net Revenue]]*Final_Table[[#This Row],[Variable Cost %]]</f>
        <v>3304.7999999999997</v>
      </c>
      <c r="R1665">
        <f>Final_Table[[#This Row],[Variable Cost]]+Final_Table[[#This Row],[Fixed Monthly Cost]]</f>
        <v>21304.799999999999</v>
      </c>
      <c r="S1665" s="5">
        <f>Final_Table[[#This Row],[Net Revenue]]-Final_Table[[#This Row],[Total Cost (COGS)]]</f>
        <v>-2944.7999999999993</v>
      </c>
      <c r="T1665">
        <f>Final_Table[[#This Row],[Gross Profit]]*Final_Table[[#This Row],[Tax Rate]]</f>
        <v>-883.43999999999971</v>
      </c>
      <c r="U1665" s="5">
        <f>Final_Table[[#This Row],[Gross Profit]]-Final_Table[[#This Row],[Tax]]</f>
        <v>-2061.3599999999997</v>
      </c>
      <c r="V1665" s="12">
        <f>Final_Table[[#This Row],[Net Profit]]/Final_Table[[#This Row],[Gross Revenue]]</f>
        <v>-0.10104705882352939</v>
      </c>
    </row>
    <row r="1666" spans="1:22">
      <c r="A1666" s="18" t="s">
        <v>79</v>
      </c>
      <c r="B1666">
        <v>2014</v>
      </c>
      <c r="C1666" t="s">
        <v>131</v>
      </c>
      <c r="D1666">
        <v>1</v>
      </c>
      <c r="E1666" s="18" t="s">
        <v>29</v>
      </c>
      <c r="F1666" s="18" t="s">
        <v>112</v>
      </c>
      <c r="G1666" s="18" t="s">
        <v>17</v>
      </c>
      <c r="H1666" s="18" t="str">
        <f>Assumptions!$B$2</f>
        <v>Worst</v>
      </c>
      <c r="I1666" s="18">
        <f>_xlfn.XLOOKUP(Assumptions!$B$2,Assumptions!$F$4:$H$4,Assumptions!$F$5:$H$5)</f>
        <v>1200</v>
      </c>
      <c r="J1666" s="18">
        <f>_xlfn.XLOOKUP(Assumptions!$B$2,Assumptions!$F$4:$H$4,Assumptions!$F$6:$H$6)</f>
        <v>17</v>
      </c>
      <c r="K1666" s="12">
        <f>_xlfn.XLOOKUP(Assumptions!$B$2,Assumptions!$F$4:$H$4,Assumptions!$F$8:$H$8)</f>
        <v>0.1</v>
      </c>
      <c r="L1666" s="12">
        <f>_xlfn.XLOOKUP(Assumptions!$B$2,Assumptions!$F$4:$H$4,Assumptions!$F$9:$H$9)</f>
        <v>0.18</v>
      </c>
      <c r="M1666" s="18">
        <f>_xlfn.XLOOKUP(Assumptions!$B$2,Assumptions!$F$4:$H$4,Assumptions!$F$10:$H$10)</f>
        <v>18000</v>
      </c>
      <c r="N1666" s="12">
        <f>_xlfn.XLOOKUP(Assumptions!$B$2,Assumptions!$F$4:$H$4,Assumptions!$F$11:$H$11)</f>
        <v>0.3</v>
      </c>
      <c r="O1666" s="14">
        <f>Final_Table[[#This Row],[Units Sold]]*Final_Table[[#This Row],[Sale Price]]</f>
        <v>20400</v>
      </c>
      <c r="P1666" s="14">
        <f>Final_Table[[#This Row],[Gross Revenue]]*(1-Final_Table[[#This Row],[Discount %]])</f>
        <v>18360</v>
      </c>
      <c r="Q1666">
        <f>Final_Table[[#This Row],[Net Revenue]]*Final_Table[[#This Row],[Variable Cost %]]</f>
        <v>3304.7999999999997</v>
      </c>
      <c r="R1666">
        <f>Final_Table[[#This Row],[Variable Cost]]+Final_Table[[#This Row],[Fixed Monthly Cost]]</f>
        <v>21304.799999999999</v>
      </c>
      <c r="S1666" s="5">
        <f>Final_Table[[#This Row],[Net Revenue]]-Final_Table[[#This Row],[Total Cost (COGS)]]</f>
        <v>-2944.7999999999993</v>
      </c>
      <c r="T1666">
        <f>Final_Table[[#This Row],[Gross Profit]]*Final_Table[[#This Row],[Tax Rate]]</f>
        <v>-883.43999999999971</v>
      </c>
      <c r="U1666" s="5">
        <f>Final_Table[[#This Row],[Gross Profit]]-Final_Table[[#This Row],[Tax]]</f>
        <v>-2061.3599999999997</v>
      </c>
      <c r="V1666" s="12">
        <f>Final_Table[[#This Row],[Net Profit]]/Final_Table[[#This Row],[Gross Revenue]]</f>
        <v>-0.10104705882352939</v>
      </c>
    </row>
    <row r="1667" spans="1:22">
      <c r="A1667" s="18" t="s">
        <v>79</v>
      </c>
      <c r="B1667">
        <v>2014</v>
      </c>
      <c r="C1667" t="s">
        <v>131</v>
      </c>
      <c r="D1667">
        <v>1</v>
      </c>
      <c r="E1667" s="18" t="s">
        <v>29</v>
      </c>
      <c r="F1667" s="18" t="s">
        <v>113</v>
      </c>
      <c r="G1667" s="18" t="s">
        <v>36</v>
      </c>
      <c r="H1667" s="18" t="str">
        <f>Assumptions!$B$2</f>
        <v>Worst</v>
      </c>
      <c r="I1667" s="18">
        <f>_xlfn.XLOOKUP(Assumptions!$B$2,Assumptions!$F$4:$H$4,Assumptions!$F$5:$H$5)</f>
        <v>1200</v>
      </c>
      <c r="J1667" s="18">
        <f>_xlfn.XLOOKUP(Assumptions!$B$2,Assumptions!$F$4:$H$4,Assumptions!$F$6:$H$6)</f>
        <v>17</v>
      </c>
      <c r="K1667" s="12">
        <f>_xlfn.XLOOKUP(Assumptions!$B$2,Assumptions!$F$4:$H$4,Assumptions!$F$8:$H$8)</f>
        <v>0.1</v>
      </c>
      <c r="L1667" s="12">
        <f>_xlfn.XLOOKUP(Assumptions!$B$2,Assumptions!$F$4:$H$4,Assumptions!$F$9:$H$9)</f>
        <v>0.18</v>
      </c>
      <c r="M1667" s="18">
        <f>_xlfn.XLOOKUP(Assumptions!$B$2,Assumptions!$F$4:$H$4,Assumptions!$F$10:$H$10)</f>
        <v>18000</v>
      </c>
      <c r="N1667" s="12">
        <f>_xlfn.XLOOKUP(Assumptions!$B$2,Assumptions!$F$4:$H$4,Assumptions!$F$11:$H$11)</f>
        <v>0.3</v>
      </c>
      <c r="O1667" s="14">
        <f>Final_Table[[#This Row],[Units Sold]]*Final_Table[[#This Row],[Sale Price]]</f>
        <v>20400</v>
      </c>
      <c r="P1667" s="14">
        <f>Final_Table[[#This Row],[Gross Revenue]]*(1-Final_Table[[#This Row],[Discount %]])</f>
        <v>18360</v>
      </c>
      <c r="Q1667">
        <f>Final_Table[[#This Row],[Net Revenue]]*Final_Table[[#This Row],[Variable Cost %]]</f>
        <v>3304.7999999999997</v>
      </c>
      <c r="R1667">
        <f>Final_Table[[#This Row],[Variable Cost]]+Final_Table[[#This Row],[Fixed Monthly Cost]]</f>
        <v>21304.799999999999</v>
      </c>
      <c r="S1667" s="5">
        <f>Final_Table[[#This Row],[Net Revenue]]-Final_Table[[#This Row],[Total Cost (COGS)]]</f>
        <v>-2944.7999999999993</v>
      </c>
      <c r="T1667">
        <f>Final_Table[[#This Row],[Gross Profit]]*Final_Table[[#This Row],[Tax Rate]]</f>
        <v>-883.43999999999971</v>
      </c>
      <c r="U1667" s="5">
        <f>Final_Table[[#This Row],[Gross Profit]]-Final_Table[[#This Row],[Tax]]</f>
        <v>-2061.3599999999997</v>
      </c>
      <c r="V1667" s="12">
        <f>Final_Table[[#This Row],[Net Profit]]/Final_Table[[#This Row],[Gross Revenue]]</f>
        <v>-0.10104705882352939</v>
      </c>
    </row>
    <row r="1668" spans="1:22">
      <c r="A1668" s="18" t="s">
        <v>79</v>
      </c>
      <c r="B1668">
        <v>2014</v>
      </c>
      <c r="C1668" t="s">
        <v>131</v>
      </c>
      <c r="D1668">
        <v>1</v>
      </c>
      <c r="E1668" s="18" t="s">
        <v>29</v>
      </c>
      <c r="F1668" s="18" t="s">
        <v>113</v>
      </c>
      <c r="G1668" s="18" t="s">
        <v>23</v>
      </c>
      <c r="H1668" s="18" t="str">
        <f>Assumptions!$B$2</f>
        <v>Worst</v>
      </c>
      <c r="I1668" s="18">
        <f>_xlfn.XLOOKUP(Assumptions!$B$2,Assumptions!$F$4:$H$4,Assumptions!$F$5:$H$5)</f>
        <v>1200</v>
      </c>
      <c r="J1668" s="18">
        <f>_xlfn.XLOOKUP(Assumptions!$B$2,Assumptions!$F$4:$H$4,Assumptions!$F$6:$H$6)</f>
        <v>17</v>
      </c>
      <c r="K1668" s="12">
        <f>_xlfn.XLOOKUP(Assumptions!$B$2,Assumptions!$F$4:$H$4,Assumptions!$F$8:$H$8)</f>
        <v>0.1</v>
      </c>
      <c r="L1668" s="12">
        <f>_xlfn.XLOOKUP(Assumptions!$B$2,Assumptions!$F$4:$H$4,Assumptions!$F$9:$H$9)</f>
        <v>0.18</v>
      </c>
      <c r="M1668" s="18">
        <f>_xlfn.XLOOKUP(Assumptions!$B$2,Assumptions!$F$4:$H$4,Assumptions!$F$10:$H$10)</f>
        <v>18000</v>
      </c>
      <c r="N1668" s="12">
        <f>_xlfn.XLOOKUP(Assumptions!$B$2,Assumptions!$F$4:$H$4,Assumptions!$F$11:$H$11)</f>
        <v>0.3</v>
      </c>
      <c r="O1668" s="14">
        <f>Final_Table[[#This Row],[Units Sold]]*Final_Table[[#This Row],[Sale Price]]</f>
        <v>20400</v>
      </c>
      <c r="P1668" s="14">
        <f>Final_Table[[#This Row],[Gross Revenue]]*(1-Final_Table[[#This Row],[Discount %]])</f>
        <v>18360</v>
      </c>
      <c r="Q1668">
        <f>Final_Table[[#This Row],[Net Revenue]]*Final_Table[[#This Row],[Variable Cost %]]</f>
        <v>3304.7999999999997</v>
      </c>
      <c r="R1668">
        <f>Final_Table[[#This Row],[Variable Cost]]+Final_Table[[#This Row],[Fixed Monthly Cost]]</f>
        <v>21304.799999999999</v>
      </c>
      <c r="S1668" s="5">
        <f>Final_Table[[#This Row],[Net Revenue]]-Final_Table[[#This Row],[Total Cost (COGS)]]</f>
        <v>-2944.7999999999993</v>
      </c>
      <c r="T1668">
        <f>Final_Table[[#This Row],[Gross Profit]]*Final_Table[[#This Row],[Tax Rate]]</f>
        <v>-883.43999999999971</v>
      </c>
      <c r="U1668" s="5">
        <f>Final_Table[[#This Row],[Gross Profit]]-Final_Table[[#This Row],[Tax]]</f>
        <v>-2061.3599999999997</v>
      </c>
      <c r="V1668" s="12">
        <f>Final_Table[[#This Row],[Net Profit]]/Final_Table[[#This Row],[Gross Revenue]]</f>
        <v>-0.10104705882352939</v>
      </c>
    </row>
    <row r="1669" spans="1:22">
      <c r="A1669" s="18" t="s">
        <v>79</v>
      </c>
      <c r="B1669">
        <v>2014</v>
      </c>
      <c r="C1669" t="s">
        <v>131</v>
      </c>
      <c r="D1669">
        <v>1</v>
      </c>
      <c r="E1669" s="18" t="s">
        <v>29</v>
      </c>
      <c r="F1669" s="18" t="s">
        <v>113</v>
      </c>
      <c r="G1669" s="18" t="s">
        <v>21</v>
      </c>
      <c r="H1669" s="18" t="str">
        <f>Assumptions!$B$2</f>
        <v>Worst</v>
      </c>
      <c r="I1669" s="18">
        <f>_xlfn.XLOOKUP(Assumptions!$B$2,Assumptions!$F$4:$H$4,Assumptions!$F$5:$H$5)</f>
        <v>1200</v>
      </c>
      <c r="J1669" s="18">
        <f>_xlfn.XLOOKUP(Assumptions!$B$2,Assumptions!$F$4:$H$4,Assumptions!$F$6:$H$6)</f>
        <v>17</v>
      </c>
      <c r="K1669" s="12">
        <f>_xlfn.XLOOKUP(Assumptions!$B$2,Assumptions!$F$4:$H$4,Assumptions!$F$8:$H$8)</f>
        <v>0.1</v>
      </c>
      <c r="L1669" s="12">
        <f>_xlfn.XLOOKUP(Assumptions!$B$2,Assumptions!$F$4:$H$4,Assumptions!$F$9:$H$9)</f>
        <v>0.18</v>
      </c>
      <c r="M1669" s="18">
        <f>_xlfn.XLOOKUP(Assumptions!$B$2,Assumptions!$F$4:$H$4,Assumptions!$F$10:$H$10)</f>
        <v>18000</v>
      </c>
      <c r="N1669" s="12">
        <f>_xlfn.XLOOKUP(Assumptions!$B$2,Assumptions!$F$4:$H$4,Assumptions!$F$11:$H$11)</f>
        <v>0.3</v>
      </c>
      <c r="O1669" s="14">
        <f>Final_Table[[#This Row],[Units Sold]]*Final_Table[[#This Row],[Sale Price]]</f>
        <v>20400</v>
      </c>
      <c r="P1669" s="14">
        <f>Final_Table[[#This Row],[Gross Revenue]]*(1-Final_Table[[#This Row],[Discount %]])</f>
        <v>18360</v>
      </c>
      <c r="Q1669">
        <f>Final_Table[[#This Row],[Net Revenue]]*Final_Table[[#This Row],[Variable Cost %]]</f>
        <v>3304.7999999999997</v>
      </c>
      <c r="R1669">
        <f>Final_Table[[#This Row],[Variable Cost]]+Final_Table[[#This Row],[Fixed Monthly Cost]]</f>
        <v>21304.799999999999</v>
      </c>
      <c r="S1669" s="5">
        <f>Final_Table[[#This Row],[Net Revenue]]-Final_Table[[#This Row],[Total Cost (COGS)]]</f>
        <v>-2944.7999999999993</v>
      </c>
      <c r="T1669">
        <f>Final_Table[[#This Row],[Gross Profit]]*Final_Table[[#This Row],[Tax Rate]]</f>
        <v>-883.43999999999971</v>
      </c>
      <c r="U1669" s="5">
        <f>Final_Table[[#This Row],[Gross Profit]]-Final_Table[[#This Row],[Tax]]</f>
        <v>-2061.3599999999997</v>
      </c>
      <c r="V1669" s="12">
        <f>Final_Table[[#This Row],[Net Profit]]/Final_Table[[#This Row],[Gross Revenue]]</f>
        <v>-0.10104705882352939</v>
      </c>
    </row>
    <row r="1670" spans="1:22">
      <c r="A1670" s="18" t="s">
        <v>79</v>
      </c>
      <c r="B1670">
        <v>2014</v>
      </c>
      <c r="C1670" t="s">
        <v>131</v>
      </c>
      <c r="D1670">
        <v>1</v>
      </c>
      <c r="E1670" s="18" t="s">
        <v>29</v>
      </c>
      <c r="F1670" s="18" t="s">
        <v>113</v>
      </c>
      <c r="G1670" s="18" t="s">
        <v>25</v>
      </c>
      <c r="H1670" s="18" t="str">
        <f>Assumptions!$B$2</f>
        <v>Worst</v>
      </c>
      <c r="I1670" s="18">
        <f>_xlfn.XLOOKUP(Assumptions!$B$2,Assumptions!$F$4:$H$4,Assumptions!$F$5:$H$5)</f>
        <v>1200</v>
      </c>
      <c r="J1670" s="18">
        <f>_xlfn.XLOOKUP(Assumptions!$B$2,Assumptions!$F$4:$H$4,Assumptions!$F$6:$H$6)</f>
        <v>17</v>
      </c>
      <c r="K1670" s="12">
        <f>_xlfn.XLOOKUP(Assumptions!$B$2,Assumptions!$F$4:$H$4,Assumptions!$F$8:$H$8)</f>
        <v>0.1</v>
      </c>
      <c r="L1670" s="12">
        <f>_xlfn.XLOOKUP(Assumptions!$B$2,Assumptions!$F$4:$H$4,Assumptions!$F$9:$H$9)</f>
        <v>0.18</v>
      </c>
      <c r="M1670" s="18">
        <f>_xlfn.XLOOKUP(Assumptions!$B$2,Assumptions!$F$4:$H$4,Assumptions!$F$10:$H$10)</f>
        <v>18000</v>
      </c>
      <c r="N1670" s="12">
        <f>_xlfn.XLOOKUP(Assumptions!$B$2,Assumptions!$F$4:$H$4,Assumptions!$F$11:$H$11)</f>
        <v>0.3</v>
      </c>
      <c r="O1670" s="14">
        <f>Final_Table[[#This Row],[Units Sold]]*Final_Table[[#This Row],[Sale Price]]</f>
        <v>20400</v>
      </c>
      <c r="P1670" s="14">
        <f>Final_Table[[#This Row],[Gross Revenue]]*(1-Final_Table[[#This Row],[Discount %]])</f>
        <v>18360</v>
      </c>
      <c r="Q1670">
        <f>Final_Table[[#This Row],[Net Revenue]]*Final_Table[[#This Row],[Variable Cost %]]</f>
        <v>3304.7999999999997</v>
      </c>
      <c r="R1670">
        <f>Final_Table[[#This Row],[Variable Cost]]+Final_Table[[#This Row],[Fixed Monthly Cost]]</f>
        <v>21304.799999999999</v>
      </c>
      <c r="S1670" s="5">
        <f>Final_Table[[#This Row],[Net Revenue]]-Final_Table[[#This Row],[Total Cost (COGS)]]</f>
        <v>-2944.7999999999993</v>
      </c>
      <c r="T1670">
        <f>Final_Table[[#This Row],[Gross Profit]]*Final_Table[[#This Row],[Tax Rate]]</f>
        <v>-883.43999999999971</v>
      </c>
      <c r="U1670" s="5">
        <f>Final_Table[[#This Row],[Gross Profit]]-Final_Table[[#This Row],[Tax]]</f>
        <v>-2061.3599999999997</v>
      </c>
      <c r="V1670" s="12">
        <f>Final_Table[[#This Row],[Net Profit]]/Final_Table[[#This Row],[Gross Revenue]]</f>
        <v>-0.10104705882352939</v>
      </c>
    </row>
    <row r="1671" spans="1:22">
      <c r="A1671" s="18" t="s">
        <v>79</v>
      </c>
      <c r="B1671">
        <v>2014</v>
      </c>
      <c r="C1671" t="s">
        <v>131</v>
      </c>
      <c r="D1671">
        <v>1</v>
      </c>
      <c r="E1671" s="18" t="s">
        <v>29</v>
      </c>
      <c r="F1671" s="18" t="s">
        <v>113</v>
      </c>
      <c r="G1671" s="18" t="s">
        <v>17</v>
      </c>
      <c r="H1671" s="18" t="str">
        <f>Assumptions!$B$2</f>
        <v>Worst</v>
      </c>
      <c r="I1671" s="18">
        <f>_xlfn.XLOOKUP(Assumptions!$B$2,Assumptions!$F$4:$H$4,Assumptions!$F$5:$H$5)</f>
        <v>1200</v>
      </c>
      <c r="J1671" s="18">
        <f>_xlfn.XLOOKUP(Assumptions!$B$2,Assumptions!$F$4:$H$4,Assumptions!$F$6:$H$6)</f>
        <v>17</v>
      </c>
      <c r="K1671" s="12">
        <f>_xlfn.XLOOKUP(Assumptions!$B$2,Assumptions!$F$4:$H$4,Assumptions!$F$8:$H$8)</f>
        <v>0.1</v>
      </c>
      <c r="L1671" s="12">
        <f>_xlfn.XLOOKUP(Assumptions!$B$2,Assumptions!$F$4:$H$4,Assumptions!$F$9:$H$9)</f>
        <v>0.18</v>
      </c>
      <c r="M1671" s="18">
        <f>_xlfn.XLOOKUP(Assumptions!$B$2,Assumptions!$F$4:$H$4,Assumptions!$F$10:$H$10)</f>
        <v>18000</v>
      </c>
      <c r="N1671" s="12">
        <f>_xlfn.XLOOKUP(Assumptions!$B$2,Assumptions!$F$4:$H$4,Assumptions!$F$11:$H$11)</f>
        <v>0.3</v>
      </c>
      <c r="O1671" s="14">
        <f>Final_Table[[#This Row],[Units Sold]]*Final_Table[[#This Row],[Sale Price]]</f>
        <v>20400</v>
      </c>
      <c r="P1671" s="14">
        <f>Final_Table[[#This Row],[Gross Revenue]]*(1-Final_Table[[#This Row],[Discount %]])</f>
        <v>18360</v>
      </c>
      <c r="Q1671">
        <f>Final_Table[[#This Row],[Net Revenue]]*Final_Table[[#This Row],[Variable Cost %]]</f>
        <v>3304.7999999999997</v>
      </c>
      <c r="R1671">
        <f>Final_Table[[#This Row],[Variable Cost]]+Final_Table[[#This Row],[Fixed Monthly Cost]]</f>
        <v>21304.799999999999</v>
      </c>
      <c r="S1671" s="5">
        <f>Final_Table[[#This Row],[Net Revenue]]-Final_Table[[#This Row],[Total Cost (COGS)]]</f>
        <v>-2944.7999999999993</v>
      </c>
      <c r="T1671">
        <f>Final_Table[[#This Row],[Gross Profit]]*Final_Table[[#This Row],[Tax Rate]]</f>
        <v>-883.43999999999971</v>
      </c>
      <c r="U1671" s="5">
        <f>Final_Table[[#This Row],[Gross Profit]]-Final_Table[[#This Row],[Tax]]</f>
        <v>-2061.3599999999997</v>
      </c>
      <c r="V1671" s="12">
        <f>Final_Table[[#This Row],[Net Profit]]/Final_Table[[#This Row],[Gross Revenue]]</f>
        <v>-0.10104705882352939</v>
      </c>
    </row>
    <row r="1672" spans="1:22">
      <c r="A1672" s="18" t="s">
        <v>79</v>
      </c>
      <c r="B1672">
        <v>2014</v>
      </c>
      <c r="C1672" t="s">
        <v>131</v>
      </c>
      <c r="D1672">
        <v>1</v>
      </c>
      <c r="E1672" s="18" t="s">
        <v>29</v>
      </c>
      <c r="F1672" s="18" t="s">
        <v>114</v>
      </c>
      <c r="G1672" s="18" t="s">
        <v>36</v>
      </c>
      <c r="H1672" s="18" t="str">
        <f>Assumptions!$B$2</f>
        <v>Worst</v>
      </c>
      <c r="I1672" s="18">
        <f>_xlfn.XLOOKUP(Assumptions!$B$2,Assumptions!$F$4:$H$4,Assumptions!$F$5:$H$5)</f>
        <v>1200</v>
      </c>
      <c r="J1672" s="18">
        <f>_xlfn.XLOOKUP(Assumptions!$B$2,Assumptions!$F$4:$H$4,Assumptions!$F$6:$H$6)</f>
        <v>17</v>
      </c>
      <c r="K1672" s="12">
        <f>_xlfn.XLOOKUP(Assumptions!$B$2,Assumptions!$F$4:$H$4,Assumptions!$F$8:$H$8)</f>
        <v>0.1</v>
      </c>
      <c r="L1672" s="12">
        <f>_xlfn.XLOOKUP(Assumptions!$B$2,Assumptions!$F$4:$H$4,Assumptions!$F$9:$H$9)</f>
        <v>0.18</v>
      </c>
      <c r="M1672" s="18">
        <f>_xlfn.XLOOKUP(Assumptions!$B$2,Assumptions!$F$4:$H$4,Assumptions!$F$10:$H$10)</f>
        <v>18000</v>
      </c>
      <c r="N1672" s="12">
        <f>_xlfn.XLOOKUP(Assumptions!$B$2,Assumptions!$F$4:$H$4,Assumptions!$F$11:$H$11)</f>
        <v>0.3</v>
      </c>
      <c r="O1672" s="14">
        <f>Final_Table[[#This Row],[Units Sold]]*Final_Table[[#This Row],[Sale Price]]</f>
        <v>20400</v>
      </c>
      <c r="P1672" s="14">
        <f>Final_Table[[#This Row],[Gross Revenue]]*(1-Final_Table[[#This Row],[Discount %]])</f>
        <v>18360</v>
      </c>
      <c r="Q1672">
        <f>Final_Table[[#This Row],[Net Revenue]]*Final_Table[[#This Row],[Variable Cost %]]</f>
        <v>3304.7999999999997</v>
      </c>
      <c r="R1672">
        <f>Final_Table[[#This Row],[Variable Cost]]+Final_Table[[#This Row],[Fixed Monthly Cost]]</f>
        <v>21304.799999999999</v>
      </c>
      <c r="S1672" s="5">
        <f>Final_Table[[#This Row],[Net Revenue]]-Final_Table[[#This Row],[Total Cost (COGS)]]</f>
        <v>-2944.7999999999993</v>
      </c>
      <c r="T1672">
        <f>Final_Table[[#This Row],[Gross Profit]]*Final_Table[[#This Row],[Tax Rate]]</f>
        <v>-883.43999999999971</v>
      </c>
      <c r="U1672" s="5">
        <f>Final_Table[[#This Row],[Gross Profit]]-Final_Table[[#This Row],[Tax]]</f>
        <v>-2061.3599999999997</v>
      </c>
      <c r="V1672" s="12">
        <f>Final_Table[[#This Row],[Net Profit]]/Final_Table[[#This Row],[Gross Revenue]]</f>
        <v>-0.10104705882352939</v>
      </c>
    </row>
    <row r="1673" spans="1:22">
      <c r="A1673" s="18" t="s">
        <v>79</v>
      </c>
      <c r="B1673">
        <v>2014</v>
      </c>
      <c r="C1673" t="s">
        <v>131</v>
      </c>
      <c r="D1673">
        <v>1</v>
      </c>
      <c r="E1673" s="18" t="s">
        <v>29</v>
      </c>
      <c r="F1673" s="18" t="s">
        <v>114</v>
      </c>
      <c r="G1673" s="18" t="s">
        <v>23</v>
      </c>
      <c r="H1673" s="18" t="str">
        <f>Assumptions!$B$2</f>
        <v>Worst</v>
      </c>
      <c r="I1673" s="18">
        <f>_xlfn.XLOOKUP(Assumptions!$B$2,Assumptions!$F$4:$H$4,Assumptions!$F$5:$H$5)</f>
        <v>1200</v>
      </c>
      <c r="J1673" s="18">
        <f>_xlfn.XLOOKUP(Assumptions!$B$2,Assumptions!$F$4:$H$4,Assumptions!$F$6:$H$6)</f>
        <v>17</v>
      </c>
      <c r="K1673" s="12">
        <f>_xlfn.XLOOKUP(Assumptions!$B$2,Assumptions!$F$4:$H$4,Assumptions!$F$8:$H$8)</f>
        <v>0.1</v>
      </c>
      <c r="L1673" s="12">
        <f>_xlfn.XLOOKUP(Assumptions!$B$2,Assumptions!$F$4:$H$4,Assumptions!$F$9:$H$9)</f>
        <v>0.18</v>
      </c>
      <c r="M1673" s="18">
        <f>_xlfn.XLOOKUP(Assumptions!$B$2,Assumptions!$F$4:$H$4,Assumptions!$F$10:$H$10)</f>
        <v>18000</v>
      </c>
      <c r="N1673" s="12">
        <f>_xlfn.XLOOKUP(Assumptions!$B$2,Assumptions!$F$4:$H$4,Assumptions!$F$11:$H$11)</f>
        <v>0.3</v>
      </c>
      <c r="O1673" s="14">
        <f>Final_Table[[#This Row],[Units Sold]]*Final_Table[[#This Row],[Sale Price]]</f>
        <v>20400</v>
      </c>
      <c r="P1673" s="14">
        <f>Final_Table[[#This Row],[Gross Revenue]]*(1-Final_Table[[#This Row],[Discount %]])</f>
        <v>18360</v>
      </c>
      <c r="Q1673">
        <f>Final_Table[[#This Row],[Net Revenue]]*Final_Table[[#This Row],[Variable Cost %]]</f>
        <v>3304.7999999999997</v>
      </c>
      <c r="R1673">
        <f>Final_Table[[#This Row],[Variable Cost]]+Final_Table[[#This Row],[Fixed Monthly Cost]]</f>
        <v>21304.799999999999</v>
      </c>
      <c r="S1673" s="5">
        <f>Final_Table[[#This Row],[Net Revenue]]-Final_Table[[#This Row],[Total Cost (COGS)]]</f>
        <v>-2944.7999999999993</v>
      </c>
      <c r="T1673">
        <f>Final_Table[[#This Row],[Gross Profit]]*Final_Table[[#This Row],[Tax Rate]]</f>
        <v>-883.43999999999971</v>
      </c>
      <c r="U1673" s="5">
        <f>Final_Table[[#This Row],[Gross Profit]]-Final_Table[[#This Row],[Tax]]</f>
        <v>-2061.3599999999997</v>
      </c>
      <c r="V1673" s="12">
        <f>Final_Table[[#This Row],[Net Profit]]/Final_Table[[#This Row],[Gross Revenue]]</f>
        <v>-0.10104705882352939</v>
      </c>
    </row>
    <row r="1674" spans="1:22">
      <c r="A1674" s="18" t="s">
        <v>79</v>
      </c>
      <c r="B1674">
        <v>2014</v>
      </c>
      <c r="C1674" t="s">
        <v>131</v>
      </c>
      <c r="D1674">
        <v>1</v>
      </c>
      <c r="E1674" s="18" t="s">
        <v>29</v>
      </c>
      <c r="F1674" s="18" t="s">
        <v>114</v>
      </c>
      <c r="G1674" s="18" t="s">
        <v>21</v>
      </c>
      <c r="H1674" s="18" t="str">
        <f>Assumptions!$B$2</f>
        <v>Worst</v>
      </c>
      <c r="I1674" s="18">
        <f>_xlfn.XLOOKUP(Assumptions!$B$2,Assumptions!$F$4:$H$4,Assumptions!$F$5:$H$5)</f>
        <v>1200</v>
      </c>
      <c r="J1674" s="18">
        <f>_xlfn.XLOOKUP(Assumptions!$B$2,Assumptions!$F$4:$H$4,Assumptions!$F$6:$H$6)</f>
        <v>17</v>
      </c>
      <c r="K1674" s="12">
        <f>_xlfn.XLOOKUP(Assumptions!$B$2,Assumptions!$F$4:$H$4,Assumptions!$F$8:$H$8)</f>
        <v>0.1</v>
      </c>
      <c r="L1674" s="12">
        <f>_xlfn.XLOOKUP(Assumptions!$B$2,Assumptions!$F$4:$H$4,Assumptions!$F$9:$H$9)</f>
        <v>0.18</v>
      </c>
      <c r="M1674" s="18">
        <f>_xlfn.XLOOKUP(Assumptions!$B$2,Assumptions!$F$4:$H$4,Assumptions!$F$10:$H$10)</f>
        <v>18000</v>
      </c>
      <c r="N1674" s="12">
        <f>_xlfn.XLOOKUP(Assumptions!$B$2,Assumptions!$F$4:$H$4,Assumptions!$F$11:$H$11)</f>
        <v>0.3</v>
      </c>
      <c r="O1674" s="14">
        <f>Final_Table[[#This Row],[Units Sold]]*Final_Table[[#This Row],[Sale Price]]</f>
        <v>20400</v>
      </c>
      <c r="P1674" s="14">
        <f>Final_Table[[#This Row],[Gross Revenue]]*(1-Final_Table[[#This Row],[Discount %]])</f>
        <v>18360</v>
      </c>
      <c r="Q1674">
        <f>Final_Table[[#This Row],[Net Revenue]]*Final_Table[[#This Row],[Variable Cost %]]</f>
        <v>3304.7999999999997</v>
      </c>
      <c r="R1674">
        <f>Final_Table[[#This Row],[Variable Cost]]+Final_Table[[#This Row],[Fixed Monthly Cost]]</f>
        <v>21304.799999999999</v>
      </c>
      <c r="S1674" s="5">
        <f>Final_Table[[#This Row],[Net Revenue]]-Final_Table[[#This Row],[Total Cost (COGS)]]</f>
        <v>-2944.7999999999993</v>
      </c>
      <c r="T1674">
        <f>Final_Table[[#This Row],[Gross Profit]]*Final_Table[[#This Row],[Tax Rate]]</f>
        <v>-883.43999999999971</v>
      </c>
      <c r="U1674" s="5">
        <f>Final_Table[[#This Row],[Gross Profit]]-Final_Table[[#This Row],[Tax]]</f>
        <v>-2061.3599999999997</v>
      </c>
      <c r="V1674" s="12">
        <f>Final_Table[[#This Row],[Net Profit]]/Final_Table[[#This Row],[Gross Revenue]]</f>
        <v>-0.10104705882352939</v>
      </c>
    </row>
    <row r="1675" spans="1:22">
      <c r="A1675" s="18" t="s">
        <v>79</v>
      </c>
      <c r="B1675">
        <v>2014</v>
      </c>
      <c r="C1675" t="s">
        <v>131</v>
      </c>
      <c r="D1675">
        <v>1</v>
      </c>
      <c r="E1675" s="18" t="s">
        <v>29</v>
      </c>
      <c r="F1675" s="18" t="s">
        <v>114</v>
      </c>
      <c r="G1675" s="18" t="s">
        <v>25</v>
      </c>
      <c r="H1675" s="18" t="str">
        <f>Assumptions!$B$2</f>
        <v>Worst</v>
      </c>
      <c r="I1675" s="18">
        <f>_xlfn.XLOOKUP(Assumptions!$B$2,Assumptions!$F$4:$H$4,Assumptions!$F$5:$H$5)</f>
        <v>1200</v>
      </c>
      <c r="J1675" s="18">
        <f>_xlfn.XLOOKUP(Assumptions!$B$2,Assumptions!$F$4:$H$4,Assumptions!$F$6:$H$6)</f>
        <v>17</v>
      </c>
      <c r="K1675" s="12">
        <f>_xlfn.XLOOKUP(Assumptions!$B$2,Assumptions!$F$4:$H$4,Assumptions!$F$8:$H$8)</f>
        <v>0.1</v>
      </c>
      <c r="L1675" s="12">
        <f>_xlfn.XLOOKUP(Assumptions!$B$2,Assumptions!$F$4:$H$4,Assumptions!$F$9:$H$9)</f>
        <v>0.18</v>
      </c>
      <c r="M1675" s="18">
        <f>_xlfn.XLOOKUP(Assumptions!$B$2,Assumptions!$F$4:$H$4,Assumptions!$F$10:$H$10)</f>
        <v>18000</v>
      </c>
      <c r="N1675" s="12">
        <f>_xlfn.XLOOKUP(Assumptions!$B$2,Assumptions!$F$4:$H$4,Assumptions!$F$11:$H$11)</f>
        <v>0.3</v>
      </c>
      <c r="O1675" s="14">
        <f>Final_Table[[#This Row],[Units Sold]]*Final_Table[[#This Row],[Sale Price]]</f>
        <v>20400</v>
      </c>
      <c r="P1675" s="14">
        <f>Final_Table[[#This Row],[Gross Revenue]]*(1-Final_Table[[#This Row],[Discount %]])</f>
        <v>18360</v>
      </c>
      <c r="Q1675">
        <f>Final_Table[[#This Row],[Net Revenue]]*Final_Table[[#This Row],[Variable Cost %]]</f>
        <v>3304.7999999999997</v>
      </c>
      <c r="R1675">
        <f>Final_Table[[#This Row],[Variable Cost]]+Final_Table[[#This Row],[Fixed Monthly Cost]]</f>
        <v>21304.799999999999</v>
      </c>
      <c r="S1675" s="5">
        <f>Final_Table[[#This Row],[Net Revenue]]-Final_Table[[#This Row],[Total Cost (COGS)]]</f>
        <v>-2944.7999999999993</v>
      </c>
      <c r="T1675">
        <f>Final_Table[[#This Row],[Gross Profit]]*Final_Table[[#This Row],[Tax Rate]]</f>
        <v>-883.43999999999971</v>
      </c>
      <c r="U1675" s="5">
        <f>Final_Table[[#This Row],[Gross Profit]]-Final_Table[[#This Row],[Tax]]</f>
        <v>-2061.3599999999997</v>
      </c>
      <c r="V1675" s="12">
        <f>Final_Table[[#This Row],[Net Profit]]/Final_Table[[#This Row],[Gross Revenue]]</f>
        <v>-0.10104705882352939</v>
      </c>
    </row>
    <row r="1676" spans="1:22">
      <c r="A1676" s="18" t="s">
        <v>79</v>
      </c>
      <c r="B1676">
        <v>2014</v>
      </c>
      <c r="C1676" t="s">
        <v>131</v>
      </c>
      <c r="D1676">
        <v>1</v>
      </c>
      <c r="E1676" s="18" t="s">
        <v>29</v>
      </c>
      <c r="F1676" s="18" t="s">
        <v>114</v>
      </c>
      <c r="G1676" s="18" t="s">
        <v>17</v>
      </c>
      <c r="H1676" s="18" t="str">
        <f>Assumptions!$B$2</f>
        <v>Worst</v>
      </c>
      <c r="I1676" s="18">
        <f>_xlfn.XLOOKUP(Assumptions!$B$2,Assumptions!$F$4:$H$4,Assumptions!$F$5:$H$5)</f>
        <v>1200</v>
      </c>
      <c r="J1676" s="18">
        <f>_xlfn.XLOOKUP(Assumptions!$B$2,Assumptions!$F$4:$H$4,Assumptions!$F$6:$H$6)</f>
        <v>17</v>
      </c>
      <c r="K1676" s="12">
        <f>_xlfn.XLOOKUP(Assumptions!$B$2,Assumptions!$F$4:$H$4,Assumptions!$F$8:$H$8)</f>
        <v>0.1</v>
      </c>
      <c r="L1676" s="12">
        <f>_xlfn.XLOOKUP(Assumptions!$B$2,Assumptions!$F$4:$H$4,Assumptions!$F$9:$H$9)</f>
        <v>0.18</v>
      </c>
      <c r="M1676" s="18">
        <f>_xlfn.XLOOKUP(Assumptions!$B$2,Assumptions!$F$4:$H$4,Assumptions!$F$10:$H$10)</f>
        <v>18000</v>
      </c>
      <c r="N1676" s="12">
        <f>_xlfn.XLOOKUP(Assumptions!$B$2,Assumptions!$F$4:$H$4,Assumptions!$F$11:$H$11)</f>
        <v>0.3</v>
      </c>
      <c r="O1676" s="14">
        <f>Final_Table[[#This Row],[Units Sold]]*Final_Table[[#This Row],[Sale Price]]</f>
        <v>20400</v>
      </c>
      <c r="P1676" s="14">
        <f>Final_Table[[#This Row],[Gross Revenue]]*(1-Final_Table[[#This Row],[Discount %]])</f>
        <v>18360</v>
      </c>
      <c r="Q1676">
        <f>Final_Table[[#This Row],[Net Revenue]]*Final_Table[[#This Row],[Variable Cost %]]</f>
        <v>3304.7999999999997</v>
      </c>
      <c r="R1676">
        <f>Final_Table[[#This Row],[Variable Cost]]+Final_Table[[#This Row],[Fixed Monthly Cost]]</f>
        <v>21304.799999999999</v>
      </c>
      <c r="S1676" s="5">
        <f>Final_Table[[#This Row],[Net Revenue]]-Final_Table[[#This Row],[Total Cost (COGS)]]</f>
        <v>-2944.7999999999993</v>
      </c>
      <c r="T1676">
        <f>Final_Table[[#This Row],[Gross Profit]]*Final_Table[[#This Row],[Tax Rate]]</f>
        <v>-883.43999999999971</v>
      </c>
      <c r="U1676" s="5">
        <f>Final_Table[[#This Row],[Gross Profit]]-Final_Table[[#This Row],[Tax]]</f>
        <v>-2061.3599999999997</v>
      </c>
      <c r="V1676" s="12">
        <f>Final_Table[[#This Row],[Net Profit]]/Final_Table[[#This Row],[Gross Revenue]]</f>
        <v>-0.10104705882352939</v>
      </c>
    </row>
    <row r="1677" spans="1:22">
      <c r="A1677" s="18" t="s">
        <v>79</v>
      </c>
      <c r="B1677">
        <v>2014</v>
      </c>
      <c r="C1677" t="s">
        <v>131</v>
      </c>
      <c r="D1677">
        <v>1</v>
      </c>
      <c r="E1677" s="18" t="s">
        <v>22</v>
      </c>
      <c r="F1677" s="18" t="s">
        <v>80</v>
      </c>
      <c r="G1677" s="18" t="s">
        <v>36</v>
      </c>
      <c r="H1677" s="18" t="str">
        <f>Assumptions!$B$2</f>
        <v>Worst</v>
      </c>
      <c r="I1677" s="18">
        <f>_xlfn.XLOOKUP(Assumptions!$B$2,Assumptions!$F$4:$H$4,Assumptions!$F$5:$H$5)</f>
        <v>1200</v>
      </c>
      <c r="J1677" s="18">
        <f>_xlfn.XLOOKUP(Assumptions!$B$2,Assumptions!$F$4:$H$4,Assumptions!$F$6:$H$6)</f>
        <v>17</v>
      </c>
      <c r="K1677" s="12">
        <f>_xlfn.XLOOKUP(Assumptions!$B$2,Assumptions!$F$4:$H$4,Assumptions!$F$8:$H$8)</f>
        <v>0.1</v>
      </c>
      <c r="L1677" s="12">
        <f>_xlfn.XLOOKUP(Assumptions!$B$2,Assumptions!$F$4:$H$4,Assumptions!$F$9:$H$9)</f>
        <v>0.18</v>
      </c>
      <c r="M1677" s="18">
        <f>_xlfn.XLOOKUP(Assumptions!$B$2,Assumptions!$F$4:$H$4,Assumptions!$F$10:$H$10)</f>
        <v>18000</v>
      </c>
      <c r="N1677" s="12">
        <f>_xlfn.XLOOKUP(Assumptions!$B$2,Assumptions!$F$4:$H$4,Assumptions!$F$11:$H$11)</f>
        <v>0.3</v>
      </c>
      <c r="O1677" s="14">
        <f>Final_Table[[#This Row],[Units Sold]]*Final_Table[[#This Row],[Sale Price]]</f>
        <v>20400</v>
      </c>
      <c r="P1677" s="14">
        <f>Final_Table[[#This Row],[Gross Revenue]]*(1-Final_Table[[#This Row],[Discount %]])</f>
        <v>18360</v>
      </c>
      <c r="Q1677">
        <f>Final_Table[[#This Row],[Net Revenue]]*Final_Table[[#This Row],[Variable Cost %]]</f>
        <v>3304.7999999999997</v>
      </c>
      <c r="R1677">
        <f>Final_Table[[#This Row],[Variable Cost]]+Final_Table[[#This Row],[Fixed Monthly Cost]]</f>
        <v>21304.799999999999</v>
      </c>
      <c r="S1677" s="5">
        <f>Final_Table[[#This Row],[Net Revenue]]-Final_Table[[#This Row],[Total Cost (COGS)]]</f>
        <v>-2944.7999999999993</v>
      </c>
      <c r="T1677">
        <f>Final_Table[[#This Row],[Gross Profit]]*Final_Table[[#This Row],[Tax Rate]]</f>
        <v>-883.43999999999971</v>
      </c>
      <c r="U1677" s="5">
        <f>Final_Table[[#This Row],[Gross Profit]]-Final_Table[[#This Row],[Tax]]</f>
        <v>-2061.3599999999997</v>
      </c>
      <c r="V1677" s="12">
        <f>Final_Table[[#This Row],[Net Profit]]/Final_Table[[#This Row],[Gross Revenue]]</f>
        <v>-0.10104705882352939</v>
      </c>
    </row>
    <row r="1678" spans="1:22">
      <c r="A1678" s="18" t="s">
        <v>79</v>
      </c>
      <c r="B1678">
        <v>2014</v>
      </c>
      <c r="C1678" t="s">
        <v>131</v>
      </c>
      <c r="D1678">
        <v>1</v>
      </c>
      <c r="E1678" s="18" t="s">
        <v>22</v>
      </c>
      <c r="F1678" s="18" t="s">
        <v>80</v>
      </c>
      <c r="G1678" s="18" t="s">
        <v>23</v>
      </c>
      <c r="H1678" s="18" t="str">
        <f>Assumptions!$B$2</f>
        <v>Worst</v>
      </c>
      <c r="I1678" s="18">
        <f>_xlfn.XLOOKUP(Assumptions!$B$2,Assumptions!$F$4:$H$4,Assumptions!$F$5:$H$5)</f>
        <v>1200</v>
      </c>
      <c r="J1678" s="18">
        <f>_xlfn.XLOOKUP(Assumptions!$B$2,Assumptions!$F$4:$H$4,Assumptions!$F$6:$H$6)</f>
        <v>17</v>
      </c>
      <c r="K1678" s="12">
        <f>_xlfn.XLOOKUP(Assumptions!$B$2,Assumptions!$F$4:$H$4,Assumptions!$F$8:$H$8)</f>
        <v>0.1</v>
      </c>
      <c r="L1678" s="12">
        <f>_xlfn.XLOOKUP(Assumptions!$B$2,Assumptions!$F$4:$H$4,Assumptions!$F$9:$H$9)</f>
        <v>0.18</v>
      </c>
      <c r="M1678" s="18">
        <f>_xlfn.XLOOKUP(Assumptions!$B$2,Assumptions!$F$4:$H$4,Assumptions!$F$10:$H$10)</f>
        <v>18000</v>
      </c>
      <c r="N1678" s="12">
        <f>_xlfn.XLOOKUP(Assumptions!$B$2,Assumptions!$F$4:$H$4,Assumptions!$F$11:$H$11)</f>
        <v>0.3</v>
      </c>
      <c r="O1678" s="14">
        <f>Final_Table[[#This Row],[Units Sold]]*Final_Table[[#This Row],[Sale Price]]</f>
        <v>20400</v>
      </c>
      <c r="P1678" s="14">
        <f>Final_Table[[#This Row],[Gross Revenue]]*(1-Final_Table[[#This Row],[Discount %]])</f>
        <v>18360</v>
      </c>
      <c r="Q1678">
        <f>Final_Table[[#This Row],[Net Revenue]]*Final_Table[[#This Row],[Variable Cost %]]</f>
        <v>3304.7999999999997</v>
      </c>
      <c r="R1678">
        <f>Final_Table[[#This Row],[Variable Cost]]+Final_Table[[#This Row],[Fixed Monthly Cost]]</f>
        <v>21304.799999999999</v>
      </c>
      <c r="S1678" s="5">
        <f>Final_Table[[#This Row],[Net Revenue]]-Final_Table[[#This Row],[Total Cost (COGS)]]</f>
        <v>-2944.7999999999993</v>
      </c>
      <c r="T1678">
        <f>Final_Table[[#This Row],[Gross Profit]]*Final_Table[[#This Row],[Tax Rate]]</f>
        <v>-883.43999999999971</v>
      </c>
      <c r="U1678" s="5">
        <f>Final_Table[[#This Row],[Gross Profit]]-Final_Table[[#This Row],[Tax]]</f>
        <v>-2061.3599999999997</v>
      </c>
      <c r="V1678" s="12">
        <f>Final_Table[[#This Row],[Net Profit]]/Final_Table[[#This Row],[Gross Revenue]]</f>
        <v>-0.10104705882352939</v>
      </c>
    </row>
    <row r="1679" spans="1:22">
      <c r="A1679" s="18" t="s">
        <v>79</v>
      </c>
      <c r="B1679">
        <v>2014</v>
      </c>
      <c r="C1679" t="s">
        <v>131</v>
      </c>
      <c r="D1679">
        <v>1</v>
      </c>
      <c r="E1679" s="18" t="s">
        <v>22</v>
      </c>
      <c r="F1679" s="18" t="s">
        <v>80</v>
      </c>
      <c r="G1679" s="18" t="s">
        <v>21</v>
      </c>
      <c r="H1679" s="18" t="str">
        <f>Assumptions!$B$2</f>
        <v>Worst</v>
      </c>
      <c r="I1679" s="18">
        <f>_xlfn.XLOOKUP(Assumptions!$B$2,Assumptions!$F$4:$H$4,Assumptions!$F$5:$H$5)</f>
        <v>1200</v>
      </c>
      <c r="J1679" s="18">
        <f>_xlfn.XLOOKUP(Assumptions!$B$2,Assumptions!$F$4:$H$4,Assumptions!$F$6:$H$6)</f>
        <v>17</v>
      </c>
      <c r="K1679" s="12">
        <f>_xlfn.XLOOKUP(Assumptions!$B$2,Assumptions!$F$4:$H$4,Assumptions!$F$8:$H$8)</f>
        <v>0.1</v>
      </c>
      <c r="L1679" s="12">
        <f>_xlfn.XLOOKUP(Assumptions!$B$2,Assumptions!$F$4:$H$4,Assumptions!$F$9:$H$9)</f>
        <v>0.18</v>
      </c>
      <c r="M1679" s="18">
        <f>_xlfn.XLOOKUP(Assumptions!$B$2,Assumptions!$F$4:$H$4,Assumptions!$F$10:$H$10)</f>
        <v>18000</v>
      </c>
      <c r="N1679" s="12">
        <f>_xlfn.XLOOKUP(Assumptions!$B$2,Assumptions!$F$4:$H$4,Assumptions!$F$11:$H$11)</f>
        <v>0.3</v>
      </c>
      <c r="O1679" s="14">
        <f>Final_Table[[#This Row],[Units Sold]]*Final_Table[[#This Row],[Sale Price]]</f>
        <v>20400</v>
      </c>
      <c r="P1679" s="14">
        <f>Final_Table[[#This Row],[Gross Revenue]]*(1-Final_Table[[#This Row],[Discount %]])</f>
        <v>18360</v>
      </c>
      <c r="Q1679">
        <f>Final_Table[[#This Row],[Net Revenue]]*Final_Table[[#This Row],[Variable Cost %]]</f>
        <v>3304.7999999999997</v>
      </c>
      <c r="R1679">
        <f>Final_Table[[#This Row],[Variable Cost]]+Final_Table[[#This Row],[Fixed Monthly Cost]]</f>
        <v>21304.799999999999</v>
      </c>
      <c r="S1679" s="5">
        <f>Final_Table[[#This Row],[Net Revenue]]-Final_Table[[#This Row],[Total Cost (COGS)]]</f>
        <v>-2944.7999999999993</v>
      </c>
      <c r="T1679">
        <f>Final_Table[[#This Row],[Gross Profit]]*Final_Table[[#This Row],[Tax Rate]]</f>
        <v>-883.43999999999971</v>
      </c>
      <c r="U1679" s="5">
        <f>Final_Table[[#This Row],[Gross Profit]]-Final_Table[[#This Row],[Tax]]</f>
        <v>-2061.3599999999997</v>
      </c>
      <c r="V1679" s="12">
        <f>Final_Table[[#This Row],[Net Profit]]/Final_Table[[#This Row],[Gross Revenue]]</f>
        <v>-0.10104705882352939</v>
      </c>
    </row>
    <row r="1680" spans="1:22">
      <c r="A1680" s="18" t="s">
        <v>79</v>
      </c>
      <c r="B1680">
        <v>2014</v>
      </c>
      <c r="C1680" t="s">
        <v>131</v>
      </c>
      <c r="D1680">
        <v>1</v>
      </c>
      <c r="E1680" s="18" t="s">
        <v>22</v>
      </c>
      <c r="F1680" s="18" t="s">
        <v>80</v>
      </c>
      <c r="G1680" s="18" t="s">
        <v>25</v>
      </c>
      <c r="H1680" s="18" t="str">
        <f>Assumptions!$B$2</f>
        <v>Worst</v>
      </c>
      <c r="I1680" s="18">
        <f>_xlfn.XLOOKUP(Assumptions!$B$2,Assumptions!$F$4:$H$4,Assumptions!$F$5:$H$5)</f>
        <v>1200</v>
      </c>
      <c r="J1680" s="18">
        <f>_xlfn.XLOOKUP(Assumptions!$B$2,Assumptions!$F$4:$H$4,Assumptions!$F$6:$H$6)</f>
        <v>17</v>
      </c>
      <c r="K1680" s="12">
        <f>_xlfn.XLOOKUP(Assumptions!$B$2,Assumptions!$F$4:$H$4,Assumptions!$F$8:$H$8)</f>
        <v>0.1</v>
      </c>
      <c r="L1680" s="12">
        <f>_xlfn.XLOOKUP(Assumptions!$B$2,Assumptions!$F$4:$H$4,Assumptions!$F$9:$H$9)</f>
        <v>0.18</v>
      </c>
      <c r="M1680" s="18">
        <f>_xlfn.XLOOKUP(Assumptions!$B$2,Assumptions!$F$4:$H$4,Assumptions!$F$10:$H$10)</f>
        <v>18000</v>
      </c>
      <c r="N1680" s="12">
        <f>_xlfn.XLOOKUP(Assumptions!$B$2,Assumptions!$F$4:$H$4,Assumptions!$F$11:$H$11)</f>
        <v>0.3</v>
      </c>
      <c r="O1680" s="14">
        <f>Final_Table[[#This Row],[Units Sold]]*Final_Table[[#This Row],[Sale Price]]</f>
        <v>20400</v>
      </c>
      <c r="P1680" s="14">
        <f>Final_Table[[#This Row],[Gross Revenue]]*(1-Final_Table[[#This Row],[Discount %]])</f>
        <v>18360</v>
      </c>
      <c r="Q1680">
        <f>Final_Table[[#This Row],[Net Revenue]]*Final_Table[[#This Row],[Variable Cost %]]</f>
        <v>3304.7999999999997</v>
      </c>
      <c r="R1680">
        <f>Final_Table[[#This Row],[Variable Cost]]+Final_Table[[#This Row],[Fixed Monthly Cost]]</f>
        <v>21304.799999999999</v>
      </c>
      <c r="S1680" s="5">
        <f>Final_Table[[#This Row],[Net Revenue]]-Final_Table[[#This Row],[Total Cost (COGS)]]</f>
        <v>-2944.7999999999993</v>
      </c>
      <c r="T1680">
        <f>Final_Table[[#This Row],[Gross Profit]]*Final_Table[[#This Row],[Tax Rate]]</f>
        <v>-883.43999999999971</v>
      </c>
      <c r="U1680" s="5">
        <f>Final_Table[[#This Row],[Gross Profit]]-Final_Table[[#This Row],[Tax]]</f>
        <v>-2061.3599999999997</v>
      </c>
      <c r="V1680" s="12">
        <f>Final_Table[[#This Row],[Net Profit]]/Final_Table[[#This Row],[Gross Revenue]]</f>
        <v>-0.10104705882352939</v>
      </c>
    </row>
    <row r="1681" spans="1:22">
      <c r="A1681" s="18" t="s">
        <v>79</v>
      </c>
      <c r="B1681">
        <v>2014</v>
      </c>
      <c r="C1681" t="s">
        <v>131</v>
      </c>
      <c r="D1681">
        <v>1</v>
      </c>
      <c r="E1681" s="18" t="s">
        <v>22</v>
      </c>
      <c r="F1681" s="18" t="s">
        <v>80</v>
      </c>
      <c r="G1681" s="18" t="s">
        <v>17</v>
      </c>
      <c r="H1681" s="18" t="str">
        <f>Assumptions!$B$2</f>
        <v>Worst</v>
      </c>
      <c r="I1681" s="18">
        <f>_xlfn.XLOOKUP(Assumptions!$B$2,Assumptions!$F$4:$H$4,Assumptions!$F$5:$H$5)</f>
        <v>1200</v>
      </c>
      <c r="J1681" s="18">
        <f>_xlfn.XLOOKUP(Assumptions!$B$2,Assumptions!$F$4:$H$4,Assumptions!$F$6:$H$6)</f>
        <v>17</v>
      </c>
      <c r="K1681" s="12">
        <f>_xlfn.XLOOKUP(Assumptions!$B$2,Assumptions!$F$4:$H$4,Assumptions!$F$8:$H$8)</f>
        <v>0.1</v>
      </c>
      <c r="L1681" s="12">
        <f>_xlfn.XLOOKUP(Assumptions!$B$2,Assumptions!$F$4:$H$4,Assumptions!$F$9:$H$9)</f>
        <v>0.18</v>
      </c>
      <c r="M1681" s="18">
        <f>_xlfn.XLOOKUP(Assumptions!$B$2,Assumptions!$F$4:$H$4,Assumptions!$F$10:$H$10)</f>
        <v>18000</v>
      </c>
      <c r="N1681" s="12">
        <f>_xlfn.XLOOKUP(Assumptions!$B$2,Assumptions!$F$4:$H$4,Assumptions!$F$11:$H$11)</f>
        <v>0.3</v>
      </c>
      <c r="O1681" s="14">
        <f>Final_Table[[#This Row],[Units Sold]]*Final_Table[[#This Row],[Sale Price]]</f>
        <v>20400</v>
      </c>
      <c r="P1681" s="14">
        <f>Final_Table[[#This Row],[Gross Revenue]]*(1-Final_Table[[#This Row],[Discount %]])</f>
        <v>18360</v>
      </c>
      <c r="Q1681">
        <f>Final_Table[[#This Row],[Net Revenue]]*Final_Table[[#This Row],[Variable Cost %]]</f>
        <v>3304.7999999999997</v>
      </c>
      <c r="R1681">
        <f>Final_Table[[#This Row],[Variable Cost]]+Final_Table[[#This Row],[Fixed Monthly Cost]]</f>
        <v>21304.799999999999</v>
      </c>
      <c r="S1681" s="5">
        <f>Final_Table[[#This Row],[Net Revenue]]-Final_Table[[#This Row],[Total Cost (COGS)]]</f>
        <v>-2944.7999999999993</v>
      </c>
      <c r="T1681">
        <f>Final_Table[[#This Row],[Gross Profit]]*Final_Table[[#This Row],[Tax Rate]]</f>
        <v>-883.43999999999971</v>
      </c>
      <c r="U1681" s="5">
        <f>Final_Table[[#This Row],[Gross Profit]]-Final_Table[[#This Row],[Tax]]</f>
        <v>-2061.3599999999997</v>
      </c>
      <c r="V1681" s="12">
        <f>Final_Table[[#This Row],[Net Profit]]/Final_Table[[#This Row],[Gross Revenue]]</f>
        <v>-0.10104705882352939</v>
      </c>
    </row>
    <row r="1682" spans="1:22">
      <c r="A1682" s="18" t="s">
        <v>79</v>
      </c>
      <c r="B1682">
        <v>2014</v>
      </c>
      <c r="C1682" t="s">
        <v>131</v>
      </c>
      <c r="D1682">
        <v>1</v>
      </c>
      <c r="E1682" s="18" t="s">
        <v>22</v>
      </c>
      <c r="F1682" s="18" t="s">
        <v>108</v>
      </c>
      <c r="G1682" s="18" t="s">
        <v>36</v>
      </c>
      <c r="H1682" s="18" t="str">
        <f>Assumptions!$B$2</f>
        <v>Worst</v>
      </c>
      <c r="I1682" s="18">
        <f>_xlfn.XLOOKUP(Assumptions!$B$2,Assumptions!$F$4:$H$4,Assumptions!$F$5:$H$5)</f>
        <v>1200</v>
      </c>
      <c r="J1682" s="18">
        <f>_xlfn.XLOOKUP(Assumptions!$B$2,Assumptions!$F$4:$H$4,Assumptions!$F$6:$H$6)</f>
        <v>17</v>
      </c>
      <c r="K1682" s="12">
        <f>_xlfn.XLOOKUP(Assumptions!$B$2,Assumptions!$F$4:$H$4,Assumptions!$F$8:$H$8)</f>
        <v>0.1</v>
      </c>
      <c r="L1682" s="12">
        <f>_xlfn.XLOOKUP(Assumptions!$B$2,Assumptions!$F$4:$H$4,Assumptions!$F$9:$H$9)</f>
        <v>0.18</v>
      </c>
      <c r="M1682" s="18">
        <f>_xlfn.XLOOKUP(Assumptions!$B$2,Assumptions!$F$4:$H$4,Assumptions!$F$10:$H$10)</f>
        <v>18000</v>
      </c>
      <c r="N1682" s="12">
        <f>_xlfn.XLOOKUP(Assumptions!$B$2,Assumptions!$F$4:$H$4,Assumptions!$F$11:$H$11)</f>
        <v>0.3</v>
      </c>
      <c r="O1682" s="14">
        <f>Final_Table[[#This Row],[Units Sold]]*Final_Table[[#This Row],[Sale Price]]</f>
        <v>20400</v>
      </c>
      <c r="P1682" s="14">
        <f>Final_Table[[#This Row],[Gross Revenue]]*(1-Final_Table[[#This Row],[Discount %]])</f>
        <v>18360</v>
      </c>
      <c r="Q1682">
        <f>Final_Table[[#This Row],[Net Revenue]]*Final_Table[[#This Row],[Variable Cost %]]</f>
        <v>3304.7999999999997</v>
      </c>
      <c r="R1682">
        <f>Final_Table[[#This Row],[Variable Cost]]+Final_Table[[#This Row],[Fixed Monthly Cost]]</f>
        <v>21304.799999999999</v>
      </c>
      <c r="S1682" s="5">
        <f>Final_Table[[#This Row],[Net Revenue]]-Final_Table[[#This Row],[Total Cost (COGS)]]</f>
        <v>-2944.7999999999993</v>
      </c>
      <c r="T1682">
        <f>Final_Table[[#This Row],[Gross Profit]]*Final_Table[[#This Row],[Tax Rate]]</f>
        <v>-883.43999999999971</v>
      </c>
      <c r="U1682" s="5">
        <f>Final_Table[[#This Row],[Gross Profit]]-Final_Table[[#This Row],[Tax]]</f>
        <v>-2061.3599999999997</v>
      </c>
      <c r="V1682" s="12">
        <f>Final_Table[[#This Row],[Net Profit]]/Final_Table[[#This Row],[Gross Revenue]]</f>
        <v>-0.10104705882352939</v>
      </c>
    </row>
    <row r="1683" spans="1:22">
      <c r="A1683" s="18" t="s">
        <v>79</v>
      </c>
      <c r="B1683">
        <v>2014</v>
      </c>
      <c r="C1683" t="s">
        <v>131</v>
      </c>
      <c r="D1683">
        <v>1</v>
      </c>
      <c r="E1683" s="18" t="s">
        <v>22</v>
      </c>
      <c r="F1683" s="18" t="s">
        <v>108</v>
      </c>
      <c r="G1683" s="18" t="s">
        <v>23</v>
      </c>
      <c r="H1683" s="18" t="str">
        <f>Assumptions!$B$2</f>
        <v>Worst</v>
      </c>
      <c r="I1683" s="18">
        <f>_xlfn.XLOOKUP(Assumptions!$B$2,Assumptions!$F$4:$H$4,Assumptions!$F$5:$H$5)</f>
        <v>1200</v>
      </c>
      <c r="J1683" s="18">
        <f>_xlfn.XLOOKUP(Assumptions!$B$2,Assumptions!$F$4:$H$4,Assumptions!$F$6:$H$6)</f>
        <v>17</v>
      </c>
      <c r="K1683" s="12">
        <f>_xlfn.XLOOKUP(Assumptions!$B$2,Assumptions!$F$4:$H$4,Assumptions!$F$8:$H$8)</f>
        <v>0.1</v>
      </c>
      <c r="L1683" s="12">
        <f>_xlfn.XLOOKUP(Assumptions!$B$2,Assumptions!$F$4:$H$4,Assumptions!$F$9:$H$9)</f>
        <v>0.18</v>
      </c>
      <c r="M1683" s="18">
        <f>_xlfn.XLOOKUP(Assumptions!$B$2,Assumptions!$F$4:$H$4,Assumptions!$F$10:$H$10)</f>
        <v>18000</v>
      </c>
      <c r="N1683" s="12">
        <f>_xlfn.XLOOKUP(Assumptions!$B$2,Assumptions!$F$4:$H$4,Assumptions!$F$11:$H$11)</f>
        <v>0.3</v>
      </c>
      <c r="O1683" s="14">
        <f>Final_Table[[#This Row],[Units Sold]]*Final_Table[[#This Row],[Sale Price]]</f>
        <v>20400</v>
      </c>
      <c r="P1683" s="14">
        <f>Final_Table[[#This Row],[Gross Revenue]]*(1-Final_Table[[#This Row],[Discount %]])</f>
        <v>18360</v>
      </c>
      <c r="Q1683">
        <f>Final_Table[[#This Row],[Net Revenue]]*Final_Table[[#This Row],[Variable Cost %]]</f>
        <v>3304.7999999999997</v>
      </c>
      <c r="R1683">
        <f>Final_Table[[#This Row],[Variable Cost]]+Final_Table[[#This Row],[Fixed Monthly Cost]]</f>
        <v>21304.799999999999</v>
      </c>
      <c r="S1683" s="5">
        <f>Final_Table[[#This Row],[Net Revenue]]-Final_Table[[#This Row],[Total Cost (COGS)]]</f>
        <v>-2944.7999999999993</v>
      </c>
      <c r="T1683">
        <f>Final_Table[[#This Row],[Gross Profit]]*Final_Table[[#This Row],[Tax Rate]]</f>
        <v>-883.43999999999971</v>
      </c>
      <c r="U1683" s="5">
        <f>Final_Table[[#This Row],[Gross Profit]]-Final_Table[[#This Row],[Tax]]</f>
        <v>-2061.3599999999997</v>
      </c>
      <c r="V1683" s="12">
        <f>Final_Table[[#This Row],[Net Profit]]/Final_Table[[#This Row],[Gross Revenue]]</f>
        <v>-0.10104705882352939</v>
      </c>
    </row>
    <row r="1684" spans="1:22">
      <c r="A1684" s="18" t="s">
        <v>79</v>
      </c>
      <c r="B1684">
        <v>2014</v>
      </c>
      <c r="C1684" t="s">
        <v>131</v>
      </c>
      <c r="D1684">
        <v>1</v>
      </c>
      <c r="E1684" s="18" t="s">
        <v>22</v>
      </c>
      <c r="F1684" s="18" t="s">
        <v>108</v>
      </c>
      <c r="G1684" s="18" t="s">
        <v>21</v>
      </c>
      <c r="H1684" s="18" t="str">
        <f>Assumptions!$B$2</f>
        <v>Worst</v>
      </c>
      <c r="I1684" s="18">
        <f>_xlfn.XLOOKUP(Assumptions!$B$2,Assumptions!$F$4:$H$4,Assumptions!$F$5:$H$5)</f>
        <v>1200</v>
      </c>
      <c r="J1684" s="18">
        <f>_xlfn.XLOOKUP(Assumptions!$B$2,Assumptions!$F$4:$H$4,Assumptions!$F$6:$H$6)</f>
        <v>17</v>
      </c>
      <c r="K1684" s="12">
        <f>_xlfn.XLOOKUP(Assumptions!$B$2,Assumptions!$F$4:$H$4,Assumptions!$F$8:$H$8)</f>
        <v>0.1</v>
      </c>
      <c r="L1684" s="12">
        <f>_xlfn.XLOOKUP(Assumptions!$B$2,Assumptions!$F$4:$H$4,Assumptions!$F$9:$H$9)</f>
        <v>0.18</v>
      </c>
      <c r="M1684" s="18">
        <f>_xlfn.XLOOKUP(Assumptions!$B$2,Assumptions!$F$4:$H$4,Assumptions!$F$10:$H$10)</f>
        <v>18000</v>
      </c>
      <c r="N1684" s="12">
        <f>_xlfn.XLOOKUP(Assumptions!$B$2,Assumptions!$F$4:$H$4,Assumptions!$F$11:$H$11)</f>
        <v>0.3</v>
      </c>
      <c r="O1684" s="14">
        <f>Final_Table[[#This Row],[Units Sold]]*Final_Table[[#This Row],[Sale Price]]</f>
        <v>20400</v>
      </c>
      <c r="P1684" s="14">
        <f>Final_Table[[#This Row],[Gross Revenue]]*(1-Final_Table[[#This Row],[Discount %]])</f>
        <v>18360</v>
      </c>
      <c r="Q1684">
        <f>Final_Table[[#This Row],[Net Revenue]]*Final_Table[[#This Row],[Variable Cost %]]</f>
        <v>3304.7999999999997</v>
      </c>
      <c r="R1684">
        <f>Final_Table[[#This Row],[Variable Cost]]+Final_Table[[#This Row],[Fixed Monthly Cost]]</f>
        <v>21304.799999999999</v>
      </c>
      <c r="S1684" s="5">
        <f>Final_Table[[#This Row],[Net Revenue]]-Final_Table[[#This Row],[Total Cost (COGS)]]</f>
        <v>-2944.7999999999993</v>
      </c>
      <c r="T1684">
        <f>Final_Table[[#This Row],[Gross Profit]]*Final_Table[[#This Row],[Tax Rate]]</f>
        <v>-883.43999999999971</v>
      </c>
      <c r="U1684" s="5">
        <f>Final_Table[[#This Row],[Gross Profit]]-Final_Table[[#This Row],[Tax]]</f>
        <v>-2061.3599999999997</v>
      </c>
      <c r="V1684" s="12">
        <f>Final_Table[[#This Row],[Net Profit]]/Final_Table[[#This Row],[Gross Revenue]]</f>
        <v>-0.10104705882352939</v>
      </c>
    </row>
    <row r="1685" spans="1:22">
      <c r="A1685" s="18" t="s">
        <v>79</v>
      </c>
      <c r="B1685">
        <v>2014</v>
      </c>
      <c r="C1685" t="s">
        <v>131</v>
      </c>
      <c r="D1685">
        <v>1</v>
      </c>
      <c r="E1685" s="18" t="s">
        <v>22</v>
      </c>
      <c r="F1685" s="18" t="s">
        <v>108</v>
      </c>
      <c r="G1685" s="18" t="s">
        <v>25</v>
      </c>
      <c r="H1685" s="18" t="str">
        <f>Assumptions!$B$2</f>
        <v>Worst</v>
      </c>
      <c r="I1685" s="18">
        <f>_xlfn.XLOOKUP(Assumptions!$B$2,Assumptions!$F$4:$H$4,Assumptions!$F$5:$H$5)</f>
        <v>1200</v>
      </c>
      <c r="J1685" s="18">
        <f>_xlfn.XLOOKUP(Assumptions!$B$2,Assumptions!$F$4:$H$4,Assumptions!$F$6:$H$6)</f>
        <v>17</v>
      </c>
      <c r="K1685" s="12">
        <f>_xlfn.XLOOKUP(Assumptions!$B$2,Assumptions!$F$4:$H$4,Assumptions!$F$8:$H$8)</f>
        <v>0.1</v>
      </c>
      <c r="L1685" s="12">
        <f>_xlfn.XLOOKUP(Assumptions!$B$2,Assumptions!$F$4:$H$4,Assumptions!$F$9:$H$9)</f>
        <v>0.18</v>
      </c>
      <c r="M1685" s="18">
        <f>_xlfn.XLOOKUP(Assumptions!$B$2,Assumptions!$F$4:$H$4,Assumptions!$F$10:$H$10)</f>
        <v>18000</v>
      </c>
      <c r="N1685" s="12">
        <f>_xlfn.XLOOKUP(Assumptions!$B$2,Assumptions!$F$4:$H$4,Assumptions!$F$11:$H$11)</f>
        <v>0.3</v>
      </c>
      <c r="O1685" s="14">
        <f>Final_Table[[#This Row],[Units Sold]]*Final_Table[[#This Row],[Sale Price]]</f>
        <v>20400</v>
      </c>
      <c r="P1685" s="14">
        <f>Final_Table[[#This Row],[Gross Revenue]]*(1-Final_Table[[#This Row],[Discount %]])</f>
        <v>18360</v>
      </c>
      <c r="Q1685">
        <f>Final_Table[[#This Row],[Net Revenue]]*Final_Table[[#This Row],[Variable Cost %]]</f>
        <v>3304.7999999999997</v>
      </c>
      <c r="R1685">
        <f>Final_Table[[#This Row],[Variable Cost]]+Final_Table[[#This Row],[Fixed Monthly Cost]]</f>
        <v>21304.799999999999</v>
      </c>
      <c r="S1685" s="5">
        <f>Final_Table[[#This Row],[Net Revenue]]-Final_Table[[#This Row],[Total Cost (COGS)]]</f>
        <v>-2944.7999999999993</v>
      </c>
      <c r="T1685">
        <f>Final_Table[[#This Row],[Gross Profit]]*Final_Table[[#This Row],[Tax Rate]]</f>
        <v>-883.43999999999971</v>
      </c>
      <c r="U1685" s="5">
        <f>Final_Table[[#This Row],[Gross Profit]]-Final_Table[[#This Row],[Tax]]</f>
        <v>-2061.3599999999997</v>
      </c>
      <c r="V1685" s="12">
        <f>Final_Table[[#This Row],[Net Profit]]/Final_Table[[#This Row],[Gross Revenue]]</f>
        <v>-0.10104705882352939</v>
      </c>
    </row>
    <row r="1686" spans="1:22">
      <c r="A1686" s="18" t="s">
        <v>79</v>
      </c>
      <c r="B1686">
        <v>2014</v>
      </c>
      <c r="C1686" t="s">
        <v>131</v>
      </c>
      <c r="D1686">
        <v>1</v>
      </c>
      <c r="E1686" s="18" t="s">
        <v>22</v>
      </c>
      <c r="F1686" s="18" t="s">
        <v>108</v>
      </c>
      <c r="G1686" s="18" t="s">
        <v>17</v>
      </c>
      <c r="H1686" s="18" t="str">
        <f>Assumptions!$B$2</f>
        <v>Worst</v>
      </c>
      <c r="I1686" s="18">
        <f>_xlfn.XLOOKUP(Assumptions!$B$2,Assumptions!$F$4:$H$4,Assumptions!$F$5:$H$5)</f>
        <v>1200</v>
      </c>
      <c r="J1686" s="18">
        <f>_xlfn.XLOOKUP(Assumptions!$B$2,Assumptions!$F$4:$H$4,Assumptions!$F$6:$H$6)</f>
        <v>17</v>
      </c>
      <c r="K1686" s="12">
        <f>_xlfn.XLOOKUP(Assumptions!$B$2,Assumptions!$F$4:$H$4,Assumptions!$F$8:$H$8)</f>
        <v>0.1</v>
      </c>
      <c r="L1686" s="12">
        <f>_xlfn.XLOOKUP(Assumptions!$B$2,Assumptions!$F$4:$H$4,Assumptions!$F$9:$H$9)</f>
        <v>0.18</v>
      </c>
      <c r="M1686" s="18">
        <f>_xlfn.XLOOKUP(Assumptions!$B$2,Assumptions!$F$4:$H$4,Assumptions!$F$10:$H$10)</f>
        <v>18000</v>
      </c>
      <c r="N1686" s="12">
        <f>_xlfn.XLOOKUP(Assumptions!$B$2,Assumptions!$F$4:$H$4,Assumptions!$F$11:$H$11)</f>
        <v>0.3</v>
      </c>
      <c r="O1686" s="14">
        <f>Final_Table[[#This Row],[Units Sold]]*Final_Table[[#This Row],[Sale Price]]</f>
        <v>20400</v>
      </c>
      <c r="P1686" s="14">
        <f>Final_Table[[#This Row],[Gross Revenue]]*(1-Final_Table[[#This Row],[Discount %]])</f>
        <v>18360</v>
      </c>
      <c r="Q1686">
        <f>Final_Table[[#This Row],[Net Revenue]]*Final_Table[[#This Row],[Variable Cost %]]</f>
        <v>3304.7999999999997</v>
      </c>
      <c r="R1686">
        <f>Final_Table[[#This Row],[Variable Cost]]+Final_Table[[#This Row],[Fixed Monthly Cost]]</f>
        <v>21304.799999999999</v>
      </c>
      <c r="S1686" s="5">
        <f>Final_Table[[#This Row],[Net Revenue]]-Final_Table[[#This Row],[Total Cost (COGS)]]</f>
        <v>-2944.7999999999993</v>
      </c>
      <c r="T1686">
        <f>Final_Table[[#This Row],[Gross Profit]]*Final_Table[[#This Row],[Tax Rate]]</f>
        <v>-883.43999999999971</v>
      </c>
      <c r="U1686" s="5">
        <f>Final_Table[[#This Row],[Gross Profit]]-Final_Table[[#This Row],[Tax]]</f>
        <v>-2061.3599999999997</v>
      </c>
      <c r="V1686" s="12">
        <f>Final_Table[[#This Row],[Net Profit]]/Final_Table[[#This Row],[Gross Revenue]]</f>
        <v>-0.10104705882352939</v>
      </c>
    </row>
    <row r="1687" spans="1:22">
      <c r="A1687" s="18" t="s">
        <v>79</v>
      </c>
      <c r="B1687">
        <v>2014</v>
      </c>
      <c r="C1687" t="s">
        <v>131</v>
      </c>
      <c r="D1687">
        <v>1</v>
      </c>
      <c r="E1687" s="18" t="s">
        <v>22</v>
      </c>
      <c r="F1687" s="18" t="s">
        <v>112</v>
      </c>
      <c r="G1687" s="18" t="s">
        <v>36</v>
      </c>
      <c r="H1687" s="18" t="str">
        <f>Assumptions!$B$2</f>
        <v>Worst</v>
      </c>
      <c r="I1687" s="18">
        <f>_xlfn.XLOOKUP(Assumptions!$B$2,Assumptions!$F$4:$H$4,Assumptions!$F$5:$H$5)</f>
        <v>1200</v>
      </c>
      <c r="J1687" s="18">
        <f>_xlfn.XLOOKUP(Assumptions!$B$2,Assumptions!$F$4:$H$4,Assumptions!$F$6:$H$6)</f>
        <v>17</v>
      </c>
      <c r="K1687" s="12">
        <f>_xlfn.XLOOKUP(Assumptions!$B$2,Assumptions!$F$4:$H$4,Assumptions!$F$8:$H$8)</f>
        <v>0.1</v>
      </c>
      <c r="L1687" s="12">
        <f>_xlfn.XLOOKUP(Assumptions!$B$2,Assumptions!$F$4:$H$4,Assumptions!$F$9:$H$9)</f>
        <v>0.18</v>
      </c>
      <c r="M1687" s="18">
        <f>_xlfn.XLOOKUP(Assumptions!$B$2,Assumptions!$F$4:$H$4,Assumptions!$F$10:$H$10)</f>
        <v>18000</v>
      </c>
      <c r="N1687" s="12">
        <f>_xlfn.XLOOKUP(Assumptions!$B$2,Assumptions!$F$4:$H$4,Assumptions!$F$11:$H$11)</f>
        <v>0.3</v>
      </c>
      <c r="O1687" s="14">
        <f>Final_Table[[#This Row],[Units Sold]]*Final_Table[[#This Row],[Sale Price]]</f>
        <v>20400</v>
      </c>
      <c r="P1687" s="14">
        <f>Final_Table[[#This Row],[Gross Revenue]]*(1-Final_Table[[#This Row],[Discount %]])</f>
        <v>18360</v>
      </c>
      <c r="Q1687">
        <f>Final_Table[[#This Row],[Net Revenue]]*Final_Table[[#This Row],[Variable Cost %]]</f>
        <v>3304.7999999999997</v>
      </c>
      <c r="R1687">
        <f>Final_Table[[#This Row],[Variable Cost]]+Final_Table[[#This Row],[Fixed Monthly Cost]]</f>
        <v>21304.799999999999</v>
      </c>
      <c r="S1687" s="5">
        <f>Final_Table[[#This Row],[Net Revenue]]-Final_Table[[#This Row],[Total Cost (COGS)]]</f>
        <v>-2944.7999999999993</v>
      </c>
      <c r="T1687">
        <f>Final_Table[[#This Row],[Gross Profit]]*Final_Table[[#This Row],[Tax Rate]]</f>
        <v>-883.43999999999971</v>
      </c>
      <c r="U1687" s="5">
        <f>Final_Table[[#This Row],[Gross Profit]]-Final_Table[[#This Row],[Tax]]</f>
        <v>-2061.3599999999997</v>
      </c>
      <c r="V1687" s="12">
        <f>Final_Table[[#This Row],[Net Profit]]/Final_Table[[#This Row],[Gross Revenue]]</f>
        <v>-0.10104705882352939</v>
      </c>
    </row>
    <row r="1688" spans="1:22">
      <c r="A1688" s="18" t="s">
        <v>79</v>
      </c>
      <c r="B1688">
        <v>2014</v>
      </c>
      <c r="C1688" t="s">
        <v>131</v>
      </c>
      <c r="D1688">
        <v>1</v>
      </c>
      <c r="E1688" s="18" t="s">
        <v>22</v>
      </c>
      <c r="F1688" s="18" t="s">
        <v>112</v>
      </c>
      <c r="G1688" s="18" t="s">
        <v>23</v>
      </c>
      <c r="H1688" s="18" t="str">
        <f>Assumptions!$B$2</f>
        <v>Worst</v>
      </c>
      <c r="I1688" s="18">
        <f>_xlfn.XLOOKUP(Assumptions!$B$2,Assumptions!$F$4:$H$4,Assumptions!$F$5:$H$5)</f>
        <v>1200</v>
      </c>
      <c r="J1688" s="18">
        <f>_xlfn.XLOOKUP(Assumptions!$B$2,Assumptions!$F$4:$H$4,Assumptions!$F$6:$H$6)</f>
        <v>17</v>
      </c>
      <c r="K1688" s="12">
        <f>_xlfn.XLOOKUP(Assumptions!$B$2,Assumptions!$F$4:$H$4,Assumptions!$F$8:$H$8)</f>
        <v>0.1</v>
      </c>
      <c r="L1688" s="12">
        <f>_xlfn.XLOOKUP(Assumptions!$B$2,Assumptions!$F$4:$H$4,Assumptions!$F$9:$H$9)</f>
        <v>0.18</v>
      </c>
      <c r="M1688" s="18">
        <f>_xlfn.XLOOKUP(Assumptions!$B$2,Assumptions!$F$4:$H$4,Assumptions!$F$10:$H$10)</f>
        <v>18000</v>
      </c>
      <c r="N1688" s="12">
        <f>_xlfn.XLOOKUP(Assumptions!$B$2,Assumptions!$F$4:$H$4,Assumptions!$F$11:$H$11)</f>
        <v>0.3</v>
      </c>
      <c r="O1688" s="14">
        <f>Final_Table[[#This Row],[Units Sold]]*Final_Table[[#This Row],[Sale Price]]</f>
        <v>20400</v>
      </c>
      <c r="P1688" s="14">
        <f>Final_Table[[#This Row],[Gross Revenue]]*(1-Final_Table[[#This Row],[Discount %]])</f>
        <v>18360</v>
      </c>
      <c r="Q1688">
        <f>Final_Table[[#This Row],[Net Revenue]]*Final_Table[[#This Row],[Variable Cost %]]</f>
        <v>3304.7999999999997</v>
      </c>
      <c r="R1688">
        <f>Final_Table[[#This Row],[Variable Cost]]+Final_Table[[#This Row],[Fixed Monthly Cost]]</f>
        <v>21304.799999999999</v>
      </c>
      <c r="S1688" s="5">
        <f>Final_Table[[#This Row],[Net Revenue]]-Final_Table[[#This Row],[Total Cost (COGS)]]</f>
        <v>-2944.7999999999993</v>
      </c>
      <c r="T1688">
        <f>Final_Table[[#This Row],[Gross Profit]]*Final_Table[[#This Row],[Tax Rate]]</f>
        <v>-883.43999999999971</v>
      </c>
      <c r="U1688" s="5">
        <f>Final_Table[[#This Row],[Gross Profit]]-Final_Table[[#This Row],[Tax]]</f>
        <v>-2061.3599999999997</v>
      </c>
      <c r="V1688" s="12">
        <f>Final_Table[[#This Row],[Net Profit]]/Final_Table[[#This Row],[Gross Revenue]]</f>
        <v>-0.10104705882352939</v>
      </c>
    </row>
    <row r="1689" spans="1:22">
      <c r="A1689" s="18" t="s">
        <v>79</v>
      </c>
      <c r="B1689">
        <v>2014</v>
      </c>
      <c r="C1689" t="s">
        <v>131</v>
      </c>
      <c r="D1689">
        <v>1</v>
      </c>
      <c r="E1689" s="18" t="s">
        <v>22</v>
      </c>
      <c r="F1689" s="18" t="s">
        <v>112</v>
      </c>
      <c r="G1689" s="18" t="s">
        <v>21</v>
      </c>
      <c r="H1689" s="18" t="str">
        <f>Assumptions!$B$2</f>
        <v>Worst</v>
      </c>
      <c r="I1689" s="18">
        <f>_xlfn.XLOOKUP(Assumptions!$B$2,Assumptions!$F$4:$H$4,Assumptions!$F$5:$H$5)</f>
        <v>1200</v>
      </c>
      <c r="J1689" s="18">
        <f>_xlfn.XLOOKUP(Assumptions!$B$2,Assumptions!$F$4:$H$4,Assumptions!$F$6:$H$6)</f>
        <v>17</v>
      </c>
      <c r="K1689" s="12">
        <f>_xlfn.XLOOKUP(Assumptions!$B$2,Assumptions!$F$4:$H$4,Assumptions!$F$8:$H$8)</f>
        <v>0.1</v>
      </c>
      <c r="L1689" s="12">
        <f>_xlfn.XLOOKUP(Assumptions!$B$2,Assumptions!$F$4:$H$4,Assumptions!$F$9:$H$9)</f>
        <v>0.18</v>
      </c>
      <c r="M1689" s="18">
        <f>_xlfn.XLOOKUP(Assumptions!$B$2,Assumptions!$F$4:$H$4,Assumptions!$F$10:$H$10)</f>
        <v>18000</v>
      </c>
      <c r="N1689" s="12">
        <f>_xlfn.XLOOKUP(Assumptions!$B$2,Assumptions!$F$4:$H$4,Assumptions!$F$11:$H$11)</f>
        <v>0.3</v>
      </c>
      <c r="O1689" s="14">
        <f>Final_Table[[#This Row],[Units Sold]]*Final_Table[[#This Row],[Sale Price]]</f>
        <v>20400</v>
      </c>
      <c r="P1689" s="14">
        <f>Final_Table[[#This Row],[Gross Revenue]]*(1-Final_Table[[#This Row],[Discount %]])</f>
        <v>18360</v>
      </c>
      <c r="Q1689">
        <f>Final_Table[[#This Row],[Net Revenue]]*Final_Table[[#This Row],[Variable Cost %]]</f>
        <v>3304.7999999999997</v>
      </c>
      <c r="R1689">
        <f>Final_Table[[#This Row],[Variable Cost]]+Final_Table[[#This Row],[Fixed Monthly Cost]]</f>
        <v>21304.799999999999</v>
      </c>
      <c r="S1689" s="5">
        <f>Final_Table[[#This Row],[Net Revenue]]-Final_Table[[#This Row],[Total Cost (COGS)]]</f>
        <v>-2944.7999999999993</v>
      </c>
      <c r="T1689">
        <f>Final_Table[[#This Row],[Gross Profit]]*Final_Table[[#This Row],[Tax Rate]]</f>
        <v>-883.43999999999971</v>
      </c>
      <c r="U1689" s="5">
        <f>Final_Table[[#This Row],[Gross Profit]]-Final_Table[[#This Row],[Tax]]</f>
        <v>-2061.3599999999997</v>
      </c>
      <c r="V1689" s="12">
        <f>Final_Table[[#This Row],[Net Profit]]/Final_Table[[#This Row],[Gross Revenue]]</f>
        <v>-0.10104705882352939</v>
      </c>
    </row>
    <row r="1690" spans="1:22">
      <c r="A1690" s="18" t="s">
        <v>79</v>
      </c>
      <c r="B1690">
        <v>2014</v>
      </c>
      <c r="C1690" t="s">
        <v>131</v>
      </c>
      <c r="D1690">
        <v>1</v>
      </c>
      <c r="E1690" s="18" t="s">
        <v>22</v>
      </c>
      <c r="F1690" s="18" t="s">
        <v>112</v>
      </c>
      <c r="G1690" s="18" t="s">
        <v>25</v>
      </c>
      <c r="H1690" s="18" t="str">
        <f>Assumptions!$B$2</f>
        <v>Worst</v>
      </c>
      <c r="I1690" s="18">
        <f>_xlfn.XLOOKUP(Assumptions!$B$2,Assumptions!$F$4:$H$4,Assumptions!$F$5:$H$5)</f>
        <v>1200</v>
      </c>
      <c r="J1690" s="18">
        <f>_xlfn.XLOOKUP(Assumptions!$B$2,Assumptions!$F$4:$H$4,Assumptions!$F$6:$H$6)</f>
        <v>17</v>
      </c>
      <c r="K1690" s="12">
        <f>_xlfn.XLOOKUP(Assumptions!$B$2,Assumptions!$F$4:$H$4,Assumptions!$F$8:$H$8)</f>
        <v>0.1</v>
      </c>
      <c r="L1690" s="12">
        <f>_xlfn.XLOOKUP(Assumptions!$B$2,Assumptions!$F$4:$H$4,Assumptions!$F$9:$H$9)</f>
        <v>0.18</v>
      </c>
      <c r="M1690" s="18">
        <f>_xlfn.XLOOKUP(Assumptions!$B$2,Assumptions!$F$4:$H$4,Assumptions!$F$10:$H$10)</f>
        <v>18000</v>
      </c>
      <c r="N1690" s="12">
        <f>_xlfn.XLOOKUP(Assumptions!$B$2,Assumptions!$F$4:$H$4,Assumptions!$F$11:$H$11)</f>
        <v>0.3</v>
      </c>
      <c r="O1690" s="14">
        <f>Final_Table[[#This Row],[Units Sold]]*Final_Table[[#This Row],[Sale Price]]</f>
        <v>20400</v>
      </c>
      <c r="P1690" s="14">
        <f>Final_Table[[#This Row],[Gross Revenue]]*(1-Final_Table[[#This Row],[Discount %]])</f>
        <v>18360</v>
      </c>
      <c r="Q1690">
        <f>Final_Table[[#This Row],[Net Revenue]]*Final_Table[[#This Row],[Variable Cost %]]</f>
        <v>3304.7999999999997</v>
      </c>
      <c r="R1690">
        <f>Final_Table[[#This Row],[Variable Cost]]+Final_Table[[#This Row],[Fixed Monthly Cost]]</f>
        <v>21304.799999999999</v>
      </c>
      <c r="S1690" s="5">
        <f>Final_Table[[#This Row],[Net Revenue]]-Final_Table[[#This Row],[Total Cost (COGS)]]</f>
        <v>-2944.7999999999993</v>
      </c>
      <c r="T1690">
        <f>Final_Table[[#This Row],[Gross Profit]]*Final_Table[[#This Row],[Tax Rate]]</f>
        <v>-883.43999999999971</v>
      </c>
      <c r="U1690" s="5">
        <f>Final_Table[[#This Row],[Gross Profit]]-Final_Table[[#This Row],[Tax]]</f>
        <v>-2061.3599999999997</v>
      </c>
      <c r="V1690" s="12">
        <f>Final_Table[[#This Row],[Net Profit]]/Final_Table[[#This Row],[Gross Revenue]]</f>
        <v>-0.10104705882352939</v>
      </c>
    </row>
    <row r="1691" spans="1:22">
      <c r="A1691" s="18" t="s">
        <v>79</v>
      </c>
      <c r="B1691">
        <v>2014</v>
      </c>
      <c r="C1691" t="s">
        <v>131</v>
      </c>
      <c r="D1691">
        <v>1</v>
      </c>
      <c r="E1691" s="18" t="s">
        <v>22</v>
      </c>
      <c r="F1691" s="18" t="s">
        <v>112</v>
      </c>
      <c r="G1691" s="18" t="s">
        <v>17</v>
      </c>
      <c r="H1691" s="18" t="str">
        <f>Assumptions!$B$2</f>
        <v>Worst</v>
      </c>
      <c r="I1691" s="18">
        <f>_xlfn.XLOOKUP(Assumptions!$B$2,Assumptions!$F$4:$H$4,Assumptions!$F$5:$H$5)</f>
        <v>1200</v>
      </c>
      <c r="J1691" s="18">
        <f>_xlfn.XLOOKUP(Assumptions!$B$2,Assumptions!$F$4:$H$4,Assumptions!$F$6:$H$6)</f>
        <v>17</v>
      </c>
      <c r="K1691" s="12">
        <f>_xlfn.XLOOKUP(Assumptions!$B$2,Assumptions!$F$4:$H$4,Assumptions!$F$8:$H$8)</f>
        <v>0.1</v>
      </c>
      <c r="L1691" s="12">
        <f>_xlfn.XLOOKUP(Assumptions!$B$2,Assumptions!$F$4:$H$4,Assumptions!$F$9:$H$9)</f>
        <v>0.18</v>
      </c>
      <c r="M1691" s="18">
        <f>_xlfn.XLOOKUP(Assumptions!$B$2,Assumptions!$F$4:$H$4,Assumptions!$F$10:$H$10)</f>
        <v>18000</v>
      </c>
      <c r="N1691" s="12">
        <f>_xlfn.XLOOKUP(Assumptions!$B$2,Assumptions!$F$4:$H$4,Assumptions!$F$11:$H$11)</f>
        <v>0.3</v>
      </c>
      <c r="O1691" s="14">
        <f>Final_Table[[#This Row],[Units Sold]]*Final_Table[[#This Row],[Sale Price]]</f>
        <v>20400</v>
      </c>
      <c r="P1691" s="14">
        <f>Final_Table[[#This Row],[Gross Revenue]]*(1-Final_Table[[#This Row],[Discount %]])</f>
        <v>18360</v>
      </c>
      <c r="Q1691">
        <f>Final_Table[[#This Row],[Net Revenue]]*Final_Table[[#This Row],[Variable Cost %]]</f>
        <v>3304.7999999999997</v>
      </c>
      <c r="R1691">
        <f>Final_Table[[#This Row],[Variable Cost]]+Final_Table[[#This Row],[Fixed Monthly Cost]]</f>
        <v>21304.799999999999</v>
      </c>
      <c r="S1691" s="5">
        <f>Final_Table[[#This Row],[Net Revenue]]-Final_Table[[#This Row],[Total Cost (COGS)]]</f>
        <v>-2944.7999999999993</v>
      </c>
      <c r="T1691">
        <f>Final_Table[[#This Row],[Gross Profit]]*Final_Table[[#This Row],[Tax Rate]]</f>
        <v>-883.43999999999971</v>
      </c>
      <c r="U1691" s="5">
        <f>Final_Table[[#This Row],[Gross Profit]]-Final_Table[[#This Row],[Tax]]</f>
        <v>-2061.3599999999997</v>
      </c>
      <c r="V1691" s="12">
        <f>Final_Table[[#This Row],[Net Profit]]/Final_Table[[#This Row],[Gross Revenue]]</f>
        <v>-0.10104705882352939</v>
      </c>
    </row>
    <row r="1692" spans="1:22">
      <c r="A1692" s="18" t="s">
        <v>79</v>
      </c>
      <c r="B1692">
        <v>2014</v>
      </c>
      <c r="C1692" t="s">
        <v>131</v>
      </c>
      <c r="D1692">
        <v>1</v>
      </c>
      <c r="E1692" s="18" t="s">
        <v>22</v>
      </c>
      <c r="F1692" s="18" t="s">
        <v>113</v>
      </c>
      <c r="G1692" s="18" t="s">
        <v>36</v>
      </c>
      <c r="H1692" s="18" t="str">
        <f>Assumptions!$B$2</f>
        <v>Worst</v>
      </c>
      <c r="I1692" s="18">
        <f>_xlfn.XLOOKUP(Assumptions!$B$2,Assumptions!$F$4:$H$4,Assumptions!$F$5:$H$5)</f>
        <v>1200</v>
      </c>
      <c r="J1692" s="18">
        <f>_xlfn.XLOOKUP(Assumptions!$B$2,Assumptions!$F$4:$H$4,Assumptions!$F$6:$H$6)</f>
        <v>17</v>
      </c>
      <c r="K1692" s="12">
        <f>_xlfn.XLOOKUP(Assumptions!$B$2,Assumptions!$F$4:$H$4,Assumptions!$F$8:$H$8)</f>
        <v>0.1</v>
      </c>
      <c r="L1692" s="12">
        <f>_xlfn.XLOOKUP(Assumptions!$B$2,Assumptions!$F$4:$H$4,Assumptions!$F$9:$H$9)</f>
        <v>0.18</v>
      </c>
      <c r="M1692" s="18">
        <f>_xlfn.XLOOKUP(Assumptions!$B$2,Assumptions!$F$4:$H$4,Assumptions!$F$10:$H$10)</f>
        <v>18000</v>
      </c>
      <c r="N1692" s="12">
        <f>_xlfn.XLOOKUP(Assumptions!$B$2,Assumptions!$F$4:$H$4,Assumptions!$F$11:$H$11)</f>
        <v>0.3</v>
      </c>
      <c r="O1692" s="14">
        <f>Final_Table[[#This Row],[Units Sold]]*Final_Table[[#This Row],[Sale Price]]</f>
        <v>20400</v>
      </c>
      <c r="P1692" s="14">
        <f>Final_Table[[#This Row],[Gross Revenue]]*(1-Final_Table[[#This Row],[Discount %]])</f>
        <v>18360</v>
      </c>
      <c r="Q1692">
        <f>Final_Table[[#This Row],[Net Revenue]]*Final_Table[[#This Row],[Variable Cost %]]</f>
        <v>3304.7999999999997</v>
      </c>
      <c r="R1692">
        <f>Final_Table[[#This Row],[Variable Cost]]+Final_Table[[#This Row],[Fixed Monthly Cost]]</f>
        <v>21304.799999999999</v>
      </c>
      <c r="S1692" s="5">
        <f>Final_Table[[#This Row],[Net Revenue]]-Final_Table[[#This Row],[Total Cost (COGS)]]</f>
        <v>-2944.7999999999993</v>
      </c>
      <c r="T1692">
        <f>Final_Table[[#This Row],[Gross Profit]]*Final_Table[[#This Row],[Tax Rate]]</f>
        <v>-883.43999999999971</v>
      </c>
      <c r="U1692" s="5">
        <f>Final_Table[[#This Row],[Gross Profit]]-Final_Table[[#This Row],[Tax]]</f>
        <v>-2061.3599999999997</v>
      </c>
      <c r="V1692" s="12">
        <f>Final_Table[[#This Row],[Net Profit]]/Final_Table[[#This Row],[Gross Revenue]]</f>
        <v>-0.10104705882352939</v>
      </c>
    </row>
    <row r="1693" spans="1:22">
      <c r="A1693" s="18" t="s">
        <v>79</v>
      </c>
      <c r="B1693">
        <v>2014</v>
      </c>
      <c r="C1693" t="s">
        <v>131</v>
      </c>
      <c r="D1693">
        <v>1</v>
      </c>
      <c r="E1693" s="18" t="s">
        <v>22</v>
      </c>
      <c r="F1693" s="18" t="s">
        <v>113</v>
      </c>
      <c r="G1693" s="18" t="s">
        <v>23</v>
      </c>
      <c r="H1693" s="18" t="str">
        <f>Assumptions!$B$2</f>
        <v>Worst</v>
      </c>
      <c r="I1693" s="18">
        <f>_xlfn.XLOOKUP(Assumptions!$B$2,Assumptions!$F$4:$H$4,Assumptions!$F$5:$H$5)</f>
        <v>1200</v>
      </c>
      <c r="J1693" s="18">
        <f>_xlfn.XLOOKUP(Assumptions!$B$2,Assumptions!$F$4:$H$4,Assumptions!$F$6:$H$6)</f>
        <v>17</v>
      </c>
      <c r="K1693" s="12">
        <f>_xlfn.XLOOKUP(Assumptions!$B$2,Assumptions!$F$4:$H$4,Assumptions!$F$8:$H$8)</f>
        <v>0.1</v>
      </c>
      <c r="L1693" s="12">
        <f>_xlfn.XLOOKUP(Assumptions!$B$2,Assumptions!$F$4:$H$4,Assumptions!$F$9:$H$9)</f>
        <v>0.18</v>
      </c>
      <c r="M1693" s="18">
        <f>_xlfn.XLOOKUP(Assumptions!$B$2,Assumptions!$F$4:$H$4,Assumptions!$F$10:$H$10)</f>
        <v>18000</v>
      </c>
      <c r="N1693" s="12">
        <f>_xlfn.XLOOKUP(Assumptions!$B$2,Assumptions!$F$4:$H$4,Assumptions!$F$11:$H$11)</f>
        <v>0.3</v>
      </c>
      <c r="O1693" s="14">
        <f>Final_Table[[#This Row],[Units Sold]]*Final_Table[[#This Row],[Sale Price]]</f>
        <v>20400</v>
      </c>
      <c r="P1693" s="14">
        <f>Final_Table[[#This Row],[Gross Revenue]]*(1-Final_Table[[#This Row],[Discount %]])</f>
        <v>18360</v>
      </c>
      <c r="Q1693">
        <f>Final_Table[[#This Row],[Net Revenue]]*Final_Table[[#This Row],[Variable Cost %]]</f>
        <v>3304.7999999999997</v>
      </c>
      <c r="R1693">
        <f>Final_Table[[#This Row],[Variable Cost]]+Final_Table[[#This Row],[Fixed Monthly Cost]]</f>
        <v>21304.799999999999</v>
      </c>
      <c r="S1693" s="5">
        <f>Final_Table[[#This Row],[Net Revenue]]-Final_Table[[#This Row],[Total Cost (COGS)]]</f>
        <v>-2944.7999999999993</v>
      </c>
      <c r="T1693">
        <f>Final_Table[[#This Row],[Gross Profit]]*Final_Table[[#This Row],[Tax Rate]]</f>
        <v>-883.43999999999971</v>
      </c>
      <c r="U1693" s="5">
        <f>Final_Table[[#This Row],[Gross Profit]]-Final_Table[[#This Row],[Tax]]</f>
        <v>-2061.3599999999997</v>
      </c>
      <c r="V1693" s="12">
        <f>Final_Table[[#This Row],[Net Profit]]/Final_Table[[#This Row],[Gross Revenue]]</f>
        <v>-0.10104705882352939</v>
      </c>
    </row>
    <row r="1694" spans="1:22">
      <c r="A1694" s="18" t="s">
        <v>79</v>
      </c>
      <c r="B1694">
        <v>2014</v>
      </c>
      <c r="C1694" t="s">
        <v>131</v>
      </c>
      <c r="D1694">
        <v>1</v>
      </c>
      <c r="E1694" s="18" t="s">
        <v>22</v>
      </c>
      <c r="F1694" s="18" t="s">
        <v>113</v>
      </c>
      <c r="G1694" s="18" t="s">
        <v>21</v>
      </c>
      <c r="H1694" s="18" t="str">
        <f>Assumptions!$B$2</f>
        <v>Worst</v>
      </c>
      <c r="I1694" s="18">
        <f>_xlfn.XLOOKUP(Assumptions!$B$2,Assumptions!$F$4:$H$4,Assumptions!$F$5:$H$5)</f>
        <v>1200</v>
      </c>
      <c r="J1694" s="18">
        <f>_xlfn.XLOOKUP(Assumptions!$B$2,Assumptions!$F$4:$H$4,Assumptions!$F$6:$H$6)</f>
        <v>17</v>
      </c>
      <c r="K1694" s="12">
        <f>_xlfn.XLOOKUP(Assumptions!$B$2,Assumptions!$F$4:$H$4,Assumptions!$F$8:$H$8)</f>
        <v>0.1</v>
      </c>
      <c r="L1694" s="12">
        <f>_xlfn.XLOOKUP(Assumptions!$B$2,Assumptions!$F$4:$H$4,Assumptions!$F$9:$H$9)</f>
        <v>0.18</v>
      </c>
      <c r="M1694" s="18">
        <f>_xlfn.XLOOKUP(Assumptions!$B$2,Assumptions!$F$4:$H$4,Assumptions!$F$10:$H$10)</f>
        <v>18000</v>
      </c>
      <c r="N1694" s="12">
        <f>_xlfn.XLOOKUP(Assumptions!$B$2,Assumptions!$F$4:$H$4,Assumptions!$F$11:$H$11)</f>
        <v>0.3</v>
      </c>
      <c r="O1694" s="14">
        <f>Final_Table[[#This Row],[Units Sold]]*Final_Table[[#This Row],[Sale Price]]</f>
        <v>20400</v>
      </c>
      <c r="P1694" s="14">
        <f>Final_Table[[#This Row],[Gross Revenue]]*(1-Final_Table[[#This Row],[Discount %]])</f>
        <v>18360</v>
      </c>
      <c r="Q1694">
        <f>Final_Table[[#This Row],[Net Revenue]]*Final_Table[[#This Row],[Variable Cost %]]</f>
        <v>3304.7999999999997</v>
      </c>
      <c r="R1694">
        <f>Final_Table[[#This Row],[Variable Cost]]+Final_Table[[#This Row],[Fixed Monthly Cost]]</f>
        <v>21304.799999999999</v>
      </c>
      <c r="S1694" s="5">
        <f>Final_Table[[#This Row],[Net Revenue]]-Final_Table[[#This Row],[Total Cost (COGS)]]</f>
        <v>-2944.7999999999993</v>
      </c>
      <c r="T1694">
        <f>Final_Table[[#This Row],[Gross Profit]]*Final_Table[[#This Row],[Tax Rate]]</f>
        <v>-883.43999999999971</v>
      </c>
      <c r="U1694" s="5">
        <f>Final_Table[[#This Row],[Gross Profit]]-Final_Table[[#This Row],[Tax]]</f>
        <v>-2061.3599999999997</v>
      </c>
      <c r="V1694" s="12">
        <f>Final_Table[[#This Row],[Net Profit]]/Final_Table[[#This Row],[Gross Revenue]]</f>
        <v>-0.10104705882352939</v>
      </c>
    </row>
    <row r="1695" spans="1:22">
      <c r="A1695" s="18" t="s">
        <v>79</v>
      </c>
      <c r="B1695">
        <v>2014</v>
      </c>
      <c r="C1695" t="s">
        <v>131</v>
      </c>
      <c r="D1695">
        <v>1</v>
      </c>
      <c r="E1695" s="18" t="s">
        <v>22</v>
      </c>
      <c r="F1695" s="18" t="s">
        <v>113</v>
      </c>
      <c r="G1695" s="18" t="s">
        <v>25</v>
      </c>
      <c r="H1695" s="18" t="str">
        <f>Assumptions!$B$2</f>
        <v>Worst</v>
      </c>
      <c r="I1695" s="18">
        <f>_xlfn.XLOOKUP(Assumptions!$B$2,Assumptions!$F$4:$H$4,Assumptions!$F$5:$H$5)</f>
        <v>1200</v>
      </c>
      <c r="J1695" s="18">
        <f>_xlfn.XLOOKUP(Assumptions!$B$2,Assumptions!$F$4:$H$4,Assumptions!$F$6:$H$6)</f>
        <v>17</v>
      </c>
      <c r="K1695" s="12">
        <f>_xlfn.XLOOKUP(Assumptions!$B$2,Assumptions!$F$4:$H$4,Assumptions!$F$8:$H$8)</f>
        <v>0.1</v>
      </c>
      <c r="L1695" s="12">
        <f>_xlfn.XLOOKUP(Assumptions!$B$2,Assumptions!$F$4:$H$4,Assumptions!$F$9:$H$9)</f>
        <v>0.18</v>
      </c>
      <c r="M1695" s="18">
        <f>_xlfn.XLOOKUP(Assumptions!$B$2,Assumptions!$F$4:$H$4,Assumptions!$F$10:$H$10)</f>
        <v>18000</v>
      </c>
      <c r="N1695" s="12">
        <f>_xlfn.XLOOKUP(Assumptions!$B$2,Assumptions!$F$4:$H$4,Assumptions!$F$11:$H$11)</f>
        <v>0.3</v>
      </c>
      <c r="O1695" s="14">
        <f>Final_Table[[#This Row],[Units Sold]]*Final_Table[[#This Row],[Sale Price]]</f>
        <v>20400</v>
      </c>
      <c r="P1695" s="14">
        <f>Final_Table[[#This Row],[Gross Revenue]]*(1-Final_Table[[#This Row],[Discount %]])</f>
        <v>18360</v>
      </c>
      <c r="Q1695">
        <f>Final_Table[[#This Row],[Net Revenue]]*Final_Table[[#This Row],[Variable Cost %]]</f>
        <v>3304.7999999999997</v>
      </c>
      <c r="R1695">
        <f>Final_Table[[#This Row],[Variable Cost]]+Final_Table[[#This Row],[Fixed Monthly Cost]]</f>
        <v>21304.799999999999</v>
      </c>
      <c r="S1695" s="5">
        <f>Final_Table[[#This Row],[Net Revenue]]-Final_Table[[#This Row],[Total Cost (COGS)]]</f>
        <v>-2944.7999999999993</v>
      </c>
      <c r="T1695">
        <f>Final_Table[[#This Row],[Gross Profit]]*Final_Table[[#This Row],[Tax Rate]]</f>
        <v>-883.43999999999971</v>
      </c>
      <c r="U1695" s="5">
        <f>Final_Table[[#This Row],[Gross Profit]]-Final_Table[[#This Row],[Tax]]</f>
        <v>-2061.3599999999997</v>
      </c>
      <c r="V1695" s="12">
        <f>Final_Table[[#This Row],[Net Profit]]/Final_Table[[#This Row],[Gross Revenue]]</f>
        <v>-0.10104705882352939</v>
      </c>
    </row>
    <row r="1696" spans="1:22">
      <c r="A1696" s="18" t="s">
        <v>79</v>
      </c>
      <c r="B1696">
        <v>2014</v>
      </c>
      <c r="C1696" t="s">
        <v>131</v>
      </c>
      <c r="D1696">
        <v>1</v>
      </c>
      <c r="E1696" s="18" t="s">
        <v>22</v>
      </c>
      <c r="F1696" s="18" t="s">
        <v>113</v>
      </c>
      <c r="G1696" s="18" t="s">
        <v>17</v>
      </c>
      <c r="H1696" s="18" t="str">
        <f>Assumptions!$B$2</f>
        <v>Worst</v>
      </c>
      <c r="I1696" s="18">
        <f>_xlfn.XLOOKUP(Assumptions!$B$2,Assumptions!$F$4:$H$4,Assumptions!$F$5:$H$5)</f>
        <v>1200</v>
      </c>
      <c r="J1696" s="18">
        <f>_xlfn.XLOOKUP(Assumptions!$B$2,Assumptions!$F$4:$H$4,Assumptions!$F$6:$H$6)</f>
        <v>17</v>
      </c>
      <c r="K1696" s="12">
        <f>_xlfn.XLOOKUP(Assumptions!$B$2,Assumptions!$F$4:$H$4,Assumptions!$F$8:$H$8)</f>
        <v>0.1</v>
      </c>
      <c r="L1696" s="12">
        <f>_xlfn.XLOOKUP(Assumptions!$B$2,Assumptions!$F$4:$H$4,Assumptions!$F$9:$H$9)</f>
        <v>0.18</v>
      </c>
      <c r="M1696" s="18">
        <f>_xlfn.XLOOKUP(Assumptions!$B$2,Assumptions!$F$4:$H$4,Assumptions!$F$10:$H$10)</f>
        <v>18000</v>
      </c>
      <c r="N1696" s="12">
        <f>_xlfn.XLOOKUP(Assumptions!$B$2,Assumptions!$F$4:$H$4,Assumptions!$F$11:$H$11)</f>
        <v>0.3</v>
      </c>
      <c r="O1696" s="14">
        <f>Final_Table[[#This Row],[Units Sold]]*Final_Table[[#This Row],[Sale Price]]</f>
        <v>20400</v>
      </c>
      <c r="P1696" s="14">
        <f>Final_Table[[#This Row],[Gross Revenue]]*(1-Final_Table[[#This Row],[Discount %]])</f>
        <v>18360</v>
      </c>
      <c r="Q1696">
        <f>Final_Table[[#This Row],[Net Revenue]]*Final_Table[[#This Row],[Variable Cost %]]</f>
        <v>3304.7999999999997</v>
      </c>
      <c r="R1696">
        <f>Final_Table[[#This Row],[Variable Cost]]+Final_Table[[#This Row],[Fixed Monthly Cost]]</f>
        <v>21304.799999999999</v>
      </c>
      <c r="S1696" s="5">
        <f>Final_Table[[#This Row],[Net Revenue]]-Final_Table[[#This Row],[Total Cost (COGS)]]</f>
        <v>-2944.7999999999993</v>
      </c>
      <c r="T1696">
        <f>Final_Table[[#This Row],[Gross Profit]]*Final_Table[[#This Row],[Tax Rate]]</f>
        <v>-883.43999999999971</v>
      </c>
      <c r="U1696" s="5">
        <f>Final_Table[[#This Row],[Gross Profit]]-Final_Table[[#This Row],[Tax]]</f>
        <v>-2061.3599999999997</v>
      </c>
      <c r="V1696" s="12">
        <f>Final_Table[[#This Row],[Net Profit]]/Final_Table[[#This Row],[Gross Revenue]]</f>
        <v>-0.10104705882352939</v>
      </c>
    </row>
    <row r="1697" spans="1:22">
      <c r="A1697" s="18" t="s">
        <v>79</v>
      </c>
      <c r="B1697">
        <v>2014</v>
      </c>
      <c r="C1697" t="s">
        <v>131</v>
      </c>
      <c r="D1697">
        <v>1</v>
      </c>
      <c r="E1697" s="18" t="s">
        <v>22</v>
      </c>
      <c r="F1697" s="18" t="s">
        <v>114</v>
      </c>
      <c r="G1697" s="18" t="s">
        <v>36</v>
      </c>
      <c r="H1697" s="18" t="str">
        <f>Assumptions!$B$2</f>
        <v>Worst</v>
      </c>
      <c r="I1697" s="18">
        <f>_xlfn.XLOOKUP(Assumptions!$B$2,Assumptions!$F$4:$H$4,Assumptions!$F$5:$H$5)</f>
        <v>1200</v>
      </c>
      <c r="J1697" s="18">
        <f>_xlfn.XLOOKUP(Assumptions!$B$2,Assumptions!$F$4:$H$4,Assumptions!$F$6:$H$6)</f>
        <v>17</v>
      </c>
      <c r="K1697" s="12">
        <f>_xlfn.XLOOKUP(Assumptions!$B$2,Assumptions!$F$4:$H$4,Assumptions!$F$8:$H$8)</f>
        <v>0.1</v>
      </c>
      <c r="L1697" s="12">
        <f>_xlfn.XLOOKUP(Assumptions!$B$2,Assumptions!$F$4:$H$4,Assumptions!$F$9:$H$9)</f>
        <v>0.18</v>
      </c>
      <c r="M1697" s="18">
        <f>_xlfn.XLOOKUP(Assumptions!$B$2,Assumptions!$F$4:$H$4,Assumptions!$F$10:$H$10)</f>
        <v>18000</v>
      </c>
      <c r="N1697" s="12">
        <f>_xlfn.XLOOKUP(Assumptions!$B$2,Assumptions!$F$4:$H$4,Assumptions!$F$11:$H$11)</f>
        <v>0.3</v>
      </c>
      <c r="O1697" s="14">
        <f>Final_Table[[#This Row],[Units Sold]]*Final_Table[[#This Row],[Sale Price]]</f>
        <v>20400</v>
      </c>
      <c r="P1697" s="14">
        <f>Final_Table[[#This Row],[Gross Revenue]]*(1-Final_Table[[#This Row],[Discount %]])</f>
        <v>18360</v>
      </c>
      <c r="Q1697">
        <f>Final_Table[[#This Row],[Net Revenue]]*Final_Table[[#This Row],[Variable Cost %]]</f>
        <v>3304.7999999999997</v>
      </c>
      <c r="R1697">
        <f>Final_Table[[#This Row],[Variable Cost]]+Final_Table[[#This Row],[Fixed Monthly Cost]]</f>
        <v>21304.799999999999</v>
      </c>
      <c r="S1697" s="5">
        <f>Final_Table[[#This Row],[Net Revenue]]-Final_Table[[#This Row],[Total Cost (COGS)]]</f>
        <v>-2944.7999999999993</v>
      </c>
      <c r="T1697">
        <f>Final_Table[[#This Row],[Gross Profit]]*Final_Table[[#This Row],[Tax Rate]]</f>
        <v>-883.43999999999971</v>
      </c>
      <c r="U1697" s="5">
        <f>Final_Table[[#This Row],[Gross Profit]]-Final_Table[[#This Row],[Tax]]</f>
        <v>-2061.3599999999997</v>
      </c>
      <c r="V1697" s="12">
        <f>Final_Table[[#This Row],[Net Profit]]/Final_Table[[#This Row],[Gross Revenue]]</f>
        <v>-0.10104705882352939</v>
      </c>
    </row>
    <row r="1698" spans="1:22">
      <c r="A1698" s="18" t="s">
        <v>79</v>
      </c>
      <c r="B1698">
        <v>2014</v>
      </c>
      <c r="C1698" t="s">
        <v>131</v>
      </c>
      <c r="D1698">
        <v>1</v>
      </c>
      <c r="E1698" s="18" t="s">
        <v>22</v>
      </c>
      <c r="F1698" s="18" t="s">
        <v>114</v>
      </c>
      <c r="G1698" s="18" t="s">
        <v>23</v>
      </c>
      <c r="H1698" s="18" t="str">
        <f>Assumptions!$B$2</f>
        <v>Worst</v>
      </c>
      <c r="I1698" s="18">
        <f>_xlfn.XLOOKUP(Assumptions!$B$2,Assumptions!$F$4:$H$4,Assumptions!$F$5:$H$5)</f>
        <v>1200</v>
      </c>
      <c r="J1698" s="18">
        <f>_xlfn.XLOOKUP(Assumptions!$B$2,Assumptions!$F$4:$H$4,Assumptions!$F$6:$H$6)</f>
        <v>17</v>
      </c>
      <c r="K1698" s="12">
        <f>_xlfn.XLOOKUP(Assumptions!$B$2,Assumptions!$F$4:$H$4,Assumptions!$F$8:$H$8)</f>
        <v>0.1</v>
      </c>
      <c r="L1698" s="12">
        <f>_xlfn.XLOOKUP(Assumptions!$B$2,Assumptions!$F$4:$H$4,Assumptions!$F$9:$H$9)</f>
        <v>0.18</v>
      </c>
      <c r="M1698" s="18">
        <f>_xlfn.XLOOKUP(Assumptions!$B$2,Assumptions!$F$4:$H$4,Assumptions!$F$10:$H$10)</f>
        <v>18000</v>
      </c>
      <c r="N1698" s="12">
        <f>_xlfn.XLOOKUP(Assumptions!$B$2,Assumptions!$F$4:$H$4,Assumptions!$F$11:$H$11)</f>
        <v>0.3</v>
      </c>
      <c r="O1698" s="14">
        <f>Final_Table[[#This Row],[Units Sold]]*Final_Table[[#This Row],[Sale Price]]</f>
        <v>20400</v>
      </c>
      <c r="P1698" s="14">
        <f>Final_Table[[#This Row],[Gross Revenue]]*(1-Final_Table[[#This Row],[Discount %]])</f>
        <v>18360</v>
      </c>
      <c r="Q1698">
        <f>Final_Table[[#This Row],[Net Revenue]]*Final_Table[[#This Row],[Variable Cost %]]</f>
        <v>3304.7999999999997</v>
      </c>
      <c r="R1698">
        <f>Final_Table[[#This Row],[Variable Cost]]+Final_Table[[#This Row],[Fixed Monthly Cost]]</f>
        <v>21304.799999999999</v>
      </c>
      <c r="S1698" s="5">
        <f>Final_Table[[#This Row],[Net Revenue]]-Final_Table[[#This Row],[Total Cost (COGS)]]</f>
        <v>-2944.7999999999993</v>
      </c>
      <c r="T1698">
        <f>Final_Table[[#This Row],[Gross Profit]]*Final_Table[[#This Row],[Tax Rate]]</f>
        <v>-883.43999999999971</v>
      </c>
      <c r="U1698" s="5">
        <f>Final_Table[[#This Row],[Gross Profit]]-Final_Table[[#This Row],[Tax]]</f>
        <v>-2061.3599999999997</v>
      </c>
      <c r="V1698" s="12">
        <f>Final_Table[[#This Row],[Net Profit]]/Final_Table[[#This Row],[Gross Revenue]]</f>
        <v>-0.10104705882352939</v>
      </c>
    </row>
    <row r="1699" spans="1:22">
      <c r="A1699" s="18" t="s">
        <v>79</v>
      </c>
      <c r="B1699">
        <v>2014</v>
      </c>
      <c r="C1699" t="s">
        <v>131</v>
      </c>
      <c r="D1699">
        <v>1</v>
      </c>
      <c r="E1699" s="18" t="s">
        <v>22</v>
      </c>
      <c r="F1699" s="18" t="s">
        <v>114</v>
      </c>
      <c r="G1699" s="18" t="s">
        <v>21</v>
      </c>
      <c r="H1699" s="18" t="str">
        <f>Assumptions!$B$2</f>
        <v>Worst</v>
      </c>
      <c r="I1699" s="18">
        <f>_xlfn.XLOOKUP(Assumptions!$B$2,Assumptions!$F$4:$H$4,Assumptions!$F$5:$H$5)</f>
        <v>1200</v>
      </c>
      <c r="J1699" s="18">
        <f>_xlfn.XLOOKUP(Assumptions!$B$2,Assumptions!$F$4:$H$4,Assumptions!$F$6:$H$6)</f>
        <v>17</v>
      </c>
      <c r="K1699" s="12">
        <f>_xlfn.XLOOKUP(Assumptions!$B$2,Assumptions!$F$4:$H$4,Assumptions!$F$8:$H$8)</f>
        <v>0.1</v>
      </c>
      <c r="L1699" s="12">
        <f>_xlfn.XLOOKUP(Assumptions!$B$2,Assumptions!$F$4:$H$4,Assumptions!$F$9:$H$9)</f>
        <v>0.18</v>
      </c>
      <c r="M1699" s="18">
        <f>_xlfn.XLOOKUP(Assumptions!$B$2,Assumptions!$F$4:$H$4,Assumptions!$F$10:$H$10)</f>
        <v>18000</v>
      </c>
      <c r="N1699" s="12">
        <f>_xlfn.XLOOKUP(Assumptions!$B$2,Assumptions!$F$4:$H$4,Assumptions!$F$11:$H$11)</f>
        <v>0.3</v>
      </c>
      <c r="O1699" s="14">
        <f>Final_Table[[#This Row],[Units Sold]]*Final_Table[[#This Row],[Sale Price]]</f>
        <v>20400</v>
      </c>
      <c r="P1699" s="14">
        <f>Final_Table[[#This Row],[Gross Revenue]]*(1-Final_Table[[#This Row],[Discount %]])</f>
        <v>18360</v>
      </c>
      <c r="Q1699">
        <f>Final_Table[[#This Row],[Net Revenue]]*Final_Table[[#This Row],[Variable Cost %]]</f>
        <v>3304.7999999999997</v>
      </c>
      <c r="R1699">
        <f>Final_Table[[#This Row],[Variable Cost]]+Final_Table[[#This Row],[Fixed Monthly Cost]]</f>
        <v>21304.799999999999</v>
      </c>
      <c r="S1699" s="5">
        <f>Final_Table[[#This Row],[Net Revenue]]-Final_Table[[#This Row],[Total Cost (COGS)]]</f>
        <v>-2944.7999999999993</v>
      </c>
      <c r="T1699">
        <f>Final_Table[[#This Row],[Gross Profit]]*Final_Table[[#This Row],[Tax Rate]]</f>
        <v>-883.43999999999971</v>
      </c>
      <c r="U1699" s="5">
        <f>Final_Table[[#This Row],[Gross Profit]]-Final_Table[[#This Row],[Tax]]</f>
        <v>-2061.3599999999997</v>
      </c>
      <c r="V1699" s="12">
        <f>Final_Table[[#This Row],[Net Profit]]/Final_Table[[#This Row],[Gross Revenue]]</f>
        <v>-0.10104705882352939</v>
      </c>
    </row>
    <row r="1700" spans="1:22">
      <c r="A1700" s="18" t="s">
        <v>79</v>
      </c>
      <c r="B1700">
        <v>2014</v>
      </c>
      <c r="C1700" t="s">
        <v>131</v>
      </c>
      <c r="D1700">
        <v>1</v>
      </c>
      <c r="E1700" s="18" t="s">
        <v>22</v>
      </c>
      <c r="F1700" s="18" t="s">
        <v>114</v>
      </c>
      <c r="G1700" s="18" t="s">
        <v>25</v>
      </c>
      <c r="H1700" s="18" t="str">
        <f>Assumptions!$B$2</f>
        <v>Worst</v>
      </c>
      <c r="I1700" s="18">
        <f>_xlfn.XLOOKUP(Assumptions!$B$2,Assumptions!$F$4:$H$4,Assumptions!$F$5:$H$5)</f>
        <v>1200</v>
      </c>
      <c r="J1700" s="18">
        <f>_xlfn.XLOOKUP(Assumptions!$B$2,Assumptions!$F$4:$H$4,Assumptions!$F$6:$H$6)</f>
        <v>17</v>
      </c>
      <c r="K1700" s="12">
        <f>_xlfn.XLOOKUP(Assumptions!$B$2,Assumptions!$F$4:$H$4,Assumptions!$F$8:$H$8)</f>
        <v>0.1</v>
      </c>
      <c r="L1700" s="12">
        <f>_xlfn.XLOOKUP(Assumptions!$B$2,Assumptions!$F$4:$H$4,Assumptions!$F$9:$H$9)</f>
        <v>0.18</v>
      </c>
      <c r="M1700" s="18">
        <f>_xlfn.XLOOKUP(Assumptions!$B$2,Assumptions!$F$4:$H$4,Assumptions!$F$10:$H$10)</f>
        <v>18000</v>
      </c>
      <c r="N1700" s="12">
        <f>_xlfn.XLOOKUP(Assumptions!$B$2,Assumptions!$F$4:$H$4,Assumptions!$F$11:$H$11)</f>
        <v>0.3</v>
      </c>
      <c r="O1700" s="14">
        <f>Final_Table[[#This Row],[Units Sold]]*Final_Table[[#This Row],[Sale Price]]</f>
        <v>20400</v>
      </c>
      <c r="P1700" s="14">
        <f>Final_Table[[#This Row],[Gross Revenue]]*(1-Final_Table[[#This Row],[Discount %]])</f>
        <v>18360</v>
      </c>
      <c r="Q1700">
        <f>Final_Table[[#This Row],[Net Revenue]]*Final_Table[[#This Row],[Variable Cost %]]</f>
        <v>3304.7999999999997</v>
      </c>
      <c r="R1700">
        <f>Final_Table[[#This Row],[Variable Cost]]+Final_Table[[#This Row],[Fixed Monthly Cost]]</f>
        <v>21304.799999999999</v>
      </c>
      <c r="S1700" s="5">
        <f>Final_Table[[#This Row],[Net Revenue]]-Final_Table[[#This Row],[Total Cost (COGS)]]</f>
        <v>-2944.7999999999993</v>
      </c>
      <c r="T1700">
        <f>Final_Table[[#This Row],[Gross Profit]]*Final_Table[[#This Row],[Tax Rate]]</f>
        <v>-883.43999999999971</v>
      </c>
      <c r="U1700" s="5">
        <f>Final_Table[[#This Row],[Gross Profit]]-Final_Table[[#This Row],[Tax]]</f>
        <v>-2061.3599999999997</v>
      </c>
      <c r="V1700" s="12">
        <f>Final_Table[[#This Row],[Net Profit]]/Final_Table[[#This Row],[Gross Revenue]]</f>
        <v>-0.10104705882352939</v>
      </c>
    </row>
    <row r="1701" spans="1:22">
      <c r="A1701" s="18" t="s">
        <v>79</v>
      </c>
      <c r="B1701">
        <v>2014</v>
      </c>
      <c r="C1701" t="s">
        <v>131</v>
      </c>
      <c r="D1701">
        <v>1</v>
      </c>
      <c r="E1701" s="18" t="s">
        <v>22</v>
      </c>
      <c r="F1701" s="18" t="s">
        <v>114</v>
      </c>
      <c r="G1701" s="18" t="s">
        <v>17</v>
      </c>
      <c r="H1701" s="18" t="str">
        <f>Assumptions!$B$2</f>
        <v>Worst</v>
      </c>
      <c r="I1701" s="18">
        <f>_xlfn.XLOOKUP(Assumptions!$B$2,Assumptions!$F$4:$H$4,Assumptions!$F$5:$H$5)</f>
        <v>1200</v>
      </c>
      <c r="J1701" s="18">
        <f>_xlfn.XLOOKUP(Assumptions!$B$2,Assumptions!$F$4:$H$4,Assumptions!$F$6:$H$6)</f>
        <v>17</v>
      </c>
      <c r="K1701" s="12">
        <f>_xlfn.XLOOKUP(Assumptions!$B$2,Assumptions!$F$4:$H$4,Assumptions!$F$8:$H$8)</f>
        <v>0.1</v>
      </c>
      <c r="L1701" s="12">
        <f>_xlfn.XLOOKUP(Assumptions!$B$2,Assumptions!$F$4:$H$4,Assumptions!$F$9:$H$9)</f>
        <v>0.18</v>
      </c>
      <c r="M1701" s="18">
        <f>_xlfn.XLOOKUP(Assumptions!$B$2,Assumptions!$F$4:$H$4,Assumptions!$F$10:$H$10)</f>
        <v>18000</v>
      </c>
      <c r="N1701" s="12">
        <f>_xlfn.XLOOKUP(Assumptions!$B$2,Assumptions!$F$4:$H$4,Assumptions!$F$11:$H$11)</f>
        <v>0.3</v>
      </c>
      <c r="O1701" s="14">
        <f>Final_Table[[#This Row],[Units Sold]]*Final_Table[[#This Row],[Sale Price]]</f>
        <v>20400</v>
      </c>
      <c r="P1701" s="14">
        <f>Final_Table[[#This Row],[Gross Revenue]]*(1-Final_Table[[#This Row],[Discount %]])</f>
        <v>18360</v>
      </c>
      <c r="Q1701">
        <f>Final_Table[[#This Row],[Net Revenue]]*Final_Table[[#This Row],[Variable Cost %]]</f>
        <v>3304.7999999999997</v>
      </c>
      <c r="R1701">
        <f>Final_Table[[#This Row],[Variable Cost]]+Final_Table[[#This Row],[Fixed Monthly Cost]]</f>
        <v>21304.799999999999</v>
      </c>
      <c r="S1701" s="5">
        <f>Final_Table[[#This Row],[Net Revenue]]-Final_Table[[#This Row],[Total Cost (COGS)]]</f>
        <v>-2944.7999999999993</v>
      </c>
      <c r="T1701">
        <f>Final_Table[[#This Row],[Gross Profit]]*Final_Table[[#This Row],[Tax Rate]]</f>
        <v>-883.43999999999971</v>
      </c>
      <c r="U1701" s="5">
        <f>Final_Table[[#This Row],[Gross Profit]]-Final_Table[[#This Row],[Tax]]</f>
        <v>-2061.3599999999997</v>
      </c>
      <c r="V1701" s="12">
        <f>Final_Table[[#This Row],[Net Profit]]/Final_Table[[#This Row],[Gross Revenue]]</f>
        <v>-0.10104705882352939</v>
      </c>
    </row>
    <row r="1702" spans="1:22">
      <c r="A1702" s="18" t="s">
        <v>79</v>
      </c>
      <c r="B1702">
        <v>2014</v>
      </c>
      <c r="C1702" t="s">
        <v>131</v>
      </c>
      <c r="D1702">
        <v>1</v>
      </c>
      <c r="E1702" s="18" t="s">
        <v>16</v>
      </c>
      <c r="F1702" s="18" t="s">
        <v>80</v>
      </c>
      <c r="G1702" s="18" t="s">
        <v>36</v>
      </c>
      <c r="H1702" s="18" t="str">
        <f>Assumptions!$B$2</f>
        <v>Worst</v>
      </c>
      <c r="I1702" s="18">
        <f>_xlfn.XLOOKUP(Assumptions!$B$2,Assumptions!$F$4:$H$4,Assumptions!$F$5:$H$5)</f>
        <v>1200</v>
      </c>
      <c r="J1702" s="18">
        <f>_xlfn.XLOOKUP(Assumptions!$B$2,Assumptions!$F$4:$H$4,Assumptions!$F$6:$H$6)</f>
        <v>17</v>
      </c>
      <c r="K1702" s="12">
        <f>_xlfn.XLOOKUP(Assumptions!$B$2,Assumptions!$F$4:$H$4,Assumptions!$F$8:$H$8)</f>
        <v>0.1</v>
      </c>
      <c r="L1702" s="12">
        <f>_xlfn.XLOOKUP(Assumptions!$B$2,Assumptions!$F$4:$H$4,Assumptions!$F$9:$H$9)</f>
        <v>0.18</v>
      </c>
      <c r="M1702" s="18">
        <f>_xlfn.XLOOKUP(Assumptions!$B$2,Assumptions!$F$4:$H$4,Assumptions!$F$10:$H$10)</f>
        <v>18000</v>
      </c>
      <c r="N1702" s="12">
        <f>_xlfn.XLOOKUP(Assumptions!$B$2,Assumptions!$F$4:$H$4,Assumptions!$F$11:$H$11)</f>
        <v>0.3</v>
      </c>
      <c r="O1702" s="14">
        <f>Final_Table[[#This Row],[Units Sold]]*Final_Table[[#This Row],[Sale Price]]</f>
        <v>20400</v>
      </c>
      <c r="P1702" s="14">
        <f>Final_Table[[#This Row],[Gross Revenue]]*(1-Final_Table[[#This Row],[Discount %]])</f>
        <v>18360</v>
      </c>
      <c r="Q1702">
        <f>Final_Table[[#This Row],[Net Revenue]]*Final_Table[[#This Row],[Variable Cost %]]</f>
        <v>3304.7999999999997</v>
      </c>
      <c r="R1702">
        <f>Final_Table[[#This Row],[Variable Cost]]+Final_Table[[#This Row],[Fixed Monthly Cost]]</f>
        <v>21304.799999999999</v>
      </c>
      <c r="S1702" s="5">
        <f>Final_Table[[#This Row],[Net Revenue]]-Final_Table[[#This Row],[Total Cost (COGS)]]</f>
        <v>-2944.7999999999993</v>
      </c>
      <c r="T1702">
        <f>Final_Table[[#This Row],[Gross Profit]]*Final_Table[[#This Row],[Tax Rate]]</f>
        <v>-883.43999999999971</v>
      </c>
      <c r="U1702" s="5">
        <f>Final_Table[[#This Row],[Gross Profit]]-Final_Table[[#This Row],[Tax]]</f>
        <v>-2061.3599999999997</v>
      </c>
      <c r="V1702" s="12">
        <f>Final_Table[[#This Row],[Net Profit]]/Final_Table[[#This Row],[Gross Revenue]]</f>
        <v>-0.10104705882352939</v>
      </c>
    </row>
    <row r="1703" spans="1:22">
      <c r="A1703" s="18" t="s">
        <v>79</v>
      </c>
      <c r="B1703">
        <v>2014</v>
      </c>
      <c r="C1703" t="s">
        <v>131</v>
      </c>
      <c r="D1703">
        <v>1</v>
      </c>
      <c r="E1703" s="18" t="s">
        <v>16</v>
      </c>
      <c r="F1703" s="18" t="s">
        <v>80</v>
      </c>
      <c r="G1703" s="18" t="s">
        <v>23</v>
      </c>
      <c r="H1703" s="18" t="str">
        <f>Assumptions!$B$2</f>
        <v>Worst</v>
      </c>
      <c r="I1703" s="18">
        <f>_xlfn.XLOOKUP(Assumptions!$B$2,Assumptions!$F$4:$H$4,Assumptions!$F$5:$H$5)</f>
        <v>1200</v>
      </c>
      <c r="J1703" s="18">
        <f>_xlfn.XLOOKUP(Assumptions!$B$2,Assumptions!$F$4:$H$4,Assumptions!$F$6:$H$6)</f>
        <v>17</v>
      </c>
      <c r="K1703" s="12">
        <f>_xlfn.XLOOKUP(Assumptions!$B$2,Assumptions!$F$4:$H$4,Assumptions!$F$8:$H$8)</f>
        <v>0.1</v>
      </c>
      <c r="L1703" s="12">
        <f>_xlfn.XLOOKUP(Assumptions!$B$2,Assumptions!$F$4:$H$4,Assumptions!$F$9:$H$9)</f>
        <v>0.18</v>
      </c>
      <c r="M1703" s="18">
        <f>_xlfn.XLOOKUP(Assumptions!$B$2,Assumptions!$F$4:$H$4,Assumptions!$F$10:$H$10)</f>
        <v>18000</v>
      </c>
      <c r="N1703" s="12">
        <f>_xlfn.XLOOKUP(Assumptions!$B$2,Assumptions!$F$4:$H$4,Assumptions!$F$11:$H$11)</f>
        <v>0.3</v>
      </c>
      <c r="O1703" s="14">
        <f>Final_Table[[#This Row],[Units Sold]]*Final_Table[[#This Row],[Sale Price]]</f>
        <v>20400</v>
      </c>
      <c r="P1703" s="14">
        <f>Final_Table[[#This Row],[Gross Revenue]]*(1-Final_Table[[#This Row],[Discount %]])</f>
        <v>18360</v>
      </c>
      <c r="Q1703">
        <f>Final_Table[[#This Row],[Net Revenue]]*Final_Table[[#This Row],[Variable Cost %]]</f>
        <v>3304.7999999999997</v>
      </c>
      <c r="R1703">
        <f>Final_Table[[#This Row],[Variable Cost]]+Final_Table[[#This Row],[Fixed Monthly Cost]]</f>
        <v>21304.799999999999</v>
      </c>
      <c r="S1703" s="5">
        <f>Final_Table[[#This Row],[Net Revenue]]-Final_Table[[#This Row],[Total Cost (COGS)]]</f>
        <v>-2944.7999999999993</v>
      </c>
      <c r="T1703">
        <f>Final_Table[[#This Row],[Gross Profit]]*Final_Table[[#This Row],[Tax Rate]]</f>
        <v>-883.43999999999971</v>
      </c>
      <c r="U1703" s="5">
        <f>Final_Table[[#This Row],[Gross Profit]]-Final_Table[[#This Row],[Tax]]</f>
        <v>-2061.3599999999997</v>
      </c>
      <c r="V1703" s="12">
        <f>Final_Table[[#This Row],[Net Profit]]/Final_Table[[#This Row],[Gross Revenue]]</f>
        <v>-0.10104705882352939</v>
      </c>
    </row>
    <row r="1704" spans="1:22">
      <c r="A1704" s="18" t="s">
        <v>79</v>
      </c>
      <c r="B1704">
        <v>2014</v>
      </c>
      <c r="C1704" t="s">
        <v>131</v>
      </c>
      <c r="D1704">
        <v>1</v>
      </c>
      <c r="E1704" s="18" t="s">
        <v>16</v>
      </c>
      <c r="F1704" s="18" t="s">
        <v>80</v>
      </c>
      <c r="G1704" s="18" t="s">
        <v>21</v>
      </c>
      <c r="H1704" s="18" t="str">
        <f>Assumptions!$B$2</f>
        <v>Worst</v>
      </c>
      <c r="I1704" s="18">
        <f>_xlfn.XLOOKUP(Assumptions!$B$2,Assumptions!$F$4:$H$4,Assumptions!$F$5:$H$5)</f>
        <v>1200</v>
      </c>
      <c r="J1704" s="18">
        <f>_xlfn.XLOOKUP(Assumptions!$B$2,Assumptions!$F$4:$H$4,Assumptions!$F$6:$H$6)</f>
        <v>17</v>
      </c>
      <c r="K1704" s="12">
        <f>_xlfn.XLOOKUP(Assumptions!$B$2,Assumptions!$F$4:$H$4,Assumptions!$F$8:$H$8)</f>
        <v>0.1</v>
      </c>
      <c r="L1704" s="12">
        <f>_xlfn.XLOOKUP(Assumptions!$B$2,Assumptions!$F$4:$H$4,Assumptions!$F$9:$H$9)</f>
        <v>0.18</v>
      </c>
      <c r="M1704" s="18">
        <f>_xlfn.XLOOKUP(Assumptions!$B$2,Assumptions!$F$4:$H$4,Assumptions!$F$10:$H$10)</f>
        <v>18000</v>
      </c>
      <c r="N1704" s="12">
        <f>_xlfn.XLOOKUP(Assumptions!$B$2,Assumptions!$F$4:$H$4,Assumptions!$F$11:$H$11)</f>
        <v>0.3</v>
      </c>
      <c r="O1704" s="14">
        <f>Final_Table[[#This Row],[Units Sold]]*Final_Table[[#This Row],[Sale Price]]</f>
        <v>20400</v>
      </c>
      <c r="P1704" s="14">
        <f>Final_Table[[#This Row],[Gross Revenue]]*(1-Final_Table[[#This Row],[Discount %]])</f>
        <v>18360</v>
      </c>
      <c r="Q1704">
        <f>Final_Table[[#This Row],[Net Revenue]]*Final_Table[[#This Row],[Variable Cost %]]</f>
        <v>3304.7999999999997</v>
      </c>
      <c r="R1704">
        <f>Final_Table[[#This Row],[Variable Cost]]+Final_Table[[#This Row],[Fixed Monthly Cost]]</f>
        <v>21304.799999999999</v>
      </c>
      <c r="S1704" s="5">
        <f>Final_Table[[#This Row],[Net Revenue]]-Final_Table[[#This Row],[Total Cost (COGS)]]</f>
        <v>-2944.7999999999993</v>
      </c>
      <c r="T1704">
        <f>Final_Table[[#This Row],[Gross Profit]]*Final_Table[[#This Row],[Tax Rate]]</f>
        <v>-883.43999999999971</v>
      </c>
      <c r="U1704" s="5">
        <f>Final_Table[[#This Row],[Gross Profit]]-Final_Table[[#This Row],[Tax]]</f>
        <v>-2061.3599999999997</v>
      </c>
      <c r="V1704" s="12">
        <f>Final_Table[[#This Row],[Net Profit]]/Final_Table[[#This Row],[Gross Revenue]]</f>
        <v>-0.10104705882352939</v>
      </c>
    </row>
    <row r="1705" spans="1:22">
      <c r="A1705" s="18" t="s">
        <v>79</v>
      </c>
      <c r="B1705">
        <v>2014</v>
      </c>
      <c r="C1705" t="s">
        <v>131</v>
      </c>
      <c r="D1705">
        <v>1</v>
      </c>
      <c r="E1705" s="18" t="s">
        <v>16</v>
      </c>
      <c r="F1705" s="18" t="s">
        <v>80</v>
      </c>
      <c r="G1705" s="18" t="s">
        <v>25</v>
      </c>
      <c r="H1705" s="18" t="str">
        <f>Assumptions!$B$2</f>
        <v>Worst</v>
      </c>
      <c r="I1705" s="18">
        <f>_xlfn.XLOOKUP(Assumptions!$B$2,Assumptions!$F$4:$H$4,Assumptions!$F$5:$H$5)</f>
        <v>1200</v>
      </c>
      <c r="J1705" s="18">
        <f>_xlfn.XLOOKUP(Assumptions!$B$2,Assumptions!$F$4:$H$4,Assumptions!$F$6:$H$6)</f>
        <v>17</v>
      </c>
      <c r="K1705" s="12">
        <f>_xlfn.XLOOKUP(Assumptions!$B$2,Assumptions!$F$4:$H$4,Assumptions!$F$8:$H$8)</f>
        <v>0.1</v>
      </c>
      <c r="L1705" s="12">
        <f>_xlfn.XLOOKUP(Assumptions!$B$2,Assumptions!$F$4:$H$4,Assumptions!$F$9:$H$9)</f>
        <v>0.18</v>
      </c>
      <c r="M1705" s="18">
        <f>_xlfn.XLOOKUP(Assumptions!$B$2,Assumptions!$F$4:$H$4,Assumptions!$F$10:$H$10)</f>
        <v>18000</v>
      </c>
      <c r="N1705" s="12">
        <f>_xlfn.XLOOKUP(Assumptions!$B$2,Assumptions!$F$4:$H$4,Assumptions!$F$11:$H$11)</f>
        <v>0.3</v>
      </c>
      <c r="O1705" s="14">
        <f>Final_Table[[#This Row],[Units Sold]]*Final_Table[[#This Row],[Sale Price]]</f>
        <v>20400</v>
      </c>
      <c r="P1705" s="14">
        <f>Final_Table[[#This Row],[Gross Revenue]]*(1-Final_Table[[#This Row],[Discount %]])</f>
        <v>18360</v>
      </c>
      <c r="Q1705">
        <f>Final_Table[[#This Row],[Net Revenue]]*Final_Table[[#This Row],[Variable Cost %]]</f>
        <v>3304.7999999999997</v>
      </c>
      <c r="R1705">
        <f>Final_Table[[#This Row],[Variable Cost]]+Final_Table[[#This Row],[Fixed Monthly Cost]]</f>
        <v>21304.799999999999</v>
      </c>
      <c r="S1705" s="5">
        <f>Final_Table[[#This Row],[Net Revenue]]-Final_Table[[#This Row],[Total Cost (COGS)]]</f>
        <v>-2944.7999999999993</v>
      </c>
      <c r="T1705">
        <f>Final_Table[[#This Row],[Gross Profit]]*Final_Table[[#This Row],[Tax Rate]]</f>
        <v>-883.43999999999971</v>
      </c>
      <c r="U1705" s="5">
        <f>Final_Table[[#This Row],[Gross Profit]]-Final_Table[[#This Row],[Tax]]</f>
        <v>-2061.3599999999997</v>
      </c>
      <c r="V1705" s="12">
        <f>Final_Table[[#This Row],[Net Profit]]/Final_Table[[#This Row],[Gross Revenue]]</f>
        <v>-0.10104705882352939</v>
      </c>
    </row>
    <row r="1706" spans="1:22">
      <c r="A1706" s="18" t="s">
        <v>79</v>
      </c>
      <c r="B1706">
        <v>2014</v>
      </c>
      <c r="C1706" t="s">
        <v>131</v>
      </c>
      <c r="D1706">
        <v>1</v>
      </c>
      <c r="E1706" s="18" t="s">
        <v>16</v>
      </c>
      <c r="F1706" s="18" t="s">
        <v>80</v>
      </c>
      <c r="G1706" s="18" t="s">
        <v>17</v>
      </c>
      <c r="H1706" s="18" t="str">
        <f>Assumptions!$B$2</f>
        <v>Worst</v>
      </c>
      <c r="I1706" s="18">
        <f>_xlfn.XLOOKUP(Assumptions!$B$2,Assumptions!$F$4:$H$4,Assumptions!$F$5:$H$5)</f>
        <v>1200</v>
      </c>
      <c r="J1706" s="18">
        <f>_xlfn.XLOOKUP(Assumptions!$B$2,Assumptions!$F$4:$H$4,Assumptions!$F$6:$H$6)</f>
        <v>17</v>
      </c>
      <c r="K1706" s="12">
        <f>_xlfn.XLOOKUP(Assumptions!$B$2,Assumptions!$F$4:$H$4,Assumptions!$F$8:$H$8)</f>
        <v>0.1</v>
      </c>
      <c r="L1706" s="12">
        <f>_xlfn.XLOOKUP(Assumptions!$B$2,Assumptions!$F$4:$H$4,Assumptions!$F$9:$H$9)</f>
        <v>0.18</v>
      </c>
      <c r="M1706" s="18">
        <f>_xlfn.XLOOKUP(Assumptions!$B$2,Assumptions!$F$4:$H$4,Assumptions!$F$10:$H$10)</f>
        <v>18000</v>
      </c>
      <c r="N1706" s="12">
        <f>_xlfn.XLOOKUP(Assumptions!$B$2,Assumptions!$F$4:$H$4,Assumptions!$F$11:$H$11)</f>
        <v>0.3</v>
      </c>
      <c r="O1706" s="14">
        <f>Final_Table[[#This Row],[Units Sold]]*Final_Table[[#This Row],[Sale Price]]</f>
        <v>20400</v>
      </c>
      <c r="P1706" s="14">
        <f>Final_Table[[#This Row],[Gross Revenue]]*(1-Final_Table[[#This Row],[Discount %]])</f>
        <v>18360</v>
      </c>
      <c r="Q1706">
        <f>Final_Table[[#This Row],[Net Revenue]]*Final_Table[[#This Row],[Variable Cost %]]</f>
        <v>3304.7999999999997</v>
      </c>
      <c r="R1706">
        <f>Final_Table[[#This Row],[Variable Cost]]+Final_Table[[#This Row],[Fixed Monthly Cost]]</f>
        <v>21304.799999999999</v>
      </c>
      <c r="S1706" s="5">
        <f>Final_Table[[#This Row],[Net Revenue]]-Final_Table[[#This Row],[Total Cost (COGS)]]</f>
        <v>-2944.7999999999993</v>
      </c>
      <c r="T1706">
        <f>Final_Table[[#This Row],[Gross Profit]]*Final_Table[[#This Row],[Tax Rate]]</f>
        <v>-883.43999999999971</v>
      </c>
      <c r="U1706" s="5">
        <f>Final_Table[[#This Row],[Gross Profit]]-Final_Table[[#This Row],[Tax]]</f>
        <v>-2061.3599999999997</v>
      </c>
      <c r="V1706" s="12">
        <f>Final_Table[[#This Row],[Net Profit]]/Final_Table[[#This Row],[Gross Revenue]]</f>
        <v>-0.10104705882352939</v>
      </c>
    </row>
    <row r="1707" spans="1:22">
      <c r="A1707" s="18" t="s">
        <v>79</v>
      </c>
      <c r="B1707">
        <v>2014</v>
      </c>
      <c r="C1707" t="s">
        <v>131</v>
      </c>
      <c r="D1707">
        <v>1</v>
      </c>
      <c r="E1707" s="18" t="s">
        <v>16</v>
      </c>
      <c r="F1707" s="18" t="s">
        <v>108</v>
      </c>
      <c r="G1707" s="18" t="s">
        <v>36</v>
      </c>
      <c r="H1707" s="18" t="str">
        <f>Assumptions!$B$2</f>
        <v>Worst</v>
      </c>
      <c r="I1707" s="18">
        <f>_xlfn.XLOOKUP(Assumptions!$B$2,Assumptions!$F$4:$H$4,Assumptions!$F$5:$H$5)</f>
        <v>1200</v>
      </c>
      <c r="J1707" s="18">
        <f>_xlfn.XLOOKUP(Assumptions!$B$2,Assumptions!$F$4:$H$4,Assumptions!$F$6:$H$6)</f>
        <v>17</v>
      </c>
      <c r="K1707" s="12">
        <f>_xlfn.XLOOKUP(Assumptions!$B$2,Assumptions!$F$4:$H$4,Assumptions!$F$8:$H$8)</f>
        <v>0.1</v>
      </c>
      <c r="L1707" s="12">
        <f>_xlfn.XLOOKUP(Assumptions!$B$2,Assumptions!$F$4:$H$4,Assumptions!$F$9:$H$9)</f>
        <v>0.18</v>
      </c>
      <c r="M1707" s="18">
        <f>_xlfn.XLOOKUP(Assumptions!$B$2,Assumptions!$F$4:$H$4,Assumptions!$F$10:$H$10)</f>
        <v>18000</v>
      </c>
      <c r="N1707" s="12">
        <f>_xlfn.XLOOKUP(Assumptions!$B$2,Assumptions!$F$4:$H$4,Assumptions!$F$11:$H$11)</f>
        <v>0.3</v>
      </c>
      <c r="O1707" s="14">
        <f>Final_Table[[#This Row],[Units Sold]]*Final_Table[[#This Row],[Sale Price]]</f>
        <v>20400</v>
      </c>
      <c r="P1707" s="14">
        <f>Final_Table[[#This Row],[Gross Revenue]]*(1-Final_Table[[#This Row],[Discount %]])</f>
        <v>18360</v>
      </c>
      <c r="Q1707">
        <f>Final_Table[[#This Row],[Net Revenue]]*Final_Table[[#This Row],[Variable Cost %]]</f>
        <v>3304.7999999999997</v>
      </c>
      <c r="R1707">
        <f>Final_Table[[#This Row],[Variable Cost]]+Final_Table[[#This Row],[Fixed Monthly Cost]]</f>
        <v>21304.799999999999</v>
      </c>
      <c r="S1707" s="5">
        <f>Final_Table[[#This Row],[Net Revenue]]-Final_Table[[#This Row],[Total Cost (COGS)]]</f>
        <v>-2944.7999999999993</v>
      </c>
      <c r="T1707">
        <f>Final_Table[[#This Row],[Gross Profit]]*Final_Table[[#This Row],[Tax Rate]]</f>
        <v>-883.43999999999971</v>
      </c>
      <c r="U1707" s="5">
        <f>Final_Table[[#This Row],[Gross Profit]]-Final_Table[[#This Row],[Tax]]</f>
        <v>-2061.3599999999997</v>
      </c>
      <c r="V1707" s="12">
        <f>Final_Table[[#This Row],[Net Profit]]/Final_Table[[#This Row],[Gross Revenue]]</f>
        <v>-0.10104705882352939</v>
      </c>
    </row>
    <row r="1708" spans="1:22">
      <c r="A1708" s="18" t="s">
        <v>79</v>
      </c>
      <c r="B1708">
        <v>2014</v>
      </c>
      <c r="C1708" t="s">
        <v>131</v>
      </c>
      <c r="D1708">
        <v>1</v>
      </c>
      <c r="E1708" s="18" t="s">
        <v>16</v>
      </c>
      <c r="F1708" s="18" t="s">
        <v>108</v>
      </c>
      <c r="G1708" s="18" t="s">
        <v>23</v>
      </c>
      <c r="H1708" s="18" t="str">
        <f>Assumptions!$B$2</f>
        <v>Worst</v>
      </c>
      <c r="I1708" s="18">
        <f>_xlfn.XLOOKUP(Assumptions!$B$2,Assumptions!$F$4:$H$4,Assumptions!$F$5:$H$5)</f>
        <v>1200</v>
      </c>
      <c r="J1708" s="18">
        <f>_xlfn.XLOOKUP(Assumptions!$B$2,Assumptions!$F$4:$H$4,Assumptions!$F$6:$H$6)</f>
        <v>17</v>
      </c>
      <c r="K1708" s="12">
        <f>_xlfn.XLOOKUP(Assumptions!$B$2,Assumptions!$F$4:$H$4,Assumptions!$F$8:$H$8)</f>
        <v>0.1</v>
      </c>
      <c r="L1708" s="12">
        <f>_xlfn.XLOOKUP(Assumptions!$B$2,Assumptions!$F$4:$H$4,Assumptions!$F$9:$H$9)</f>
        <v>0.18</v>
      </c>
      <c r="M1708" s="18">
        <f>_xlfn.XLOOKUP(Assumptions!$B$2,Assumptions!$F$4:$H$4,Assumptions!$F$10:$H$10)</f>
        <v>18000</v>
      </c>
      <c r="N1708" s="12">
        <f>_xlfn.XLOOKUP(Assumptions!$B$2,Assumptions!$F$4:$H$4,Assumptions!$F$11:$H$11)</f>
        <v>0.3</v>
      </c>
      <c r="O1708" s="14">
        <f>Final_Table[[#This Row],[Units Sold]]*Final_Table[[#This Row],[Sale Price]]</f>
        <v>20400</v>
      </c>
      <c r="P1708" s="14">
        <f>Final_Table[[#This Row],[Gross Revenue]]*(1-Final_Table[[#This Row],[Discount %]])</f>
        <v>18360</v>
      </c>
      <c r="Q1708">
        <f>Final_Table[[#This Row],[Net Revenue]]*Final_Table[[#This Row],[Variable Cost %]]</f>
        <v>3304.7999999999997</v>
      </c>
      <c r="R1708">
        <f>Final_Table[[#This Row],[Variable Cost]]+Final_Table[[#This Row],[Fixed Monthly Cost]]</f>
        <v>21304.799999999999</v>
      </c>
      <c r="S1708" s="5">
        <f>Final_Table[[#This Row],[Net Revenue]]-Final_Table[[#This Row],[Total Cost (COGS)]]</f>
        <v>-2944.7999999999993</v>
      </c>
      <c r="T1708">
        <f>Final_Table[[#This Row],[Gross Profit]]*Final_Table[[#This Row],[Tax Rate]]</f>
        <v>-883.43999999999971</v>
      </c>
      <c r="U1708" s="5">
        <f>Final_Table[[#This Row],[Gross Profit]]-Final_Table[[#This Row],[Tax]]</f>
        <v>-2061.3599999999997</v>
      </c>
      <c r="V1708" s="12">
        <f>Final_Table[[#This Row],[Net Profit]]/Final_Table[[#This Row],[Gross Revenue]]</f>
        <v>-0.10104705882352939</v>
      </c>
    </row>
    <row r="1709" spans="1:22">
      <c r="A1709" s="18" t="s">
        <v>79</v>
      </c>
      <c r="B1709">
        <v>2014</v>
      </c>
      <c r="C1709" t="s">
        <v>131</v>
      </c>
      <c r="D1709">
        <v>1</v>
      </c>
      <c r="E1709" s="18" t="s">
        <v>16</v>
      </c>
      <c r="F1709" s="18" t="s">
        <v>108</v>
      </c>
      <c r="G1709" s="18" t="s">
        <v>21</v>
      </c>
      <c r="H1709" s="18" t="str">
        <f>Assumptions!$B$2</f>
        <v>Worst</v>
      </c>
      <c r="I1709" s="18">
        <f>_xlfn.XLOOKUP(Assumptions!$B$2,Assumptions!$F$4:$H$4,Assumptions!$F$5:$H$5)</f>
        <v>1200</v>
      </c>
      <c r="J1709" s="18">
        <f>_xlfn.XLOOKUP(Assumptions!$B$2,Assumptions!$F$4:$H$4,Assumptions!$F$6:$H$6)</f>
        <v>17</v>
      </c>
      <c r="K1709" s="12">
        <f>_xlfn.XLOOKUP(Assumptions!$B$2,Assumptions!$F$4:$H$4,Assumptions!$F$8:$H$8)</f>
        <v>0.1</v>
      </c>
      <c r="L1709" s="12">
        <f>_xlfn.XLOOKUP(Assumptions!$B$2,Assumptions!$F$4:$H$4,Assumptions!$F$9:$H$9)</f>
        <v>0.18</v>
      </c>
      <c r="M1709" s="18">
        <f>_xlfn.XLOOKUP(Assumptions!$B$2,Assumptions!$F$4:$H$4,Assumptions!$F$10:$H$10)</f>
        <v>18000</v>
      </c>
      <c r="N1709" s="12">
        <f>_xlfn.XLOOKUP(Assumptions!$B$2,Assumptions!$F$4:$H$4,Assumptions!$F$11:$H$11)</f>
        <v>0.3</v>
      </c>
      <c r="O1709" s="14">
        <f>Final_Table[[#This Row],[Units Sold]]*Final_Table[[#This Row],[Sale Price]]</f>
        <v>20400</v>
      </c>
      <c r="P1709" s="14">
        <f>Final_Table[[#This Row],[Gross Revenue]]*(1-Final_Table[[#This Row],[Discount %]])</f>
        <v>18360</v>
      </c>
      <c r="Q1709">
        <f>Final_Table[[#This Row],[Net Revenue]]*Final_Table[[#This Row],[Variable Cost %]]</f>
        <v>3304.7999999999997</v>
      </c>
      <c r="R1709">
        <f>Final_Table[[#This Row],[Variable Cost]]+Final_Table[[#This Row],[Fixed Monthly Cost]]</f>
        <v>21304.799999999999</v>
      </c>
      <c r="S1709" s="5">
        <f>Final_Table[[#This Row],[Net Revenue]]-Final_Table[[#This Row],[Total Cost (COGS)]]</f>
        <v>-2944.7999999999993</v>
      </c>
      <c r="T1709">
        <f>Final_Table[[#This Row],[Gross Profit]]*Final_Table[[#This Row],[Tax Rate]]</f>
        <v>-883.43999999999971</v>
      </c>
      <c r="U1709" s="5">
        <f>Final_Table[[#This Row],[Gross Profit]]-Final_Table[[#This Row],[Tax]]</f>
        <v>-2061.3599999999997</v>
      </c>
      <c r="V1709" s="12">
        <f>Final_Table[[#This Row],[Net Profit]]/Final_Table[[#This Row],[Gross Revenue]]</f>
        <v>-0.10104705882352939</v>
      </c>
    </row>
    <row r="1710" spans="1:22">
      <c r="A1710" s="18" t="s">
        <v>79</v>
      </c>
      <c r="B1710">
        <v>2014</v>
      </c>
      <c r="C1710" t="s">
        <v>131</v>
      </c>
      <c r="D1710">
        <v>1</v>
      </c>
      <c r="E1710" s="18" t="s">
        <v>16</v>
      </c>
      <c r="F1710" s="18" t="s">
        <v>108</v>
      </c>
      <c r="G1710" s="18" t="s">
        <v>25</v>
      </c>
      <c r="H1710" s="18" t="str">
        <f>Assumptions!$B$2</f>
        <v>Worst</v>
      </c>
      <c r="I1710" s="18">
        <f>_xlfn.XLOOKUP(Assumptions!$B$2,Assumptions!$F$4:$H$4,Assumptions!$F$5:$H$5)</f>
        <v>1200</v>
      </c>
      <c r="J1710" s="18">
        <f>_xlfn.XLOOKUP(Assumptions!$B$2,Assumptions!$F$4:$H$4,Assumptions!$F$6:$H$6)</f>
        <v>17</v>
      </c>
      <c r="K1710" s="12">
        <f>_xlfn.XLOOKUP(Assumptions!$B$2,Assumptions!$F$4:$H$4,Assumptions!$F$8:$H$8)</f>
        <v>0.1</v>
      </c>
      <c r="L1710" s="12">
        <f>_xlfn.XLOOKUP(Assumptions!$B$2,Assumptions!$F$4:$H$4,Assumptions!$F$9:$H$9)</f>
        <v>0.18</v>
      </c>
      <c r="M1710" s="18">
        <f>_xlfn.XLOOKUP(Assumptions!$B$2,Assumptions!$F$4:$H$4,Assumptions!$F$10:$H$10)</f>
        <v>18000</v>
      </c>
      <c r="N1710" s="12">
        <f>_xlfn.XLOOKUP(Assumptions!$B$2,Assumptions!$F$4:$H$4,Assumptions!$F$11:$H$11)</f>
        <v>0.3</v>
      </c>
      <c r="O1710" s="14">
        <f>Final_Table[[#This Row],[Units Sold]]*Final_Table[[#This Row],[Sale Price]]</f>
        <v>20400</v>
      </c>
      <c r="P1710" s="14">
        <f>Final_Table[[#This Row],[Gross Revenue]]*(1-Final_Table[[#This Row],[Discount %]])</f>
        <v>18360</v>
      </c>
      <c r="Q1710">
        <f>Final_Table[[#This Row],[Net Revenue]]*Final_Table[[#This Row],[Variable Cost %]]</f>
        <v>3304.7999999999997</v>
      </c>
      <c r="R1710">
        <f>Final_Table[[#This Row],[Variable Cost]]+Final_Table[[#This Row],[Fixed Monthly Cost]]</f>
        <v>21304.799999999999</v>
      </c>
      <c r="S1710" s="5">
        <f>Final_Table[[#This Row],[Net Revenue]]-Final_Table[[#This Row],[Total Cost (COGS)]]</f>
        <v>-2944.7999999999993</v>
      </c>
      <c r="T1710">
        <f>Final_Table[[#This Row],[Gross Profit]]*Final_Table[[#This Row],[Tax Rate]]</f>
        <v>-883.43999999999971</v>
      </c>
      <c r="U1710" s="5">
        <f>Final_Table[[#This Row],[Gross Profit]]-Final_Table[[#This Row],[Tax]]</f>
        <v>-2061.3599999999997</v>
      </c>
      <c r="V1710" s="12">
        <f>Final_Table[[#This Row],[Net Profit]]/Final_Table[[#This Row],[Gross Revenue]]</f>
        <v>-0.10104705882352939</v>
      </c>
    </row>
    <row r="1711" spans="1:22">
      <c r="A1711" s="18" t="s">
        <v>79</v>
      </c>
      <c r="B1711">
        <v>2014</v>
      </c>
      <c r="C1711" t="s">
        <v>131</v>
      </c>
      <c r="D1711">
        <v>1</v>
      </c>
      <c r="E1711" s="18" t="s">
        <v>16</v>
      </c>
      <c r="F1711" s="18" t="s">
        <v>108</v>
      </c>
      <c r="G1711" s="18" t="s">
        <v>17</v>
      </c>
      <c r="H1711" s="18" t="str">
        <f>Assumptions!$B$2</f>
        <v>Worst</v>
      </c>
      <c r="I1711" s="18">
        <f>_xlfn.XLOOKUP(Assumptions!$B$2,Assumptions!$F$4:$H$4,Assumptions!$F$5:$H$5)</f>
        <v>1200</v>
      </c>
      <c r="J1711" s="18">
        <f>_xlfn.XLOOKUP(Assumptions!$B$2,Assumptions!$F$4:$H$4,Assumptions!$F$6:$H$6)</f>
        <v>17</v>
      </c>
      <c r="K1711" s="12">
        <f>_xlfn.XLOOKUP(Assumptions!$B$2,Assumptions!$F$4:$H$4,Assumptions!$F$8:$H$8)</f>
        <v>0.1</v>
      </c>
      <c r="L1711" s="12">
        <f>_xlfn.XLOOKUP(Assumptions!$B$2,Assumptions!$F$4:$H$4,Assumptions!$F$9:$H$9)</f>
        <v>0.18</v>
      </c>
      <c r="M1711" s="18">
        <f>_xlfn.XLOOKUP(Assumptions!$B$2,Assumptions!$F$4:$H$4,Assumptions!$F$10:$H$10)</f>
        <v>18000</v>
      </c>
      <c r="N1711" s="12">
        <f>_xlfn.XLOOKUP(Assumptions!$B$2,Assumptions!$F$4:$H$4,Assumptions!$F$11:$H$11)</f>
        <v>0.3</v>
      </c>
      <c r="O1711" s="14">
        <f>Final_Table[[#This Row],[Units Sold]]*Final_Table[[#This Row],[Sale Price]]</f>
        <v>20400</v>
      </c>
      <c r="P1711" s="14">
        <f>Final_Table[[#This Row],[Gross Revenue]]*(1-Final_Table[[#This Row],[Discount %]])</f>
        <v>18360</v>
      </c>
      <c r="Q1711">
        <f>Final_Table[[#This Row],[Net Revenue]]*Final_Table[[#This Row],[Variable Cost %]]</f>
        <v>3304.7999999999997</v>
      </c>
      <c r="R1711">
        <f>Final_Table[[#This Row],[Variable Cost]]+Final_Table[[#This Row],[Fixed Monthly Cost]]</f>
        <v>21304.799999999999</v>
      </c>
      <c r="S1711" s="5">
        <f>Final_Table[[#This Row],[Net Revenue]]-Final_Table[[#This Row],[Total Cost (COGS)]]</f>
        <v>-2944.7999999999993</v>
      </c>
      <c r="T1711">
        <f>Final_Table[[#This Row],[Gross Profit]]*Final_Table[[#This Row],[Tax Rate]]</f>
        <v>-883.43999999999971</v>
      </c>
      <c r="U1711" s="5">
        <f>Final_Table[[#This Row],[Gross Profit]]-Final_Table[[#This Row],[Tax]]</f>
        <v>-2061.3599999999997</v>
      </c>
      <c r="V1711" s="12">
        <f>Final_Table[[#This Row],[Net Profit]]/Final_Table[[#This Row],[Gross Revenue]]</f>
        <v>-0.10104705882352939</v>
      </c>
    </row>
    <row r="1712" spans="1:22">
      <c r="A1712" s="18" t="s">
        <v>79</v>
      </c>
      <c r="B1712">
        <v>2014</v>
      </c>
      <c r="C1712" t="s">
        <v>131</v>
      </c>
      <c r="D1712">
        <v>1</v>
      </c>
      <c r="E1712" s="18" t="s">
        <v>16</v>
      </c>
      <c r="F1712" s="18" t="s">
        <v>112</v>
      </c>
      <c r="G1712" s="18" t="s">
        <v>36</v>
      </c>
      <c r="H1712" s="18" t="str">
        <f>Assumptions!$B$2</f>
        <v>Worst</v>
      </c>
      <c r="I1712" s="18">
        <f>_xlfn.XLOOKUP(Assumptions!$B$2,Assumptions!$F$4:$H$4,Assumptions!$F$5:$H$5)</f>
        <v>1200</v>
      </c>
      <c r="J1712" s="18">
        <f>_xlfn.XLOOKUP(Assumptions!$B$2,Assumptions!$F$4:$H$4,Assumptions!$F$6:$H$6)</f>
        <v>17</v>
      </c>
      <c r="K1712" s="12">
        <f>_xlfn.XLOOKUP(Assumptions!$B$2,Assumptions!$F$4:$H$4,Assumptions!$F$8:$H$8)</f>
        <v>0.1</v>
      </c>
      <c r="L1712" s="12">
        <f>_xlfn.XLOOKUP(Assumptions!$B$2,Assumptions!$F$4:$H$4,Assumptions!$F$9:$H$9)</f>
        <v>0.18</v>
      </c>
      <c r="M1712" s="18">
        <f>_xlfn.XLOOKUP(Assumptions!$B$2,Assumptions!$F$4:$H$4,Assumptions!$F$10:$H$10)</f>
        <v>18000</v>
      </c>
      <c r="N1712" s="12">
        <f>_xlfn.XLOOKUP(Assumptions!$B$2,Assumptions!$F$4:$H$4,Assumptions!$F$11:$H$11)</f>
        <v>0.3</v>
      </c>
      <c r="O1712" s="14">
        <f>Final_Table[[#This Row],[Units Sold]]*Final_Table[[#This Row],[Sale Price]]</f>
        <v>20400</v>
      </c>
      <c r="P1712" s="14">
        <f>Final_Table[[#This Row],[Gross Revenue]]*(1-Final_Table[[#This Row],[Discount %]])</f>
        <v>18360</v>
      </c>
      <c r="Q1712">
        <f>Final_Table[[#This Row],[Net Revenue]]*Final_Table[[#This Row],[Variable Cost %]]</f>
        <v>3304.7999999999997</v>
      </c>
      <c r="R1712">
        <f>Final_Table[[#This Row],[Variable Cost]]+Final_Table[[#This Row],[Fixed Monthly Cost]]</f>
        <v>21304.799999999999</v>
      </c>
      <c r="S1712" s="5">
        <f>Final_Table[[#This Row],[Net Revenue]]-Final_Table[[#This Row],[Total Cost (COGS)]]</f>
        <v>-2944.7999999999993</v>
      </c>
      <c r="T1712">
        <f>Final_Table[[#This Row],[Gross Profit]]*Final_Table[[#This Row],[Tax Rate]]</f>
        <v>-883.43999999999971</v>
      </c>
      <c r="U1712" s="5">
        <f>Final_Table[[#This Row],[Gross Profit]]-Final_Table[[#This Row],[Tax]]</f>
        <v>-2061.3599999999997</v>
      </c>
      <c r="V1712" s="12">
        <f>Final_Table[[#This Row],[Net Profit]]/Final_Table[[#This Row],[Gross Revenue]]</f>
        <v>-0.10104705882352939</v>
      </c>
    </row>
    <row r="1713" spans="1:22">
      <c r="A1713" s="18" t="s">
        <v>79</v>
      </c>
      <c r="B1713">
        <v>2014</v>
      </c>
      <c r="C1713" t="s">
        <v>131</v>
      </c>
      <c r="D1713">
        <v>1</v>
      </c>
      <c r="E1713" s="18" t="s">
        <v>16</v>
      </c>
      <c r="F1713" s="18" t="s">
        <v>112</v>
      </c>
      <c r="G1713" s="18" t="s">
        <v>23</v>
      </c>
      <c r="H1713" s="18" t="str">
        <f>Assumptions!$B$2</f>
        <v>Worst</v>
      </c>
      <c r="I1713" s="18">
        <f>_xlfn.XLOOKUP(Assumptions!$B$2,Assumptions!$F$4:$H$4,Assumptions!$F$5:$H$5)</f>
        <v>1200</v>
      </c>
      <c r="J1713" s="18">
        <f>_xlfn.XLOOKUP(Assumptions!$B$2,Assumptions!$F$4:$H$4,Assumptions!$F$6:$H$6)</f>
        <v>17</v>
      </c>
      <c r="K1713" s="12">
        <f>_xlfn.XLOOKUP(Assumptions!$B$2,Assumptions!$F$4:$H$4,Assumptions!$F$8:$H$8)</f>
        <v>0.1</v>
      </c>
      <c r="L1713" s="12">
        <f>_xlfn.XLOOKUP(Assumptions!$B$2,Assumptions!$F$4:$H$4,Assumptions!$F$9:$H$9)</f>
        <v>0.18</v>
      </c>
      <c r="M1713" s="18">
        <f>_xlfn.XLOOKUP(Assumptions!$B$2,Assumptions!$F$4:$H$4,Assumptions!$F$10:$H$10)</f>
        <v>18000</v>
      </c>
      <c r="N1713" s="12">
        <f>_xlfn.XLOOKUP(Assumptions!$B$2,Assumptions!$F$4:$H$4,Assumptions!$F$11:$H$11)</f>
        <v>0.3</v>
      </c>
      <c r="O1713" s="14">
        <f>Final_Table[[#This Row],[Units Sold]]*Final_Table[[#This Row],[Sale Price]]</f>
        <v>20400</v>
      </c>
      <c r="P1713" s="14">
        <f>Final_Table[[#This Row],[Gross Revenue]]*(1-Final_Table[[#This Row],[Discount %]])</f>
        <v>18360</v>
      </c>
      <c r="Q1713">
        <f>Final_Table[[#This Row],[Net Revenue]]*Final_Table[[#This Row],[Variable Cost %]]</f>
        <v>3304.7999999999997</v>
      </c>
      <c r="R1713">
        <f>Final_Table[[#This Row],[Variable Cost]]+Final_Table[[#This Row],[Fixed Monthly Cost]]</f>
        <v>21304.799999999999</v>
      </c>
      <c r="S1713" s="5">
        <f>Final_Table[[#This Row],[Net Revenue]]-Final_Table[[#This Row],[Total Cost (COGS)]]</f>
        <v>-2944.7999999999993</v>
      </c>
      <c r="T1713">
        <f>Final_Table[[#This Row],[Gross Profit]]*Final_Table[[#This Row],[Tax Rate]]</f>
        <v>-883.43999999999971</v>
      </c>
      <c r="U1713" s="5">
        <f>Final_Table[[#This Row],[Gross Profit]]-Final_Table[[#This Row],[Tax]]</f>
        <v>-2061.3599999999997</v>
      </c>
      <c r="V1713" s="12">
        <f>Final_Table[[#This Row],[Net Profit]]/Final_Table[[#This Row],[Gross Revenue]]</f>
        <v>-0.10104705882352939</v>
      </c>
    </row>
    <row r="1714" spans="1:22">
      <c r="A1714" s="18" t="s">
        <v>79</v>
      </c>
      <c r="B1714">
        <v>2014</v>
      </c>
      <c r="C1714" t="s">
        <v>131</v>
      </c>
      <c r="D1714">
        <v>1</v>
      </c>
      <c r="E1714" s="18" t="s">
        <v>16</v>
      </c>
      <c r="F1714" s="18" t="s">
        <v>112</v>
      </c>
      <c r="G1714" s="18" t="s">
        <v>21</v>
      </c>
      <c r="H1714" s="18" t="str">
        <f>Assumptions!$B$2</f>
        <v>Worst</v>
      </c>
      <c r="I1714" s="18">
        <f>_xlfn.XLOOKUP(Assumptions!$B$2,Assumptions!$F$4:$H$4,Assumptions!$F$5:$H$5)</f>
        <v>1200</v>
      </c>
      <c r="J1714" s="18">
        <f>_xlfn.XLOOKUP(Assumptions!$B$2,Assumptions!$F$4:$H$4,Assumptions!$F$6:$H$6)</f>
        <v>17</v>
      </c>
      <c r="K1714" s="12">
        <f>_xlfn.XLOOKUP(Assumptions!$B$2,Assumptions!$F$4:$H$4,Assumptions!$F$8:$H$8)</f>
        <v>0.1</v>
      </c>
      <c r="L1714" s="12">
        <f>_xlfn.XLOOKUP(Assumptions!$B$2,Assumptions!$F$4:$H$4,Assumptions!$F$9:$H$9)</f>
        <v>0.18</v>
      </c>
      <c r="M1714" s="18">
        <f>_xlfn.XLOOKUP(Assumptions!$B$2,Assumptions!$F$4:$H$4,Assumptions!$F$10:$H$10)</f>
        <v>18000</v>
      </c>
      <c r="N1714" s="12">
        <f>_xlfn.XLOOKUP(Assumptions!$B$2,Assumptions!$F$4:$H$4,Assumptions!$F$11:$H$11)</f>
        <v>0.3</v>
      </c>
      <c r="O1714" s="14">
        <f>Final_Table[[#This Row],[Units Sold]]*Final_Table[[#This Row],[Sale Price]]</f>
        <v>20400</v>
      </c>
      <c r="P1714" s="14">
        <f>Final_Table[[#This Row],[Gross Revenue]]*(1-Final_Table[[#This Row],[Discount %]])</f>
        <v>18360</v>
      </c>
      <c r="Q1714">
        <f>Final_Table[[#This Row],[Net Revenue]]*Final_Table[[#This Row],[Variable Cost %]]</f>
        <v>3304.7999999999997</v>
      </c>
      <c r="R1714">
        <f>Final_Table[[#This Row],[Variable Cost]]+Final_Table[[#This Row],[Fixed Monthly Cost]]</f>
        <v>21304.799999999999</v>
      </c>
      <c r="S1714" s="5">
        <f>Final_Table[[#This Row],[Net Revenue]]-Final_Table[[#This Row],[Total Cost (COGS)]]</f>
        <v>-2944.7999999999993</v>
      </c>
      <c r="T1714">
        <f>Final_Table[[#This Row],[Gross Profit]]*Final_Table[[#This Row],[Tax Rate]]</f>
        <v>-883.43999999999971</v>
      </c>
      <c r="U1714" s="5">
        <f>Final_Table[[#This Row],[Gross Profit]]-Final_Table[[#This Row],[Tax]]</f>
        <v>-2061.3599999999997</v>
      </c>
      <c r="V1714" s="12">
        <f>Final_Table[[#This Row],[Net Profit]]/Final_Table[[#This Row],[Gross Revenue]]</f>
        <v>-0.10104705882352939</v>
      </c>
    </row>
    <row r="1715" spans="1:22">
      <c r="A1715" s="18" t="s">
        <v>79</v>
      </c>
      <c r="B1715">
        <v>2014</v>
      </c>
      <c r="C1715" t="s">
        <v>131</v>
      </c>
      <c r="D1715">
        <v>1</v>
      </c>
      <c r="E1715" s="18" t="s">
        <v>16</v>
      </c>
      <c r="F1715" s="18" t="s">
        <v>112</v>
      </c>
      <c r="G1715" s="18" t="s">
        <v>25</v>
      </c>
      <c r="H1715" s="18" t="str">
        <f>Assumptions!$B$2</f>
        <v>Worst</v>
      </c>
      <c r="I1715" s="18">
        <f>_xlfn.XLOOKUP(Assumptions!$B$2,Assumptions!$F$4:$H$4,Assumptions!$F$5:$H$5)</f>
        <v>1200</v>
      </c>
      <c r="J1715" s="18">
        <f>_xlfn.XLOOKUP(Assumptions!$B$2,Assumptions!$F$4:$H$4,Assumptions!$F$6:$H$6)</f>
        <v>17</v>
      </c>
      <c r="K1715" s="12">
        <f>_xlfn.XLOOKUP(Assumptions!$B$2,Assumptions!$F$4:$H$4,Assumptions!$F$8:$H$8)</f>
        <v>0.1</v>
      </c>
      <c r="L1715" s="12">
        <f>_xlfn.XLOOKUP(Assumptions!$B$2,Assumptions!$F$4:$H$4,Assumptions!$F$9:$H$9)</f>
        <v>0.18</v>
      </c>
      <c r="M1715" s="18">
        <f>_xlfn.XLOOKUP(Assumptions!$B$2,Assumptions!$F$4:$H$4,Assumptions!$F$10:$H$10)</f>
        <v>18000</v>
      </c>
      <c r="N1715" s="12">
        <f>_xlfn.XLOOKUP(Assumptions!$B$2,Assumptions!$F$4:$H$4,Assumptions!$F$11:$H$11)</f>
        <v>0.3</v>
      </c>
      <c r="O1715" s="14">
        <f>Final_Table[[#This Row],[Units Sold]]*Final_Table[[#This Row],[Sale Price]]</f>
        <v>20400</v>
      </c>
      <c r="P1715" s="14">
        <f>Final_Table[[#This Row],[Gross Revenue]]*(1-Final_Table[[#This Row],[Discount %]])</f>
        <v>18360</v>
      </c>
      <c r="Q1715">
        <f>Final_Table[[#This Row],[Net Revenue]]*Final_Table[[#This Row],[Variable Cost %]]</f>
        <v>3304.7999999999997</v>
      </c>
      <c r="R1715">
        <f>Final_Table[[#This Row],[Variable Cost]]+Final_Table[[#This Row],[Fixed Monthly Cost]]</f>
        <v>21304.799999999999</v>
      </c>
      <c r="S1715" s="5">
        <f>Final_Table[[#This Row],[Net Revenue]]-Final_Table[[#This Row],[Total Cost (COGS)]]</f>
        <v>-2944.7999999999993</v>
      </c>
      <c r="T1715">
        <f>Final_Table[[#This Row],[Gross Profit]]*Final_Table[[#This Row],[Tax Rate]]</f>
        <v>-883.43999999999971</v>
      </c>
      <c r="U1715" s="5">
        <f>Final_Table[[#This Row],[Gross Profit]]-Final_Table[[#This Row],[Tax]]</f>
        <v>-2061.3599999999997</v>
      </c>
      <c r="V1715" s="12">
        <f>Final_Table[[#This Row],[Net Profit]]/Final_Table[[#This Row],[Gross Revenue]]</f>
        <v>-0.10104705882352939</v>
      </c>
    </row>
    <row r="1716" spans="1:22">
      <c r="A1716" s="18" t="s">
        <v>79</v>
      </c>
      <c r="B1716">
        <v>2014</v>
      </c>
      <c r="C1716" t="s">
        <v>131</v>
      </c>
      <c r="D1716">
        <v>1</v>
      </c>
      <c r="E1716" s="18" t="s">
        <v>16</v>
      </c>
      <c r="F1716" s="18" t="s">
        <v>112</v>
      </c>
      <c r="G1716" s="18" t="s">
        <v>17</v>
      </c>
      <c r="H1716" s="18" t="str">
        <f>Assumptions!$B$2</f>
        <v>Worst</v>
      </c>
      <c r="I1716" s="18">
        <f>_xlfn.XLOOKUP(Assumptions!$B$2,Assumptions!$F$4:$H$4,Assumptions!$F$5:$H$5)</f>
        <v>1200</v>
      </c>
      <c r="J1716" s="18">
        <f>_xlfn.XLOOKUP(Assumptions!$B$2,Assumptions!$F$4:$H$4,Assumptions!$F$6:$H$6)</f>
        <v>17</v>
      </c>
      <c r="K1716" s="12">
        <f>_xlfn.XLOOKUP(Assumptions!$B$2,Assumptions!$F$4:$H$4,Assumptions!$F$8:$H$8)</f>
        <v>0.1</v>
      </c>
      <c r="L1716" s="12">
        <f>_xlfn.XLOOKUP(Assumptions!$B$2,Assumptions!$F$4:$H$4,Assumptions!$F$9:$H$9)</f>
        <v>0.18</v>
      </c>
      <c r="M1716" s="18">
        <f>_xlfn.XLOOKUP(Assumptions!$B$2,Assumptions!$F$4:$H$4,Assumptions!$F$10:$H$10)</f>
        <v>18000</v>
      </c>
      <c r="N1716" s="12">
        <f>_xlfn.XLOOKUP(Assumptions!$B$2,Assumptions!$F$4:$H$4,Assumptions!$F$11:$H$11)</f>
        <v>0.3</v>
      </c>
      <c r="O1716" s="14">
        <f>Final_Table[[#This Row],[Units Sold]]*Final_Table[[#This Row],[Sale Price]]</f>
        <v>20400</v>
      </c>
      <c r="P1716" s="14">
        <f>Final_Table[[#This Row],[Gross Revenue]]*(1-Final_Table[[#This Row],[Discount %]])</f>
        <v>18360</v>
      </c>
      <c r="Q1716">
        <f>Final_Table[[#This Row],[Net Revenue]]*Final_Table[[#This Row],[Variable Cost %]]</f>
        <v>3304.7999999999997</v>
      </c>
      <c r="R1716">
        <f>Final_Table[[#This Row],[Variable Cost]]+Final_Table[[#This Row],[Fixed Monthly Cost]]</f>
        <v>21304.799999999999</v>
      </c>
      <c r="S1716" s="5">
        <f>Final_Table[[#This Row],[Net Revenue]]-Final_Table[[#This Row],[Total Cost (COGS)]]</f>
        <v>-2944.7999999999993</v>
      </c>
      <c r="T1716">
        <f>Final_Table[[#This Row],[Gross Profit]]*Final_Table[[#This Row],[Tax Rate]]</f>
        <v>-883.43999999999971</v>
      </c>
      <c r="U1716" s="5">
        <f>Final_Table[[#This Row],[Gross Profit]]-Final_Table[[#This Row],[Tax]]</f>
        <v>-2061.3599999999997</v>
      </c>
      <c r="V1716" s="12">
        <f>Final_Table[[#This Row],[Net Profit]]/Final_Table[[#This Row],[Gross Revenue]]</f>
        <v>-0.10104705882352939</v>
      </c>
    </row>
    <row r="1717" spans="1:22">
      <c r="A1717" s="18" t="s">
        <v>79</v>
      </c>
      <c r="B1717">
        <v>2014</v>
      </c>
      <c r="C1717" t="s">
        <v>131</v>
      </c>
      <c r="D1717">
        <v>1</v>
      </c>
      <c r="E1717" s="18" t="s">
        <v>16</v>
      </c>
      <c r="F1717" s="18" t="s">
        <v>113</v>
      </c>
      <c r="G1717" s="18" t="s">
        <v>36</v>
      </c>
      <c r="H1717" s="18" t="str">
        <f>Assumptions!$B$2</f>
        <v>Worst</v>
      </c>
      <c r="I1717" s="18">
        <f>_xlfn.XLOOKUP(Assumptions!$B$2,Assumptions!$F$4:$H$4,Assumptions!$F$5:$H$5)</f>
        <v>1200</v>
      </c>
      <c r="J1717" s="18">
        <f>_xlfn.XLOOKUP(Assumptions!$B$2,Assumptions!$F$4:$H$4,Assumptions!$F$6:$H$6)</f>
        <v>17</v>
      </c>
      <c r="K1717" s="12">
        <f>_xlfn.XLOOKUP(Assumptions!$B$2,Assumptions!$F$4:$H$4,Assumptions!$F$8:$H$8)</f>
        <v>0.1</v>
      </c>
      <c r="L1717" s="12">
        <f>_xlfn.XLOOKUP(Assumptions!$B$2,Assumptions!$F$4:$H$4,Assumptions!$F$9:$H$9)</f>
        <v>0.18</v>
      </c>
      <c r="M1717" s="18">
        <f>_xlfn.XLOOKUP(Assumptions!$B$2,Assumptions!$F$4:$H$4,Assumptions!$F$10:$H$10)</f>
        <v>18000</v>
      </c>
      <c r="N1717" s="12">
        <f>_xlfn.XLOOKUP(Assumptions!$B$2,Assumptions!$F$4:$H$4,Assumptions!$F$11:$H$11)</f>
        <v>0.3</v>
      </c>
      <c r="O1717" s="14">
        <f>Final_Table[[#This Row],[Units Sold]]*Final_Table[[#This Row],[Sale Price]]</f>
        <v>20400</v>
      </c>
      <c r="P1717" s="14">
        <f>Final_Table[[#This Row],[Gross Revenue]]*(1-Final_Table[[#This Row],[Discount %]])</f>
        <v>18360</v>
      </c>
      <c r="Q1717">
        <f>Final_Table[[#This Row],[Net Revenue]]*Final_Table[[#This Row],[Variable Cost %]]</f>
        <v>3304.7999999999997</v>
      </c>
      <c r="R1717">
        <f>Final_Table[[#This Row],[Variable Cost]]+Final_Table[[#This Row],[Fixed Monthly Cost]]</f>
        <v>21304.799999999999</v>
      </c>
      <c r="S1717" s="5">
        <f>Final_Table[[#This Row],[Net Revenue]]-Final_Table[[#This Row],[Total Cost (COGS)]]</f>
        <v>-2944.7999999999993</v>
      </c>
      <c r="T1717">
        <f>Final_Table[[#This Row],[Gross Profit]]*Final_Table[[#This Row],[Tax Rate]]</f>
        <v>-883.43999999999971</v>
      </c>
      <c r="U1717" s="5">
        <f>Final_Table[[#This Row],[Gross Profit]]-Final_Table[[#This Row],[Tax]]</f>
        <v>-2061.3599999999997</v>
      </c>
      <c r="V1717" s="12">
        <f>Final_Table[[#This Row],[Net Profit]]/Final_Table[[#This Row],[Gross Revenue]]</f>
        <v>-0.10104705882352939</v>
      </c>
    </row>
    <row r="1718" spans="1:22">
      <c r="A1718" s="18" t="s">
        <v>79</v>
      </c>
      <c r="B1718">
        <v>2014</v>
      </c>
      <c r="C1718" t="s">
        <v>131</v>
      </c>
      <c r="D1718">
        <v>1</v>
      </c>
      <c r="E1718" s="18" t="s">
        <v>16</v>
      </c>
      <c r="F1718" s="18" t="s">
        <v>113</v>
      </c>
      <c r="G1718" s="18" t="s">
        <v>23</v>
      </c>
      <c r="H1718" s="18" t="str">
        <f>Assumptions!$B$2</f>
        <v>Worst</v>
      </c>
      <c r="I1718" s="18">
        <f>_xlfn.XLOOKUP(Assumptions!$B$2,Assumptions!$F$4:$H$4,Assumptions!$F$5:$H$5)</f>
        <v>1200</v>
      </c>
      <c r="J1718" s="18">
        <f>_xlfn.XLOOKUP(Assumptions!$B$2,Assumptions!$F$4:$H$4,Assumptions!$F$6:$H$6)</f>
        <v>17</v>
      </c>
      <c r="K1718" s="12">
        <f>_xlfn.XLOOKUP(Assumptions!$B$2,Assumptions!$F$4:$H$4,Assumptions!$F$8:$H$8)</f>
        <v>0.1</v>
      </c>
      <c r="L1718" s="12">
        <f>_xlfn.XLOOKUP(Assumptions!$B$2,Assumptions!$F$4:$H$4,Assumptions!$F$9:$H$9)</f>
        <v>0.18</v>
      </c>
      <c r="M1718" s="18">
        <f>_xlfn.XLOOKUP(Assumptions!$B$2,Assumptions!$F$4:$H$4,Assumptions!$F$10:$H$10)</f>
        <v>18000</v>
      </c>
      <c r="N1718" s="12">
        <f>_xlfn.XLOOKUP(Assumptions!$B$2,Assumptions!$F$4:$H$4,Assumptions!$F$11:$H$11)</f>
        <v>0.3</v>
      </c>
      <c r="O1718" s="14">
        <f>Final_Table[[#This Row],[Units Sold]]*Final_Table[[#This Row],[Sale Price]]</f>
        <v>20400</v>
      </c>
      <c r="P1718" s="14">
        <f>Final_Table[[#This Row],[Gross Revenue]]*(1-Final_Table[[#This Row],[Discount %]])</f>
        <v>18360</v>
      </c>
      <c r="Q1718">
        <f>Final_Table[[#This Row],[Net Revenue]]*Final_Table[[#This Row],[Variable Cost %]]</f>
        <v>3304.7999999999997</v>
      </c>
      <c r="R1718">
        <f>Final_Table[[#This Row],[Variable Cost]]+Final_Table[[#This Row],[Fixed Monthly Cost]]</f>
        <v>21304.799999999999</v>
      </c>
      <c r="S1718" s="5">
        <f>Final_Table[[#This Row],[Net Revenue]]-Final_Table[[#This Row],[Total Cost (COGS)]]</f>
        <v>-2944.7999999999993</v>
      </c>
      <c r="T1718">
        <f>Final_Table[[#This Row],[Gross Profit]]*Final_Table[[#This Row],[Tax Rate]]</f>
        <v>-883.43999999999971</v>
      </c>
      <c r="U1718" s="5">
        <f>Final_Table[[#This Row],[Gross Profit]]-Final_Table[[#This Row],[Tax]]</f>
        <v>-2061.3599999999997</v>
      </c>
      <c r="V1718" s="12">
        <f>Final_Table[[#This Row],[Net Profit]]/Final_Table[[#This Row],[Gross Revenue]]</f>
        <v>-0.10104705882352939</v>
      </c>
    </row>
    <row r="1719" spans="1:22">
      <c r="A1719" s="18" t="s">
        <v>79</v>
      </c>
      <c r="B1719">
        <v>2014</v>
      </c>
      <c r="C1719" t="s">
        <v>131</v>
      </c>
      <c r="D1719">
        <v>1</v>
      </c>
      <c r="E1719" s="18" t="s">
        <v>16</v>
      </c>
      <c r="F1719" s="18" t="s">
        <v>113</v>
      </c>
      <c r="G1719" s="18" t="s">
        <v>21</v>
      </c>
      <c r="H1719" s="18" t="str">
        <f>Assumptions!$B$2</f>
        <v>Worst</v>
      </c>
      <c r="I1719" s="18">
        <f>_xlfn.XLOOKUP(Assumptions!$B$2,Assumptions!$F$4:$H$4,Assumptions!$F$5:$H$5)</f>
        <v>1200</v>
      </c>
      <c r="J1719" s="18">
        <f>_xlfn.XLOOKUP(Assumptions!$B$2,Assumptions!$F$4:$H$4,Assumptions!$F$6:$H$6)</f>
        <v>17</v>
      </c>
      <c r="K1719" s="12">
        <f>_xlfn.XLOOKUP(Assumptions!$B$2,Assumptions!$F$4:$H$4,Assumptions!$F$8:$H$8)</f>
        <v>0.1</v>
      </c>
      <c r="L1719" s="12">
        <f>_xlfn.XLOOKUP(Assumptions!$B$2,Assumptions!$F$4:$H$4,Assumptions!$F$9:$H$9)</f>
        <v>0.18</v>
      </c>
      <c r="M1719" s="18">
        <f>_xlfn.XLOOKUP(Assumptions!$B$2,Assumptions!$F$4:$H$4,Assumptions!$F$10:$H$10)</f>
        <v>18000</v>
      </c>
      <c r="N1719" s="12">
        <f>_xlfn.XLOOKUP(Assumptions!$B$2,Assumptions!$F$4:$H$4,Assumptions!$F$11:$H$11)</f>
        <v>0.3</v>
      </c>
      <c r="O1719" s="14">
        <f>Final_Table[[#This Row],[Units Sold]]*Final_Table[[#This Row],[Sale Price]]</f>
        <v>20400</v>
      </c>
      <c r="P1719" s="14">
        <f>Final_Table[[#This Row],[Gross Revenue]]*(1-Final_Table[[#This Row],[Discount %]])</f>
        <v>18360</v>
      </c>
      <c r="Q1719">
        <f>Final_Table[[#This Row],[Net Revenue]]*Final_Table[[#This Row],[Variable Cost %]]</f>
        <v>3304.7999999999997</v>
      </c>
      <c r="R1719">
        <f>Final_Table[[#This Row],[Variable Cost]]+Final_Table[[#This Row],[Fixed Monthly Cost]]</f>
        <v>21304.799999999999</v>
      </c>
      <c r="S1719" s="5">
        <f>Final_Table[[#This Row],[Net Revenue]]-Final_Table[[#This Row],[Total Cost (COGS)]]</f>
        <v>-2944.7999999999993</v>
      </c>
      <c r="T1719">
        <f>Final_Table[[#This Row],[Gross Profit]]*Final_Table[[#This Row],[Tax Rate]]</f>
        <v>-883.43999999999971</v>
      </c>
      <c r="U1719" s="5">
        <f>Final_Table[[#This Row],[Gross Profit]]-Final_Table[[#This Row],[Tax]]</f>
        <v>-2061.3599999999997</v>
      </c>
      <c r="V1719" s="12">
        <f>Final_Table[[#This Row],[Net Profit]]/Final_Table[[#This Row],[Gross Revenue]]</f>
        <v>-0.10104705882352939</v>
      </c>
    </row>
    <row r="1720" spans="1:22">
      <c r="A1720" s="18" t="s">
        <v>79</v>
      </c>
      <c r="B1720">
        <v>2014</v>
      </c>
      <c r="C1720" t="s">
        <v>131</v>
      </c>
      <c r="D1720">
        <v>1</v>
      </c>
      <c r="E1720" s="18" t="s">
        <v>16</v>
      </c>
      <c r="F1720" s="18" t="s">
        <v>113</v>
      </c>
      <c r="G1720" s="18" t="s">
        <v>25</v>
      </c>
      <c r="H1720" s="18" t="str">
        <f>Assumptions!$B$2</f>
        <v>Worst</v>
      </c>
      <c r="I1720" s="18">
        <f>_xlfn.XLOOKUP(Assumptions!$B$2,Assumptions!$F$4:$H$4,Assumptions!$F$5:$H$5)</f>
        <v>1200</v>
      </c>
      <c r="J1720" s="18">
        <f>_xlfn.XLOOKUP(Assumptions!$B$2,Assumptions!$F$4:$H$4,Assumptions!$F$6:$H$6)</f>
        <v>17</v>
      </c>
      <c r="K1720" s="12">
        <f>_xlfn.XLOOKUP(Assumptions!$B$2,Assumptions!$F$4:$H$4,Assumptions!$F$8:$H$8)</f>
        <v>0.1</v>
      </c>
      <c r="L1720" s="12">
        <f>_xlfn.XLOOKUP(Assumptions!$B$2,Assumptions!$F$4:$H$4,Assumptions!$F$9:$H$9)</f>
        <v>0.18</v>
      </c>
      <c r="M1720" s="18">
        <f>_xlfn.XLOOKUP(Assumptions!$B$2,Assumptions!$F$4:$H$4,Assumptions!$F$10:$H$10)</f>
        <v>18000</v>
      </c>
      <c r="N1720" s="12">
        <f>_xlfn.XLOOKUP(Assumptions!$B$2,Assumptions!$F$4:$H$4,Assumptions!$F$11:$H$11)</f>
        <v>0.3</v>
      </c>
      <c r="O1720" s="14">
        <f>Final_Table[[#This Row],[Units Sold]]*Final_Table[[#This Row],[Sale Price]]</f>
        <v>20400</v>
      </c>
      <c r="P1720" s="14">
        <f>Final_Table[[#This Row],[Gross Revenue]]*(1-Final_Table[[#This Row],[Discount %]])</f>
        <v>18360</v>
      </c>
      <c r="Q1720">
        <f>Final_Table[[#This Row],[Net Revenue]]*Final_Table[[#This Row],[Variable Cost %]]</f>
        <v>3304.7999999999997</v>
      </c>
      <c r="R1720">
        <f>Final_Table[[#This Row],[Variable Cost]]+Final_Table[[#This Row],[Fixed Monthly Cost]]</f>
        <v>21304.799999999999</v>
      </c>
      <c r="S1720" s="5">
        <f>Final_Table[[#This Row],[Net Revenue]]-Final_Table[[#This Row],[Total Cost (COGS)]]</f>
        <v>-2944.7999999999993</v>
      </c>
      <c r="T1720">
        <f>Final_Table[[#This Row],[Gross Profit]]*Final_Table[[#This Row],[Tax Rate]]</f>
        <v>-883.43999999999971</v>
      </c>
      <c r="U1720" s="5">
        <f>Final_Table[[#This Row],[Gross Profit]]-Final_Table[[#This Row],[Tax]]</f>
        <v>-2061.3599999999997</v>
      </c>
      <c r="V1720" s="12">
        <f>Final_Table[[#This Row],[Net Profit]]/Final_Table[[#This Row],[Gross Revenue]]</f>
        <v>-0.10104705882352939</v>
      </c>
    </row>
    <row r="1721" spans="1:22">
      <c r="A1721" s="18" t="s">
        <v>79</v>
      </c>
      <c r="B1721">
        <v>2014</v>
      </c>
      <c r="C1721" t="s">
        <v>131</v>
      </c>
      <c r="D1721">
        <v>1</v>
      </c>
      <c r="E1721" s="18" t="s">
        <v>16</v>
      </c>
      <c r="F1721" s="18" t="s">
        <v>113</v>
      </c>
      <c r="G1721" s="18" t="s">
        <v>17</v>
      </c>
      <c r="H1721" s="18" t="str">
        <f>Assumptions!$B$2</f>
        <v>Worst</v>
      </c>
      <c r="I1721" s="18">
        <f>_xlfn.XLOOKUP(Assumptions!$B$2,Assumptions!$F$4:$H$4,Assumptions!$F$5:$H$5)</f>
        <v>1200</v>
      </c>
      <c r="J1721" s="18">
        <f>_xlfn.XLOOKUP(Assumptions!$B$2,Assumptions!$F$4:$H$4,Assumptions!$F$6:$H$6)</f>
        <v>17</v>
      </c>
      <c r="K1721" s="12">
        <f>_xlfn.XLOOKUP(Assumptions!$B$2,Assumptions!$F$4:$H$4,Assumptions!$F$8:$H$8)</f>
        <v>0.1</v>
      </c>
      <c r="L1721" s="12">
        <f>_xlfn.XLOOKUP(Assumptions!$B$2,Assumptions!$F$4:$H$4,Assumptions!$F$9:$H$9)</f>
        <v>0.18</v>
      </c>
      <c r="M1721" s="18">
        <f>_xlfn.XLOOKUP(Assumptions!$B$2,Assumptions!$F$4:$H$4,Assumptions!$F$10:$H$10)</f>
        <v>18000</v>
      </c>
      <c r="N1721" s="12">
        <f>_xlfn.XLOOKUP(Assumptions!$B$2,Assumptions!$F$4:$H$4,Assumptions!$F$11:$H$11)</f>
        <v>0.3</v>
      </c>
      <c r="O1721" s="14">
        <f>Final_Table[[#This Row],[Units Sold]]*Final_Table[[#This Row],[Sale Price]]</f>
        <v>20400</v>
      </c>
      <c r="P1721" s="14">
        <f>Final_Table[[#This Row],[Gross Revenue]]*(1-Final_Table[[#This Row],[Discount %]])</f>
        <v>18360</v>
      </c>
      <c r="Q1721">
        <f>Final_Table[[#This Row],[Net Revenue]]*Final_Table[[#This Row],[Variable Cost %]]</f>
        <v>3304.7999999999997</v>
      </c>
      <c r="R1721">
        <f>Final_Table[[#This Row],[Variable Cost]]+Final_Table[[#This Row],[Fixed Monthly Cost]]</f>
        <v>21304.799999999999</v>
      </c>
      <c r="S1721" s="5">
        <f>Final_Table[[#This Row],[Net Revenue]]-Final_Table[[#This Row],[Total Cost (COGS)]]</f>
        <v>-2944.7999999999993</v>
      </c>
      <c r="T1721">
        <f>Final_Table[[#This Row],[Gross Profit]]*Final_Table[[#This Row],[Tax Rate]]</f>
        <v>-883.43999999999971</v>
      </c>
      <c r="U1721" s="5">
        <f>Final_Table[[#This Row],[Gross Profit]]-Final_Table[[#This Row],[Tax]]</f>
        <v>-2061.3599999999997</v>
      </c>
      <c r="V1721" s="12">
        <f>Final_Table[[#This Row],[Net Profit]]/Final_Table[[#This Row],[Gross Revenue]]</f>
        <v>-0.10104705882352939</v>
      </c>
    </row>
    <row r="1722" spans="1:22">
      <c r="A1722" s="18" t="s">
        <v>79</v>
      </c>
      <c r="B1722">
        <v>2014</v>
      </c>
      <c r="C1722" t="s">
        <v>131</v>
      </c>
      <c r="D1722">
        <v>1</v>
      </c>
      <c r="E1722" s="18" t="s">
        <v>16</v>
      </c>
      <c r="F1722" s="18" t="s">
        <v>114</v>
      </c>
      <c r="G1722" s="18" t="s">
        <v>36</v>
      </c>
      <c r="H1722" s="18" t="str">
        <f>Assumptions!$B$2</f>
        <v>Worst</v>
      </c>
      <c r="I1722" s="18">
        <f>_xlfn.XLOOKUP(Assumptions!$B$2,Assumptions!$F$4:$H$4,Assumptions!$F$5:$H$5)</f>
        <v>1200</v>
      </c>
      <c r="J1722" s="18">
        <f>_xlfn.XLOOKUP(Assumptions!$B$2,Assumptions!$F$4:$H$4,Assumptions!$F$6:$H$6)</f>
        <v>17</v>
      </c>
      <c r="K1722" s="12">
        <f>_xlfn.XLOOKUP(Assumptions!$B$2,Assumptions!$F$4:$H$4,Assumptions!$F$8:$H$8)</f>
        <v>0.1</v>
      </c>
      <c r="L1722" s="12">
        <f>_xlfn.XLOOKUP(Assumptions!$B$2,Assumptions!$F$4:$H$4,Assumptions!$F$9:$H$9)</f>
        <v>0.18</v>
      </c>
      <c r="M1722" s="18">
        <f>_xlfn.XLOOKUP(Assumptions!$B$2,Assumptions!$F$4:$H$4,Assumptions!$F$10:$H$10)</f>
        <v>18000</v>
      </c>
      <c r="N1722" s="12">
        <f>_xlfn.XLOOKUP(Assumptions!$B$2,Assumptions!$F$4:$H$4,Assumptions!$F$11:$H$11)</f>
        <v>0.3</v>
      </c>
      <c r="O1722" s="14">
        <f>Final_Table[[#This Row],[Units Sold]]*Final_Table[[#This Row],[Sale Price]]</f>
        <v>20400</v>
      </c>
      <c r="P1722" s="14">
        <f>Final_Table[[#This Row],[Gross Revenue]]*(1-Final_Table[[#This Row],[Discount %]])</f>
        <v>18360</v>
      </c>
      <c r="Q1722">
        <f>Final_Table[[#This Row],[Net Revenue]]*Final_Table[[#This Row],[Variable Cost %]]</f>
        <v>3304.7999999999997</v>
      </c>
      <c r="R1722">
        <f>Final_Table[[#This Row],[Variable Cost]]+Final_Table[[#This Row],[Fixed Monthly Cost]]</f>
        <v>21304.799999999999</v>
      </c>
      <c r="S1722" s="5">
        <f>Final_Table[[#This Row],[Net Revenue]]-Final_Table[[#This Row],[Total Cost (COGS)]]</f>
        <v>-2944.7999999999993</v>
      </c>
      <c r="T1722">
        <f>Final_Table[[#This Row],[Gross Profit]]*Final_Table[[#This Row],[Tax Rate]]</f>
        <v>-883.43999999999971</v>
      </c>
      <c r="U1722" s="5">
        <f>Final_Table[[#This Row],[Gross Profit]]-Final_Table[[#This Row],[Tax]]</f>
        <v>-2061.3599999999997</v>
      </c>
      <c r="V1722" s="12">
        <f>Final_Table[[#This Row],[Net Profit]]/Final_Table[[#This Row],[Gross Revenue]]</f>
        <v>-0.10104705882352939</v>
      </c>
    </row>
    <row r="1723" spans="1:22">
      <c r="A1723" s="18" t="s">
        <v>79</v>
      </c>
      <c r="B1723">
        <v>2014</v>
      </c>
      <c r="C1723" t="s">
        <v>131</v>
      </c>
      <c r="D1723">
        <v>1</v>
      </c>
      <c r="E1723" s="18" t="s">
        <v>16</v>
      </c>
      <c r="F1723" s="18" t="s">
        <v>114</v>
      </c>
      <c r="G1723" s="18" t="s">
        <v>23</v>
      </c>
      <c r="H1723" s="18" t="str">
        <f>Assumptions!$B$2</f>
        <v>Worst</v>
      </c>
      <c r="I1723" s="18">
        <f>_xlfn.XLOOKUP(Assumptions!$B$2,Assumptions!$F$4:$H$4,Assumptions!$F$5:$H$5)</f>
        <v>1200</v>
      </c>
      <c r="J1723" s="18">
        <f>_xlfn.XLOOKUP(Assumptions!$B$2,Assumptions!$F$4:$H$4,Assumptions!$F$6:$H$6)</f>
        <v>17</v>
      </c>
      <c r="K1723" s="12">
        <f>_xlfn.XLOOKUP(Assumptions!$B$2,Assumptions!$F$4:$H$4,Assumptions!$F$8:$H$8)</f>
        <v>0.1</v>
      </c>
      <c r="L1723" s="12">
        <f>_xlfn.XLOOKUP(Assumptions!$B$2,Assumptions!$F$4:$H$4,Assumptions!$F$9:$H$9)</f>
        <v>0.18</v>
      </c>
      <c r="M1723" s="18">
        <f>_xlfn.XLOOKUP(Assumptions!$B$2,Assumptions!$F$4:$H$4,Assumptions!$F$10:$H$10)</f>
        <v>18000</v>
      </c>
      <c r="N1723" s="12">
        <f>_xlfn.XLOOKUP(Assumptions!$B$2,Assumptions!$F$4:$H$4,Assumptions!$F$11:$H$11)</f>
        <v>0.3</v>
      </c>
      <c r="O1723" s="14">
        <f>Final_Table[[#This Row],[Units Sold]]*Final_Table[[#This Row],[Sale Price]]</f>
        <v>20400</v>
      </c>
      <c r="P1723" s="14">
        <f>Final_Table[[#This Row],[Gross Revenue]]*(1-Final_Table[[#This Row],[Discount %]])</f>
        <v>18360</v>
      </c>
      <c r="Q1723">
        <f>Final_Table[[#This Row],[Net Revenue]]*Final_Table[[#This Row],[Variable Cost %]]</f>
        <v>3304.7999999999997</v>
      </c>
      <c r="R1723">
        <f>Final_Table[[#This Row],[Variable Cost]]+Final_Table[[#This Row],[Fixed Monthly Cost]]</f>
        <v>21304.799999999999</v>
      </c>
      <c r="S1723" s="5">
        <f>Final_Table[[#This Row],[Net Revenue]]-Final_Table[[#This Row],[Total Cost (COGS)]]</f>
        <v>-2944.7999999999993</v>
      </c>
      <c r="T1723">
        <f>Final_Table[[#This Row],[Gross Profit]]*Final_Table[[#This Row],[Tax Rate]]</f>
        <v>-883.43999999999971</v>
      </c>
      <c r="U1723" s="5">
        <f>Final_Table[[#This Row],[Gross Profit]]-Final_Table[[#This Row],[Tax]]</f>
        <v>-2061.3599999999997</v>
      </c>
      <c r="V1723" s="12">
        <f>Final_Table[[#This Row],[Net Profit]]/Final_Table[[#This Row],[Gross Revenue]]</f>
        <v>-0.10104705882352939</v>
      </c>
    </row>
    <row r="1724" spans="1:22">
      <c r="A1724" s="18" t="s">
        <v>79</v>
      </c>
      <c r="B1724">
        <v>2014</v>
      </c>
      <c r="C1724" t="s">
        <v>131</v>
      </c>
      <c r="D1724">
        <v>1</v>
      </c>
      <c r="E1724" s="18" t="s">
        <v>16</v>
      </c>
      <c r="F1724" s="18" t="s">
        <v>114</v>
      </c>
      <c r="G1724" s="18" t="s">
        <v>21</v>
      </c>
      <c r="H1724" s="18" t="str">
        <f>Assumptions!$B$2</f>
        <v>Worst</v>
      </c>
      <c r="I1724" s="18">
        <f>_xlfn.XLOOKUP(Assumptions!$B$2,Assumptions!$F$4:$H$4,Assumptions!$F$5:$H$5)</f>
        <v>1200</v>
      </c>
      <c r="J1724" s="18">
        <f>_xlfn.XLOOKUP(Assumptions!$B$2,Assumptions!$F$4:$H$4,Assumptions!$F$6:$H$6)</f>
        <v>17</v>
      </c>
      <c r="K1724" s="12">
        <f>_xlfn.XLOOKUP(Assumptions!$B$2,Assumptions!$F$4:$H$4,Assumptions!$F$8:$H$8)</f>
        <v>0.1</v>
      </c>
      <c r="L1724" s="12">
        <f>_xlfn.XLOOKUP(Assumptions!$B$2,Assumptions!$F$4:$H$4,Assumptions!$F$9:$H$9)</f>
        <v>0.18</v>
      </c>
      <c r="M1724" s="18">
        <f>_xlfn.XLOOKUP(Assumptions!$B$2,Assumptions!$F$4:$H$4,Assumptions!$F$10:$H$10)</f>
        <v>18000</v>
      </c>
      <c r="N1724" s="12">
        <f>_xlfn.XLOOKUP(Assumptions!$B$2,Assumptions!$F$4:$H$4,Assumptions!$F$11:$H$11)</f>
        <v>0.3</v>
      </c>
      <c r="O1724" s="14">
        <f>Final_Table[[#This Row],[Units Sold]]*Final_Table[[#This Row],[Sale Price]]</f>
        <v>20400</v>
      </c>
      <c r="P1724" s="14">
        <f>Final_Table[[#This Row],[Gross Revenue]]*(1-Final_Table[[#This Row],[Discount %]])</f>
        <v>18360</v>
      </c>
      <c r="Q1724">
        <f>Final_Table[[#This Row],[Net Revenue]]*Final_Table[[#This Row],[Variable Cost %]]</f>
        <v>3304.7999999999997</v>
      </c>
      <c r="R1724">
        <f>Final_Table[[#This Row],[Variable Cost]]+Final_Table[[#This Row],[Fixed Monthly Cost]]</f>
        <v>21304.799999999999</v>
      </c>
      <c r="S1724" s="5">
        <f>Final_Table[[#This Row],[Net Revenue]]-Final_Table[[#This Row],[Total Cost (COGS)]]</f>
        <v>-2944.7999999999993</v>
      </c>
      <c r="T1724">
        <f>Final_Table[[#This Row],[Gross Profit]]*Final_Table[[#This Row],[Tax Rate]]</f>
        <v>-883.43999999999971</v>
      </c>
      <c r="U1724" s="5">
        <f>Final_Table[[#This Row],[Gross Profit]]-Final_Table[[#This Row],[Tax]]</f>
        <v>-2061.3599999999997</v>
      </c>
      <c r="V1724" s="12">
        <f>Final_Table[[#This Row],[Net Profit]]/Final_Table[[#This Row],[Gross Revenue]]</f>
        <v>-0.10104705882352939</v>
      </c>
    </row>
    <row r="1725" spans="1:22">
      <c r="A1725" s="18" t="s">
        <v>79</v>
      </c>
      <c r="B1725">
        <v>2014</v>
      </c>
      <c r="C1725" t="s">
        <v>131</v>
      </c>
      <c r="D1725">
        <v>1</v>
      </c>
      <c r="E1725" s="18" t="s">
        <v>16</v>
      </c>
      <c r="F1725" s="18" t="s">
        <v>114</v>
      </c>
      <c r="G1725" s="18" t="s">
        <v>25</v>
      </c>
      <c r="H1725" s="18" t="str">
        <f>Assumptions!$B$2</f>
        <v>Worst</v>
      </c>
      <c r="I1725" s="18">
        <f>_xlfn.XLOOKUP(Assumptions!$B$2,Assumptions!$F$4:$H$4,Assumptions!$F$5:$H$5)</f>
        <v>1200</v>
      </c>
      <c r="J1725" s="18">
        <f>_xlfn.XLOOKUP(Assumptions!$B$2,Assumptions!$F$4:$H$4,Assumptions!$F$6:$H$6)</f>
        <v>17</v>
      </c>
      <c r="K1725" s="12">
        <f>_xlfn.XLOOKUP(Assumptions!$B$2,Assumptions!$F$4:$H$4,Assumptions!$F$8:$H$8)</f>
        <v>0.1</v>
      </c>
      <c r="L1725" s="12">
        <f>_xlfn.XLOOKUP(Assumptions!$B$2,Assumptions!$F$4:$H$4,Assumptions!$F$9:$H$9)</f>
        <v>0.18</v>
      </c>
      <c r="M1725" s="18">
        <f>_xlfn.XLOOKUP(Assumptions!$B$2,Assumptions!$F$4:$H$4,Assumptions!$F$10:$H$10)</f>
        <v>18000</v>
      </c>
      <c r="N1725" s="12">
        <f>_xlfn.XLOOKUP(Assumptions!$B$2,Assumptions!$F$4:$H$4,Assumptions!$F$11:$H$11)</f>
        <v>0.3</v>
      </c>
      <c r="O1725" s="14">
        <f>Final_Table[[#This Row],[Units Sold]]*Final_Table[[#This Row],[Sale Price]]</f>
        <v>20400</v>
      </c>
      <c r="P1725" s="14">
        <f>Final_Table[[#This Row],[Gross Revenue]]*(1-Final_Table[[#This Row],[Discount %]])</f>
        <v>18360</v>
      </c>
      <c r="Q1725">
        <f>Final_Table[[#This Row],[Net Revenue]]*Final_Table[[#This Row],[Variable Cost %]]</f>
        <v>3304.7999999999997</v>
      </c>
      <c r="R1725">
        <f>Final_Table[[#This Row],[Variable Cost]]+Final_Table[[#This Row],[Fixed Monthly Cost]]</f>
        <v>21304.799999999999</v>
      </c>
      <c r="S1725" s="5">
        <f>Final_Table[[#This Row],[Net Revenue]]-Final_Table[[#This Row],[Total Cost (COGS)]]</f>
        <v>-2944.7999999999993</v>
      </c>
      <c r="T1725">
        <f>Final_Table[[#This Row],[Gross Profit]]*Final_Table[[#This Row],[Tax Rate]]</f>
        <v>-883.43999999999971</v>
      </c>
      <c r="U1725" s="5">
        <f>Final_Table[[#This Row],[Gross Profit]]-Final_Table[[#This Row],[Tax]]</f>
        <v>-2061.3599999999997</v>
      </c>
      <c r="V1725" s="12">
        <f>Final_Table[[#This Row],[Net Profit]]/Final_Table[[#This Row],[Gross Revenue]]</f>
        <v>-0.10104705882352939</v>
      </c>
    </row>
    <row r="1726" spans="1:22">
      <c r="A1726" s="18" t="s">
        <v>79</v>
      </c>
      <c r="B1726">
        <v>2014</v>
      </c>
      <c r="C1726" t="s">
        <v>131</v>
      </c>
      <c r="D1726">
        <v>1</v>
      </c>
      <c r="E1726" s="18" t="s">
        <v>16</v>
      </c>
      <c r="F1726" s="18" t="s">
        <v>114</v>
      </c>
      <c r="G1726" s="18" t="s">
        <v>17</v>
      </c>
      <c r="H1726" s="18" t="str">
        <f>Assumptions!$B$2</f>
        <v>Worst</v>
      </c>
      <c r="I1726" s="18">
        <f>_xlfn.XLOOKUP(Assumptions!$B$2,Assumptions!$F$4:$H$4,Assumptions!$F$5:$H$5)</f>
        <v>1200</v>
      </c>
      <c r="J1726" s="18">
        <f>_xlfn.XLOOKUP(Assumptions!$B$2,Assumptions!$F$4:$H$4,Assumptions!$F$6:$H$6)</f>
        <v>17</v>
      </c>
      <c r="K1726" s="12">
        <f>_xlfn.XLOOKUP(Assumptions!$B$2,Assumptions!$F$4:$H$4,Assumptions!$F$8:$H$8)</f>
        <v>0.1</v>
      </c>
      <c r="L1726" s="12">
        <f>_xlfn.XLOOKUP(Assumptions!$B$2,Assumptions!$F$4:$H$4,Assumptions!$F$9:$H$9)</f>
        <v>0.18</v>
      </c>
      <c r="M1726" s="18">
        <f>_xlfn.XLOOKUP(Assumptions!$B$2,Assumptions!$F$4:$H$4,Assumptions!$F$10:$H$10)</f>
        <v>18000</v>
      </c>
      <c r="N1726" s="12">
        <f>_xlfn.XLOOKUP(Assumptions!$B$2,Assumptions!$F$4:$H$4,Assumptions!$F$11:$H$11)</f>
        <v>0.3</v>
      </c>
      <c r="O1726" s="14">
        <f>Final_Table[[#This Row],[Units Sold]]*Final_Table[[#This Row],[Sale Price]]</f>
        <v>20400</v>
      </c>
      <c r="P1726" s="14">
        <f>Final_Table[[#This Row],[Gross Revenue]]*(1-Final_Table[[#This Row],[Discount %]])</f>
        <v>18360</v>
      </c>
      <c r="Q1726">
        <f>Final_Table[[#This Row],[Net Revenue]]*Final_Table[[#This Row],[Variable Cost %]]</f>
        <v>3304.7999999999997</v>
      </c>
      <c r="R1726">
        <f>Final_Table[[#This Row],[Variable Cost]]+Final_Table[[#This Row],[Fixed Monthly Cost]]</f>
        <v>21304.799999999999</v>
      </c>
      <c r="S1726" s="5">
        <f>Final_Table[[#This Row],[Net Revenue]]-Final_Table[[#This Row],[Total Cost (COGS)]]</f>
        <v>-2944.7999999999993</v>
      </c>
      <c r="T1726">
        <f>Final_Table[[#This Row],[Gross Profit]]*Final_Table[[#This Row],[Tax Rate]]</f>
        <v>-883.43999999999971</v>
      </c>
      <c r="U1726" s="5">
        <f>Final_Table[[#This Row],[Gross Profit]]-Final_Table[[#This Row],[Tax]]</f>
        <v>-2061.3599999999997</v>
      </c>
      <c r="V1726" s="12">
        <f>Final_Table[[#This Row],[Net Profit]]/Final_Table[[#This Row],[Gross Revenue]]</f>
        <v>-0.10104705882352939</v>
      </c>
    </row>
    <row r="1727" spans="1:22">
      <c r="A1727" s="18" t="s">
        <v>79</v>
      </c>
      <c r="B1727">
        <v>2014</v>
      </c>
      <c r="C1727" t="s">
        <v>131</v>
      </c>
      <c r="D1727">
        <v>1</v>
      </c>
      <c r="E1727" s="18" t="s">
        <v>32</v>
      </c>
      <c r="F1727" s="18" t="s">
        <v>80</v>
      </c>
      <c r="G1727" s="18" t="s">
        <v>36</v>
      </c>
      <c r="H1727" s="18" t="str">
        <f>Assumptions!$B$2</f>
        <v>Worst</v>
      </c>
      <c r="I1727" s="18">
        <f>_xlfn.XLOOKUP(Assumptions!$B$2,Assumptions!$F$4:$H$4,Assumptions!$F$5:$H$5)</f>
        <v>1200</v>
      </c>
      <c r="J1727" s="18">
        <f>_xlfn.XLOOKUP(Assumptions!$B$2,Assumptions!$F$4:$H$4,Assumptions!$F$6:$H$6)</f>
        <v>17</v>
      </c>
      <c r="K1727" s="12">
        <f>_xlfn.XLOOKUP(Assumptions!$B$2,Assumptions!$F$4:$H$4,Assumptions!$F$8:$H$8)</f>
        <v>0.1</v>
      </c>
      <c r="L1727" s="12">
        <f>_xlfn.XLOOKUP(Assumptions!$B$2,Assumptions!$F$4:$H$4,Assumptions!$F$9:$H$9)</f>
        <v>0.18</v>
      </c>
      <c r="M1727" s="18">
        <f>_xlfn.XLOOKUP(Assumptions!$B$2,Assumptions!$F$4:$H$4,Assumptions!$F$10:$H$10)</f>
        <v>18000</v>
      </c>
      <c r="N1727" s="12">
        <f>_xlfn.XLOOKUP(Assumptions!$B$2,Assumptions!$F$4:$H$4,Assumptions!$F$11:$H$11)</f>
        <v>0.3</v>
      </c>
      <c r="O1727" s="14">
        <f>Final_Table[[#This Row],[Units Sold]]*Final_Table[[#This Row],[Sale Price]]</f>
        <v>20400</v>
      </c>
      <c r="P1727" s="14">
        <f>Final_Table[[#This Row],[Gross Revenue]]*(1-Final_Table[[#This Row],[Discount %]])</f>
        <v>18360</v>
      </c>
      <c r="Q1727">
        <f>Final_Table[[#This Row],[Net Revenue]]*Final_Table[[#This Row],[Variable Cost %]]</f>
        <v>3304.7999999999997</v>
      </c>
      <c r="R1727">
        <f>Final_Table[[#This Row],[Variable Cost]]+Final_Table[[#This Row],[Fixed Monthly Cost]]</f>
        <v>21304.799999999999</v>
      </c>
      <c r="S1727" s="5">
        <f>Final_Table[[#This Row],[Net Revenue]]-Final_Table[[#This Row],[Total Cost (COGS)]]</f>
        <v>-2944.7999999999993</v>
      </c>
      <c r="T1727">
        <f>Final_Table[[#This Row],[Gross Profit]]*Final_Table[[#This Row],[Tax Rate]]</f>
        <v>-883.43999999999971</v>
      </c>
      <c r="U1727" s="5">
        <f>Final_Table[[#This Row],[Gross Profit]]-Final_Table[[#This Row],[Tax]]</f>
        <v>-2061.3599999999997</v>
      </c>
      <c r="V1727" s="12">
        <f>Final_Table[[#This Row],[Net Profit]]/Final_Table[[#This Row],[Gross Revenue]]</f>
        <v>-0.10104705882352939</v>
      </c>
    </row>
    <row r="1728" spans="1:22">
      <c r="A1728" s="18" t="s">
        <v>79</v>
      </c>
      <c r="B1728">
        <v>2014</v>
      </c>
      <c r="C1728" t="s">
        <v>131</v>
      </c>
      <c r="D1728">
        <v>1</v>
      </c>
      <c r="E1728" s="18" t="s">
        <v>32</v>
      </c>
      <c r="F1728" s="18" t="s">
        <v>80</v>
      </c>
      <c r="G1728" s="18" t="s">
        <v>23</v>
      </c>
      <c r="H1728" s="18" t="str">
        <f>Assumptions!$B$2</f>
        <v>Worst</v>
      </c>
      <c r="I1728" s="18">
        <f>_xlfn.XLOOKUP(Assumptions!$B$2,Assumptions!$F$4:$H$4,Assumptions!$F$5:$H$5)</f>
        <v>1200</v>
      </c>
      <c r="J1728" s="18">
        <f>_xlfn.XLOOKUP(Assumptions!$B$2,Assumptions!$F$4:$H$4,Assumptions!$F$6:$H$6)</f>
        <v>17</v>
      </c>
      <c r="K1728" s="12">
        <f>_xlfn.XLOOKUP(Assumptions!$B$2,Assumptions!$F$4:$H$4,Assumptions!$F$8:$H$8)</f>
        <v>0.1</v>
      </c>
      <c r="L1728" s="12">
        <f>_xlfn.XLOOKUP(Assumptions!$B$2,Assumptions!$F$4:$H$4,Assumptions!$F$9:$H$9)</f>
        <v>0.18</v>
      </c>
      <c r="M1728" s="18">
        <f>_xlfn.XLOOKUP(Assumptions!$B$2,Assumptions!$F$4:$H$4,Assumptions!$F$10:$H$10)</f>
        <v>18000</v>
      </c>
      <c r="N1728" s="12">
        <f>_xlfn.XLOOKUP(Assumptions!$B$2,Assumptions!$F$4:$H$4,Assumptions!$F$11:$H$11)</f>
        <v>0.3</v>
      </c>
      <c r="O1728" s="14">
        <f>Final_Table[[#This Row],[Units Sold]]*Final_Table[[#This Row],[Sale Price]]</f>
        <v>20400</v>
      </c>
      <c r="P1728" s="14">
        <f>Final_Table[[#This Row],[Gross Revenue]]*(1-Final_Table[[#This Row],[Discount %]])</f>
        <v>18360</v>
      </c>
      <c r="Q1728">
        <f>Final_Table[[#This Row],[Net Revenue]]*Final_Table[[#This Row],[Variable Cost %]]</f>
        <v>3304.7999999999997</v>
      </c>
      <c r="R1728">
        <f>Final_Table[[#This Row],[Variable Cost]]+Final_Table[[#This Row],[Fixed Monthly Cost]]</f>
        <v>21304.799999999999</v>
      </c>
      <c r="S1728" s="5">
        <f>Final_Table[[#This Row],[Net Revenue]]-Final_Table[[#This Row],[Total Cost (COGS)]]</f>
        <v>-2944.7999999999993</v>
      </c>
      <c r="T1728">
        <f>Final_Table[[#This Row],[Gross Profit]]*Final_Table[[#This Row],[Tax Rate]]</f>
        <v>-883.43999999999971</v>
      </c>
      <c r="U1728" s="5">
        <f>Final_Table[[#This Row],[Gross Profit]]-Final_Table[[#This Row],[Tax]]</f>
        <v>-2061.3599999999997</v>
      </c>
      <c r="V1728" s="12">
        <f>Final_Table[[#This Row],[Net Profit]]/Final_Table[[#This Row],[Gross Revenue]]</f>
        <v>-0.10104705882352939</v>
      </c>
    </row>
    <row r="1729" spans="1:22">
      <c r="A1729" s="18" t="s">
        <v>79</v>
      </c>
      <c r="B1729">
        <v>2014</v>
      </c>
      <c r="C1729" t="s">
        <v>131</v>
      </c>
      <c r="D1729">
        <v>1</v>
      </c>
      <c r="E1729" s="18" t="s">
        <v>32</v>
      </c>
      <c r="F1729" s="18" t="s">
        <v>80</v>
      </c>
      <c r="G1729" s="18" t="s">
        <v>21</v>
      </c>
      <c r="H1729" s="18" t="str">
        <f>Assumptions!$B$2</f>
        <v>Worst</v>
      </c>
      <c r="I1729" s="18">
        <f>_xlfn.XLOOKUP(Assumptions!$B$2,Assumptions!$F$4:$H$4,Assumptions!$F$5:$H$5)</f>
        <v>1200</v>
      </c>
      <c r="J1729" s="18">
        <f>_xlfn.XLOOKUP(Assumptions!$B$2,Assumptions!$F$4:$H$4,Assumptions!$F$6:$H$6)</f>
        <v>17</v>
      </c>
      <c r="K1729" s="12">
        <f>_xlfn.XLOOKUP(Assumptions!$B$2,Assumptions!$F$4:$H$4,Assumptions!$F$8:$H$8)</f>
        <v>0.1</v>
      </c>
      <c r="L1729" s="12">
        <f>_xlfn.XLOOKUP(Assumptions!$B$2,Assumptions!$F$4:$H$4,Assumptions!$F$9:$H$9)</f>
        <v>0.18</v>
      </c>
      <c r="M1729" s="18">
        <f>_xlfn.XLOOKUP(Assumptions!$B$2,Assumptions!$F$4:$H$4,Assumptions!$F$10:$H$10)</f>
        <v>18000</v>
      </c>
      <c r="N1729" s="12">
        <f>_xlfn.XLOOKUP(Assumptions!$B$2,Assumptions!$F$4:$H$4,Assumptions!$F$11:$H$11)</f>
        <v>0.3</v>
      </c>
      <c r="O1729" s="14">
        <f>Final_Table[[#This Row],[Units Sold]]*Final_Table[[#This Row],[Sale Price]]</f>
        <v>20400</v>
      </c>
      <c r="P1729" s="14">
        <f>Final_Table[[#This Row],[Gross Revenue]]*(1-Final_Table[[#This Row],[Discount %]])</f>
        <v>18360</v>
      </c>
      <c r="Q1729">
        <f>Final_Table[[#This Row],[Net Revenue]]*Final_Table[[#This Row],[Variable Cost %]]</f>
        <v>3304.7999999999997</v>
      </c>
      <c r="R1729">
        <f>Final_Table[[#This Row],[Variable Cost]]+Final_Table[[#This Row],[Fixed Monthly Cost]]</f>
        <v>21304.799999999999</v>
      </c>
      <c r="S1729" s="5">
        <f>Final_Table[[#This Row],[Net Revenue]]-Final_Table[[#This Row],[Total Cost (COGS)]]</f>
        <v>-2944.7999999999993</v>
      </c>
      <c r="T1729">
        <f>Final_Table[[#This Row],[Gross Profit]]*Final_Table[[#This Row],[Tax Rate]]</f>
        <v>-883.43999999999971</v>
      </c>
      <c r="U1729" s="5">
        <f>Final_Table[[#This Row],[Gross Profit]]-Final_Table[[#This Row],[Tax]]</f>
        <v>-2061.3599999999997</v>
      </c>
      <c r="V1729" s="12">
        <f>Final_Table[[#This Row],[Net Profit]]/Final_Table[[#This Row],[Gross Revenue]]</f>
        <v>-0.10104705882352939</v>
      </c>
    </row>
    <row r="1730" spans="1:22">
      <c r="A1730" s="18" t="s">
        <v>79</v>
      </c>
      <c r="B1730">
        <v>2014</v>
      </c>
      <c r="C1730" t="s">
        <v>131</v>
      </c>
      <c r="D1730">
        <v>1</v>
      </c>
      <c r="E1730" s="18" t="s">
        <v>32</v>
      </c>
      <c r="F1730" s="18" t="s">
        <v>80</v>
      </c>
      <c r="G1730" s="18" t="s">
        <v>25</v>
      </c>
      <c r="H1730" s="18" t="str">
        <f>Assumptions!$B$2</f>
        <v>Worst</v>
      </c>
      <c r="I1730" s="18">
        <f>_xlfn.XLOOKUP(Assumptions!$B$2,Assumptions!$F$4:$H$4,Assumptions!$F$5:$H$5)</f>
        <v>1200</v>
      </c>
      <c r="J1730" s="18">
        <f>_xlfn.XLOOKUP(Assumptions!$B$2,Assumptions!$F$4:$H$4,Assumptions!$F$6:$H$6)</f>
        <v>17</v>
      </c>
      <c r="K1730" s="12">
        <f>_xlfn.XLOOKUP(Assumptions!$B$2,Assumptions!$F$4:$H$4,Assumptions!$F$8:$H$8)</f>
        <v>0.1</v>
      </c>
      <c r="L1730" s="12">
        <f>_xlfn.XLOOKUP(Assumptions!$B$2,Assumptions!$F$4:$H$4,Assumptions!$F$9:$H$9)</f>
        <v>0.18</v>
      </c>
      <c r="M1730" s="18">
        <f>_xlfn.XLOOKUP(Assumptions!$B$2,Assumptions!$F$4:$H$4,Assumptions!$F$10:$H$10)</f>
        <v>18000</v>
      </c>
      <c r="N1730" s="12">
        <f>_xlfn.XLOOKUP(Assumptions!$B$2,Assumptions!$F$4:$H$4,Assumptions!$F$11:$H$11)</f>
        <v>0.3</v>
      </c>
      <c r="O1730" s="14">
        <f>Final_Table[[#This Row],[Units Sold]]*Final_Table[[#This Row],[Sale Price]]</f>
        <v>20400</v>
      </c>
      <c r="P1730" s="14">
        <f>Final_Table[[#This Row],[Gross Revenue]]*(1-Final_Table[[#This Row],[Discount %]])</f>
        <v>18360</v>
      </c>
      <c r="Q1730">
        <f>Final_Table[[#This Row],[Net Revenue]]*Final_Table[[#This Row],[Variable Cost %]]</f>
        <v>3304.7999999999997</v>
      </c>
      <c r="R1730">
        <f>Final_Table[[#This Row],[Variable Cost]]+Final_Table[[#This Row],[Fixed Monthly Cost]]</f>
        <v>21304.799999999999</v>
      </c>
      <c r="S1730" s="5">
        <f>Final_Table[[#This Row],[Net Revenue]]-Final_Table[[#This Row],[Total Cost (COGS)]]</f>
        <v>-2944.7999999999993</v>
      </c>
      <c r="T1730">
        <f>Final_Table[[#This Row],[Gross Profit]]*Final_Table[[#This Row],[Tax Rate]]</f>
        <v>-883.43999999999971</v>
      </c>
      <c r="U1730" s="5">
        <f>Final_Table[[#This Row],[Gross Profit]]-Final_Table[[#This Row],[Tax]]</f>
        <v>-2061.3599999999997</v>
      </c>
      <c r="V1730" s="12">
        <f>Final_Table[[#This Row],[Net Profit]]/Final_Table[[#This Row],[Gross Revenue]]</f>
        <v>-0.10104705882352939</v>
      </c>
    </row>
    <row r="1731" spans="1:22">
      <c r="A1731" s="18" t="s">
        <v>79</v>
      </c>
      <c r="B1731">
        <v>2014</v>
      </c>
      <c r="C1731" t="s">
        <v>131</v>
      </c>
      <c r="D1731">
        <v>1</v>
      </c>
      <c r="E1731" s="18" t="s">
        <v>32</v>
      </c>
      <c r="F1731" s="18" t="s">
        <v>80</v>
      </c>
      <c r="G1731" s="18" t="s">
        <v>17</v>
      </c>
      <c r="H1731" s="18" t="str">
        <f>Assumptions!$B$2</f>
        <v>Worst</v>
      </c>
      <c r="I1731" s="18">
        <f>_xlfn.XLOOKUP(Assumptions!$B$2,Assumptions!$F$4:$H$4,Assumptions!$F$5:$H$5)</f>
        <v>1200</v>
      </c>
      <c r="J1731" s="18">
        <f>_xlfn.XLOOKUP(Assumptions!$B$2,Assumptions!$F$4:$H$4,Assumptions!$F$6:$H$6)</f>
        <v>17</v>
      </c>
      <c r="K1731" s="12">
        <f>_xlfn.XLOOKUP(Assumptions!$B$2,Assumptions!$F$4:$H$4,Assumptions!$F$8:$H$8)</f>
        <v>0.1</v>
      </c>
      <c r="L1731" s="12">
        <f>_xlfn.XLOOKUP(Assumptions!$B$2,Assumptions!$F$4:$H$4,Assumptions!$F$9:$H$9)</f>
        <v>0.18</v>
      </c>
      <c r="M1731" s="18">
        <f>_xlfn.XLOOKUP(Assumptions!$B$2,Assumptions!$F$4:$H$4,Assumptions!$F$10:$H$10)</f>
        <v>18000</v>
      </c>
      <c r="N1731" s="12">
        <f>_xlfn.XLOOKUP(Assumptions!$B$2,Assumptions!$F$4:$H$4,Assumptions!$F$11:$H$11)</f>
        <v>0.3</v>
      </c>
      <c r="O1731" s="14">
        <f>Final_Table[[#This Row],[Units Sold]]*Final_Table[[#This Row],[Sale Price]]</f>
        <v>20400</v>
      </c>
      <c r="P1731" s="14">
        <f>Final_Table[[#This Row],[Gross Revenue]]*(1-Final_Table[[#This Row],[Discount %]])</f>
        <v>18360</v>
      </c>
      <c r="Q1731">
        <f>Final_Table[[#This Row],[Net Revenue]]*Final_Table[[#This Row],[Variable Cost %]]</f>
        <v>3304.7999999999997</v>
      </c>
      <c r="R1731">
        <f>Final_Table[[#This Row],[Variable Cost]]+Final_Table[[#This Row],[Fixed Monthly Cost]]</f>
        <v>21304.799999999999</v>
      </c>
      <c r="S1731" s="5">
        <f>Final_Table[[#This Row],[Net Revenue]]-Final_Table[[#This Row],[Total Cost (COGS)]]</f>
        <v>-2944.7999999999993</v>
      </c>
      <c r="T1731">
        <f>Final_Table[[#This Row],[Gross Profit]]*Final_Table[[#This Row],[Tax Rate]]</f>
        <v>-883.43999999999971</v>
      </c>
      <c r="U1731" s="5">
        <f>Final_Table[[#This Row],[Gross Profit]]-Final_Table[[#This Row],[Tax]]</f>
        <v>-2061.3599999999997</v>
      </c>
      <c r="V1731" s="12">
        <f>Final_Table[[#This Row],[Net Profit]]/Final_Table[[#This Row],[Gross Revenue]]</f>
        <v>-0.10104705882352939</v>
      </c>
    </row>
    <row r="1732" spans="1:22">
      <c r="A1732" s="18" t="s">
        <v>79</v>
      </c>
      <c r="B1732">
        <v>2014</v>
      </c>
      <c r="C1732" t="s">
        <v>131</v>
      </c>
      <c r="D1732">
        <v>1</v>
      </c>
      <c r="E1732" s="18" t="s">
        <v>32</v>
      </c>
      <c r="F1732" s="18" t="s">
        <v>108</v>
      </c>
      <c r="G1732" s="18" t="s">
        <v>36</v>
      </c>
      <c r="H1732" s="18" t="str">
        <f>Assumptions!$B$2</f>
        <v>Worst</v>
      </c>
      <c r="I1732" s="18">
        <f>_xlfn.XLOOKUP(Assumptions!$B$2,Assumptions!$F$4:$H$4,Assumptions!$F$5:$H$5)</f>
        <v>1200</v>
      </c>
      <c r="J1732" s="18">
        <f>_xlfn.XLOOKUP(Assumptions!$B$2,Assumptions!$F$4:$H$4,Assumptions!$F$6:$H$6)</f>
        <v>17</v>
      </c>
      <c r="K1732" s="12">
        <f>_xlfn.XLOOKUP(Assumptions!$B$2,Assumptions!$F$4:$H$4,Assumptions!$F$8:$H$8)</f>
        <v>0.1</v>
      </c>
      <c r="L1732" s="12">
        <f>_xlfn.XLOOKUP(Assumptions!$B$2,Assumptions!$F$4:$H$4,Assumptions!$F$9:$H$9)</f>
        <v>0.18</v>
      </c>
      <c r="M1732" s="18">
        <f>_xlfn.XLOOKUP(Assumptions!$B$2,Assumptions!$F$4:$H$4,Assumptions!$F$10:$H$10)</f>
        <v>18000</v>
      </c>
      <c r="N1732" s="12">
        <f>_xlfn.XLOOKUP(Assumptions!$B$2,Assumptions!$F$4:$H$4,Assumptions!$F$11:$H$11)</f>
        <v>0.3</v>
      </c>
      <c r="O1732" s="14">
        <f>Final_Table[[#This Row],[Units Sold]]*Final_Table[[#This Row],[Sale Price]]</f>
        <v>20400</v>
      </c>
      <c r="P1732" s="14">
        <f>Final_Table[[#This Row],[Gross Revenue]]*(1-Final_Table[[#This Row],[Discount %]])</f>
        <v>18360</v>
      </c>
      <c r="Q1732">
        <f>Final_Table[[#This Row],[Net Revenue]]*Final_Table[[#This Row],[Variable Cost %]]</f>
        <v>3304.7999999999997</v>
      </c>
      <c r="R1732">
        <f>Final_Table[[#This Row],[Variable Cost]]+Final_Table[[#This Row],[Fixed Monthly Cost]]</f>
        <v>21304.799999999999</v>
      </c>
      <c r="S1732" s="5">
        <f>Final_Table[[#This Row],[Net Revenue]]-Final_Table[[#This Row],[Total Cost (COGS)]]</f>
        <v>-2944.7999999999993</v>
      </c>
      <c r="T1732">
        <f>Final_Table[[#This Row],[Gross Profit]]*Final_Table[[#This Row],[Tax Rate]]</f>
        <v>-883.43999999999971</v>
      </c>
      <c r="U1732" s="5">
        <f>Final_Table[[#This Row],[Gross Profit]]-Final_Table[[#This Row],[Tax]]</f>
        <v>-2061.3599999999997</v>
      </c>
      <c r="V1732" s="12">
        <f>Final_Table[[#This Row],[Net Profit]]/Final_Table[[#This Row],[Gross Revenue]]</f>
        <v>-0.10104705882352939</v>
      </c>
    </row>
    <row r="1733" spans="1:22">
      <c r="A1733" s="18" t="s">
        <v>79</v>
      </c>
      <c r="B1733">
        <v>2014</v>
      </c>
      <c r="C1733" t="s">
        <v>131</v>
      </c>
      <c r="D1733">
        <v>1</v>
      </c>
      <c r="E1733" s="18" t="s">
        <v>32</v>
      </c>
      <c r="F1733" s="18" t="s">
        <v>108</v>
      </c>
      <c r="G1733" s="18" t="s">
        <v>23</v>
      </c>
      <c r="H1733" s="18" t="str">
        <f>Assumptions!$B$2</f>
        <v>Worst</v>
      </c>
      <c r="I1733" s="18">
        <f>_xlfn.XLOOKUP(Assumptions!$B$2,Assumptions!$F$4:$H$4,Assumptions!$F$5:$H$5)</f>
        <v>1200</v>
      </c>
      <c r="J1733" s="18">
        <f>_xlfn.XLOOKUP(Assumptions!$B$2,Assumptions!$F$4:$H$4,Assumptions!$F$6:$H$6)</f>
        <v>17</v>
      </c>
      <c r="K1733" s="12">
        <f>_xlfn.XLOOKUP(Assumptions!$B$2,Assumptions!$F$4:$H$4,Assumptions!$F$8:$H$8)</f>
        <v>0.1</v>
      </c>
      <c r="L1733" s="12">
        <f>_xlfn.XLOOKUP(Assumptions!$B$2,Assumptions!$F$4:$H$4,Assumptions!$F$9:$H$9)</f>
        <v>0.18</v>
      </c>
      <c r="M1733" s="18">
        <f>_xlfn.XLOOKUP(Assumptions!$B$2,Assumptions!$F$4:$H$4,Assumptions!$F$10:$H$10)</f>
        <v>18000</v>
      </c>
      <c r="N1733" s="12">
        <f>_xlfn.XLOOKUP(Assumptions!$B$2,Assumptions!$F$4:$H$4,Assumptions!$F$11:$H$11)</f>
        <v>0.3</v>
      </c>
      <c r="O1733" s="14">
        <f>Final_Table[[#This Row],[Units Sold]]*Final_Table[[#This Row],[Sale Price]]</f>
        <v>20400</v>
      </c>
      <c r="P1733" s="14">
        <f>Final_Table[[#This Row],[Gross Revenue]]*(1-Final_Table[[#This Row],[Discount %]])</f>
        <v>18360</v>
      </c>
      <c r="Q1733">
        <f>Final_Table[[#This Row],[Net Revenue]]*Final_Table[[#This Row],[Variable Cost %]]</f>
        <v>3304.7999999999997</v>
      </c>
      <c r="R1733">
        <f>Final_Table[[#This Row],[Variable Cost]]+Final_Table[[#This Row],[Fixed Monthly Cost]]</f>
        <v>21304.799999999999</v>
      </c>
      <c r="S1733" s="5">
        <f>Final_Table[[#This Row],[Net Revenue]]-Final_Table[[#This Row],[Total Cost (COGS)]]</f>
        <v>-2944.7999999999993</v>
      </c>
      <c r="T1733">
        <f>Final_Table[[#This Row],[Gross Profit]]*Final_Table[[#This Row],[Tax Rate]]</f>
        <v>-883.43999999999971</v>
      </c>
      <c r="U1733" s="5">
        <f>Final_Table[[#This Row],[Gross Profit]]-Final_Table[[#This Row],[Tax]]</f>
        <v>-2061.3599999999997</v>
      </c>
      <c r="V1733" s="12">
        <f>Final_Table[[#This Row],[Net Profit]]/Final_Table[[#This Row],[Gross Revenue]]</f>
        <v>-0.10104705882352939</v>
      </c>
    </row>
    <row r="1734" spans="1:22">
      <c r="A1734" s="18" t="s">
        <v>79</v>
      </c>
      <c r="B1734">
        <v>2014</v>
      </c>
      <c r="C1734" t="s">
        <v>131</v>
      </c>
      <c r="D1734">
        <v>1</v>
      </c>
      <c r="E1734" s="18" t="s">
        <v>32</v>
      </c>
      <c r="F1734" s="18" t="s">
        <v>108</v>
      </c>
      <c r="G1734" s="18" t="s">
        <v>21</v>
      </c>
      <c r="H1734" s="18" t="str">
        <f>Assumptions!$B$2</f>
        <v>Worst</v>
      </c>
      <c r="I1734" s="18">
        <f>_xlfn.XLOOKUP(Assumptions!$B$2,Assumptions!$F$4:$H$4,Assumptions!$F$5:$H$5)</f>
        <v>1200</v>
      </c>
      <c r="J1734" s="18">
        <f>_xlfn.XLOOKUP(Assumptions!$B$2,Assumptions!$F$4:$H$4,Assumptions!$F$6:$H$6)</f>
        <v>17</v>
      </c>
      <c r="K1734" s="12">
        <f>_xlfn.XLOOKUP(Assumptions!$B$2,Assumptions!$F$4:$H$4,Assumptions!$F$8:$H$8)</f>
        <v>0.1</v>
      </c>
      <c r="L1734" s="12">
        <f>_xlfn.XLOOKUP(Assumptions!$B$2,Assumptions!$F$4:$H$4,Assumptions!$F$9:$H$9)</f>
        <v>0.18</v>
      </c>
      <c r="M1734" s="18">
        <f>_xlfn.XLOOKUP(Assumptions!$B$2,Assumptions!$F$4:$H$4,Assumptions!$F$10:$H$10)</f>
        <v>18000</v>
      </c>
      <c r="N1734" s="12">
        <f>_xlfn.XLOOKUP(Assumptions!$B$2,Assumptions!$F$4:$H$4,Assumptions!$F$11:$H$11)</f>
        <v>0.3</v>
      </c>
      <c r="O1734" s="14">
        <f>Final_Table[[#This Row],[Units Sold]]*Final_Table[[#This Row],[Sale Price]]</f>
        <v>20400</v>
      </c>
      <c r="P1734" s="14">
        <f>Final_Table[[#This Row],[Gross Revenue]]*(1-Final_Table[[#This Row],[Discount %]])</f>
        <v>18360</v>
      </c>
      <c r="Q1734">
        <f>Final_Table[[#This Row],[Net Revenue]]*Final_Table[[#This Row],[Variable Cost %]]</f>
        <v>3304.7999999999997</v>
      </c>
      <c r="R1734">
        <f>Final_Table[[#This Row],[Variable Cost]]+Final_Table[[#This Row],[Fixed Monthly Cost]]</f>
        <v>21304.799999999999</v>
      </c>
      <c r="S1734" s="5">
        <f>Final_Table[[#This Row],[Net Revenue]]-Final_Table[[#This Row],[Total Cost (COGS)]]</f>
        <v>-2944.7999999999993</v>
      </c>
      <c r="T1734">
        <f>Final_Table[[#This Row],[Gross Profit]]*Final_Table[[#This Row],[Tax Rate]]</f>
        <v>-883.43999999999971</v>
      </c>
      <c r="U1734" s="5">
        <f>Final_Table[[#This Row],[Gross Profit]]-Final_Table[[#This Row],[Tax]]</f>
        <v>-2061.3599999999997</v>
      </c>
      <c r="V1734" s="12">
        <f>Final_Table[[#This Row],[Net Profit]]/Final_Table[[#This Row],[Gross Revenue]]</f>
        <v>-0.10104705882352939</v>
      </c>
    </row>
    <row r="1735" spans="1:22">
      <c r="A1735" s="18" t="s">
        <v>79</v>
      </c>
      <c r="B1735">
        <v>2014</v>
      </c>
      <c r="C1735" t="s">
        <v>131</v>
      </c>
      <c r="D1735">
        <v>1</v>
      </c>
      <c r="E1735" s="18" t="s">
        <v>32</v>
      </c>
      <c r="F1735" s="18" t="s">
        <v>108</v>
      </c>
      <c r="G1735" s="18" t="s">
        <v>25</v>
      </c>
      <c r="H1735" s="18" t="str">
        <f>Assumptions!$B$2</f>
        <v>Worst</v>
      </c>
      <c r="I1735" s="18">
        <f>_xlfn.XLOOKUP(Assumptions!$B$2,Assumptions!$F$4:$H$4,Assumptions!$F$5:$H$5)</f>
        <v>1200</v>
      </c>
      <c r="J1735" s="18">
        <f>_xlfn.XLOOKUP(Assumptions!$B$2,Assumptions!$F$4:$H$4,Assumptions!$F$6:$H$6)</f>
        <v>17</v>
      </c>
      <c r="K1735" s="12">
        <f>_xlfn.XLOOKUP(Assumptions!$B$2,Assumptions!$F$4:$H$4,Assumptions!$F$8:$H$8)</f>
        <v>0.1</v>
      </c>
      <c r="L1735" s="12">
        <f>_xlfn.XLOOKUP(Assumptions!$B$2,Assumptions!$F$4:$H$4,Assumptions!$F$9:$H$9)</f>
        <v>0.18</v>
      </c>
      <c r="M1735" s="18">
        <f>_xlfn.XLOOKUP(Assumptions!$B$2,Assumptions!$F$4:$H$4,Assumptions!$F$10:$H$10)</f>
        <v>18000</v>
      </c>
      <c r="N1735" s="12">
        <f>_xlfn.XLOOKUP(Assumptions!$B$2,Assumptions!$F$4:$H$4,Assumptions!$F$11:$H$11)</f>
        <v>0.3</v>
      </c>
      <c r="O1735" s="14">
        <f>Final_Table[[#This Row],[Units Sold]]*Final_Table[[#This Row],[Sale Price]]</f>
        <v>20400</v>
      </c>
      <c r="P1735" s="14">
        <f>Final_Table[[#This Row],[Gross Revenue]]*(1-Final_Table[[#This Row],[Discount %]])</f>
        <v>18360</v>
      </c>
      <c r="Q1735">
        <f>Final_Table[[#This Row],[Net Revenue]]*Final_Table[[#This Row],[Variable Cost %]]</f>
        <v>3304.7999999999997</v>
      </c>
      <c r="R1735">
        <f>Final_Table[[#This Row],[Variable Cost]]+Final_Table[[#This Row],[Fixed Monthly Cost]]</f>
        <v>21304.799999999999</v>
      </c>
      <c r="S1735" s="5">
        <f>Final_Table[[#This Row],[Net Revenue]]-Final_Table[[#This Row],[Total Cost (COGS)]]</f>
        <v>-2944.7999999999993</v>
      </c>
      <c r="T1735">
        <f>Final_Table[[#This Row],[Gross Profit]]*Final_Table[[#This Row],[Tax Rate]]</f>
        <v>-883.43999999999971</v>
      </c>
      <c r="U1735" s="5">
        <f>Final_Table[[#This Row],[Gross Profit]]-Final_Table[[#This Row],[Tax]]</f>
        <v>-2061.3599999999997</v>
      </c>
      <c r="V1735" s="12">
        <f>Final_Table[[#This Row],[Net Profit]]/Final_Table[[#This Row],[Gross Revenue]]</f>
        <v>-0.10104705882352939</v>
      </c>
    </row>
    <row r="1736" spans="1:22">
      <c r="A1736" s="18" t="s">
        <v>79</v>
      </c>
      <c r="B1736">
        <v>2014</v>
      </c>
      <c r="C1736" t="s">
        <v>131</v>
      </c>
      <c r="D1736">
        <v>1</v>
      </c>
      <c r="E1736" s="18" t="s">
        <v>32</v>
      </c>
      <c r="F1736" s="18" t="s">
        <v>108</v>
      </c>
      <c r="G1736" s="18" t="s">
        <v>17</v>
      </c>
      <c r="H1736" s="18" t="str">
        <f>Assumptions!$B$2</f>
        <v>Worst</v>
      </c>
      <c r="I1736" s="18">
        <f>_xlfn.XLOOKUP(Assumptions!$B$2,Assumptions!$F$4:$H$4,Assumptions!$F$5:$H$5)</f>
        <v>1200</v>
      </c>
      <c r="J1736" s="18">
        <f>_xlfn.XLOOKUP(Assumptions!$B$2,Assumptions!$F$4:$H$4,Assumptions!$F$6:$H$6)</f>
        <v>17</v>
      </c>
      <c r="K1736" s="12">
        <f>_xlfn.XLOOKUP(Assumptions!$B$2,Assumptions!$F$4:$H$4,Assumptions!$F$8:$H$8)</f>
        <v>0.1</v>
      </c>
      <c r="L1736" s="12">
        <f>_xlfn.XLOOKUP(Assumptions!$B$2,Assumptions!$F$4:$H$4,Assumptions!$F$9:$H$9)</f>
        <v>0.18</v>
      </c>
      <c r="M1736" s="18">
        <f>_xlfn.XLOOKUP(Assumptions!$B$2,Assumptions!$F$4:$H$4,Assumptions!$F$10:$H$10)</f>
        <v>18000</v>
      </c>
      <c r="N1736" s="12">
        <f>_xlfn.XLOOKUP(Assumptions!$B$2,Assumptions!$F$4:$H$4,Assumptions!$F$11:$H$11)</f>
        <v>0.3</v>
      </c>
      <c r="O1736" s="14">
        <f>Final_Table[[#This Row],[Units Sold]]*Final_Table[[#This Row],[Sale Price]]</f>
        <v>20400</v>
      </c>
      <c r="P1736" s="14">
        <f>Final_Table[[#This Row],[Gross Revenue]]*(1-Final_Table[[#This Row],[Discount %]])</f>
        <v>18360</v>
      </c>
      <c r="Q1736">
        <f>Final_Table[[#This Row],[Net Revenue]]*Final_Table[[#This Row],[Variable Cost %]]</f>
        <v>3304.7999999999997</v>
      </c>
      <c r="R1736">
        <f>Final_Table[[#This Row],[Variable Cost]]+Final_Table[[#This Row],[Fixed Monthly Cost]]</f>
        <v>21304.799999999999</v>
      </c>
      <c r="S1736" s="5">
        <f>Final_Table[[#This Row],[Net Revenue]]-Final_Table[[#This Row],[Total Cost (COGS)]]</f>
        <v>-2944.7999999999993</v>
      </c>
      <c r="T1736">
        <f>Final_Table[[#This Row],[Gross Profit]]*Final_Table[[#This Row],[Tax Rate]]</f>
        <v>-883.43999999999971</v>
      </c>
      <c r="U1736" s="5">
        <f>Final_Table[[#This Row],[Gross Profit]]-Final_Table[[#This Row],[Tax]]</f>
        <v>-2061.3599999999997</v>
      </c>
      <c r="V1736" s="12">
        <f>Final_Table[[#This Row],[Net Profit]]/Final_Table[[#This Row],[Gross Revenue]]</f>
        <v>-0.10104705882352939</v>
      </c>
    </row>
    <row r="1737" spans="1:22">
      <c r="A1737" s="18" t="s">
        <v>79</v>
      </c>
      <c r="B1737">
        <v>2014</v>
      </c>
      <c r="C1737" t="s">
        <v>131</v>
      </c>
      <c r="D1737">
        <v>1</v>
      </c>
      <c r="E1737" s="18" t="s">
        <v>32</v>
      </c>
      <c r="F1737" s="18" t="s">
        <v>112</v>
      </c>
      <c r="G1737" s="18" t="s">
        <v>36</v>
      </c>
      <c r="H1737" s="18" t="str">
        <f>Assumptions!$B$2</f>
        <v>Worst</v>
      </c>
      <c r="I1737" s="18">
        <f>_xlfn.XLOOKUP(Assumptions!$B$2,Assumptions!$F$4:$H$4,Assumptions!$F$5:$H$5)</f>
        <v>1200</v>
      </c>
      <c r="J1737" s="18">
        <f>_xlfn.XLOOKUP(Assumptions!$B$2,Assumptions!$F$4:$H$4,Assumptions!$F$6:$H$6)</f>
        <v>17</v>
      </c>
      <c r="K1737" s="12">
        <f>_xlfn.XLOOKUP(Assumptions!$B$2,Assumptions!$F$4:$H$4,Assumptions!$F$8:$H$8)</f>
        <v>0.1</v>
      </c>
      <c r="L1737" s="12">
        <f>_xlfn.XLOOKUP(Assumptions!$B$2,Assumptions!$F$4:$H$4,Assumptions!$F$9:$H$9)</f>
        <v>0.18</v>
      </c>
      <c r="M1737" s="18">
        <f>_xlfn.XLOOKUP(Assumptions!$B$2,Assumptions!$F$4:$H$4,Assumptions!$F$10:$H$10)</f>
        <v>18000</v>
      </c>
      <c r="N1737" s="12">
        <f>_xlfn.XLOOKUP(Assumptions!$B$2,Assumptions!$F$4:$H$4,Assumptions!$F$11:$H$11)</f>
        <v>0.3</v>
      </c>
      <c r="O1737" s="14">
        <f>Final_Table[[#This Row],[Units Sold]]*Final_Table[[#This Row],[Sale Price]]</f>
        <v>20400</v>
      </c>
      <c r="P1737" s="14">
        <f>Final_Table[[#This Row],[Gross Revenue]]*(1-Final_Table[[#This Row],[Discount %]])</f>
        <v>18360</v>
      </c>
      <c r="Q1737">
        <f>Final_Table[[#This Row],[Net Revenue]]*Final_Table[[#This Row],[Variable Cost %]]</f>
        <v>3304.7999999999997</v>
      </c>
      <c r="R1737">
        <f>Final_Table[[#This Row],[Variable Cost]]+Final_Table[[#This Row],[Fixed Monthly Cost]]</f>
        <v>21304.799999999999</v>
      </c>
      <c r="S1737" s="5">
        <f>Final_Table[[#This Row],[Net Revenue]]-Final_Table[[#This Row],[Total Cost (COGS)]]</f>
        <v>-2944.7999999999993</v>
      </c>
      <c r="T1737">
        <f>Final_Table[[#This Row],[Gross Profit]]*Final_Table[[#This Row],[Tax Rate]]</f>
        <v>-883.43999999999971</v>
      </c>
      <c r="U1737" s="5">
        <f>Final_Table[[#This Row],[Gross Profit]]-Final_Table[[#This Row],[Tax]]</f>
        <v>-2061.3599999999997</v>
      </c>
      <c r="V1737" s="12">
        <f>Final_Table[[#This Row],[Net Profit]]/Final_Table[[#This Row],[Gross Revenue]]</f>
        <v>-0.10104705882352939</v>
      </c>
    </row>
    <row r="1738" spans="1:22">
      <c r="A1738" s="18" t="s">
        <v>79</v>
      </c>
      <c r="B1738">
        <v>2014</v>
      </c>
      <c r="C1738" t="s">
        <v>131</v>
      </c>
      <c r="D1738">
        <v>1</v>
      </c>
      <c r="E1738" s="18" t="s">
        <v>32</v>
      </c>
      <c r="F1738" s="18" t="s">
        <v>112</v>
      </c>
      <c r="G1738" s="18" t="s">
        <v>23</v>
      </c>
      <c r="H1738" s="18" t="str">
        <f>Assumptions!$B$2</f>
        <v>Worst</v>
      </c>
      <c r="I1738" s="18">
        <f>_xlfn.XLOOKUP(Assumptions!$B$2,Assumptions!$F$4:$H$4,Assumptions!$F$5:$H$5)</f>
        <v>1200</v>
      </c>
      <c r="J1738" s="18">
        <f>_xlfn.XLOOKUP(Assumptions!$B$2,Assumptions!$F$4:$H$4,Assumptions!$F$6:$H$6)</f>
        <v>17</v>
      </c>
      <c r="K1738" s="12">
        <f>_xlfn.XLOOKUP(Assumptions!$B$2,Assumptions!$F$4:$H$4,Assumptions!$F$8:$H$8)</f>
        <v>0.1</v>
      </c>
      <c r="L1738" s="12">
        <f>_xlfn.XLOOKUP(Assumptions!$B$2,Assumptions!$F$4:$H$4,Assumptions!$F$9:$H$9)</f>
        <v>0.18</v>
      </c>
      <c r="M1738" s="18">
        <f>_xlfn.XLOOKUP(Assumptions!$B$2,Assumptions!$F$4:$H$4,Assumptions!$F$10:$H$10)</f>
        <v>18000</v>
      </c>
      <c r="N1738" s="12">
        <f>_xlfn.XLOOKUP(Assumptions!$B$2,Assumptions!$F$4:$H$4,Assumptions!$F$11:$H$11)</f>
        <v>0.3</v>
      </c>
      <c r="O1738" s="14">
        <f>Final_Table[[#This Row],[Units Sold]]*Final_Table[[#This Row],[Sale Price]]</f>
        <v>20400</v>
      </c>
      <c r="P1738" s="14">
        <f>Final_Table[[#This Row],[Gross Revenue]]*(1-Final_Table[[#This Row],[Discount %]])</f>
        <v>18360</v>
      </c>
      <c r="Q1738">
        <f>Final_Table[[#This Row],[Net Revenue]]*Final_Table[[#This Row],[Variable Cost %]]</f>
        <v>3304.7999999999997</v>
      </c>
      <c r="R1738">
        <f>Final_Table[[#This Row],[Variable Cost]]+Final_Table[[#This Row],[Fixed Monthly Cost]]</f>
        <v>21304.799999999999</v>
      </c>
      <c r="S1738" s="5">
        <f>Final_Table[[#This Row],[Net Revenue]]-Final_Table[[#This Row],[Total Cost (COGS)]]</f>
        <v>-2944.7999999999993</v>
      </c>
      <c r="T1738">
        <f>Final_Table[[#This Row],[Gross Profit]]*Final_Table[[#This Row],[Tax Rate]]</f>
        <v>-883.43999999999971</v>
      </c>
      <c r="U1738" s="5">
        <f>Final_Table[[#This Row],[Gross Profit]]-Final_Table[[#This Row],[Tax]]</f>
        <v>-2061.3599999999997</v>
      </c>
      <c r="V1738" s="12">
        <f>Final_Table[[#This Row],[Net Profit]]/Final_Table[[#This Row],[Gross Revenue]]</f>
        <v>-0.10104705882352939</v>
      </c>
    </row>
    <row r="1739" spans="1:22">
      <c r="A1739" s="18" t="s">
        <v>79</v>
      </c>
      <c r="B1739">
        <v>2014</v>
      </c>
      <c r="C1739" t="s">
        <v>131</v>
      </c>
      <c r="D1739">
        <v>1</v>
      </c>
      <c r="E1739" s="18" t="s">
        <v>32</v>
      </c>
      <c r="F1739" s="18" t="s">
        <v>112</v>
      </c>
      <c r="G1739" s="18" t="s">
        <v>21</v>
      </c>
      <c r="H1739" s="18" t="str">
        <f>Assumptions!$B$2</f>
        <v>Worst</v>
      </c>
      <c r="I1739" s="18">
        <f>_xlfn.XLOOKUP(Assumptions!$B$2,Assumptions!$F$4:$H$4,Assumptions!$F$5:$H$5)</f>
        <v>1200</v>
      </c>
      <c r="J1739" s="18">
        <f>_xlfn.XLOOKUP(Assumptions!$B$2,Assumptions!$F$4:$H$4,Assumptions!$F$6:$H$6)</f>
        <v>17</v>
      </c>
      <c r="K1739" s="12">
        <f>_xlfn.XLOOKUP(Assumptions!$B$2,Assumptions!$F$4:$H$4,Assumptions!$F$8:$H$8)</f>
        <v>0.1</v>
      </c>
      <c r="L1739" s="12">
        <f>_xlfn.XLOOKUP(Assumptions!$B$2,Assumptions!$F$4:$H$4,Assumptions!$F$9:$H$9)</f>
        <v>0.18</v>
      </c>
      <c r="M1739" s="18">
        <f>_xlfn.XLOOKUP(Assumptions!$B$2,Assumptions!$F$4:$H$4,Assumptions!$F$10:$H$10)</f>
        <v>18000</v>
      </c>
      <c r="N1739" s="12">
        <f>_xlfn.XLOOKUP(Assumptions!$B$2,Assumptions!$F$4:$H$4,Assumptions!$F$11:$H$11)</f>
        <v>0.3</v>
      </c>
      <c r="O1739" s="14">
        <f>Final_Table[[#This Row],[Units Sold]]*Final_Table[[#This Row],[Sale Price]]</f>
        <v>20400</v>
      </c>
      <c r="P1739" s="14">
        <f>Final_Table[[#This Row],[Gross Revenue]]*(1-Final_Table[[#This Row],[Discount %]])</f>
        <v>18360</v>
      </c>
      <c r="Q1739">
        <f>Final_Table[[#This Row],[Net Revenue]]*Final_Table[[#This Row],[Variable Cost %]]</f>
        <v>3304.7999999999997</v>
      </c>
      <c r="R1739">
        <f>Final_Table[[#This Row],[Variable Cost]]+Final_Table[[#This Row],[Fixed Monthly Cost]]</f>
        <v>21304.799999999999</v>
      </c>
      <c r="S1739" s="5">
        <f>Final_Table[[#This Row],[Net Revenue]]-Final_Table[[#This Row],[Total Cost (COGS)]]</f>
        <v>-2944.7999999999993</v>
      </c>
      <c r="T1739">
        <f>Final_Table[[#This Row],[Gross Profit]]*Final_Table[[#This Row],[Tax Rate]]</f>
        <v>-883.43999999999971</v>
      </c>
      <c r="U1739" s="5">
        <f>Final_Table[[#This Row],[Gross Profit]]-Final_Table[[#This Row],[Tax]]</f>
        <v>-2061.3599999999997</v>
      </c>
      <c r="V1739" s="12">
        <f>Final_Table[[#This Row],[Net Profit]]/Final_Table[[#This Row],[Gross Revenue]]</f>
        <v>-0.10104705882352939</v>
      </c>
    </row>
    <row r="1740" spans="1:22">
      <c r="A1740" s="18" t="s">
        <v>79</v>
      </c>
      <c r="B1740">
        <v>2014</v>
      </c>
      <c r="C1740" t="s">
        <v>131</v>
      </c>
      <c r="D1740">
        <v>1</v>
      </c>
      <c r="E1740" s="18" t="s">
        <v>32</v>
      </c>
      <c r="F1740" s="18" t="s">
        <v>112</v>
      </c>
      <c r="G1740" s="18" t="s">
        <v>25</v>
      </c>
      <c r="H1740" s="18" t="str">
        <f>Assumptions!$B$2</f>
        <v>Worst</v>
      </c>
      <c r="I1740" s="18">
        <f>_xlfn.XLOOKUP(Assumptions!$B$2,Assumptions!$F$4:$H$4,Assumptions!$F$5:$H$5)</f>
        <v>1200</v>
      </c>
      <c r="J1740" s="18">
        <f>_xlfn.XLOOKUP(Assumptions!$B$2,Assumptions!$F$4:$H$4,Assumptions!$F$6:$H$6)</f>
        <v>17</v>
      </c>
      <c r="K1740" s="12">
        <f>_xlfn.XLOOKUP(Assumptions!$B$2,Assumptions!$F$4:$H$4,Assumptions!$F$8:$H$8)</f>
        <v>0.1</v>
      </c>
      <c r="L1740" s="12">
        <f>_xlfn.XLOOKUP(Assumptions!$B$2,Assumptions!$F$4:$H$4,Assumptions!$F$9:$H$9)</f>
        <v>0.18</v>
      </c>
      <c r="M1740" s="18">
        <f>_xlfn.XLOOKUP(Assumptions!$B$2,Assumptions!$F$4:$H$4,Assumptions!$F$10:$H$10)</f>
        <v>18000</v>
      </c>
      <c r="N1740" s="12">
        <f>_xlfn.XLOOKUP(Assumptions!$B$2,Assumptions!$F$4:$H$4,Assumptions!$F$11:$H$11)</f>
        <v>0.3</v>
      </c>
      <c r="O1740" s="14">
        <f>Final_Table[[#This Row],[Units Sold]]*Final_Table[[#This Row],[Sale Price]]</f>
        <v>20400</v>
      </c>
      <c r="P1740" s="14">
        <f>Final_Table[[#This Row],[Gross Revenue]]*(1-Final_Table[[#This Row],[Discount %]])</f>
        <v>18360</v>
      </c>
      <c r="Q1740">
        <f>Final_Table[[#This Row],[Net Revenue]]*Final_Table[[#This Row],[Variable Cost %]]</f>
        <v>3304.7999999999997</v>
      </c>
      <c r="R1740">
        <f>Final_Table[[#This Row],[Variable Cost]]+Final_Table[[#This Row],[Fixed Monthly Cost]]</f>
        <v>21304.799999999999</v>
      </c>
      <c r="S1740" s="5">
        <f>Final_Table[[#This Row],[Net Revenue]]-Final_Table[[#This Row],[Total Cost (COGS)]]</f>
        <v>-2944.7999999999993</v>
      </c>
      <c r="T1740">
        <f>Final_Table[[#This Row],[Gross Profit]]*Final_Table[[#This Row],[Tax Rate]]</f>
        <v>-883.43999999999971</v>
      </c>
      <c r="U1740" s="5">
        <f>Final_Table[[#This Row],[Gross Profit]]-Final_Table[[#This Row],[Tax]]</f>
        <v>-2061.3599999999997</v>
      </c>
      <c r="V1740" s="12">
        <f>Final_Table[[#This Row],[Net Profit]]/Final_Table[[#This Row],[Gross Revenue]]</f>
        <v>-0.10104705882352939</v>
      </c>
    </row>
    <row r="1741" spans="1:22">
      <c r="A1741" s="18" t="s">
        <v>79</v>
      </c>
      <c r="B1741">
        <v>2014</v>
      </c>
      <c r="C1741" t="s">
        <v>131</v>
      </c>
      <c r="D1741">
        <v>1</v>
      </c>
      <c r="E1741" s="18" t="s">
        <v>32</v>
      </c>
      <c r="F1741" s="18" t="s">
        <v>112</v>
      </c>
      <c r="G1741" s="18" t="s">
        <v>17</v>
      </c>
      <c r="H1741" s="18" t="str">
        <f>Assumptions!$B$2</f>
        <v>Worst</v>
      </c>
      <c r="I1741" s="18">
        <f>_xlfn.XLOOKUP(Assumptions!$B$2,Assumptions!$F$4:$H$4,Assumptions!$F$5:$H$5)</f>
        <v>1200</v>
      </c>
      <c r="J1741" s="18">
        <f>_xlfn.XLOOKUP(Assumptions!$B$2,Assumptions!$F$4:$H$4,Assumptions!$F$6:$H$6)</f>
        <v>17</v>
      </c>
      <c r="K1741" s="12">
        <f>_xlfn.XLOOKUP(Assumptions!$B$2,Assumptions!$F$4:$H$4,Assumptions!$F$8:$H$8)</f>
        <v>0.1</v>
      </c>
      <c r="L1741" s="12">
        <f>_xlfn.XLOOKUP(Assumptions!$B$2,Assumptions!$F$4:$H$4,Assumptions!$F$9:$H$9)</f>
        <v>0.18</v>
      </c>
      <c r="M1741" s="18">
        <f>_xlfn.XLOOKUP(Assumptions!$B$2,Assumptions!$F$4:$H$4,Assumptions!$F$10:$H$10)</f>
        <v>18000</v>
      </c>
      <c r="N1741" s="12">
        <f>_xlfn.XLOOKUP(Assumptions!$B$2,Assumptions!$F$4:$H$4,Assumptions!$F$11:$H$11)</f>
        <v>0.3</v>
      </c>
      <c r="O1741" s="14">
        <f>Final_Table[[#This Row],[Units Sold]]*Final_Table[[#This Row],[Sale Price]]</f>
        <v>20400</v>
      </c>
      <c r="P1741" s="14">
        <f>Final_Table[[#This Row],[Gross Revenue]]*(1-Final_Table[[#This Row],[Discount %]])</f>
        <v>18360</v>
      </c>
      <c r="Q1741">
        <f>Final_Table[[#This Row],[Net Revenue]]*Final_Table[[#This Row],[Variable Cost %]]</f>
        <v>3304.7999999999997</v>
      </c>
      <c r="R1741">
        <f>Final_Table[[#This Row],[Variable Cost]]+Final_Table[[#This Row],[Fixed Monthly Cost]]</f>
        <v>21304.799999999999</v>
      </c>
      <c r="S1741" s="5">
        <f>Final_Table[[#This Row],[Net Revenue]]-Final_Table[[#This Row],[Total Cost (COGS)]]</f>
        <v>-2944.7999999999993</v>
      </c>
      <c r="T1741">
        <f>Final_Table[[#This Row],[Gross Profit]]*Final_Table[[#This Row],[Tax Rate]]</f>
        <v>-883.43999999999971</v>
      </c>
      <c r="U1741" s="5">
        <f>Final_Table[[#This Row],[Gross Profit]]-Final_Table[[#This Row],[Tax]]</f>
        <v>-2061.3599999999997</v>
      </c>
      <c r="V1741" s="12">
        <f>Final_Table[[#This Row],[Net Profit]]/Final_Table[[#This Row],[Gross Revenue]]</f>
        <v>-0.10104705882352939</v>
      </c>
    </row>
    <row r="1742" spans="1:22">
      <c r="A1742" s="18" t="s">
        <v>79</v>
      </c>
      <c r="B1742">
        <v>2014</v>
      </c>
      <c r="C1742" t="s">
        <v>131</v>
      </c>
      <c r="D1742">
        <v>1</v>
      </c>
      <c r="E1742" s="18" t="s">
        <v>32</v>
      </c>
      <c r="F1742" s="18" t="s">
        <v>113</v>
      </c>
      <c r="G1742" s="18" t="s">
        <v>36</v>
      </c>
      <c r="H1742" s="18" t="str">
        <f>Assumptions!$B$2</f>
        <v>Worst</v>
      </c>
      <c r="I1742" s="18">
        <f>_xlfn.XLOOKUP(Assumptions!$B$2,Assumptions!$F$4:$H$4,Assumptions!$F$5:$H$5)</f>
        <v>1200</v>
      </c>
      <c r="J1742" s="18">
        <f>_xlfn.XLOOKUP(Assumptions!$B$2,Assumptions!$F$4:$H$4,Assumptions!$F$6:$H$6)</f>
        <v>17</v>
      </c>
      <c r="K1742" s="12">
        <f>_xlfn.XLOOKUP(Assumptions!$B$2,Assumptions!$F$4:$H$4,Assumptions!$F$8:$H$8)</f>
        <v>0.1</v>
      </c>
      <c r="L1742" s="12">
        <f>_xlfn.XLOOKUP(Assumptions!$B$2,Assumptions!$F$4:$H$4,Assumptions!$F$9:$H$9)</f>
        <v>0.18</v>
      </c>
      <c r="M1742" s="18">
        <f>_xlfn.XLOOKUP(Assumptions!$B$2,Assumptions!$F$4:$H$4,Assumptions!$F$10:$H$10)</f>
        <v>18000</v>
      </c>
      <c r="N1742" s="12">
        <f>_xlfn.XLOOKUP(Assumptions!$B$2,Assumptions!$F$4:$H$4,Assumptions!$F$11:$H$11)</f>
        <v>0.3</v>
      </c>
      <c r="O1742" s="14">
        <f>Final_Table[[#This Row],[Units Sold]]*Final_Table[[#This Row],[Sale Price]]</f>
        <v>20400</v>
      </c>
      <c r="P1742" s="14">
        <f>Final_Table[[#This Row],[Gross Revenue]]*(1-Final_Table[[#This Row],[Discount %]])</f>
        <v>18360</v>
      </c>
      <c r="Q1742">
        <f>Final_Table[[#This Row],[Net Revenue]]*Final_Table[[#This Row],[Variable Cost %]]</f>
        <v>3304.7999999999997</v>
      </c>
      <c r="R1742">
        <f>Final_Table[[#This Row],[Variable Cost]]+Final_Table[[#This Row],[Fixed Monthly Cost]]</f>
        <v>21304.799999999999</v>
      </c>
      <c r="S1742" s="5">
        <f>Final_Table[[#This Row],[Net Revenue]]-Final_Table[[#This Row],[Total Cost (COGS)]]</f>
        <v>-2944.7999999999993</v>
      </c>
      <c r="T1742">
        <f>Final_Table[[#This Row],[Gross Profit]]*Final_Table[[#This Row],[Tax Rate]]</f>
        <v>-883.43999999999971</v>
      </c>
      <c r="U1742" s="5">
        <f>Final_Table[[#This Row],[Gross Profit]]-Final_Table[[#This Row],[Tax]]</f>
        <v>-2061.3599999999997</v>
      </c>
      <c r="V1742" s="12">
        <f>Final_Table[[#This Row],[Net Profit]]/Final_Table[[#This Row],[Gross Revenue]]</f>
        <v>-0.10104705882352939</v>
      </c>
    </row>
    <row r="1743" spans="1:22">
      <c r="A1743" s="18" t="s">
        <v>79</v>
      </c>
      <c r="B1743">
        <v>2014</v>
      </c>
      <c r="C1743" t="s">
        <v>131</v>
      </c>
      <c r="D1743">
        <v>1</v>
      </c>
      <c r="E1743" s="18" t="s">
        <v>32</v>
      </c>
      <c r="F1743" s="18" t="s">
        <v>113</v>
      </c>
      <c r="G1743" s="18" t="s">
        <v>23</v>
      </c>
      <c r="H1743" s="18" t="str">
        <f>Assumptions!$B$2</f>
        <v>Worst</v>
      </c>
      <c r="I1743" s="18">
        <f>_xlfn.XLOOKUP(Assumptions!$B$2,Assumptions!$F$4:$H$4,Assumptions!$F$5:$H$5)</f>
        <v>1200</v>
      </c>
      <c r="J1743" s="18">
        <f>_xlfn.XLOOKUP(Assumptions!$B$2,Assumptions!$F$4:$H$4,Assumptions!$F$6:$H$6)</f>
        <v>17</v>
      </c>
      <c r="K1743" s="12">
        <f>_xlfn.XLOOKUP(Assumptions!$B$2,Assumptions!$F$4:$H$4,Assumptions!$F$8:$H$8)</f>
        <v>0.1</v>
      </c>
      <c r="L1743" s="12">
        <f>_xlfn.XLOOKUP(Assumptions!$B$2,Assumptions!$F$4:$H$4,Assumptions!$F$9:$H$9)</f>
        <v>0.18</v>
      </c>
      <c r="M1743" s="18">
        <f>_xlfn.XLOOKUP(Assumptions!$B$2,Assumptions!$F$4:$H$4,Assumptions!$F$10:$H$10)</f>
        <v>18000</v>
      </c>
      <c r="N1743" s="12">
        <f>_xlfn.XLOOKUP(Assumptions!$B$2,Assumptions!$F$4:$H$4,Assumptions!$F$11:$H$11)</f>
        <v>0.3</v>
      </c>
      <c r="O1743" s="14">
        <f>Final_Table[[#This Row],[Units Sold]]*Final_Table[[#This Row],[Sale Price]]</f>
        <v>20400</v>
      </c>
      <c r="P1743" s="14">
        <f>Final_Table[[#This Row],[Gross Revenue]]*(1-Final_Table[[#This Row],[Discount %]])</f>
        <v>18360</v>
      </c>
      <c r="Q1743">
        <f>Final_Table[[#This Row],[Net Revenue]]*Final_Table[[#This Row],[Variable Cost %]]</f>
        <v>3304.7999999999997</v>
      </c>
      <c r="R1743">
        <f>Final_Table[[#This Row],[Variable Cost]]+Final_Table[[#This Row],[Fixed Monthly Cost]]</f>
        <v>21304.799999999999</v>
      </c>
      <c r="S1743" s="5">
        <f>Final_Table[[#This Row],[Net Revenue]]-Final_Table[[#This Row],[Total Cost (COGS)]]</f>
        <v>-2944.7999999999993</v>
      </c>
      <c r="T1743">
        <f>Final_Table[[#This Row],[Gross Profit]]*Final_Table[[#This Row],[Tax Rate]]</f>
        <v>-883.43999999999971</v>
      </c>
      <c r="U1743" s="5">
        <f>Final_Table[[#This Row],[Gross Profit]]-Final_Table[[#This Row],[Tax]]</f>
        <v>-2061.3599999999997</v>
      </c>
      <c r="V1743" s="12">
        <f>Final_Table[[#This Row],[Net Profit]]/Final_Table[[#This Row],[Gross Revenue]]</f>
        <v>-0.10104705882352939</v>
      </c>
    </row>
    <row r="1744" spans="1:22">
      <c r="A1744" s="18" t="s">
        <v>79</v>
      </c>
      <c r="B1744">
        <v>2014</v>
      </c>
      <c r="C1744" t="s">
        <v>131</v>
      </c>
      <c r="D1744">
        <v>1</v>
      </c>
      <c r="E1744" s="18" t="s">
        <v>32</v>
      </c>
      <c r="F1744" s="18" t="s">
        <v>113</v>
      </c>
      <c r="G1744" s="18" t="s">
        <v>21</v>
      </c>
      <c r="H1744" s="18" t="str">
        <f>Assumptions!$B$2</f>
        <v>Worst</v>
      </c>
      <c r="I1744" s="18">
        <f>_xlfn.XLOOKUP(Assumptions!$B$2,Assumptions!$F$4:$H$4,Assumptions!$F$5:$H$5)</f>
        <v>1200</v>
      </c>
      <c r="J1744" s="18">
        <f>_xlfn.XLOOKUP(Assumptions!$B$2,Assumptions!$F$4:$H$4,Assumptions!$F$6:$H$6)</f>
        <v>17</v>
      </c>
      <c r="K1744" s="12">
        <f>_xlfn.XLOOKUP(Assumptions!$B$2,Assumptions!$F$4:$H$4,Assumptions!$F$8:$H$8)</f>
        <v>0.1</v>
      </c>
      <c r="L1744" s="12">
        <f>_xlfn.XLOOKUP(Assumptions!$B$2,Assumptions!$F$4:$H$4,Assumptions!$F$9:$H$9)</f>
        <v>0.18</v>
      </c>
      <c r="M1744" s="18">
        <f>_xlfn.XLOOKUP(Assumptions!$B$2,Assumptions!$F$4:$H$4,Assumptions!$F$10:$H$10)</f>
        <v>18000</v>
      </c>
      <c r="N1744" s="12">
        <f>_xlfn.XLOOKUP(Assumptions!$B$2,Assumptions!$F$4:$H$4,Assumptions!$F$11:$H$11)</f>
        <v>0.3</v>
      </c>
      <c r="O1744" s="14">
        <f>Final_Table[[#This Row],[Units Sold]]*Final_Table[[#This Row],[Sale Price]]</f>
        <v>20400</v>
      </c>
      <c r="P1744" s="14">
        <f>Final_Table[[#This Row],[Gross Revenue]]*(1-Final_Table[[#This Row],[Discount %]])</f>
        <v>18360</v>
      </c>
      <c r="Q1744">
        <f>Final_Table[[#This Row],[Net Revenue]]*Final_Table[[#This Row],[Variable Cost %]]</f>
        <v>3304.7999999999997</v>
      </c>
      <c r="R1744">
        <f>Final_Table[[#This Row],[Variable Cost]]+Final_Table[[#This Row],[Fixed Monthly Cost]]</f>
        <v>21304.799999999999</v>
      </c>
      <c r="S1744" s="5">
        <f>Final_Table[[#This Row],[Net Revenue]]-Final_Table[[#This Row],[Total Cost (COGS)]]</f>
        <v>-2944.7999999999993</v>
      </c>
      <c r="T1744">
        <f>Final_Table[[#This Row],[Gross Profit]]*Final_Table[[#This Row],[Tax Rate]]</f>
        <v>-883.43999999999971</v>
      </c>
      <c r="U1744" s="5">
        <f>Final_Table[[#This Row],[Gross Profit]]-Final_Table[[#This Row],[Tax]]</f>
        <v>-2061.3599999999997</v>
      </c>
      <c r="V1744" s="12">
        <f>Final_Table[[#This Row],[Net Profit]]/Final_Table[[#This Row],[Gross Revenue]]</f>
        <v>-0.10104705882352939</v>
      </c>
    </row>
    <row r="1745" spans="1:22">
      <c r="A1745" s="18" t="s">
        <v>79</v>
      </c>
      <c r="B1745">
        <v>2014</v>
      </c>
      <c r="C1745" t="s">
        <v>131</v>
      </c>
      <c r="D1745">
        <v>1</v>
      </c>
      <c r="E1745" s="18" t="s">
        <v>32</v>
      </c>
      <c r="F1745" s="18" t="s">
        <v>113</v>
      </c>
      <c r="G1745" s="18" t="s">
        <v>25</v>
      </c>
      <c r="H1745" s="18" t="str">
        <f>Assumptions!$B$2</f>
        <v>Worst</v>
      </c>
      <c r="I1745" s="18">
        <f>_xlfn.XLOOKUP(Assumptions!$B$2,Assumptions!$F$4:$H$4,Assumptions!$F$5:$H$5)</f>
        <v>1200</v>
      </c>
      <c r="J1745" s="18">
        <f>_xlfn.XLOOKUP(Assumptions!$B$2,Assumptions!$F$4:$H$4,Assumptions!$F$6:$H$6)</f>
        <v>17</v>
      </c>
      <c r="K1745" s="12">
        <f>_xlfn.XLOOKUP(Assumptions!$B$2,Assumptions!$F$4:$H$4,Assumptions!$F$8:$H$8)</f>
        <v>0.1</v>
      </c>
      <c r="L1745" s="12">
        <f>_xlfn.XLOOKUP(Assumptions!$B$2,Assumptions!$F$4:$H$4,Assumptions!$F$9:$H$9)</f>
        <v>0.18</v>
      </c>
      <c r="M1745" s="18">
        <f>_xlfn.XLOOKUP(Assumptions!$B$2,Assumptions!$F$4:$H$4,Assumptions!$F$10:$H$10)</f>
        <v>18000</v>
      </c>
      <c r="N1745" s="12">
        <f>_xlfn.XLOOKUP(Assumptions!$B$2,Assumptions!$F$4:$H$4,Assumptions!$F$11:$H$11)</f>
        <v>0.3</v>
      </c>
      <c r="O1745" s="14">
        <f>Final_Table[[#This Row],[Units Sold]]*Final_Table[[#This Row],[Sale Price]]</f>
        <v>20400</v>
      </c>
      <c r="P1745" s="14">
        <f>Final_Table[[#This Row],[Gross Revenue]]*(1-Final_Table[[#This Row],[Discount %]])</f>
        <v>18360</v>
      </c>
      <c r="Q1745">
        <f>Final_Table[[#This Row],[Net Revenue]]*Final_Table[[#This Row],[Variable Cost %]]</f>
        <v>3304.7999999999997</v>
      </c>
      <c r="R1745">
        <f>Final_Table[[#This Row],[Variable Cost]]+Final_Table[[#This Row],[Fixed Monthly Cost]]</f>
        <v>21304.799999999999</v>
      </c>
      <c r="S1745" s="5">
        <f>Final_Table[[#This Row],[Net Revenue]]-Final_Table[[#This Row],[Total Cost (COGS)]]</f>
        <v>-2944.7999999999993</v>
      </c>
      <c r="T1745">
        <f>Final_Table[[#This Row],[Gross Profit]]*Final_Table[[#This Row],[Tax Rate]]</f>
        <v>-883.43999999999971</v>
      </c>
      <c r="U1745" s="5">
        <f>Final_Table[[#This Row],[Gross Profit]]-Final_Table[[#This Row],[Tax]]</f>
        <v>-2061.3599999999997</v>
      </c>
      <c r="V1745" s="12">
        <f>Final_Table[[#This Row],[Net Profit]]/Final_Table[[#This Row],[Gross Revenue]]</f>
        <v>-0.10104705882352939</v>
      </c>
    </row>
    <row r="1746" spans="1:22">
      <c r="A1746" s="18" t="s">
        <v>79</v>
      </c>
      <c r="B1746">
        <v>2014</v>
      </c>
      <c r="C1746" t="s">
        <v>131</v>
      </c>
      <c r="D1746">
        <v>1</v>
      </c>
      <c r="E1746" s="18" t="s">
        <v>32</v>
      </c>
      <c r="F1746" s="18" t="s">
        <v>113</v>
      </c>
      <c r="G1746" s="18" t="s">
        <v>17</v>
      </c>
      <c r="H1746" s="18" t="str">
        <f>Assumptions!$B$2</f>
        <v>Worst</v>
      </c>
      <c r="I1746" s="18">
        <f>_xlfn.XLOOKUP(Assumptions!$B$2,Assumptions!$F$4:$H$4,Assumptions!$F$5:$H$5)</f>
        <v>1200</v>
      </c>
      <c r="J1746" s="18">
        <f>_xlfn.XLOOKUP(Assumptions!$B$2,Assumptions!$F$4:$H$4,Assumptions!$F$6:$H$6)</f>
        <v>17</v>
      </c>
      <c r="K1746" s="12">
        <f>_xlfn.XLOOKUP(Assumptions!$B$2,Assumptions!$F$4:$H$4,Assumptions!$F$8:$H$8)</f>
        <v>0.1</v>
      </c>
      <c r="L1746" s="12">
        <f>_xlfn.XLOOKUP(Assumptions!$B$2,Assumptions!$F$4:$H$4,Assumptions!$F$9:$H$9)</f>
        <v>0.18</v>
      </c>
      <c r="M1746" s="18">
        <f>_xlfn.XLOOKUP(Assumptions!$B$2,Assumptions!$F$4:$H$4,Assumptions!$F$10:$H$10)</f>
        <v>18000</v>
      </c>
      <c r="N1746" s="12">
        <f>_xlfn.XLOOKUP(Assumptions!$B$2,Assumptions!$F$4:$H$4,Assumptions!$F$11:$H$11)</f>
        <v>0.3</v>
      </c>
      <c r="O1746" s="14">
        <f>Final_Table[[#This Row],[Units Sold]]*Final_Table[[#This Row],[Sale Price]]</f>
        <v>20400</v>
      </c>
      <c r="P1746" s="14">
        <f>Final_Table[[#This Row],[Gross Revenue]]*(1-Final_Table[[#This Row],[Discount %]])</f>
        <v>18360</v>
      </c>
      <c r="Q1746">
        <f>Final_Table[[#This Row],[Net Revenue]]*Final_Table[[#This Row],[Variable Cost %]]</f>
        <v>3304.7999999999997</v>
      </c>
      <c r="R1746">
        <f>Final_Table[[#This Row],[Variable Cost]]+Final_Table[[#This Row],[Fixed Monthly Cost]]</f>
        <v>21304.799999999999</v>
      </c>
      <c r="S1746" s="5">
        <f>Final_Table[[#This Row],[Net Revenue]]-Final_Table[[#This Row],[Total Cost (COGS)]]</f>
        <v>-2944.7999999999993</v>
      </c>
      <c r="T1746">
        <f>Final_Table[[#This Row],[Gross Profit]]*Final_Table[[#This Row],[Tax Rate]]</f>
        <v>-883.43999999999971</v>
      </c>
      <c r="U1746" s="5">
        <f>Final_Table[[#This Row],[Gross Profit]]-Final_Table[[#This Row],[Tax]]</f>
        <v>-2061.3599999999997</v>
      </c>
      <c r="V1746" s="12">
        <f>Final_Table[[#This Row],[Net Profit]]/Final_Table[[#This Row],[Gross Revenue]]</f>
        <v>-0.10104705882352939</v>
      </c>
    </row>
    <row r="1747" spans="1:22">
      <c r="A1747" s="18" t="s">
        <v>79</v>
      </c>
      <c r="B1747">
        <v>2014</v>
      </c>
      <c r="C1747" t="s">
        <v>131</v>
      </c>
      <c r="D1747">
        <v>1</v>
      </c>
      <c r="E1747" s="18" t="s">
        <v>32</v>
      </c>
      <c r="F1747" s="18" t="s">
        <v>114</v>
      </c>
      <c r="G1747" s="18" t="s">
        <v>36</v>
      </c>
      <c r="H1747" s="18" t="str">
        <f>Assumptions!$B$2</f>
        <v>Worst</v>
      </c>
      <c r="I1747" s="18">
        <f>_xlfn.XLOOKUP(Assumptions!$B$2,Assumptions!$F$4:$H$4,Assumptions!$F$5:$H$5)</f>
        <v>1200</v>
      </c>
      <c r="J1747" s="18">
        <f>_xlfn.XLOOKUP(Assumptions!$B$2,Assumptions!$F$4:$H$4,Assumptions!$F$6:$H$6)</f>
        <v>17</v>
      </c>
      <c r="K1747" s="12">
        <f>_xlfn.XLOOKUP(Assumptions!$B$2,Assumptions!$F$4:$H$4,Assumptions!$F$8:$H$8)</f>
        <v>0.1</v>
      </c>
      <c r="L1747" s="12">
        <f>_xlfn.XLOOKUP(Assumptions!$B$2,Assumptions!$F$4:$H$4,Assumptions!$F$9:$H$9)</f>
        <v>0.18</v>
      </c>
      <c r="M1747" s="18">
        <f>_xlfn.XLOOKUP(Assumptions!$B$2,Assumptions!$F$4:$H$4,Assumptions!$F$10:$H$10)</f>
        <v>18000</v>
      </c>
      <c r="N1747" s="12">
        <f>_xlfn.XLOOKUP(Assumptions!$B$2,Assumptions!$F$4:$H$4,Assumptions!$F$11:$H$11)</f>
        <v>0.3</v>
      </c>
      <c r="O1747" s="14">
        <f>Final_Table[[#This Row],[Units Sold]]*Final_Table[[#This Row],[Sale Price]]</f>
        <v>20400</v>
      </c>
      <c r="P1747" s="14">
        <f>Final_Table[[#This Row],[Gross Revenue]]*(1-Final_Table[[#This Row],[Discount %]])</f>
        <v>18360</v>
      </c>
      <c r="Q1747">
        <f>Final_Table[[#This Row],[Net Revenue]]*Final_Table[[#This Row],[Variable Cost %]]</f>
        <v>3304.7999999999997</v>
      </c>
      <c r="R1747">
        <f>Final_Table[[#This Row],[Variable Cost]]+Final_Table[[#This Row],[Fixed Monthly Cost]]</f>
        <v>21304.799999999999</v>
      </c>
      <c r="S1747" s="5">
        <f>Final_Table[[#This Row],[Net Revenue]]-Final_Table[[#This Row],[Total Cost (COGS)]]</f>
        <v>-2944.7999999999993</v>
      </c>
      <c r="T1747">
        <f>Final_Table[[#This Row],[Gross Profit]]*Final_Table[[#This Row],[Tax Rate]]</f>
        <v>-883.43999999999971</v>
      </c>
      <c r="U1747" s="5">
        <f>Final_Table[[#This Row],[Gross Profit]]-Final_Table[[#This Row],[Tax]]</f>
        <v>-2061.3599999999997</v>
      </c>
      <c r="V1747" s="12">
        <f>Final_Table[[#This Row],[Net Profit]]/Final_Table[[#This Row],[Gross Revenue]]</f>
        <v>-0.10104705882352939</v>
      </c>
    </row>
    <row r="1748" spans="1:22">
      <c r="A1748" s="18" t="s">
        <v>79</v>
      </c>
      <c r="B1748">
        <v>2014</v>
      </c>
      <c r="C1748" t="s">
        <v>131</v>
      </c>
      <c r="D1748">
        <v>1</v>
      </c>
      <c r="E1748" s="18" t="s">
        <v>32</v>
      </c>
      <c r="F1748" s="18" t="s">
        <v>114</v>
      </c>
      <c r="G1748" s="18" t="s">
        <v>23</v>
      </c>
      <c r="H1748" s="18" t="str">
        <f>Assumptions!$B$2</f>
        <v>Worst</v>
      </c>
      <c r="I1748" s="18">
        <f>_xlfn.XLOOKUP(Assumptions!$B$2,Assumptions!$F$4:$H$4,Assumptions!$F$5:$H$5)</f>
        <v>1200</v>
      </c>
      <c r="J1748" s="18">
        <f>_xlfn.XLOOKUP(Assumptions!$B$2,Assumptions!$F$4:$H$4,Assumptions!$F$6:$H$6)</f>
        <v>17</v>
      </c>
      <c r="K1748" s="12">
        <f>_xlfn.XLOOKUP(Assumptions!$B$2,Assumptions!$F$4:$H$4,Assumptions!$F$8:$H$8)</f>
        <v>0.1</v>
      </c>
      <c r="L1748" s="12">
        <f>_xlfn.XLOOKUP(Assumptions!$B$2,Assumptions!$F$4:$H$4,Assumptions!$F$9:$H$9)</f>
        <v>0.18</v>
      </c>
      <c r="M1748" s="18">
        <f>_xlfn.XLOOKUP(Assumptions!$B$2,Assumptions!$F$4:$H$4,Assumptions!$F$10:$H$10)</f>
        <v>18000</v>
      </c>
      <c r="N1748" s="12">
        <f>_xlfn.XLOOKUP(Assumptions!$B$2,Assumptions!$F$4:$H$4,Assumptions!$F$11:$H$11)</f>
        <v>0.3</v>
      </c>
      <c r="O1748" s="14">
        <f>Final_Table[[#This Row],[Units Sold]]*Final_Table[[#This Row],[Sale Price]]</f>
        <v>20400</v>
      </c>
      <c r="P1748" s="14">
        <f>Final_Table[[#This Row],[Gross Revenue]]*(1-Final_Table[[#This Row],[Discount %]])</f>
        <v>18360</v>
      </c>
      <c r="Q1748">
        <f>Final_Table[[#This Row],[Net Revenue]]*Final_Table[[#This Row],[Variable Cost %]]</f>
        <v>3304.7999999999997</v>
      </c>
      <c r="R1748">
        <f>Final_Table[[#This Row],[Variable Cost]]+Final_Table[[#This Row],[Fixed Monthly Cost]]</f>
        <v>21304.799999999999</v>
      </c>
      <c r="S1748" s="5">
        <f>Final_Table[[#This Row],[Net Revenue]]-Final_Table[[#This Row],[Total Cost (COGS)]]</f>
        <v>-2944.7999999999993</v>
      </c>
      <c r="T1748">
        <f>Final_Table[[#This Row],[Gross Profit]]*Final_Table[[#This Row],[Tax Rate]]</f>
        <v>-883.43999999999971</v>
      </c>
      <c r="U1748" s="5">
        <f>Final_Table[[#This Row],[Gross Profit]]-Final_Table[[#This Row],[Tax]]</f>
        <v>-2061.3599999999997</v>
      </c>
      <c r="V1748" s="12">
        <f>Final_Table[[#This Row],[Net Profit]]/Final_Table[[#This Row],[Gross Revenue]]</f>
        <v>-0.10104705882352939</v>
      </c>
    </row>
    <row r="1749" spans="1:22">
      <c r="A1749" s="18" t="s">
        <v>79</v>
      </c>
      <c r="B1749">
        <v>2014</v>
      </c>
      <c r="C1749" t="s">
        <v>131</v>
      </c>
      <c r="D1749">
        <v>1</v>
      </c>
      <c r="E1749" s="18" t="s">
        <v>32</v>
      </c>
      <c r="F1749" s="18" t="s">
        <v>114</v>
      </c>
      <c r="G1749" s="18" t="s">
        <v>21</v>
      </c>
      <c r="H1749" s="18" t="str">
        <f>Assumptions!$B$2</f>
        <v>Worst</v>
      </c>
      <c r="I1749" s="18">
        <f>_xlfn.XLOOKUP(Assumptions!$B$2,Assumptions!$F$4:$H$4,Assumptions!$F$5:$H$5)</f>
        <v>1200</v>
      </c>
      <c r="J1749" s="18">
        <f>_xlfn.XLOOKUP(Assumptions!$B$2,Assumptions!$F$4:$H$4,Assumptions!$F$6:$H$6)</f>
        <v>17</v>
      </c>
      <c r="K1749" s="12">
        <f>_xlfn.XLOOKUP(Assumptions!$B$2,Assumptions!$F$4:$H$4,Assumptions!$F$8:$H$8)</f>
        <v>0.1</v>
      </c>
      <c r="L1749" s="12">
        <f>_xlfn.XLOOKUP(Assumptions!$B$2,Assumptions!$F$4:$H$4,Assumptions!$F$9:$H$9)</f>
        <v>0.18</v>
      </c>
      <c r="M1749" s="18">
        <f>_xlfn.XLOOKUP(Assumptions!$B$2,Assumptions!$F$4:$H$4,Assumptions!$F$10:$H$10)</f>
        <v>18000</v>
      </c>
      <c r="N1749" s="12">
        <f>_xlfn.XLOOKUP(Assumptions!$B$2,Assumptions!$F$4:$H$4,Assumptions!$F$11:$H$11)</f>
        <v>0.3</v>
      </c>
      <c r="O1749" s="14">
        <f>Final_Table[[#This Row],[Units Sold]]*Final_Table[[#This Row],[Sale Price]]</f>
        <v>20400</v>
      </c>
      <c r="P1749" s="14">
        <f>Final_Table[[#This Row],[Gross Revenue]]*(1-Final_Table[[#This Row],[Discount %]])</f>
        <v>18360</v>
      </c>
      <c r="Q1749">
        <f>Final_Table[[#This Row],[Net Revenue]]*Final_Table[[#This Row],[Variable Cost %]]</f>
        <v>3304.7999999999997</v>
      </c>
      <c r="R1749">
        <f>Final_Table[[#This Row],[Variable Cost]]+Final_Table[[#This Row],[Fixed Monthly Cost]]</f>
        <v>21304.799999999999</v>
      </c>
      <c r="S1749" s="5">
        <f>Final_Table[[#This Row],[Net Revenue]]-Final_Table[[#This Row],[Total Cost (COGS)]]</f>
        <v>-2944.7999999999993</v>
      </c>
      <c r="T1749">
        <f>Final_Table[[#This Row],[Gross Profit]]*Final_Table[[#This Row],[Tax Rate]]</f>
        <v>-883.43999999999971</v>
      </c>
      <c r="U1749" s="5">
        <f>Final_Table[[#This Row],[Gross Profit]]-Final_Table[[#This Row],[Tax]]</f>
        <v>-2061.3599999999997</v>
      </c>
      <c r="V1749" s="12">
        <f>Final_Table[[#This Row],[Net Profit]]/Final_Table[[#This Row],[Gross Revenue]]</f>
        <v>-0.10104705882352939</v>
      </c>
    </row>
    <row r="1750" spans="1:22">
      <c r="A1750" s="18" t="s">
        <v>79</v>
      </c>
      <c r="B1750">
        <v>2014</v>
      </c>
      <c r="C1750" t="s">
        <v>131</v>
      </c>
      <c r="D1750">
        <v>1</v>
      </c>
      <c r="E1750" s="18" t="s">
        <v>32</v>
      </c>
      <c r="F1750" s="18" t="s">
        <v>114</v>
      </c>
      <c r="G1750" s="18" t="s">
        <v>25</v>
      </c>
      <c r="H1750" s="18" t="str">
        <f>Assumptions!$B$2</f>
        <v>Worst</v>
      </c>
      <c r="I1750" s="18">
        <f>_xlfn.XLOOKUP(Assumptions!$B$2,Assumptions!$F$4:$H$4,Assumptions!$F$5:$H$5)</f>
        <v>1200</v>
      </c>
      <c r="J1750" s="18">
        <f>_xlfn.XLOOKUP(Assumptions!$B$2,Assumptions!$F$4:$H$4,Assumptions!$F$6:$H$6)</f>
        <v>17</v>
      </c>
      <c r="K1750" s="12">
        <f>_xlfn.XLOOKUP(Assumptions!$B$2,Assumptions!$F$4:$H$4,Assumptions!$F$8:$H$8)</f>
        <v>0.1</v>
      </c>
      <c r="L1750" s="12">
        <f>_xlfn.XLOOKUP(Assumptions!$B$2,Assumptions!$F$4:$H$4,Assumptions!$F$9:$H$9)</f>
        <v>0.18</v>
      </c>
      <c r="M1750" s="18">
        <f>_xlfn.XLOOKUP(Assumptions!$B$2,Assumptions!$F$4:$H$4,Assumptions!$F$10:$H$10)</f>
        <v>18000</v>
      </c>
      <c r="N1750" s="12">
        <f>_xlfn.XLOOKUP(Assumptions!$B$2,Assumptions!$F$4:$H$4,Assumptions!$F$11:$H$11)</f>
        <v>0.3</v>
      </c>
      <c r="O1750" s="14">
        <f>Final_Table[[#This Row],[Units Sold]]*Final_Table[[#This Row],[Sale Price]]</f>
        <v>20400</v>
      </c>
      <c r="P1750" s="14">
        <f>Final_Table[[#This Row],[Gross Revenue]]*(1-Final_Table[[#This Row],[Discount %]])</f>
        <v>18360</v>
      </c>
      <c r="Q1750">
        <f>Final_Table[[#This Row],[Net Revenue]]*Final_Table[[#This Row],[Variable Cost %]]</f>
        <v>3304.7999999999997</v>
      </c>
      <c r="R1750">
        <f>Final_Table[[#This Row],[Variable Cost]]+Final_Table[[#This Row],[Fixed Monthly Cost]]</f>
        <v>21304.799999999999</v>
      </c>
      <c r="S1750" s="5">
        <f>Final_Table[[#This Row],[Net Revenue]]-Final_Table[[#This Row],[Total Cost (COGS)]]</f>
        <v>-2944.7999999999993</v>
      </c>
      <c r="T1750">
        <f>Final_Table[[#This Row],[Gross Profit]]*Final_Table[[#This Row],[Tax Rate]]</f>
        <v>-883.43999999999971</v>
      </c>
      <c r="U1750" s="5">
        <f>Final_Table[[#This Row],[Gross Profit]]-Final_Table[[#This Row],[Tax]]</f>
        <v>-2061.3599999999997</v>
      </c>
      <c r="V1750" s="12">
        <f>Final_Table[[#This Row],[Net Profit]]/Final_Table[[#This Row],[Gross Revenue]]</f>
        <v>-0.10104705882352939</v>
      </c>
    </row>
    <row r="1751" spans="1:22">
      <c r="A1751" s="18" t="s">
        <v>79</v>
      </c>
      <c r="B1751">
        <v>2014</v>
      </c>
      <c r="C1751" t="s">
        <v>131</v>
      </c>
      <c r="D1751">
        <v>1</v>
      </c>
      <c r="E1751" s="18" t="s">
        <v>32</v>
      </c>
      <c r="F1751" s="18" t="s">
        <v>114</v>
      </c>
      <c r="G1751" s="18" t="s">
        <v>17</v>
      </c>
      <c r="H1751" s="18" t="str">
        <f>Assumptions!$B$2</f>
        <v>Worst</v>
      </c>
      <c r="I1751" s="18">
        <f>_xlfn.XLOOKUP(Assumptions!$B$2,Assumptions!$F$4:$H$4,Assumptions!$F$5:$H$5)</f>
        <v>1200</v>
      </c>
      <c r="J1751" s="18">
        <f>_xlfn.XLOOKUP(Assumptions!$B$2,Assumptions!$F$4:$H$4,Assumptions!$F$6:$H$6)</f>
        <v>17</v>
      </c>
      <c r="K1751" s="12">
        <f>_xlfn.XLOOKUP(Assumptions!$B$2,Assumptions!$F$4:$H$4,Assumptions!$F$8:$H$8)</f>
        <v>0.1</v>
      </c>
      <c r="L1751" s="12">
        <f>_xlfn.XLOOKUP(Assumptions!$B$2,Assumptions!$F$4:$H$4,Assumptions!$F$9:$H$9)</f>
        <v>0.18</v>
      </c>
      <c r="M1751" s="18">
        <f>_xlfn.XLOOKUP(Assumptions!$B$2,Assumptions!$F$4:$H$4,Assumptions!$F$10:$H$10)</f>
        <v>18000</v>
      </c>
      <c r="N1751" s="12">
        <f>_xlfn.XLOOKUP(Assumptions!$B$2,Assumptions!$F$4:$H$4,Assumptions!$F$11:$H$11)</f>
        <v>0.3</v>
      </c>
      <c r="O1751" s="14">
        <f>Final_Table[[#This Row],[Units Sold]]*Final_Table[[#This Row],[Sale Price]]</f>
        <v>20400</v>
      </c>
      <c r="P1751" s="14">
        <f>Final_Table[[#This Row],[Gross Revenue]]*(1-Final_Table[[#This Row],[Discount %]])</f>
        <v>18360</v>
      </c>
      <c r="Q1751">
        <f>Final_Table[[#This Row],[Net Revenue]]*Final_Table[[#This Row],[Variable Cost %]]</f>
        <v>3304.7999999999997</v>
      </c>
      <c r="R1751">
        <f>Final_Table[[#This Row],[Variable Cost]]+Final_Table[[#This Row],[Fixed Monthly Cost]]</f>
        <v>21304.799999999999</v>
      </c>
      <c r="S1751" s="5">
        <f>Final_Table[[#This Row],[Net Revenue]]-Final_Table[[#This Row],[Total Cost (COGS)]]</f>
        <v>-2944.7999999999993</v>
      </c>
      <c r="T1751">
        <f>Final_Table[[#This Row],[Gross Profit]]*Final_Table[[#This Row],[Tax Rate]]</f>
        <v>-883.43999999999971</v>
      </c>
      <c r="U1751" s="5">
        <f>Final_Table[[#This Row],[Gross Profit]]-Final_Table[[#This Row],[Tax]]</f>
        <v>-2061.3599999999997</v>
      </c>
      <c r="V1751" s="12">
        <f>Final_Table[[#This Row],[Net Profit]]/Final_Table[[#This Row],[Gross Revenue]]</f>
        <v>-0.10104705882352939</v>
      </c>
    </row>
    <row r="1752" spans="1:22">
      <c r="A1752" s="18" t="s">
        <v>68</v>
      </c>
      <c r="B1752">
        <v>2014</v>
      </c>
      <c r="C1752" t="s">
        <v>132</v>
      </c>
      <c r="D1752">
        <v>1</v>
      </c>
      <c r="E1752" s="18" t="s">
        <v>30</v>
      </c>
      <c r="F1752" s="18" t="s">
        <v>80</v>
      </c>
      <c r="G1752" s="18" t="s">
        <v>36</v>
      </c>
      <c r="H1752" s="18" t="str">
        <f>Assumptions!$B$2</f>
        <v>Worst</v>
      </c>
      <c r="I1752" s="18">
        <f>_xlfn.XLOOKUP(Assumptions!$B$2,Assumptions!$F$4:$H$4,Assumptions!$F$5:$H$5)</f>
        <v>1200</v>
      </c>
      <c r="J1752" s="18">
        <f>_xlfn.XLOOKUP(Assumptions!$B$2,Assumptions!$F$4:$H$4,Assumptions!$F$6:$H$6)</f>
        <v>17</v>
      </c>
      <c r="K1752" s="12">
        <f>_xlfn.XLOOKUP(Assumptions!$B$2,Assumptions!$F$4:$H$4,Assumptions!$F$8:$H$8)</f>
        <v>0.1</v>
      </c>
      <c r="L1752" s="12">
        <f>_xlfn.XLOOKUP(Assumptions!$B$2,Assumptions!$F$4:$H$4,Assumptions!$F$9:$H$9)</f>
        <v>0.18</v>
      </c>
      <c r="M1752" s="18">
        <f>_xlfn.XLOOKUP(Assumptions!$B$2,Assumptions!$F$4:$H$4,Assumptions!$F$10:$H$10)</f>
        <v>18000</v>
      </c>
      <c r="N1752" s="12">
        <f>_xlfn.XLOOKUP(Assumptions!$B$2,Assumptions!$F$4:$H$4,Assumptions!$F$11:$H$11)</f>
        <v>0.3</v>
      </c>
      <c r="O1752" s="14">
        <f>Final_Table[[#This Row],[Units Sold]]*Final_Table[[#This Row],[Sale Price]]</f>
        <v>20400</v>
      </c>
      <c r="P1752" s="14">
        <f>Final_Table[[#This Row],[Gross Revenue]]*(1-Final_Table[[#This Row],[Discount %]])</f>
        <v>18360</v>
      </c>
      <c r="Q1752">
        <f>Final_Table[[#This Row],[Net Revenue]]*Final_Table[[#This Row],[Variable Cost %]]</f>
        <v>3304.7999999999997</v>
      </c>
      <c r="R1752">
        <f>Final_Table[[#This Row],[Variable Cost]]+Final_Table[[#This Row],[Fixed Monthly Cost]]</f>
        <v>21304.799999999999</v>
      </c>
      <c r="S1752" s="5">
        <f>Final_Table[[#This Row],[Net Revenue]]-Final_Table[[#This Row],[Total Cost (COGS)]]</f>
        <v>-2944.7999999999993</v>
      </c>
      <c r="T1752">
        <f>Final_Table[[#This Row],[Gross Profit]]*Final_Table[[#This Row],[Tax Rate]]</f>
        <v>-883.43999999999971</v>
      </c>
      <c r="U1752" s="5">
        <f>Final_Table[[#This Row],[Gross Profit]]-Final_Table[[#This Row],[Tax]]</f>
        <v>-2061.3599999999997</v>
      </c>
      <c r="V1752" s="12">
        <f>Final_Table[[#This Row],[Net Profit]]/Final_Table[[#This Row],[Gross Revenue]]</f>
        <v>-0.10104705882352939</v>
      </c>
    </row>
    <row r="1753" spans="1:22">
      <c r="A1753" s="18" t="s">
        <v>68</v>
      </c>
      <c r="B1753">
        <v>2014</v>
      </c>
      <c r="C1753" t="s">
        <v>132</v>
      </c>
      <c r="D1753">
        <v>1</v>
      </c>
      <c r="E1753" s="18" t="s">
        <v>30</v>
      </c>
      <c r="F1753" s="18" t="s">
        <v>80</v>
      </c>
      <c r="G1753" s="18" t="s">
        <v>23</v>
      </c>
      <c r="H1753" s="18" t="str">
        <f>Assumptions!$B$2</f>
        <v>Worst</v>
      </c>
      <c r="I1753" s="18">
        <f>_xlfn.XLOOKUP(Assumptions!$B$2,Assumptions!$F$4:$H$4,Assumptions!$F$5:$H$5)</f>
        <v>1200</v>
      </c>
      <c r="J1753" s="18">
        <f>_xlfn.XLOOKUP(Assumptions!$B$2,Assumptions!$F$4:$H$4,Assumptions!$F$6:$H$6)</f>
        <v>17</v>
      </c>
      <c r="K1753" s="12">
        <f>_xlfn.XLOOKUP(Assumptions!$B$2,Assumptions!$F$4:$H$4,Assumptions!$F$8:$H$8)</f>
        <v>0.1</v>
      </c>
      <c r="L1753" s="12">
        <f>_xlfn.XLOOKUP(Assumptions!$B$2,Assumptions!$F$4:$H$4,Assumptions!$F$9:$H$9)</f>
        <v>0.18</v>
      </c>
      <c r="M1753" s="18">
        <f>_xlfn.XLOOKUP(Assumptions!$B$2,Assumptions!$F$4:$H$4,Assumptions!$F$10:$H$10)</f>
        <v>18000</v>
      </c>
      <c r="N1753" s="12">
        <f>_xlfn.XLOOKUP(Assumptions!$B$2,Assumptions!$F$4:$H$4,Assumptions!$F$11:$H$11)</f>
        <v>0.3</v>
      </c>
      <c r="O1753" s="14">
        <f>Final_Table[[#This Row],[Units Sold]]*Final_Table[[#This Row],[Sale Price]]</f>
        <v>20400</v>
      </c>
      <c r="P1753" s="14">
        <f>Final_Table[[#This Row],[Gross Revenue]]*(1-Final_Table[[#This Row],[Discount %]])</f>
        <v>18360</v>
      </c>
      <c r="Q1753">
        <f>Final_Table[[#This Row],[Net Revenue]]*Final_Table[[#This Row],[Variable Cost %]]</f>
        <v>3304.7999999999997</v>
      </c>
      <c r="R1753">
        <f>Final_Table[[#This Row],[Variable Cost]]+Final_Table[[#This Row],[Fixed Monthly Cost]]</f>
        <v>21304.799999999999</v>
      </c>
      <c r="S1753" s="5">
        <f>Final_Table[[#This Row],[Net Revenue]]-Final_Table[[#This Row],[Total Cost (COGS)]]</f>
        <v>-2944.7999999999993</v>
      </c>
      <c r="T1753">
        <f>Final_Table[[#This Row],[Gross Profit]]*Final_Table[[#This Row],[Tax Rate]]</f>
        <v>-883.43999999999971</v>
      </c>
      <c r="U1753" s="5">
        <f>Final_Table[[#This Row],[Gross Profit]]-Final_Table[[#This Row],[Tax]]</f>
        <v>-2061.3599999999997</v>
      </c>
      <c r="V1753" s="12">
        <f>Final_Table[[#This Row],[Net Profit]]/Final_Table[[#This Row],[Gross Revenue]]</f>
        <v>-0.10104705882352939</v>
      </c>
    </row>
    <row r="1754" spans="1:22">
      <c r="A1754" s="18" t="s">
        <v>68</v>
      </c>
      <c r="B1754">
        <v>2014</v>
      </c>
      <c r="C1754" t="s">
        <v>132</v>
      </c>
      <c r="D1754">
        <v>1</v>
      </c>
      <c r="E1754" s="18" t="s">
        <v>30</v>
      </c>
      <c r="F1754" s="18" t="s">
        <v>80</v>
      </c>
      <c r="G1754" s="18" t="s">
        <v>21</v>
      </c>
      <c r="H1754" s="18" t="str">
        <f>Assumptions!$B$2</f>
        <v>Worst</v>
      </c>
      <c r="I1754" s="18">
        <f>_xlfn.XLOOKUP(Assumptions!$B$2,Assumptions!$F$4:$H$4,Assumptions!$F$5:$H$5)</f>
        <v>1200</v>
      </c>
      <c r="J1754" s="18">
        <f>_xlfn.XLOOKUP(Assumptions!$B$2,Assumptions!$F$4:$H$4,Assumptions!$F$6:$H$6)</f>
        <v>17</v>
      </c>
      <c r="K1754" s="12">
        <f>_xlfn.XLOOKUP(Assumptions!$B$2,Assumptions!$F$4:$H$4,Assumptions!$F$8:$H$8)</f>
        <v>0.1</v>
      </c>
      <c r="L1754" s="12">
        <f>_xlfn.XLOOKUP(Assumptions!$B$2,Assumptions!$F$4:$H$4,Assumptions!$F$9:$H$9)</f>
        <v>0.18</v>
      </c>
      <c r="M1754" s="18">
        <f>_xlfn.XLOOKUP(Assumptions!$B$2,Assumptions!$F$4:$H$4,Assumptions!$F$10:$H$10)</f>
        <v>18000</v>
      </c>
      <c r="N1754" s="12">
        <f>_xlfn.XLOOKUP(Assumptions!$B$2,Assumptions!$F$4:$H$4,Assumptions!$F$11:$H$11)</f>
        <v>0.3</v>
      </c>
      <c r="O1754" s="14">
        <f>Final_Table[[#This Row],[Units Sold]]*Final_Table[[#This Row],[Sale Price]]</f>
        <v>20400</v>
      </c>
      <c r="P1754" s="14">
        <f>Final_Table[[#This Row],[Gross Revenue]]*(1-Final_Table[[#This Row],[Discount %]])</f>
        <v>18360</v>
      </c>
      <c r="Q1754">
        <f>Final_Table[[#This Row],[Net Revenue]]*Final_Table[[#This Row],[Variable Cost %]]</f>
        <v>3304.7999999999997</v>
      </c>
      <c r="R1754">
        <f>Final_Table[[#This Row],[Variable Cost]]+Final_Table[[#This Row],[Fixed Monthly Cost]]</f>
        <v>21304.799999999999</v>
      </c>
      <c r="S1754" s="5">
        <f>Final_Table[[#This Row],[Net Revenue]]-Final_Table[[#This Row],[Total Cost (COGS)]]</f>
        <v>-2944.7999999999993</v>
      </c>
      <c r="T1754">
        <f>Final_Table[[#This Row],[Gross Profit]]*Final_Table[[#This Row],[Tax Rate]]</f>
        <v>-883.43999999999971</v>
      </c>
      <c r="U1754" s="5">
        <f>Final_Table[[#This Row],[Gross Profit]]-Final_Table[[#This Row],[Tax]]</f>
        <v>-2061.3599999999997</v>
      </c>
      <c r="V1754" s="12">
        <f>Final_Table[[#This Row],[Net Profit]]/Final_Table[[#This Row],[Gross Revenue]]</f>
        <v>-0.10104705882352939</v>
      </c>
    </row>
    <row r="1755" spans="1:22">
      <c r="A1755" s="18" t="s">
        <v>68</v>
      </c>
      <c r="B1755">
        <v>2014</v>
      </c>
      <c r="C1755" t="s">
        <v>132</v>
      </c>
      <c r="D1755">
        <v>1</v>
      </c>
      <c r="E1755" s="18" t="s">
        <v>30</v>
      </c>
      <c r="F1755" s="18" t="s">
        <v>80</v>
      </c>
      <c r="G1755" s="18" t="s">
        <v>25</v>
      </c>
      <c r="H1755" s="18" t="str">
        <f>Assumptions!$B$2</f>
        <v>Worst</v>
      </c>
      <c r="I1755" s="18">
        <f>_xlfn.XLOOKUP(Assumptions!$B$2,Assumptions!$F$4:$H$4,Assumptions!$F$5:$H$5)</f>
        <v>1200</v>
      </c>
      <c r="J1755" s="18">
        <f>_xlfn.XLOOKUP(Assumptions!$B$2,Assumptions!$F$4:$H$4,Assumptions!$F$6:$H$6)</f>
        <v>17</v>
      </c>
      <c r="K1755" s="12">
        <f>_xlfn.XLOOKUP(Assumptions!$B$2,Assumptions!$F$4:$H$4,Assumptions!$F$8:$H$8)</f>
        <v>0.1</v>
      </c>
      <c r="L1755" s="12">
        <f>_xlfn.XLOOKUP(Assumptions!$B$2,Assumptions!$F$4:$H$4,Assumptions!$F$9:$H$9)</f>
        <v>0.18</v>
      </c>
      <c r="M1755" s="18">
        <f>_xlfn.XLOOKUP(Assumptions!$B$2,Assumptions!$F$4:$H$4,Assumptions!$F$10:$H$10)</f>
        <v>18000</v>
      </c>
      <c r="N1755" s="12">
        <f>_xlfn.XLOOKUP(Assumptions!$B$2,Assumptions!$F$4:$H$4,Assumptions!$F$11:$H$11)</f>
        <v>0.3</v>
      </c>
      <c r="O1755" s="14">
        <f>Final_Table[[#This Row],[Units Sold]]*Final_Table[[#This Row],[Sale Price]]</f>
        <v>20400</v>
      </c>
      <c r="P1755" s="14">
        <f>Final_Table[[#This Row],[Gross Revenue]]*(1-Final_Table[[#This Row],[Discount %]])</f>
        <v>18360</v>
      </c>
      <c r="Q1755">
        <f>Final_Table[[#This Row],[Net Revenue]]*Final_Table[[#This Row],[Variable Cost %]]</f>
        <v>3304.7999999999997</v>
      </c>
      <c r="R1755">
        <f>Final_Table[[#This Row],[Variable Cost]]+Final_Table[[#This Row],[Fixed Monthly Cost]]</f>
        <v>21304.799999999999</v>
      </c>
      <c r="S1755" s="5">
        <f>Final_Table[[#This Row],[Net Revenue]]-Final_Table[[#This Row],[Total Cost (COGS)]]</f>
        <v>-2944.7999999999993</v>
      </c>
      <c r="T1755">
        <f>Final_Table[[#This Row],[Gross Profit]]*Final_Table[[#This Row],[Tax Rate]]</f>
        <v>-883.43999999999971</v>
      </c>
      <c r="U1755" s="5">
        <f>Final_Table[[#This Row],[Gross Profit]]-Final_Table[[#This Row],[Tax]]</f>
        <v>-2061.3599999999997</v>
      </c>
      <c r="V1755" s="12">
        <f>Final_Table[[#This Row],[Net Profit]]/Final_Table[[#This Row],[Gross Revenue]]</f>
        <v>-0.10104705882352939</v>
      </c>
    </row>
    <row r="1756" spans="1:22">
      <c r="A1756" s="18" t="s">
        <v>68</v>
      </c>
      <c r="B1756">
        <v>2014</v>
      </c>
      <c r="C1756" t="s">
        <v>132</v>
      </c>
      <c r="D1756">
        <v>1</v>
      </c>
      <c r="E1756" s="18" t="s">
        <v>30</v>
      </c>
      <c r="F1756" s="18" t="s">
        <v>80</v>
      </c>
      <c r="G1756" s="18" t="s">
        <v>17</v>
      </c>
      <c r="H1756" s="18" t="str">
        <f>Assumptions!$B$2</f>
        <v>Worst</v>
      </c>
      <c r="I1756" s="18">
        <f>_xlfn.XLOOKUP(Assumptions!$B$2,Assumptions!$F$4:$H$4,Assumptions!$F$5:$H$5)</f>
        <v>1200</v>
      </c>
      <c r="J1756" s="18">
        <f>_xlfn.XLOOKUP(Assumptions!$B$2,Assumptions!$F$4:$H$4,Assumptions!$F$6:$H$6)</f>
        <v>17</v>
      </c>
      <c r="K1756" s="12">
        <f>_xlfn.XLOOKUP(Assumptions!$B$2,Assumptions!$F$4:$H$4,Assumptions!$F$8:$H$8)</f>
        <v>0.1</v>
      </c>
      <c r="L1756" s="12">
        <f>_xlfn.XLOOKUP(Assumptions!$B$2,Assumptions!$F$4:$H$4,Assumptions!$F$9:$H$9)</f>
        <v>0.18</v>
      </c>
      <c r="M1756" s="18">
        <f>_xlfn.XLOOKUP(Assumptions!$B$2,Assumptions!$F$4:$H$4,Assumptions!$F$10:$H$10)</f>
        <v>18000</v>
      </c>
      <c r="N1756" s="12">
        <f>_xlfn.XLOOKUP(Assumptions!$B$2,Assumptions!$F$4:$H$4,Assumptions!$F$11:$H$11)</f>
        <v>0.3</v>
      </c>
      <c r="O1756" s="14">
        <f>Final_Table[[#This Row],[Units Sold]]*Final_Table[[#This Row],[Sale Price]]</f>
        <v>20400</v>
      </c>
      <c r="P1756" s="14">
        <f>Final_Table[[#This Row],[Gross Revenue]]*(1-Final_Table[[#This Row],[Discount %]])</f>
        <v>18360</v>
      </c>
      <c r="Q1756">
        <f>Final_Table[[#This Row],[Net Revenue]]*Final_Table[[#This Row],[Variable Cost %]]</f>
        <v>3304.7999999999997</v>
      </c>
      <c r="R1756">
        <f>Final_Table[[#This Row],[Variable Cost]]+Final_Table[[#This Row],[Fixed Monthly Cost]]</f>
        <v>21304.799999999999</v>
      </c>
      <c r="S1756" s="5">
        <f>Final_Table[[#This Row],[Net Revenue]]-Final_Table[[#This Row],[Total Cost (COGS)]]</f>
        <v>-2944.7999999999993</v>
      </c>
      <c r="T1756">
        <f>Final_Table[[#This Row],[Gross Profit]]*Final_Table[[#This Row],[Tax Rate]]</f>
        <v>-883.43999999999971</v>
      </c>
      <c r="U1756" s="5">
        <f>Final_Table[[#This Row],[Gross Profit]]-Final_Table[[#This Row],[Tax]]</f>
        <v>-2061.3599999999997</v>
      </c>
      <c r="V1756" s="12">
        <f>Final_Table[[#This Row],[Net Profit]]/Final_Table[[#This Row],[Gross Revenue]]</f>
        <v>-0.10104705882352939</v>
      </c>
    </row>
    <row r="1757" spans="1:22">
      <c r="A1757" s="18" t="s">
        <v>68</v>
      </c>
      <c r="B1757">
        <v>2014</v>
      </c>
      <c r="C1757" t="s">
        <v>132</v>
      </c>
      <c r="D1757">
        <v>1</v>
      </c>
      <c r="E1757" s="18" t="s">
        <v>30</v>
      </c>
      <c r="F1757" s="18" t="s">
        <v>108</v>
      </c>
      <c r="G1757" s="18" t="s">
        <v>36</v>
      </c>
      <c r="H1757" s="18" t="str">
        <f>Assumptions!$B$2</f>
        <v>Worst</v>
      </c>
      <c r="I1757" s="18">
        <f>_xlfn.XLOOKUP(Assumptions!$B$2,Assumptions!$F$4:$H$4,Assumptions!$F$5:$H$5)</f>
        <v>1200</v>
      </c>
      <c r="J1757" s="18">
        <f>_xlfn.XLOOKUP(Assumptions!$B$2,Assumptions!$F$4:$H$4,Assumptions!$F$6:$H$6)</f>
        <v>17</v>
      </c>
      <c r="K1757" s="12">
        <f>_xlfn.XLOOKUP(Assumptions!$B$2,Assumptions!$F$4:$H$4,Assumptions!$F$8:$H$8)</f>
        <v>0.1</v>
      </c>
      <c r="L1757" s="12">
        <f>_xlfn.XLOOKUP(Assumptions!$B$2,Assumptions!$F$4:$H$4,Assumptions!$F$9:$H$9)</f>
        <v>0.18</v>
      </c>
      <c r="M1757" s="18">
        <f>_xlfn.XLOOKUP(Assumptions!$B$2,Assumptions!$F$4:$H$4,Assumptions!$F$10:$H$10)</f>
        <v>18000</v>
      </c>
      <c r="N1757" s="12">
        <f>_xlfn.XLOOKUP(Assumptions!$B$2,Assumptions!$F$4:$H$4,Assumptions!$F$11:$H$11)</f>
        <v>0.3</v>
      </c>
      <c r="O1757" s="14">
        <f>Final_Table[[#This Row],[Units Sold]]*Final_Table[[#This Row],[Sale Price]]</f>
        <v>20400</v>
      </c>
      <c r="P1757" s="14">
        <f>Final_Table[[#This Row],[Gross Revenue]]*(1-Final_Table[[#This Row],[Discount %]])</f>
        <v>18360</v>
      </c>
      <c r="Q1757">
        <f>Final_Table[[#This Row],[Net Revenue]]*Final_Table[[#This Row],[Variable Cost %]]</f>
        <v>3304.7999999999997</v>
      </c>
      <c r="R1757">
        <f>Final_Table[[#This Row],[Variable Cost]]+Final_Table[[#This Row],[Fixed Monthly Cost]]</f>
        <v>21304.799999999999</v>
      </c>
      <c r="S1757" s="5">
        <f>Final_Table[[#This Row],[Net Revenue]]-Final_Table[[#This Row],[Total Cost (COGS)]]</f>
        <v>-2944.7999999999993</v>
      </c>
      <c r="T1757">
        <f>Final_Table[[#This Row],[Gross Profit]]*Final_Table[[#This Row],[Tax Rate]]</f>
        <v>-883.43999999999971</v>
      </c>
      <c r="U1757" s="5">
        <f>Final_Table[[#This Row],[Gross Profit]]-Final_Table[[#This Row],[Tax]]</f>
        <v>-2061.3599999999997</v>
      </c>
      <c r="V1757" s="12">
        <f>Final_Table[[#This Row],[Net Profit]]/Final_Table[[#This Row],[Gross Revenue]]</f>
        <v>-0.10104705882352939</v>
      </c>
    </row>
    <row r="1758" spans="1:22">
      <c r="A1758" s="18" t="s">
        <v>68</v>
      </c>
      <c r="B1758">
        <v>2014</v>
      </c>
      <c r="C1758" t="s">
        <v>132</v>
      </c>
      <c r="D1758">
        <v>1</v>
      </c>
      <c r="E1758" s="18" t="s">
        <v>30</v>
      </c>
      <c r="F1758" s="18" t="s">
        <v>108</v>
      </c>
      <c r="G1758" s="18" t="s">
        <v>23</v>
      </c>
      <c r="H1758" s="18" t="str">
        <f>Assumptions!$B$2</f>
        <v>Worst</v>
      </c>
      <c r="I1758" s="18">
        <f>_xlfn.XLOOKUP(Assumptions!$B$2,Assumptions!$F$4:$H$4,Assumptions!$F$5:$H$5)</f>
        <v>1200</v>
      </c>
      <c r="J1758" s="18">
        <f>_xlfn.XLOOKUP(Assumptions!$B$2,Assumptions!$F$4:$H$4,Assumptions!$F$6:$H$6)</f>
        <v>17</v>
      </c>
      <c r="K1758" s="12">
        <f>_xlfn.XLOOKUP(Assumptions!$B$2,Assumptions!$F$4:$H$4,Assumptions!$F$8:$H$8)</f>
        <v>0.1</v>
      </c>
      <c r="L1758" s="12">
        <f>_xlfn.XLOOKUP(Assumptions!$B$2,Assumptions!$F$4:$H$4,Assumptions!$F$9:$H$9)</f>
        <v>0.18</v>
      </c>
      <c r="M1758" s="18">
        <f>_xlfn.XLOOKUP(Assumptions!$B$2,Assumptions!$F$4:$H$4,Assumptions!$F$10:$H$10)</f>
        <v>18000</v>
      </c>
      <c r="N1758" s="12">
        <f>_xlfn.XLOOKUP(Assumptions!$B$2,Assumptions!$F$4:$H$4,Assumptions!$F$11:$H$11)</f>
        <v>0.3</v>
      </c>
      <c r="O1758" s="14">
        <f>Final_Table[[#This Row],[Units Sold]]*Final_Table[[#This Row],[Sale Price]]</f>
        <v>20400</v>
      </c>
      <c r="P1758" s="14">
        <f>Final_Table[[#This Row],[Gross Revenue]]*(1-Final_Table[[#This Row],[Discount %]])</f>
        <v>18360</v>
      </c>
      <c r="Q1758">
        <f>Final_Table[[#This Row],[Net Revenue]]*Final_Table[[#This Row],[Variable Cost %]]</f>
        <v>3304.7999999999997</v>
      </c>
      <c r="R1758">
        <f>Final_Table[[#This Row],[Variable Cost]]+Final_Table[[#This Row],[Fixed Monthly Cost]]</f>
        <v>21304.799999999999</v>
      </c>
      <c r="S1758" s="5">
        <f>Final_Table[[#This Row],[Net Revenue]]-Final_Table[[#This Row],[Total Cost (COGS)]]</f>
        <v>-2944.7999999999993</v>
      </c>
      <c r="T1758">
        <f>Final_Table[[#This Row],[Gross Profit]]*Final_Table[[#This Row],[Tax Rate]]</f>
        <v>-883.43999999999971</v>
      </c>
      <c r="U1758" s="5">
        <f>Final_Table[[#This Row],[Gross Profit]]-Final_Table[[#This Row],[Tax]]</f>
        <v>-2061.3599999999997</v>
      </c>
      <c r="V1758" s="12">
        <f>Final_Table[[#This Row],[Net Profit]]/Final_Table[[#This Row],[Gross Revenue]]</f>
        <v>-0.10104705882352939</v>
      </c>
    </row>
    <row r="1759" spans="1:22">
      <c r="A1759" s="18" t="s">
        <v>68</v>
      </c>
      <c r="B1759">
        <v>2014</v>
      </c>
      <c r="C1759" t="s">
        <v>132</v>
      </c>
      <c r="D1759">
        <v>1</v>
      </c>
      <c r="E1759" s="18" t="s">
        <v>30</v>
      </c>
      <c r="F1759" s="18" t="s">
        <v>108</v>
      </c>
      <c r="G1759" s="18" t="s">
        <v>21</v>
      </c>
      <c r="H1759" s="18" t="str">
        <f>Assumptions!$B$2</f>
        <v>Worst</v>
      </c>
      <c r="I1759" s="18">
        <f>_xlfn.XLOOKUP(Assumptions!$B$2,Assumptions!$F$4:$H$4,Assumptions!$F$5:$H$5)</f>
        <v>1200</v>
      </c>
      <c r="J1759" s="18">
        <f>_xlfn.XLOOKUP(Assumptions!$B$2,Assumptions!$F$4:$H$4,Assumptions!$F$6:$H$6)</f>
        <v>17</v>
      </c>
      <c r="K1759" s="12">
        <f>_xlfn.XLOOKUP(Assumptions!$B$2,Assumptions!$F$4:$H$4,Assumptions!$F$8:$H$8)</f>
        <v>0.1</v>
      </c>
      <c r="L1759" s="12">
        <f>_xlfn.XLOOKUP(Assumptions!$B$2,Assumptions!$F$4:$H$4,Assumptions!$F$9:$H$9)</f>
        <v>0.18</v>
      </c>
      <c r="M1759" s="18">
        <f>_xlfn.XLOOKUP(Assumptions!$B$2,Assumptions!$F$4:$H$4,Assumptions!$F$10:$H$10)</f>
        <v>18000</v>
      </c>
      <c r="N1759" s="12">
        <f>_xlfn.XLOOKUP(Assumptions!$B$2,Assumptions!$F$4:$H$4,Assumptions!$F$11:$H$11)</f>
        <v>0.3</v>
      </c>
      <c r="O1759" s="14">
        <f>Final_Table[[#This Row],[Units Sold]]*Final_Table[[#This Row],[Sale Price]]</f>
        <v>20400</v>
      </c>
      <c r="P1759" s="14">
        <f>Final_Table[[#This Row],[Gross Revenue]]*(1-Final_Table[[#This Row],[Discount %]])</f>
        <v>18360</v>
      </c>
      <c r="Q1759">
        <f>Final_Table[[#This Row],[Net Revenue]]*Final_Table[[#This Row],[Variable Cost %]]</f>
        <v>3304.7999999999997</v>
      </c>
      <c r="R1759">
        <f>Final_Table[[#This Row],[Variable Cost]]+Final_Table[[#This Row],[Fixed Monthly Cost]]</f>
        <v>21304.799999999999</v>
      </c>
      <c r="S1759" s="5">
        <f>Final_Table[[#This Row],[Net Revenue]]-Final_Table[[#This Row],[Total Cost (COGS)]]</f>
        <v>-2944.7999999999993</v>
      </c>
      <c r="T1759">
        <f>Final_Table[[#This Row],[Gross Profit]]*Final_Table[[#This Row],[Tax Rate]]</f>
        <v>-883.43999999999971</v>
      </c>
      <c r="U1759" s="5">
        <f>Final_Table[[#This Row],[Gross Profit]]-Final_Table[[#This Row],[Tax]]</f>
        <v>-2061.3599999999997</v>
      </c>
      <c r="V1759" s="12">
        <f>Final_Table[[#This Row],[Net Profit]]/Final_Table[[#This Row],[Gross Revenue]]</f>
        <v>-0.10104705882352939</v>
      </c>
    </row>
    <row r="1760" spans="1:22">
      <c r="A1760" s="18" t="s">
        <v>68</v>
      </c>
      <c r="B1760">
        <v>2014</v>
      </c>
      <c r="C1760" t="s">
        <v>132</v>
      </c>
      <c r="D1760">
        <v>1</v>
      </c>
      <c r="E1760" s="18" t="s">
        <v>30</v>
      </c>
      <c r="F1760" s="18" t="s">
        <v>108</v>
      </c>
      <c r="G1760" s="18" t="s">
        <v>25</v>
      </c>
      <c r="H1760" s="18" t="str">
        <f>Assumptions!$B$2</f>
        <v>Worst</v>
      </c>
      <c r="I1760" s="18">
        <f>_xlfn.XLOOKUP(Assumptions!$B$2,Assumptions!$F$4:$H$4,Assumptions!$F$5:$H$5)</f>
        <v>1200</v>
      </c>
      <c r="J1760" s="18">
        <f>_xlfn.XLOOKUP(Assumptions!$B$2,Assumptions!$F$4:$H$4,Assumptions!$F$6:$H$6)</f>
        <v>17</v>
      </c>
      <c r="K1760" s="12">
        <f>_xlfn.XLOOKUP(Assumptions!$B$2,Assumptions!$F$4:$H$4,Assumptions!$F$8:$H$8)</f>
        <v>0.1</v>
      </c>
      <c r="L1760" s="12">
        <f>_xlfn.XLOOKUP(Assumptions!$B$2,Assumptions!$F$4:$H$4,Assumptions!$F$9:$H$9)</f>
        <v>0.18</v>
      </c>
      <c r="M1760" s="18">
        <f>_xlfn.XLOOKUP(Assumptions!$B$2,Assumptions!$F$4:$H$4,Assumptions!$F$10:$H$10)</f>
        <v>18000</v>
      </c>
      <c r="N1760" s="12">
        <f>_xlfn.XLOOKUP(Assumptions!$B$2,Assumptions!$F$4:$H$4,Assumptions!$F$11:$H$11)</f>
        <v>0.3</v>
      </c>
      <c r="O1760" s="14">
        <f>Final_Table[[#This Row],[Units Sold]]*Final_Table[[#This Row],[Sale Price]]</f>
        <v>20400</v>
      </c>
      <c r="P1760" s="14">
        <f>Final_Table[[#This Row],[Gross Revenue]]*(1-Final_Table[[#This Row],[Discount %]])</f>
        <v>18360</v>
      </c>
      <c r="Q1760">
        <f>Final_Table[[#This Row],[Net Revenue]]*Final_Table[[#This Row],[Variable Cost %]]</f>
        <v>3304.7999999999997</v>
      </c>
      <c r="R1760">
        <f>Final_Table[[#This Row],[Variable Cost]]+Final_Table[[#This Row],[Fixed Monthly Cost]]</f>
        <v>21304.799999999999</v>
      </c>
      <c r="S1760" s="5">
        <f>Final_Table[[#This Row],[Net Revenue]]-Final_Table[[#This Row],[Total Cost (COGS)]]</f>
        <v>-2944.7999999999993</v>
      </c>
      <c r="T1760">
        <f>Final_Table[[#This Row],[Gross Profit]]*Final_Table[[#This Row],[Tax Rate]]</f>
        <v>-883.43999999999971</v>
      </c>
      <c r="U1760" s="5">
        <f>Final_Table[[#This Row],[Gross Profit]]-Final_Table[[#This Row],[Tax]]</f>
        <v>-2061.3599999999997</v>
      </c>
      <c r="V1760" s="12">
        <f>Final_Table[[#This Row],[Net Profit]]/Final_Table[[#This Row],[Gross Revenue]]</f>
        <v>-0.10104705882352939</v>
      </c>
    </row>
    <row r="1761" spans="1:22">
      <c r="A1761" s="18" t="s">
        <v>68</v>
      </c>
      <c r="B1761">
        <v>2014</v>
      </c>
      <c r="C1761" t="s">
        <v>132</v>
      </c>
      <c r="D1761">
        <v>1</v>
      </c>
      <c r="E1761" s="18" t="s">
        <v>30</v>
      </c>
      <c r="F1761" s="18" t="s">
        <v>108</v>
      </c>
      <c r="G1761" s="18" t="s">
        <v>17</v>
      </c>
      <c r="H1761" s="18" t="str">
        <f>Assumptions!$B$2</f>
        <v>Worst</v>
      </c>
      <c r="I1761" s="18">
        <f>_xlfn.XLOOKUP(Assumptions!$B$2,Assumptions!$F$4:$H$4,Assumptions!$F$5:$H$5)</f>
        <v>1200</v>
      </c>
      <c r="J1761" s="18">
        <f>_xlfn.XLOOKUP(Assumptions!$B$2,Assumptions!$F$4:$H$4,Assumptions!$F$6:$H$6)</f>
        <v>17</v>
      </c>
      <c r="K1761" s="12">
        <f>_xlfn.XLOOKUP(Assumptions!$B$2,Assumptions!$F$4:$H$4,Assumptions!$F$8:$H$8)</f>
        <v>0.1</v>
      </c>
      <c r="L1761" s="12">
        <f>_xlfn.XLOOKUP(Assumptions!$B$2,Assumptions!$F$4:$H$4,Assumptions!$F$9:$H$9)</f>
        <v>0.18</v>
      </c>
      <c r="M1761" s="18">
        <f>_xlfn.XLOOKUP(Assumptions!$B$2,Assumptions!$F$4:$H$4,Assumptions!$F$10:$H$10)</f>
        <v>18000</v>
      </c>
      <c r="N1761" s="12">
        <f>_xlfn.XLOOKUP(Assumptions!$B$2,Assumptions!$F$4:$H$4,Assumptions!$F$11:$H$11)</f>
        <v>0.3</v>
      </c>
      <c r="O1761" s="14">
        <f>Final_Table[[#This Row],[Units Sold]]*Final_Table[[#This Row],[Sale Price]]</f>
        <v>20400</v>
      </c>
      <c r="P1761" s="14">
        <f>Final_Table[[#This Row],[Gross Revenue]]*(1-Final_Table[[#This Row],[Discount %]])</f>
        <v>18360</v>
      </c>
      <c r="Q1761">
        <f>Final_Table[[#This Row],[Net Revenue]]*Final_Table[[#This Row],[Variable Cost %]]</f>
        <v>3304.7999999999997</v>
      </c>
      <c r="R1761">
        <f>Final_Table[[#This Row],[Variable Cost]]+Final_Table[[#This Row],[Fixed Monthly Cost]]</f>
        <v>21304.799999999999</v>
      </c>
      <c r="S1761" s="5">
        <f>Final_Table[[#This Row],[Net Revenue]]-Final_Table[[#This Row],[Total Cost (COGS)]]</f>
        <v>-2944.7999999999993</v>
      </c>
      <c r="T1761">
        <f>Final_Table[[#This Row],[Gross Profit]]*Final_Table[[#This Row],[Tax Rate]]</f>
        <v>-883.43999999999971</v>
      </c>
      <c r="U1761" s="5">
        <f>Final_Table[[#This Row],[Gross Profit]]-Final_Table[[#This Row],[Tax]]</f>
        <v>-2061.3599999999997</v>
      </c>
      <c r="V1761" s="12">
        <f>Final_Table[[#This Row],[Net Profit]]/Final_Table[[#This Row],[Gross Revenue]]</f>
        <v>-0.10104705882352939</v>
      </c>
    </row>
    <row r="1762" spans="1:22">
      <c r="A1762" s="18" t="s">
        <v>68</v>
      </c>
      <c r="B1762">
        <v>2014</v>
      </c>
      <c r="C1762" t="s">
        <v>132</v>
      </c>
      <c r="D1762">
        <v>1</v>
      </c>
      <c r="E1762" s="18" t="s">
        <v>30</v>
      </c>
      <c r="F1762" s="18" t="s">
        <v>112</v>
      </c>
      <c r="G1762" s="18" t="s">
        <v>36</v>
      </c>
      <c r="H1762" s="18" t="str">
        <f>Assumptions!$B$2</f>
        <v>Worst</v>
      </c>
      <c r="I1762" s="18">
        <f>_xlfn.XLOOKUP(Assumptions!$B$2,Assumptions!$F$4:$H$4,Assumptions!$F$5:$H$5)</f>
        <v>1200</v>
      </c>
      <c r="J1762" s="18">
        <f>_xlfn.XLOOKUP(Assumptions!$B$2,Assumptions!$F$4:$H$4,Assumptions!$F$6:$H$6)</f>
        <v>17</v>
      </c>
      <c r="K1762" s="12">
        <f>_xlfn.XLOOKUP(Assumptions!$B$2,Assumptions!$F$4:$H$4,Assumptions!$F$8:$H$8)</f>
        <v>0.1</v>
      </c>
      <c r="L1762" s="12">
        <f>_xlfn.XLOOKUP(Assumptions!$B$2,Assumptions!$F$4:$H$4,Assumptions!$F$9:$H$9)</f>
        <v>0.18</v>
      </c>
      <c r="M1762" s="18">
        <f>_xlfn.XLOOKUP(Assumptions!$B$2,Assumptions!$F$4:$H$4,Assumptions!$F$10:$H$10)</f>
        <v>18000</v>
      </c>
      <c r="N1762" s="12">
        <f>_xlfn.XLOOKUP(Assumptions!$B$2,Assumptions!$F$4:$H$4,Assumptions!$F$11:$H$11)</f>
        <v>0.3</v>
      </c>
      <c r="O1762" s="14">
        <f>Final_Table[[#This Row],[Units Sold]]*Final_Table[[#This Row],[Sale Price]]</f>
        <v>20400</v>
      </c>
      <c r="P1762" s="14">
        <f>Final_Table[[#This Row],[Gross Revenue]]*(1-Final_Table[[#This Row],[Discount %]])</f>
        <v>18360</v>
      </c>
      <c r="Q1762">
        <f>Final_Table[[#This Row],[Net Revenue]]*Final_Table[[#This Row],[Variable Cost %]]</f>
        <v>3304.7999999999997</v>
      </c>
      <c r="R1762">
        <f>Final_Table[[#This Row],[Variable Cost]]+Final_Table[[#This Row],[Fixed Monthly Cost]]</f>
        <v>21304.799999999999</v>
      </c>
      <c r="S1762" s="5">
        <f>Final_Table[[#This Row],[Net Revenue]]-Final_Table[[#This Row],[Total Cost (COGS)]]</f>
        <v>-2944.7999999999993</v>
      </c>
      <c r="T1762">
        <f>Final_Table[[#This Row],[Gross Profit]]*Final_Table[[#This Row],[Tax Rate]]</f>
        <v>-883.43999999999971</v>
      </c>
      <c r="U1762" s="5">
        <f>Final_Table[[#This Row],[Gross Profit]]-Final_Table[[#This Row],[Tax]]</f>
        <v>-2061.3599999999997</v>
      </c>
      <c r="V1762" s="12">
        <f>Final_Table[[#This Row],[Net Profit]]/Final_Table[[#This Row],[Gross Revenue]]</f>
        <v>-0.10104705882352939</v>
      </c>
    </row>
    <row r="1763" spans="1:22">
      <c r="A1763" s="18" t="s">
        <v>68</v>
      </c>
      <c r="B1763">
        <v>2014</v>
      </c>
      <c r="C1763" t="s">
        <v>132</v>
      </c>
      <c r="D1763">
        <v>1</v>
      </c>
      <c r="E1763" s="18" t="s">
        <v>30</v>
      </c>
      <c r="F1763" s="18" t="s">
        <v>112</v>
      </c>
      <c r="G1763" s="18" t="s">
        <v>23</v>
      </c>
      <c r="H1763" s="18" t="str">
        <f>Assumptions!$B$2</f>
        <v>Worst</v>
      </c>
      <c r="I1763" s="18">
        <f>_xlfn.XLOOKUP(Assumptions!$B$2,Assumptions!$F$4:$H$4,Assumptions!$F$5:$H$5)</f>
        <v>1200</v>
      </c>
      <c r="J1763" s="18">
        <f>_xlfn.XLOOKUP(Assumptions!$B$2,Assumptions!$F$4:$H$4,Assumptions!$F$6:$H$6)</f>
        <v>17</v>
      </c>
      <c r="K1763" s="12">
        <f>_xlfn.XLOOKUP(Assumptions!$B$2,Assumptions!$F$4:$H$4,Assumptions!$F$8:$H$8)</f>
        <v>0.1</v>
      </c>
      <c r="L1763" s="12">
        <f>_xlfn.XLOOKUP(Assumptions!$B$2,Assumptions!$F$4:$H$4,Assumptions!$F$9:$H$9)</f>
        <v>0.18</v>
      </c>
      <c r="M1763" s="18">
        <f>_xlfn.XLOOKUP(Assumptions!$B$2,Assumptions!$F$4:$H$4,Assumptions!$F$10:$H$10)</f>
        <v>18000</v>
      </c>
      <c r="N1763" s="12">
        <f>_xlfn.XLOOKUP(Assumptions!$B$2,Assumptions!$F$4:$H$4,Assumptions!$F$11:$H$11)</f>
        <v>0.3</v>
      </c>
      <c r="O1763" s="14">
        <f>Final_Table[[#This Row],[Units Sold]]*Final_Table[[#This Row],[Sale Price]]</f>
        <v>20400</v>
      </c>
      <c r="P1763" s="14">
        <f>Final_Table[[#This Row],[Gross Revenue]]*(1-Final_Table[[#This Row],[Discount %]])</f>
        <v>18360</v>
      </c>
      <c r="Q1763">
        <f>Final_Table[[#This Row],[Net Revenue]]*Final_Table[[#This Row],[Variable Cost %]]</f>
        <v>3304.7999999999997</v>
      </c>
      <c r="R1763">
        <f>Final_Table[[#This Row],[Variable Cost]]+Final_Table[[#This Row],[Fixed Monthly Cost]]</f>
        <v>21304.799999999999</v>
      </c>
      <c r="S1763" s="5">
        <f>Final_Table[[#This Row],[Net Revenue]]-Final_Table[[#This Row],[Total Cost (COGS)]]</f>
        <v>-2944.7999999999993</v>
      </c>
      <c r="T1763">
        <f>Final_Table[[#This Row],[Gross Profit]]*Final_Table[[#This Row],[Tax Rate]]</f>
        <v>-883.43999999999971</v>
      </c>
      <c r="U1763" s="5">
        <f>Final_Table[[#This Row],[Gross Profit]]-Final_Table[[#This Row],[Tax]]</f>
        <v>-2061.3599999999997</v>
      </c>
      <c r="V1763" s="12">
        <f>Final_Table[[#This Row],[Net Profit]]/Final_Table[[#This Row],[Gross Revenue]]</f>
        <v>-0.10104705882352939</v>
      </c>
    </row>
    <row r="1764" spans="1:22">
      <c r="A1764" s="18" t="s">
        <v>68</v>
      </c>
      <c r="B1764">
        <v>2014</v>
      </c>
      <c r="C1764" t="s">
        <v>132</v>
      </c>
      <c r="D1764">
        <v>1</v>
      </c>
      <c r="E1764" s="18" t="s">
        <v>30</v>
      </c>
      <c r="F1764" s="18" t="s">
        <v>112</v>
      </c>
      <c r="G1764" s="18" t="s">
        <v>21</v>
      </c>
      <c r="H1764" s="18" t="str">
        <f>Assumptions!$B$2</f>
        <v>Worst</v>
      </c>
      <c r="I1764" s="18">
        <f>_xlfn.XLOOKUP(Assumptions!$B$2,Assumptions!$F$4:$H$4,Assumptions!$F$5:$H$5)</f>
        <v>1200</v>
      </c>
      <c r="J1764" s="18">
        <f>_xlfn.XLOOKUP(Assumptions!$B$2,Assumptions!$F$4:$H$4,Assumptions!$F$6:$H$6)</f>
        <v>17</v>
      </c>
      <c r="K1764" s="12">
        <f>_xlfn.XLOOKUP(Assumptions!$B$2,Assumptions!$F$4:$H$4,Assumptions!$F$8:$H$8)</f>
        <v>0.1</v>
      </c>
      <c r="L1764" s="12">
        <f>_xlfn.XLOOKUP(Assumptions!$B$2,Assumptions!$F$4:$H$4,Assumptions!$F$9:$H$9)</f>
        <v>0.18</v>
      </c>
      <c r="M1764" s="18">
        <f>_xlfn.XLOOKUP(Assumptions!$B$2,Assumptions!$F$4:$H$4,Assumptions!$F$10:$H$10)</f>
        <v>18000</v>
      </c>
      <c r="N1764" s="12">
        <f>_xlfn.XLOOKUP(Assumptions!$B$2,Assumptions!$F$4:$H$4,Assumptions!$F$11:$H$11)</f>
        <v>0.3</v>
      </c>
      <c r="O1764" s="14">
        <f>Final_Table[[#This Row],[Units Sold]]*Final_Table[[#This Row],[Sale Price]]</f>
        <v>20400</v>
      </c>
      <c r="P1764" s="14">
        <f>Final_Table[[#This Row],[Gross Revenue]]*(1-Final_Table[[#This Row],[Discount %]])</f>
        <v>18360</v>
      </c>
      <c r="Q1764">
        <f>Final_Table[[#This Row],[Net Revenue]]*Final_Table[[#This Row],[Variable Cost %]]</f>
        <v>3304.7999999999997</v>
      </c>
      <c r="R1764">
        <f>Final_Table[[#This Row],[Variable Cost]]+Final_Table[[#This Row],[Fixed Monthly Cost]]</f>
        <v>21304.799999999999</v>
      </c>
      <c r="S1764" s="5">
        <f>Final_Table[[#This Row],[Net Revenue]]-Final_Table[[#This Row],[Total Cost (COGS)]]</f>
        <v>-2944.7999999999993</v>
      </c>
      <c r="T1764">
        <f>Final_Table[[#This Row],[Gross Profit]]*Final_Table[[#This Row],[Tax Rate]]</f>
        <v>-883.43999999999971</v>
      </c>
      <c r="U1764" s="5">
        <f>Final_Table[[#This Row],[Gross Profit]]-Final_Table[[#This Row],[Tax]]</f>
        <v>-2061.3599999999997</v>
      </c>
      <c r="V1764" s="12">
        <f>Final_Table[[#This Row],[Net Profit]]/Final_Table[[#This Row],[Gross Revenue]]</f>
        <v>-0.10104705882352939</v>
      </c>
    </row>
    <row r="1765" spans="1:22">
      <c r="A1765" s="18" t="s">
        <v>68</v>
      </c>
      <c r="B1765">
        <v>2014</v>
      </c>
      <c r="C1765" t="s">
        <v>132</v>
      </c>
      <c r="D1765">
        <v>1</v>
      </c>
      <c r="E1765" s="18" t="s">
        <v>30</v>
      </c>
      <c r="F1765" s="18" t="s">
        <v>112</v>
      </c>
      <c r="G1765" s="18" t="s">
        <v>25</v>
      </c>
      <c r="H1765" s="18" t="str">
        <f>Assumptions!$B$2</f>
        <v>Worst</v>
      </c>
      <c r="I1765" s="18">
        <f>_xlfn.XLOOKUP(Assumptions!$B$2,Assumptions!$F$4:$H$4,Assumptions!$F$5:$H$5)</f>
        <v>1200</v>
      </c>
      <c r="J1765" s="18">
        <f>_xlfn.XLOOKUP(Assumptions!$B$2,Assumptions!$F$4:$H$4,Assumptions!$F$6:$H$6)</f>
        <v>17</v>
      </c>
      <c r="K1765" s="12">
        <f>_xlfn.XLOOKUP(Assumptions!$B$2,Assumptions!$F$4:$H$4,Assumptions!$F$8:$H$8)</f>
        <v>0.1</v>
      </c>
      <c r="L1765" s="12">
        <f>_xlfn.XLOOKUP(Assumptions!$B$2,Assumptions!$F$4:$H$4,Assumptions!$F$9:$H$9)</f>
        <v>0.18</v>
      </c>
      <c r="M1765" s="18">
        <f>_xlfn.XLOOKUP(Assumptions!$B$2,Assumptions!$F$4:$H$4,Assumptions!$F$10:$H$10)</f>
        <v>18000</v>
      </c>
      <c r="N1765" s="12">
        <f>_xlfn.XLOOKUP(Assumptions!$B$2,Assumptions!$F$4:$H$4,Assumptions!$F$11:$H$11)</f>
        <v>0.3</v>
      </c>
      <c r="O1765" s="14">
        <f>Final_Table[[#This Row],[Units Sold]]*Final_Table[[#This Row],[Sale Price]]</f>
        <v>20400</v>
      </c>
      <c r="P1765" s="14">
        <f>Final_Table[[#This Row],[Gross Revenue]]*(1-Final_Table[[#This Row],[Discount %]])</f>
        <v>18360</v>
      </c>
      <c r="Q1765">
        <f>Final_Table[[#This Row],[Net Revenue]]*Final_Table[[#This Row],[Variable Cost %]]</f>
        <v>3304.7999999999997</v>
      </c>
      <c r="R1765">
        <f>Final_Table[[#This Row],[Variable Cost]]+Final_Table[[#This Row],[Fixed Monthly Cost]]</f>
        <v>21304.799999999999</v>
      </c>
      <c r="S1765" s="5">
        <f>Final_Table[[#This Row],[Net Revenue]]-Final_Table[[#This Row],[Total Cost (COGS)]]</f>
        <v>-2944.7999999999993</v>
      </c>
      <c r="T1765">
        <f>Final_Table[[#This Row],[Gross Profit]]*Final_Table[[#This Row],[Tax Rate]]</f>
        <v>-883.43999999999971</v>
      </c>
      <c r="U1765" s="5">
        <f>Final_Table[[#This Row],[Gross Profit]]-Final_Table[[#This Row],[Tax]]</f>
        <v>-2061.3599999999997</v>
      </c>
      <c r="V1765" s="12">
        <f>Final_Table[[#This Row],[Net Profit]]/Final_Table[[#This Row],[Gross Revenue]]</f>
        <v>-0.10104705882352939</v>
      </c>
    </row>
    <row r="1766" spans="1:22">
      <c r="A1766" s="18" t="s">
        <v>68</v>
      </c>
      <c r="B1766">
        <v>2014</v>
      </c>
      <c r="C1766" t="s">
        <v>132</v>
      </c>
      <c r="D1766">
        <v>1</v>
      </c>
      <c r="E1766" s="18" t="s">
        <v>30</v>
      </c>
      <c r="F1766" s="18" t="s">
        <v>112</v>
      </c>
      <c r="G1766" s="18" t="s">
        <v>17</v>
      </c>
      <c r="H1766" s="18" t="str">
        <f>Assumptions!$B$2</f>
        <v>Worst</v>
      </c>
      <c r="I1766" s="18">
        <f>_xlfn.XLOOKUP(Assumptions!$B$2,Assumptions!$F$4:$H$4,Assumptions!$F$5:$H$5)</f>
        <v>1200</v>
      </c>
      <c r="J1766" s="18">
        <f>_xlfn.XLOOKUP(Assumptions!$B$2,Assumptions!$F$4:$H$4,Assumptions!$F$6:$H$6)</f>
        <v>17</v>
      </c>
      <c r="K1766" s="12">
        <f>_xlfn.XLOOKUP(Assumptions!$B$2,Assumptions!$F$4:$H$4,Assumptions!$F$8:$H$8)</f>
        <v>0.1</v>
      </c>
      <c r="L1766" s="12">
        <f>_xlfn.XLOOKUP(Assumptions!$B$2,Assumptions!$F$4:$H$4,Assumptions!$F$9:$H$9)</f>
        <v>0.18</v>
      </c>
      <c r="M1766" s="18">
        <f>_xlfn.XLOOKUP(Assumptions!$B$2,Assumptions!$F$4:$H$4,Assumptions!$F$10:$H$10)</f>
        <v>18000</v>
      </c>
      <c r="N1766" s="12">
        <f>_xlfn.XLOOKUP(Assumptions!$B$2,Assumptions!$F$4:$H$4,Assumptions!$F$11:$H$11)</f>
        <v>0.3</v>
      </c>
      <c r="O1766" s="14">
        <f>Final_Table[[#This Row],[Units Sold]]*Final_Table[[#This Row],[Sale Price]]</f>
        <v>20400</v>
      </c>
      <c r="P1766" s="14">
        <f>Final_Table[[#This Row],[Gross Revenue]]*(1-Final_Table[[#This Row],[Discount %]])</f>
        <v>18360</v>
      </c>
      <c r="Q1766">
        <f>Final_Table[[#This Row],[Net Revenue]]*Final_Table[[#This Row],[Variable Cost %]]</f>
        <v>3304.7999999999997</v>
      </c>
      <c r="R1766">
        <f>Final_Table[[#This Row],[Variable Cost]]+Final_Table[[#This Row],[Fixed Monthly Cost]]</f>
        <v>21304.799999999999</v>
      </c>
      <c r="S1766" s="5">
        <f>Final_Table[[#This Row],[Net Revenue]]-Final_Table[[#This Row],[Total Cost (COGS)]]</f>
        <v>-2944.7999999999993</v>
      </c>
      <c r="T1766">
        <f>Final_Table[[#This Row],[Gross Profit]]*Final_Table[[#This Row],[Tax Rate]]</f>
        <v>-883.43999999999971</v>
      </c>
      <c r="U1766" s="5">
        <f>Final_Table[[#This Row],[Gross Profit]]-Final_Table[[#This Row],[Tax]]</f>
        <v>-2061.3599999999997</v>
      </c>
      <c r="V1766" s="12">
        <f>Final_Table[[#This Row],[Net Profit]]/Final_Table[[#This Row],[Gross Revenue]]</f>
        <v>-0.10104705882352939</v>
      </c>
    </row>
    <row r="1767" spans="1:22">
      <c r="A1767" s="18" t="s">
        <v>68</v>
      </c>
      <c r="B1767">
        <v>2014</v>
      </c>
      <c r="C1767" t="s">
        <v>132</v>
      </c>
      <c r="D1767">
        <v>1</v>
      </c>
      <c r="E1767" s="18" t="s">
        <v>30</v>
      </c>
      <c r="F1767" s="18" t="s">
        <v>113</v>
      </c>
      <c r="G1767" s="18" t="s">
        <v>36</v>
      </c>
      <c r="H1767" s="18" t="str">
        <f>Assumptions!$B$2</f>
        <v>Worst</v>
      </c>
      <c r="I1767" s="18">
        <f>_xlfn.XLOOKUP(Assumptions!$B$2,Assumptions!$F$4:$H$4,Assumptions!$F$5:$H$5)</f>
        <v>1200</v>
      </c>
      <c r="J1767" s="18">
        <f>_xlfn.XLOOKUP(Assumptions!$B$2,Assumptions!$F$4:$H$4,Assumptions!$F$6:$H$6)</f>
        <v>17</v>
      </c>
      <c r="K1767" s="12">
        <f>_xlfn.XLOOKUP(Assumptions!$B$2,Assumptions!$F$4:$H$4,Assumptions!$F$8:$H$8)</f>
        <v>0.1</v>
      </c>
      <c r="L1767" s="12">
        <f>_xlfn.XLOOKUP(Assumptions!$B$2,Assumptions!$F$4:$H$4,Assumptions!$F$9:$H$9)</f>
        <v>0.18</v>
      </c>
      <c r="M1767" s="18">
        <f>_xlfn.XLOOKUP(Assumptions!$B$2,Assumptions!$F$4:$H$4,Assumptions!$F$10:$H$10)</f>
        <v>18000</v>
      </c>
      <c r="N1767" s="12">
        <f>_xlfn.XLOOKUP(Assumptions!$B$2,Assumptions!$F$4:$H$4,Assumptions!$F$11:$H$11)</f>
        <v>0.3</v>
      </c>
      <c r="O1767" s="14">
        <f>Final_Table[[#This Row],[Units Sold]]*Final_Table[[#This Row],[Sale Price]]</f>
        <v>20400</v>
      </c>
      <c r="P1767" s="14">
        <f>Final_Table[[#This Row],[Gross Revenue]]*(1-Final_Table[[#This Row],[Discount %]])</f>
        <v>18360</v>
      </c>
      <c r="Q1767">
        <f>Final_Table[[#This Row],[Net Revenue]]*Final_Table[[#This Row],[Variable Cost %]]</f>
        <v>3304.7999999999997</v>
      </c>
      <c r="R1767">
        <f>Final_Table[[#This Row],[Variable Cost]]+Final_Table[[#This Row],[Fixed Monthly Cost]]</f>
        <v>21304.799999999999</v>
      </c>
      <c r="S1767" s="5">
        <f>Final_Table[[#This Row],[Net Revenue]]-Final_Table[[#This Row],[Total Cost (COGS)]]</f>
        <v>-2944.7999999999993</v>
      </c>
      <c r="T1767">
        <f>Final_Table[[#This Row],[Gross Profit]]*Final_Table[[#This Row],[Tax Rate]]</f>
        <v>-883.43999999999971</v>
      </c>
      <c r="U1767" s="5">
        <f>Final_Table[[#This Row],[Gross Profit]]-Final_Table[[#This Row],[Tax]]</f>
        <v>-2061.3599999999997</v>
      </c>
      <c r="V1767" s="12">
        <f>Final_Table[[#This Row],[Net Profit]]/Final_Table[[#This Row],[Gross Revenue]]</f>
        <v>-0.10104705882352939</v>
      </c>
    </row>
    <row r="1768" spans="1:22">
      <c r="A1768" s="18" t="s">
        <v>68</v>
      </c>
      <c r="B1768">
        <v>2014</v>
      </c>
      <c r="C1768" t="s">
        <v>132</v>
      </c>
      <c r="D1768">
        <v>1</v>
      </c>
      <c r="E1768" s="18" t="s">
        <v>30</v>
      </c>
      <c r="F1768" s="18" t="s">
        <v>113</v>
      </c>
      <c r="G1768" s="18" t="s">
        <v>23</v>
      </c>
      <c r="H1768" s="18" t="str">
        <f>Assumptions!$B$2</f>
        <v>Worst</v>
      </c>
      <c r="I1768" s="18">
        <f>_xlfn.XLOOKUP(Assumptions!$B$2,Assumptions!$F$4:$H$4,Assumptions!$F$5:$H$5)</f>
        <v>1200</v>
      </c>
      <c r="J1768" s="18">
        <f>_xlfn.XLOOKUP(Assumptions!$B$2,Assumptions!$F$4:$H$4,Assumptions!$F$6:$H$6)</f>
        <v>17</v>
      </c>
      <c r="K1768" s="12">
        <f>_xlfn.XLOOKUP(Assumptions!$B$2,Assumptions!$F$4:$H$4,Assumptions!$F$8:$H$8)</f>
        <v>0.1</v>
      </c>
      <c r="L1768" s="12">
        <f>_xlfn.XLOOKUP(Assumptions!$B$2,Assumptions!$F$4:$H$4,Assumptions!$F$9:$H$9)</f>
        <v>0.18</v>
      </c>
      <c r="M1768" s="18">
        <f>_xlfn.XLOOKUP(Assumptions!$B$2,Assumptions!$F$4:$H$4,Assumptions!$F$10:$H$10)</f>
        <v>18000</v>
      </c>
      <c r="N1768" s="12">
        <f>_xlfn.XLOOKUP(Assumptions!$B$2,Assumptions!$F$4:$H$4,Assumptions!$F$11:$H$11)</f>
        <v>0.3</v>
      </c>
      <c r="O1768" s="14">
        <f>Final_Table[[#This Row],[Units Sold]]*Final_Table[[#This Row],[Sale Price]]</f>
        <v>20400</v>
      </c>
      <c r="P1768" s="14">
        <f>Final_Table[[#This Row],[Gross Revenue]]*(1-Final_Table[[#This Row],[Discount %]])</f>
        <v>18360</v>
      </c>
      <c r="Q1768">
        <f>Final_Table[[#This Row],[Net Revenue]]*Final_Table[[#This Row],[Variable Cost %]]</f>
        <v>3304.7999999999997</v>
      </c>
      <c r="R1768">
        <f>Final_Table[[#This Row],[Variable Cost]]+Final_Table[[#This Row],[Fixed Monthly Cost]]</f>
        <v>21304.799999999999</v>
      </c>
      <c r="S1768" s="5">
        <f>Final_Table[[#This Row],[Net Revenue]]-Final_Table[[#This Row],[Total Cost (COGS)]]</f>
        <v>-2944.7999999999993</v>
      </c>
      <c r="T1768">
        <f>Final_Table[[#This Row],[Gross Profit]]*Final_Table[[#This Row],[Tax Rate]]</f>
        <v>-883.43999999999971</v>
      </c>
      <c r="U1768" s="5">
        <f>Final_Table[[#This Row],[Gross Profit]]-Final_Table[[#This Row],[Tax]]</f>
        <v>-2061.3599999999997</v>
      </c>
      <c r="V1768" s="12">
        <f>Final_Table[[#This Row],[Net Profit]]/Final_Table[[#This Row],[Gross Revenue]]</f>
        <v>-0.10104705882352939</v>
      </c>
    </row>
    <row r="1769" spans="1:22">
      <c r="A1769" s="18" t="s">
        <v>68</v>
      </c>
      <c r="B1769">
        <v>2014</v>
      </c>
      <c r="C1769" t="s">
        <v>132</v>
      </c>
      <c r="D1769">
        <v>1</v>
      </c>
      <c r="E1769" s="18" t="s">
        <v>30</v>
      </c>
      <c r="F1769" s="18" t="s">
        <v>113</v>
      </c>
      <c r="G1769" s="18" t="s">
        <v>21</v>
      </c>
      <c r="H1769" s="18" t="str">
        <f>Assumptions!$B$2</f>
        <v>Worst</v>
      </c>
      <c r="I1769" s="18">
        <f>_xlfn.XLOOKUP(Assumptions!$B$2,Assumptions!$F$4:$H$4,Assumptions!$F$5:$H$5)</f>
        <v>1200</v>
      </c>
      <c r="J1769" s="18">
        <f>_xlfn.XLOOKUP(Assumptions!$B$2,Assumptions!$F$4:$H$4,Assumptions!$F$6:$H$6)</f>
        <v>17</v>
      </c>
      <c r="K1769" s="12">
        <f>_xlfn.XLOOKUP(Assumptions!$B$2,Assumptions!$F$4:$H$4,Assumptions!$F$8:$H$8)</f>
        <v>0.1</v>
      </c>
      <c r="L1769" s="12">
        <f>_xlfn.XLOOKUP(Assumptions!$B$2,Assumptions!$F$4:$H$4,Assumptions!$F$9:$H$9)</f>
        <v>0.18</v>
      </c>
      <c r="M1769" s="18">
        <f>_xlfn.XLOOKUP(Assumptions!$B$2,Assumptions!$F$4:$H$4,Assumptions!$F$10:$H$10)</f>
        <v>18000</v>
      </c>
      <c r="N1769" s="12">
        <f>_xlfn.XLOOKUP(Assumptions!$B$2,Assumptions!$F$4:$H$4,Assumptions!$F$11:$H$11)</f>
        <v>0.3</v>
      </c>
      <c r="O1769" s="14">
        <f>Final_Table[[#This Row],[Units Sold]]*Final_Table[[#This Row],[Sale Price]]</f>
        <v>20400</v>
      </c>
      <c r="P1769" s="14">
        <f>Final_Table[[#This Row],[Gross Revenue]]*(1-Final_Table[[#This Row],[Discount %]])</f>
        <v>18360</v>
      </c>
      <c r="Q1769">
        <f>Final_Table[[#This Row],[Net Revenue]]*Final_Table[[#This Row],[Variable Cost %]]</f>
        <v>3304.7999999999997</v>
      </c>
      <c r="R1769">
        <f>Final_Table[[#This Row],[Variable Cost]]+Final_Table[[#This Row],[Fixed Monthly Cost]]</f>
        <v>21304.799999999999</v>
      </c>
      <c r="S1769" s="5">
        <f>Final_Table[[#This Row],[Net Revenue]]-Final_Table[[#This Row],[Total Cost (COGS)]]</f>
        <v>-2944.7999999999993</v>
      </c>
      <c r="T1769">
        <f>Final_Table[[#This Row],[Gross Profit]]*Final_Table[[#This Row],[Tax Rate]]</f>
        <v>-883.43999999999971</v>
      </c>
      <c r="U1769" s="5">
        <f>Final_Table[[#This Row],[Gross Profit]]-Final_Table[[#This Row],[Tax]]</f>
        <v>-2061.3599999999997</v>
      </c>
      <c r="V1769" s="12">
        <f>Final_Table[[#This Row],[Net Profit]]/Final_Table[[#This Row],[Gross Revenue]]</f>
        <v>-0.10104705882352939</v>
      </c>
    </row>
    <row r="1770" spans="1:22">
      <c r="A1770" s="18" t="s">
        <v>68</v>
      </c>
      <c r="B1770">
        <v>2014</v>
      </c>
      <c r="C1770" t="s">
        <v>132</v>
      </c>
      <c r="D1770">
        <v>1</v>
      </c>
      <c r="E1770" s="18" t="s">
        <v>30</v>
      </c>
      <c r="F1770" s="18" t="s">
        <v>113</v>
      </c>
      <c r="G1770" s="18" t="s">
        <v>25</v>
      </c>
      <c r="H1770" s="18" t="str">
        <f>Assumptions!$B$2</f>
        <v>Worst</v>
      </c>
      <c r="I1770" s="18">
        <f>_xlfn.XLOOKUP(Assumptions!$B$2,Assumptions!$F$4:$H$4,Assumptions!$F$5:$H$5)</f>
        <v>1200</v>
      </c>
      <c r="J1770" s="18">
        <f>_xlfn.XLOOKUP(Assumptions!$B$2,Assumptions!$F$4:$H$4,Assumptions!$F$6:$H$6)</f>
        <v>17</v>
      </c>
      <c r="K1770" s="12">
        <f>_xlfn.XLOOKUP(Assumptions!$B$2,Assumptions!$F$4:$H$4,Assumptions!$F$8:$H$8)</f>
        <v>0.1</v>
      </c>
      <c r="L1770" s="12">
        <f>_xlfn.XLOOKUP(Assumptions!$B$2,Assumptions!$F$4:$H$4,Assumptions!$F$9:$H$9)</f>
        <v>0.18</v>
      </c>
      <c r="M1770" s="18">
        <f>_xlfn.XLOOKUP(Assumptions!$B$2,Assumptions!$F$4:$H$4,Assumptions!$F$10:$H$10)</f>
        <v>18000</v>
      </c>
      <c r="N1770" s="12">
        <f>_xlfn.XLOOKUP(Assumptions!$B$2,Assumptions!$F$4:$H$4,Assumptions!$F$11:$H$11)</f>
        <v>0.3</v>
      </c>
      <c r="O1770" s="14">
        <f>Final_Table[[#This Row],[Units Sold]]*Final_Table[[#This Row],[Sale Price]]</f>
        <v>20400</v>
      </c>
      <c r="P1770" s="14">
        <f>Final_Table[[#This Row],[Gross Revenue]]*(1-Final_Table[[#This Row],[Discount %]])</f>
        <v>18360</v>
      </c>
      <c r="Q1770">
        <f>Final_Table[[#This Row],[Net Revenue]]*Final_Table[[#This Row],[Variable Cost %]]</f>
        <v>3304.7999999999997</v>
      </c>
      <c r="R1770">
        <f>Final_Table[[#This Row],[Variable Cost]]+Final_Table[[#This Row],[Fixed Monthly Cost]]</f>
        <v>21304.799999999999</v>
      </c>
      <c r="S1770" s="5">
        <f>Final_Table[[#This Row],[Net Revenue]]-Final_Table[[#This Row],[Total Cost (COGS)]]</f>
        <v>-2944.7999999999993</v>
      </c>
      <c r="T1770">
        <f>Final_Table[[#This Row],[Gross Profit]]*Final_Table[[#This Row],[Tax Rate]]</f>
        <v>-883.43999999999971</v>
      </c>
      <c r="U1770" s="5">
        <f>Final_Table[[#This Row],[Gross Profit]]-Final_Table[[#This Row],[Tax]]</f>
        <v>-2061.3599999999997</v>
      </c>
      <c r="V1770" s="12">
        <f>Final_Table[[#This Row],[Net Profit]]/Final_Table[[#This Row],[Gross Revenue]]</f>
        <v>-0.10104705882352939</v>
      </c>
    </row>
    <row r="1771" spans="1:22">
      <c r="A1771" s="18" t="s">
        <v>68</v>
      </c>
      <c r="B1771">
        <v>2014</v>
      </c>
      <c r="C1771" t="s">
        <v>132</v>
      </c>
      <c r="D1771">
        <v>1</v>
      </c>
      <c r="E1771" s="18" t="s">
        <v>30</v>
      </c>
      <c r="F1771" s="18" t="s">
        <v>113</v>
      </c>
      <c r="G1771" s="18" t="s">
        <v>17</v>
      </c>
      <c r="H1771" s="18" t="str">
        <f>Assumptions!$B$2</f>
        <v>Worst</v>
      </c>
      <c r="I1771" s="18">
        <f>_xlfn.XLOOKUP(Assumptions!$B$2,Assumptions!$F$4:$H$4,Assumptions!$F$5:$H$5)</f>
        <v>1200</v>
      </c>
      <c r="J1771" s="18">
        <f>_xlfn.XLOOKUP(Assumptions!$B$2,Assumptions!$F$4:$H$4,Assumptions!$F$6:$H$6)</f>
        <v>17</v>
      </c>
      <c r="K1771" s="12">
        <f>_xlfn.XLOOKUP(Assumptions!$B$2,Assumptions!$F$4:$H$4,Assumptions!$F$8:$H$8)</f>
        <v>0.1</v>
      </c>
      <c r="L1771" s="12">
        <f>_xlfn.XLOOKUP(Assumptions!$B$2,Assumptions!$F$4:$H$4,Assumptions!$F$9:$H$9)</f>
        <v>0.18</v>
      </c>
      <c r="M1771" s="18">
        <f>_xlfn.XLOOKUP(Assumptions!$B$2,Assumptions!$F$4:$H$4,Assumptions!$F$10:$H$10)</f>
        <v>18000</v>
      </c>
      <c r="N1771" s="12">
        <f>_xlfn.XLOOKUP(Assumptions!$B$2,Assumptions!$F$4:$H$4,Assumptions!$F$11:$H$11)</f>
        <v>0.3</v>
      </c>
      <c r="O1771" s="14">
        <f>Final_Table[[#This Row],[Units Sold]]*Final_Table[[#This Row],[Sale Price]]</f>
        <v>20400</v>
      </c>
      <c r="P1771" s="14">
        <f>Final_Table[[#This Row],[Gross Revenue]]*(1-Final_Table[[#This Row],[Discount %]])</f>
        <v>18360</v>
      </c>
      <c r="Q1771">
        <f>Final_Table[[#This Row],[Net Revenue]]*Final_Table[[#This Row],[Variable Cost %]]</f>
        <v>3304.7999999999997</v>
      </c>
      <c r="R1771">
        <f>Final_Table[[#This Row],[Variable Cost]]+Final_Table[[#This Row],[Fixed Monthly Cost]]</f>
        <v>21304.799999999999</v>
      </c>
      <c r="S1771" s="5">
        <f>Final_Table[[#This Row],[Net Revenue]]-Final_Table[[#This Row],[Total Cost (COGS)]]</f>
        <v>-2944.7999999999993</v>
      </c>
      <c r="T1771">
        <f>Final_Table[[#This Row],[Gross Profit]]*Final_Table[[#This Row],[Tax Rate]]</f>
        <v>-883.43999999999971</v>
      </c>
      <c r="U1771" s="5">
        <f>Final_Table[[#This Row],[Gross Profit]]-Final_Table[[#This Row],[Tax]]</f>
        <v>-2061.3599999999997</v>
      </c>
      <c r="V1771" s="12">
        <f>Final_Table[[#This Row],[Net Profit]]/Final_Table[[#This Row],[Gross Revenue]]</f>
        <v>-0.10104705882352939</v>
      </c>
    </row>
    <row r="1772" spans="1:22">
      <c r="A1772" s="18" t="s">
        <v>68</v>
      </c>
      <c r="B1772">
        <v>2014</v>
      </c>
      <c r="C1772" t="s">
        <v>132</v>
      </c>
      <c r="D1772">
        <v>1</v>
      </c>
      <c r="E1772" s="18" t="s">
        <v>30</v>
      </c>
      <c r="F1772" s="18" t="s">
        <v>114</v>
      </c>
      <c r="G1772" s="18" t="s">
        <v>36</v>
      </c>
      <c r="H1772" s="18" t="str">
        <f>Assumptions!$B$2</f>
        <v>Worst</v>
      </c>
      <c r="I1772" s="18">
        <f>_xlfn.XLOOKUP(Assumptions!$B$2,Assumptions!$F$4:$H$4,Assumptions!$F$5:$H$5)</f>
        <v>1200</v>
      </c>
      <c r="J1772" s="18">
        <f>_xlfn.XLOOKUP(Assumptions!$B$2,Assumptions!$F$4:$H$4,Assumptions!$F$6:$H$6)</f>
        <v>17</v>
      </c>
      <c r="K1772" s="12">
        <f>_xlfn.XLOOKUP(Assumptions!$B$2,Assumptions!$F$4:$H$4,Assumptions!$F$8:$H$8)</f>
        <v>0.1</v>
      </c>
      <c r="L1772" s="12">
        <f>_xlfn.XLOOKUP(Assumptions!$B$2,Assumptions!$F$4:$H$4,Assumptions!$F$9:$H$9)</f>
        <v>0.18</v>
      </c>
      <c r="M1772" s="18">
        <f>_xlfn.XLOOKUP(Assumptions!$B$2,Assumptions!$F$4:$H$4,Assumptions!$F$10:$H$10)</f>
        <v>18000</v>
      </c>
      <c r="N1772" s="12">
        <f>_xlfn.XLOOKUP(Assumptions!$B$2,Assumptions!$F$4:$H$4,Assumptions!$F$11:$H$11)</f>
        <v>0.3</v>
      </c>
      <c r="O1772" s="14">
        <f>Final_Table[[#This Row],[Units Sold]]*Final_Table[[#This Row],[Sale Price]]</f>
        <v>20400</v>
      </c>
      <c r="P1772" s="14">
        <f>Final_Table[[#This Row],[Gross Revenue]]*(1-Final_Table[[#This Row],[Discount %]])</f>
        <v>18360</v>
      </c>
      <c r="Q1772">
        <f>Final_Table[[#This Row],[Net Revenue]]*Final_Table[[#This Row],[Variable Cost %]]</f>
        <v>3304.7999999999997</v>
      </c>
      <c r="R1772">
        <f>Final_Table[[#This Row],[Variable Cost]]+Final_Table[[#This Row],[Fixed Monthly Cost]]</f>
        <v>21304.799999999999</v>
      </c>
      <c r="S1772" s="5">
        <f>Final_Table[[#This Row],[Net Revenue]]-Final_Table[[#This Row],[Total Cost (COGS)]]</f>
        <v>-2944.7999999999993</v>
      </c>
      <c r="T1772">
        <f>Final_Table[[#This Row],[Gross Profit]]*Final_Table[[#This Row],[Tax Rate]]</f>
        <v>-883.43999999999971</v>
      </c>
      <c r="U1772" s="5">
        <f>Final_Table[[#This Row],[Gross Profit]]-Final_Table[[#This Row],[Tax]]</f>
        <v>-2061.3599999999997</v>
      </c>
      <c r="V1772" s="12">
        <f>Final_Table[[#This Row],[Net Profit]]/Final_Table[[#This Row],[Gross Revenue]]</f>
        <v>-0.10104705882352939</v>
      </c>
    </row>
    <row r="1773" spans="1:22">
      <c r="A1773" s="18" t="s">
        <v>68</v>
      </c>
      <c r="B1773">
        <v>2014</v>
      </c>
      <c r="C1773" t="s">
        <v>132</v>
      </c>
      <c r="D1773">
        <v>1</v>
      </c>
      <c r="E1773" s="18" t="s">
        <v>30</v>
      </c>
      <c r="F1773" s="18" t="s">
        <v>114</v>
      </c>
      <c r="G1773" s="18" t="s">
        <v>23</v>
      </c>
      <c r="H1773" s="18" t="str">
        <f>Assumptions!$B$2</f>
        <v>Worst</v>
      </c>
      <c r="I1773" s="18">
        <f>_xlfn.XLOOKUP(Assumptions!$B$2,Assumptions!$F$4:$H$4,Assumptions!$F$5:$H$5)</f>
        <v>1200</v>
      </c>
      <c r="J1773" s="18">
        <f>_xlfn.XLOOKUP(Assumptions!$B$2,Assumptions!$F$4:$H$4,Assumptions!$F$6:$H$6)</f>
        <v>17</v>
      </c>
      <c r="K1773" s="12">
        <f>_xlfn.XLOOKUP(Assumptions!$B$2,Assumptions!$F$4:$H$4,Assumptions!$F$8:$H$8)</f>
        <v>0.1</v>
      </c>
      <c r="L1773" s="12">
        <f>_xlfn.XLOOKUP(Assumptions!$B$2,Assumptions!$F$4:$H$4,Assumptions!$F$9:$H$9)</f>
        <v>0.18</v>
      </c>
      <c r="M1773" s="18">
        <f>_xlfn.XLOOKUP(Assumptions!$B$2,Assumptions!$F$4:$H$4,Assumptions!$F$10:$H$10)</f>
        <v>18000</v>
      </c>
      <c r="N1773" s="12">
        <f>_xlfn.XLOOKUP(Assumptions!$B$2,Assumptions!$F$4:$H$4,Assumptions!$F$11:$H$11)</f>
        <v>0.3</v>
      </c>
      <c r="O1773" s="14">
        <f>Final_Table[[#This Row],[Units Sold]]*Final_Table[[#This Row],[Sale Price]]</f>
        <v>20400</v>
      </c>
      <c r="P1773" s="14">
        <f>Final_Table[[#This Row],[Gross Revenue]]*(1-Final_Table[[#This Row],[Discount %]])</f>
        <v>18360</v>
      </c>
      <c r="Q1773">
        <f>Final_Table[[#This Row],[Net Revenue]]*Final_Table[[#This Row],[Variable Cost %]]</f>
        <v>3304.7999999999997</v>
      </c>
      <c r="R1773">
        <f>Final_Table[[#This Row],[Variable Cost]]+Final_Table[[#This Row],[Fixed Monthly Cost]]</f>
        <v>21304.799999999999</v>
      </c>
      <c r="S1773" s="5">
        <f>Final_Table[[#This Row],[Net Revenue]]-Final_Table[[#This Row],[Total Cost (COGS)]]</f>
        <v>-2944.7999999999993</v>
      </c>
      <c r="T1773">
        <f>Final_Table[[#This Row],[Gross Profit]]*Final_Table[[#This Row],[Tax Rate]]</f>
        <v>-883.43999999999971</v>
      </c>
      <c r="U1773" s="5">
        <f>Final_Table[[#This Row],[Gross Profit]]-Final_Table[[#This Row],[Tax]]</f>
        <v>-2061.3599999999997</v>
      </c>
      <c r="V1773" s="12">
        <f>Final_Table[[#This Row],[Net Profit]]/Final_Table[[#This Row],[Gross Revenue]]</f>
        <v>-0.10104705882352939</v>
      </c>
    </row>
    <row r="1774" spans="1:22">
      <c r="A1774" s="18" t="s">
        <v>68</v>
      </c>
      <c r="B1774">
        <v>2014</v>
      </c>
      <c r="C1774" t="s">
        <v>132</v>
      </c>
      <c r="D1774">
        <v>1</v>
      </c>
      <c r="E1774" s="18" t="s">
        <v>30</v>
      </c>
      <c r="F1774" s="18" t="s">
        <v>114</v>
      </c>
      <c r="G1774" s="18" t="s">
        <v>21</v>
      </c>
      <c r="H1774" s="18" t="str">
        <f>Assumptions!$B$2</f>
        <v>Worst</v>
      </c>
      <c r="I1774" s="18">
        <f>_xlfn.XLOOKUP(Assumptions!$B$2,Assumptions!$F$4:$H$4,Assumptions!$F$5:$H$5)</f>
        <v>1200</v>
      </c>
      <c r="J1774" s="18">
        <f>_xlfn.XLOOKUP(Assumptions!$B$2,Assumptions!$F$4:$H$4,Assumptions!$F$6:$H$6)</f>
        <v>17</v>
      </c>
      <c r="K1774" s="12">
        <f>_xlfn.XLOOKUP(Assumptions!$B$2,Assumptions!$F$4:$H$4,Assumptions!$F$8:$H$8)</f>
        <v>0.1</v>
      </c>
      <c r="L1774" s="12">
        <f>_xlfn.XLOOKUP(Assumptions!$B$2,Assumptions!$F$4:$H$4,Assumptions!$F$9:$H$9)</f>
        <v>0.18</v>
      </c>
      <c r="M1774" s="18">
        <f>_xlfn.XLOOKUP(Assumptions!$B$2,Assumptions!$F$4:$H$4,Assumptions!$F$10:$H$10)</f>
        <v>18000</v>
      </c>
      <c r="N1774" s="12">
        <f>_xlfn.XLOOKUP(Assumptions!$B$2,Assumptions!$F$4:$H$4,Assumptions!$F$11:$H$11)</f>
        <v>0.3</v>
      </c>
      <c r="O1774" s="14">
        <f>Final_Table[[#This Row],[Units Sold]]*Final_Table[[#This Row],[Sale Price]]</f>
        <v>20400</v>
      </c>
      <c r="P1774" s="14">
        <f>Final_Table[[#This Row],[Gross Revenue]]*(1-Final_Table[[#This Row],[Discount %]])</f>
        <v>18360</v>
      </c>
      <c r="Q1774">
        <f>Final_Table[[#This Row],[Net Revenue]]*Final_Table[[#This Row],[Variable Cost %]]</f>
        <v>3304.7999999999997</v>
      </c>
      <c r="R1774">
        <f>Final_Table[[#This Row],[Variable Cost]]+Final_Table[[#This Row],[Fixed Monthly Cost]]</f>
        <v>21304.799999999999</v>
      </c>
      <c r="S1774" s="5">
        <f>Final_Table[[#This Row],[Net Revenue]]-Final_Table[[#This Row],[Total Cost (COGS)]]</f>
        <v>-2944.7999999999993</v>
      </c>
      <c r="T1774">
        <f>Final_Table[[#This Row],[Gross Profit]]*Final_Table[[#This Row],[Tax Rate]]</f>
        <v>-883.43999999999971</v>
      </c>
      <c r="U1774" s="5">
        <f>Final_Table[[#This Row],[Gross Profit]]-Final_Table[[#This Row],[Tax]]</f>
        <v>-2061.3599999999997</v>
      </c>
      <c r="V1774" s="12">
        <f>Final_Table[[#This Row],[Net Profit]]/Final_Table[[#This Row],[Gross Revenue]]</f>
        <v>-0.10104705882352939</v>
      </c>
    </row>
    <row r="1775" spans="1:22">
      <c r="A1775" s="18" t="s">
        <v>68</v>
      </c>
      <c r="B1775">
        <v>2014</v>
      </c>
      <c r="C1775" t="s">
        <v>132</v>
      </c>
      <c r="D1775">
        <v>1</v>
      </c>
      <c r="E1775" s="18" t="s">
        <v>30</v>
      </c>
      <c r="F1775" s="18" t="s">
        <v>114</v>
      </c>
      <c r="G1775" s="18" t="s">
        <v>25</v>
      </c>
      <c r="H1775" s="18" t="str">
        <f>Assumptions!$B$2</f>
        <v>Worst</v>
      </c>
      <c r="I1775" s="18">
        <f>_xlfn.XLOOKUP(Assumptions!$B$2,Assumptions!$F$4:$H$4,Assumptions!$F$5:$H$5)</f>
        <v>1200</v>
      </c>
      <c r="J1775" s="18">
        <f>_xlfn.XLOOKUP(Assumptions!$B$2,Assumptions!$F$4:$H$4,Assumptions!$F$6:$H$6)</f>
        <v>17</v>
      </c>
      <c r="K1775" s="12">
        <f>_xlfn.XLOOKUP(Assumptions!$B$2,Assumptions!$F$4:$H$4,Assumptions!$F$8:$H$8)</f>
        <v>0.1</v>
      </c>
      <c r="L1775" s="12">
        <f>_xlfn.XLOOKUP(Assumptions!$B$2,Assumptions!$F$4:$H$4,Assumptions!$F$9:$H$9)</f>
        <v>0.18</v>
      </c>
      <c r="M1775" s="18">
        <f>_xlfn.XLOOKUP(Assumptions!$B$2,Assumptions!$F$4:$H$4,Assumptions!$F$10:$H$10)</f>
        <v>18000</v>
      </c>
      <c r="N1775" s="12">
        <f>_xlfn.XLOOKUP(Assumptions!$B$2,Assumptions!$F$4:$H$4,Assumptions!$F$11:$H$11)</f>
        <v>0.3</v>
      </c>
      <c r="O1775" s="14">
        <f>Final_Table[[#This Row],[Units Sold]]*Final_Table[[#This Row],[Sale Price]]</f>
        <v>20400</v>
      </c>
      <c r="P1775" s="14">
        <f>Final_Table[[#This Row],[Gross Revenue]]*(1-Final_Table[[#This Row],[Discount %]])</f>
        <v>18360</v>
      </c>
      <c r="Q1775">
        <f>Final_Table[[#This Row],[Net Revenue]]*Final_Table[[#This Row],[Variable Cost %]]</f>
        <v>3304.7999999999997</v>
      </c>
      <c r="R1775">
        <f>Final_Table[[#This Row],[Variable Cost]]+Final_Table[[#This Row],[Fixed Monthly Cost]]</f>
        <v>21304.799999999999</v>
      </c>
      <c r="S1775" s="5">
        <f>Final_Table[[#This Row],[Net Revenue]]-Final_Table[[#This Row],[Total Cost (COGS)]]</f>
        <v>-2944.7999999999993</v>
      </c>
      <c r="T1775">
        <f>Final_Table[[#This Row],[Gross Profit]]*Final_Table[[#This Row],[Tax Rate]]</f>
        <v>-883.43999999999971</v>
      </c>
      <c r="U1775" s="5">
        <f>Final_Table[[#This Row],[Gross Profit]]-Final_Table[[#This Row],[Tax]]</f>
        <v>-2061.3599999999997</v>
      </c>
      <c r="V1775" s="12">
        <f>Final_Table[[#This Row],[Net Profit]]/Final_Table[[#This Row],[Gross Revenue]]</f>
        <v>-0.10104705882352939</v>
      </c>
    </row>
    <row r="1776" spans="1:22">
      <c r="A1776" s="18" t="s">
        <v>68</v>
      </c>
      <c r="B1776">
        <v>2014</v>
      </c>
      <c r="C1776" t="s">
        <v>132</v>
      </c>
      <c r="D1776">
        <v>1</v>
      </c>
      <c r="E1776" s="18" t="s">
        <v>30</v>
      </c>
      <c r="F1776" s="18" t="s">
        <v>114</v>
      </c>
      <c r="G1776" s="18" t="s">
        <v>17</v>
      </c>
      <c r="H1776" s="18" t="str">
        <f>Assumptions!$B$2</f>
        <v>Worst</v>
      </c>
      <c r="I1776" s="18">
        <f>_xlfn.XLOOKUP(Assumptions!$B$2,Assumptions!$F$4:$H$4,Assumptions!$F$5:$H$5)</f>
        <v>1200</v>
      </c>
      <c r="J1776" s="18">
        <f>_xlfn.XLOOKUP(Assumptions!$B$2,Assumptions!$F$4:$H$4,Assumptions!$F$6:$H$6)</f>
        <v>17</v>
      </c>
      <c r="K1776" s="12">
        <f>_xlfn.XLOOKUP(Assumptions!$B$2,Assumptions!$F$4:$H$4,Assumptions!$F$8:$H$8)</f>
        <v>0.1</v>
      </c>
      <c r="L1776" s="12">
        <f>_xlfn.XLOOKUP(Assumptions!$B$2,Assumptions!$F$4:$H$4,Assumptions!$F$9:$H$9)</f>
        <v>0.18</v>
      </c>
      <c r="M1776" s="18">
        <f>_xlfn.XLOOKUP(Assumptions!$B$2,Assumptions!$F$4:$H$4,Assumptions!$F$10:$H$10)</f>
        <v>18000</v>
      </c>
      <c r="N1776" s="12">
        <f>_xlfn.XLOOKUP(Assumptions!$B$2,Assumptions!$F$4:$H$4,Assumptions!$F$11:$H$11)</f>
        <v>0.3</v>
      </c>
      <c r="O1776" s="14">
        <f>Final_Table[[#This Row],[Units Sold]]*Final_Table[[#This Row],[Sale Price]]</f>
        <v>20400</v>
      </c>
      <c r="P1776" s="14">
        <f>Final_Table[[#This Row],[Gross Revenue]]*(1-Final_Table[[#This Row],[Discount %]])</f>
        <v>18360</v>
      </c>
      <c r="Q1776">
        <f>Final_Table[[#This Row],[Net Revenue]]*Final_Table[[#This Row],[Variable Cost %]]</f>
        <v>3304.7999999999997</v>
      </c>
      <c r="R1776">
        <f>Final_Table[[#This Row],[Variable Cost]]+Final_Table[[#This Row],[Fixed Monthly Cost]]</f>
        <v>21304.799999999999</v>
      </c>
      <c r="S1776" s="5">
        <f>Final_Table[[#This Row],[Net Revenue]]-Final_Table[[#This Row],[Total Cost (COGS)]]</f>
        <v>-2944.7999999999993</v>
      </c>
      <c r="T1776">
        <f>Final_Table[[#This Row],[Gross Profit]]*Final_Table[[#This Row],[Tax Rate]]</f>
        <v>-883.43999999999971</v>
      </c>
      <c r="U1776" s="5">
        <f>Final_Table[[#This Row],[Gross Profit]]-Final_Table[[#This Row],[Tax]]</f>
        <v>-2061.3599999999997</v>
      </c>
      <c r="V1776" s="12">
        <f>Final_Table[[#This Row],[Net Profit]]/Final_Table[[#This Row],[Gross Revenue]]</f>
        <v>-0.10104705882352939</v>
      </c>
    </row>
    <row r="1777" spans="1:22">
      <c r="A1777" s="18" t="s">
        <v>68</v>
      </c>
      <c r="B1777">
        <v>2014</v>
      </c>
      <c r="C1777" t="s">
        <v>132</v>
      </c>
      <c r="D1777">
        <v>1</v>
      </c>
      <c r="E1777" s="18" t="s">
        <v>29</v>
      </c>
      <c r="F1777" s="18" t="s">
        <v>80</v>
      </c>
      <c r="G1777" s="18" t="s">
        <v>36</v>
      </c>
      <c r="H1777" s="18" t="str">
        <f>Assumptions!$B$2</f>
        <v>Worst</v>
      </c>
      <c r="I1777" s="18">
        <f>_xlfn.XLOOKUP(Assumptions!$B$2,Assumptions!$F$4:$H$4,Assumptions!$F$5:$H$5)</f>
        <v>1200</v>
      </c>
      <c r="J1777" s="18">
        <f>_xlfn.XLOOKUP(Assumptions!$B$2,Assumptions!$F$4:$H$4,Assumptions!$F$6:$H$6)</f>
        <v>17</v>
      </c>
      <c r="K1777" s="12">
        <f>_xlfn.XLOOKUP(Assumptions!$B$2,Assumptions!$F$4:$H$4,Assumptions!$F$8:$H$8)</f>
        <v>0.1</v>
      </c>
      <c r="L1777" s="12">
        <f>_xlfn.XLOOKUP(Assumptions!$B$2,Assumptions!$F$4:$H$4,Assumptions!$F$9:$H$9)</f>
        <v>0.18</v>
      </c>
      <c r="M1777" s="18">
        <f>_xlfn.XLOOKUP(Assumptions!$B$2,Assumptions!$F$4:$H$4,Assumptions!$F$10:$H$10)</f>
        <v>18000</v>
      </c>
      <c r="N1777" s="12">
        <f>_xlfn.XLOOKUP(Assumptions!$B$2,Assumptions!$F$4:$H$4,Assumptions!$F$11:$H$11)</f>
        <v>0.3</v>
      </c>
      <c r="O1777" s="14">
        <f>Final_Table[[#This Row],[Units Sold]]*Final_Table[[#This Row],[Sale Price]]</f>
        <v>20400</v>
      </c>
      <c r="P1777" s="14">
        <f>Final_Table[[#This Row],[Gross Revenue]]*(1-Final_Table[[#This Row],[Discount %]])</f>
        <v>18360</v>
      </c>
      <c r="Q1777">
        <f>Final_Table[[#This Row],[Net Revenue]]*Final_Table[[#This Row],[Variable Cost %]]</f>
        <v>3304.7999999999997</v>
      </c>
      <c r="R1777">
        <f>Final_Table[[#This Row],[Variable Cost]]+Final_Table[[#This Row],[Fixed Monthly Cost]]</f>
        <v>21304.799999999999</v>
      </c>
      <c r="S1777" s="5">
        <f>Final_Table[[#This Row],[Net Revenue]]-Final_Table[[#This Row],[Total Cost (COGS)]]</f>
        <v>-2944.7999999999993</v>
      </c>
      <c r="T1777">
        <f>Final_Table[[#This Row],[Gross Profit]]*Final_Table[[#This Row],[Tax Rate]]</f>
        <v>-883.43999999999971</v>
      </c>
      <c r="U1777" s="5">
        <f>Final_Table[[#This Row],[Gross Profit]]-Final_Table[[#This Row],[Tax]]</f>
        <v>-2061.3599999999997</v>
      </c>
      <c r="V1777" s="12">
        <f>Final_Table[[#This Row],[Net Profit]]/Final_Table[[#This Row],[Gross Revenue]]</f>
        <v>-0.10104705882352939</v>
      </c>
    </row>
    <row r="1778" spans="1:22">
      <c r="A1778" s="18" t="s">
        <v>68</v>
      </c>
      <c r="B1778">
        <v>2014</v>
      </c>
      <c r="C1778" t="s">
        <v>132</v>
      </c>
      <c r="D1778">
        <v>1</v>
      </c>
      <c r="E1778" s="18" t="s">
        <v>29</v>
      </c>
      <c r="F1778" s="18" t="s">
        <v>80</v>
      </c>
      <c r="G1778" s="18" t="s">
        <v>23</v>
      </c>
      <c r="H1778" s="18" t="str">
        <f>Assumptions!$B$2</f>
        <v>Worst</v>
      </c>
      <c r="I1778" s="18">
        <f>_xlfn.XLOOKUP(Assumptions!$B$2,Assumptions!$F$4:$H$4,Assumptions!$F$5:$H$5)</f>
        <v>1200</v>
      </c>
      <c r="J1778" s="18">
        <f>_xlfn.XLOOKUP(Assumptions!$B$2,Assumptions!$F$4:$H$4,Assumptions!$F$6:$H$6)</f>
        <v>17</v>
      </c>
      <c r="K1778" s="12">
        <f>_xlfn.XLOOKUP(Assumptions!$B$2,Assumptions!$F$4:$H$4,Assumptions!$F$8:$H$8)</f>
        <v>0.1</v>
      </c>
      <c r="L1778" s="12">
        <f>_xlfn.XLOOKUP(Assumptions!$B$2,Assumptions!$F$4:$H$4,Assumptions!$F$9:$H$9)</f>
        <v>0.18</v>
      </c>
      <c r="M1778" s="18">
        <f>_xlfn.XLOOKUP(Assumptions!$B$2,Assumptions!$F$4:$H$4,Assumptions!$F$10:$H$10)</f>
        <v>18000</v>
      </c>
      <c r="N1778" s="12">
        <f>_xlfn.XLOOKUP(Assumptions!$B$2,Assumptions!$F$4:$H$4,Assumptions!$F$11:$H$11)</f>
        <v>0.3</v>
      </c>
      <c r="O1778" s="14">
        <f>Final_Table[[#This Row],[Units Sold]]*Final_Table[[#This Row],[Sale Price]]</f>
        <v>20400</v>
      </c>
      <c r="P1778" s="14">
        <f>Final_Table[[#This Row],[Gross Revenue]]*(1-Final_Table[[#This Row],[Discount %]])</f>
        <v>18360</v>
      </c>
      <c r="Q1778">
        <f>Final_Table[[#This Row],[Net Revenue]]*Final_Table[[#This Row],[Variable Cost %]]</f>
        <v>3304.7999999999997</v>
      </c>
      <c r="R1778">
        <f>Final_Table[[#This Row],[Variable Cost]]+Final_Table[[#This Row],[Fixed Monthly Cost]]</f>
        <v>21304.799999999999</v>
      </c>
      <c r="S1778" s="5">
        <f>Final_Table[[#This Row],[Net Revenue]]-Final_Table[[#This Row],[Total Cost (COGS)]]</f>
        <v>-2944.7999999999993</v>
      </c>
      <c r="T1778">
        <f>Final_Table[[#This Row],[Gross Profit]]*Final_Table[[#This Row],[Tax Rate]]</f>
        <v>-883.43999999999971</v>
      </c>
      <c r="U1778" s="5">
        <f>Final_Table[[#This Row],[Gross Profit]]-Final_Table[[#This Row],[Tax]]</f>
        <v>-2061.3599999999997</v>
      </c>
      <c r="V1778" s="12">
        <f>Final_Table[[#This Row],[Net Profit]]/Final_Table[[#This Row],[Gross Revenue]]</f>
        <v>-0.10104705882352939</v>
      </c>
    </row>
    <row r="1779" spans="1:22">
      <c r="A1779" s="18" t="s">
        <v>68</v>
      </c>
      <c r="B1779">
        <v>2014</v>
      </c>
      <c r="C1779" t="s">
        <v>132</v>
      </c>
      <c r="D1779">
        <v>1</v>
      </c>
      <c r="E1779" s="18" t="s">
        <v>29</v>
      </c>
      <c r="F1779" s="18" t="s">
        <v>80</v>
      </c>
      <c r="G1779" s="18" t="s">
        <v>21</v>
      </c>
      <c r="H1779" s="18" t="str">
        <f>Assumptions!$B$2</f>
        <v>Worst</v>
      </c>
      <c r="I1779" s="18">
        <f>_xlfn.XLOOKUP(Assumptions!$B$2,Assumptions!$F$4:$H$4,Assumptions!$F$5:$H$5)</f>
        <v>1200</v>
      </c>
      <c r="J1779" s="18">
        <f>_xlfn.XLOOKUP(Assumptions!$B$2,Assumptions!$F$4:$H$4,Assumptions!$F$6:$H$6)</f>
        <v>17</v>
      </c>
      <c r="K1779" s="12">
        <f>_xlfn.XLOOKUP(Assumptions!$B$2,Assumptions!$F$4:$H$4,Assumptions!$F$8:$H$8)</f>
        <v>0.1</v>
      </c>
      <c r="L1779" s="12">
        <f>_xlfn.XLOOKUP(Assumptions!$B$2,Assumptions!$F$4:$H$4,Assumptions!$F$9:$H$9)</f>
        <v>0.18</v>
      </c>
      <c r="M1779" s="18">
        <f>_xlfn.XLOOKUP(Assumptions!$B$2,Assumptions!$F$4:$H$4,Assumptions!$F$10:$H$10)</f>
        <v>18000</v>
      </c>
      <c r="N1779" s="12">
        <f>_xlfn.XLOOKUP(Assumptions!$B$2,Assumptions!$F$4:$H$4,Assumptions!$F$11:$H$11)</f>
        <v>0.3</v>
      </c>
      <c r="O1779" s="14">
        <f>Final_Table[[#This Row],[Units Sold]]*Final_Table[[#This Row],[Sale Price]]</f>
        <v>20400</v>
      </c>
      <c r="P1779" s="14">
        <f>Final_Table[[#This Row],[Gross Revenue]]*(1-Final_Table[[#This Row],[Discount %]])</f>
        <v>18360</v>
      </c>
      <c r="Q1779">
        <f>Final_Table[[#This Row],[Net Revenue]]*Final_Table[[#This Row],[Variable Cost %]]</f>
        <v>3304.7999999999997</v>
      </c>
      <c r="R1779">
        <f>Final_Table[[#This Row],[Variable Cost]]+Final_Table[[#This Row],[Fixed Monthly Cost]]</f>
        <v>21304.799999999999</v>
      </c>
      <c r="S1779" s="5">
        <f>Final_Table[[#This Row],[Net Revenue]]-Final_Table[[#This Row],[Total Cost (COGS)]]</f>
        <v>-2944.7999999999993</v>
      </c>
      <c r="T1779">
        <f>Final_Table[[#This Row],[Gross Profit]]*Final_Table[[#This Row],[Tax Rate]]</f>
        <v>-883.43999999999971</v>
      </c>
      <c r="U1779" s="5">
        <f>Final_Table[[#This Row],[Gross Profit]]-Final_Table[[#This Row],[Tax]]</f>
        <v>-2061.3599999999997</v>
      </c>
      <c r="V1779" s="12">
        <f>Final_Table[[#This Row],[Net Profit]]/Final_Table[[#This Row],[Gross Revenue]]</f>
        <v>-0.10104705882352939</v>
      </c>
    </row>
    <row r="1780" spans="1:22">
      <c r="A1780" s="18" t="s">
        <v>68</v>
      </c>
      <c r="B1780">
        <v>2014</v>
      </c>
      <c r="C1780" t="s">
        <v>132</v>
      </c>
      <c r="D1780">
        <v>1</v>
      </c>
      <c r="E1780" s="18" t="s">
        <v>29</v>
      </c>
      <c r="F1780" s="18" t="s">
        <v>80</v>
      </c>
      <c r="G1780" s="18" t="s">
        <v>25</v>
      </c>
      <c r="H1780" s="18" t="str">
        <f>Assumptions!$B$2</f>
        <v>Worst</v>
      </c>
      <c r="I1780" s="18">
        <f>_xlfn.XLOOKUP(Assumptions!$B$2,Assumptions!$F$4:$H$4,Assumptions!$F$5:$H$5)</f>
        <v>1200</v>
      </c>
      <c r="J1780" s="18">
        <f>_xlfn.XLOOKUP(Assumptions!$B$2,Assumptions!$F$4:$H$4,Assumptions!$F$6:$H$6)</f>
        <v>17</v>
      </c>
      <c r="K1780" s="12">
        <f>_xlfn.XLOOKUP(Assumptions!$B$2,Assumptions!$F$4:$H$4,Assumptions!$F$8:$H$8)</f>
        <v>0.1</v>
      </c>
      <c r="L1780" s="12">
        <f>_xlfn.XLOOKUP(Assumptions!$B$2,Assumptions!$F$4:$H$4,Assumptions!$F$9:$H$9)</f>
        <v>0.18</v>
      </c>
      <c r="M1780" s="18">
        <f>_xlfn.XLOOKUP(Assumptions!$B$2,Assumptions!$F$4:$H$4,Assumptions!$F$10:$H$10)</f>
        <v>18000</v>
      </c>
      <c r="N1780" s="12">
        <f>_xlfn.XLOOKUP(Assumptions!$B$2,Assumptions!$F$4:$H$4,Assumptions!$F$11:$H$11)</f>
        <v>0.3</v>
      </c>
      <c r="O1780" s="14">
        <f>Final_Table[[#This Row],[Units Sold]]*Final_Table[[#This Row],[Sale Price]]</f>
        <v>20400</v>
      </c>
      <c r="P1780" s="14">
        <f>Final_Table[[#This Row],[Gross Revenue]]*(1-Final_Table[[#This Row],[Discount %]])</f>
        <v>18360</v>
      </c>
      <c r="Q1780">
        <f>Final_Table[[#This Row],[Net Revenue]]*Final_Table[[#This Row],[Variable Cost %]]</f>
        <v>3304.7999999999997</v>
      </c>
      <c r="R1780">
        <f>Final_Table[[#This Row],[Variable Cost]]+Final_Table[[#This Row],[Fixed Monthly Cost]]</f>
        <v>21304.799999999999</v>
      </c>
      <c r="S1780" s="5">
        <f>Final_Table[[#This Row],[Net Revenue]]-Final_Table[[#This Row],[Total Cost (COGS)]]</f>
        <v>-2944.7999999999993</v>
      </c>
      <c r="T1780">
        <f>Final_Table[[#This Row],[Gross Profit]]*Final_Table[[#This Row],[Tax Rate]]</f>
        <v>-883.43999999999971</v>
      </c>
      <c r="U1780" s="5">
        <f>Final_Table[[#This Row],[Gross Profit]]-Final_Table[[#This Row],[Tax]]</f>
        <v>-2061.3599999999997</v>
      </c>
      <c r="V1780" s="12">
        <f>Final_Table[[#This Row],[Net Profit]]/Final_Table[[#This Row],[Gross Revenue]]</f>
        <v>-0.10104705882352939</v>
      </c>
    </row>
    <row r="1781" spans="1:22">
      <c r="A1781" s="18" t="s">
        <v>68</v>
      </c>
      <c r="B1781">
        <v>2014</v>
      </c>
      <c r="C1781" t="s">
        <v>132</v>
      </c>
      <c r="D1781">
        <v>1</v>
      </c>
      <c r="E1781" s="18" t="s">
        <v>29</v>
      </c>
      <c r="F1781" s="18" t="s">
        <v>80</v>
      </c>
      <c r="G1781" s="18" t="s">
        <v>17</v>
      </c>
      <c r="H1781" s="18" t="str">
        <f>Assumptions!$B$2</f>
        <v>Worst</v>
      </c>
      <c r="I1781" s="18">
        <f>_xlfn.XLOOKUP(Assumptions!$B$2,Assumptions!$F$4:$H$4,Assumptions!$F$5:$H$5)</f>
        <v>1200</v>
      </c>
      <c r="J1781" s="18">
        <f>_xlfn.XLOOKUP(Assumptions!$B$2,Assumptions!$F$4:$H$4,Assumptions!$F$6:$H$6)</f>
        <v>17</v>
      </c>
      <c r="K1781" s="12">
        <f>_xlfn.XLOOKUP(Assumptions!$B$2,Assumptions!$F$4:$H$4,Assumptions!$F$8:$H$8)</f>
        <v>0.1</v>
      </c>
      <c r="L1781" s="12">
        <f>_xlfn.XLOOKUP(Assumptions!$B$2,Assumptions!$F$4:$H$4,Assumptions!$F$9:$H$9)</f>
        <v>0.18</v>
      </c>
      <c r="M1781" s="18">
        <f>_xlfn.XLOOKUP(Assumptions!$B$2,Assumptions!$F$4:$H$4,Assumptions!$F$10:$H$10)</f>
        <v>18000</v>
      </c>
      <c r="N1781" s="12">
        <f>_xlfn.XLOOKUP(Assumptions!$B$2,Assumptions!$F$4:$H$4,Assumptions!$F$11:$H$11)</f>
        <v>0.3</v>
      </c>
      <c r="O1781" s="14">
        <f>Final_Table[[#This Row],[Units Sold]]*Final_Table[[#This Row],[Sale Price]]</f>
        <v>20400</v>
      </c>
      <c r="P1781" s="14">
        <f>Final_Table[[#This Row],[Gross Revenue]]*(1-Final_Table[[#This Row],[Discount %]])</f>
        <v>18360</v>
      </c>
      <c r="Q1781">
        <f>Final_Table[[#This Row],[Net Revenue]]*Final_Table[[#This Row],[Variable Cost %]]</f>
        <v>3304.7999999999997</v>
      </c>
      <c r="R1781">
        <f>Final_Table[[#This Row],[Variable Cost]]+Final_Table[[#This Row],[Fixed Monthly Cost]]</f>
        <v>21304.799999999999</v>
      </c>
      <c r="S1781" s="5">
        <f>Final_Table[[#This Row],[Net Revenue]]-Final_Table[[#This Row],[Total Cost (COGS)]]</f>
        <v>-2944.7999999999993</v>
      </c>
      <c r="T1781">
        <f>Final_Table[[#This Row],[Gross Profit]]*Final_Table[[#This Row],[Tax Rate]]</f>
        <v>-883.43999999999971</v>
      </c>
      <c r="U1781" s="5">
        <f>Final_Table[[#This Row],[Gross Profit]]-Final_Table[[#This Row],[Tax]]</f>
        <v>-2061.3599999999997</v>
      </c>
      <c r="V1781" s="12">
        <f>Final_Table[[#This Row],[Net Profit]]/Final_Table[[#This Row],[Gross Revenue]]</f>
        <v>-0.10104705882352939</v>
      </c>
    </row>
    <row r="1782" spans="1:22">
      <c r="A1782" s="18" t="s">
        <v>68</v>
      </c>
      <c r="B1782">
        <v>2014</v>
      </c>
      <c r="C1782" t="s">
        <v>132</v>
      </c>
      <c r="D1782">
        <v>1</v>
      </c>
      <c r="E1782" s="18" t="s">
        <v>29</v>
      </c>
      <c r="F1782" s="18" t="s">
        <v>108</v>
      </c>
      <c r="G1782" s="18" t="s">
        <v>36</v>
      </c>
      <c r="H1782" s="18" t="str">
        <f>Assumptions!$B$2</f>
        <v>Worst</v>
      </c>
      <c r="I1782" s="18">
        <f>_xlfn.XLOOKUP(Assumptions!$B$2,Assumptions!$F$4:$H$4,Assumptions!$F$5:$H$5)</f>
        <v>1200</v>
      </c>
      <c r="J1782" s="18">
        <f>_xlfn.XLOOKUP(Assumptions!$B$2,Assumptions!$F$4:$H$4,Assumptions!$F$6:$H$6)</f>
        <v>17</v>
      </c>
      <c r="K1782" s="12">
        <f>_xlfn.XLOOKUP(Assumptions!$B$2,Assumptions!$F$4:$H$4,Assumptions!$F$8:$H$8)</f>
        <v>0.1</v>
      </c>
      <c r="L1782" s="12">
        <f>_xlfn.XLOOKUP(Assumptions!$B$2,Assumptions!$F$4:$H$4,Assumptions!$F$9:$H$9)</f>
        <v>0.18</v>
      </c>
      <c r="M1782" s="18">
        <f>_xlfn.XLOOKUP(Assumptions!$B$2,Assumptions!$F$4:$H$4,Assumptions!$F$10:$H$10)</f>
        <v>18000</v>
      </c>
      <c r="N1782" s="12">
        <f>_xlfn.XLOOKUP(Assumptions!$B$2,Assumptions!$F$4:$H$4,Assumptions!$F$11:$H$11)</f>
        <v>0.3</v>
      </c>
      <c r="O1782" s="14">
        <f>Final_Table[[#This Row],[Units Sold]]*Final_Table[[#This Row],[Sale Price]]</f>
        <v>20400</v>
      </c>
      <c r="P1782" s="14">
        <f>Final_Table[[#This Row],[Gross Revenue]]*(1-Final_Table[[#This Row],[Discount %]])</f>
        <v>18360</v>
      </c>
      <c r="Q1782">
        <f>Final_Table[[#This Row],[Net Revenue]]*Final_Table[[#This Row],[Variable Cost %]]</f>
        <v>3304.7999999999997</v>
      </c>
      <c r="R1782">
        <f>Final_Table[[#This Row],[Variable Cost]]+Final_Table[[#This Row],[Fixed Monthly Cost]]</f>
        <v>21304.799999999999</v>
      </c>
      <c r="S1782" s="5">
        <f>Final_Table[[#This Row],[Net Revenue]]-Final_Table[[#This Row],[Total Cost (COGS)]]</f>
        <v>-2944.7999999999993</v>
      </c>
      <c r="T1782">
        <f>Final_Table[[#This Row],[Gross Profit]]*Final_Table[[#This Row],[Tax Rate]]</f>
        <v>-883.43999999999971</v>
      </c>
      <c r="U1782" s="5">
        <f>Final_Table[[#This Row],[Gross Profit]]-Final_Table[[#This Row],[Tax]]</f>
        <v>-2061.3599999999997</v>
      </c>
      <c r="V1782" s="12">
        <f>Final_Table[[#This Row],[Net Profit]]/Final_Table[[#This Row],[Gross Revenue]]</f>
        <v>-0.10104705882352939</v>
      </c>
    </row>
    <row r="1783" spans="1:22">
      <c r="A1783" s="18" t="s">
        <v>68</v>
      </c>
      <c r="B1783">
        <v>2014</v>
      </c>
      <c r="C1783" t="s">
        <v>132</v>
      </c>
      <c r="D1783">
        <v>1</v>
      </c>
      <c r="E1783" s="18" t="s">
        <v>29</v>
      </c>
      <c r="F1783" s="18" t="s">
        <v>108</v>
      </c>
      <c r="G1783" s="18" t="s">
        <v>23</v>
      </c>
      <c r="H1783" s="18" t="str">
        <f>Assumptions!$B$2</f>
        <v>Worst</v>
      </c>
      <c r="I1783" s="18">
        <f>_xlfn.XLOOKUP(Assumptions!$B$2,Assumptions!$F$4:$H$4,Assumptions!$F$5:$H$5)</f>
        <v>1200</v>
      </c>
      <c r="J1783" s="18">
        <f>_xlfn.XLOOKUP(Assumptions!$B$2,Assumptions!$F$4:$H$4,Assumptions!$F$6:$H$6)</f>
        <v>17</v>
      </c>
      <c r="K1783" s="12">
        <f>_xlfn.XLOOKUP(Assumptions!$B$2,Assumptions!$F$4:$H$4,Assumptions!$F$8:$H$8)</f>
        <v>0.1</v>
      </c>
      <c r="L1783" s="12">
        <f>_xlfn.XLOOKUP(Assumptions!$B$2,Assumptions!$F$4:$H$4,Assumptions!$F$9:$H$9)</f>
        <v>0.18</v>
      </c>
      <c r="M1783" s="18">
        <f>_xlfn.XLOOKUP(Assumptions!$B$2,Assumptions!$F$4:$H$4,Assumptions!$F$10:$H$10)</f>
        <v>18000</v>
      </c>
      <c r="N1783" s="12">
        <f>_xlfn.XLOOKUP(Assumptions!$B$2,Assumptions!$F$4:$H$4,Assumptions!$F$11:$H$11)</f>
        <v>0.3</v>
      </c>
      <c r="O1783" s="14">
        <f>Final_Table[[#This Row],[Units Sold]]*Final_Table[[#This Row],[Sale Price]]</f>
        <v>20400</v>
      </c>
      <c r="P1783" s="14">
        <f>Final_Table[[#This Row],[Gross Revenue]]*(1-Final_Table[[#This Row],[Discount %]])</f>
        <v>18360</v>
      </c>
      <c r="Q1783">
        <f>Final_Table[[#This Row],[Net Revenue]]*Final_Table[[#This Row],[Variable Cost %]]</f>
        <v>3304.7999999999997</v>
      </c>
      <c r="R1783">
        <f>Final_Table[[#This Row],[Variable Cost]]+Final_Table[[#This Row],[Fixed Monthly Cost]]</f>
        <v>21304.799999999999</v>
      </c>
      <c r="S1783" s="5">
        <f>Final_Table[[#This Row],[Net Revenue]]-Final_Table[[#This Row],[Total Cost (COGS)]]</f>
        <v>-2944.7999999999993</v>
      </c>
      <c r="T1783">
        <f>Final_Table[[#This Row],[Gross Profit]]*Final_Table[[#This Row],[Tax Rate]]</f>
        <v>-883.43999999999971</v>
      </c>
      <c r="U1783" s="5">
        <f>Final_Table[[#This Row],[Gross Profit]]-Final_Table[[#This Row],[Tax]]</f>
        <v>-2061.3599999999997</v>
      </c>
      <c r="V1783" s="12">
        <f>Final_Table[[#This Row],[Net Profit]]/Final_Table[[#This Row],[Gross Revenue]]</f>
        <v>-0.10104705882352939</v>
      </c>
    </row>
    <row r="1784" spans="1:22">
      <c r="A1784" s="18" t="s">
        <v>68</v>
      </c>
      <c r="B1784">
        <v>2014</v>
      </c>
      <c r="C1784" t="s">
        <v>132</v>
      </c>
      <c r="D1784">
        <v>1</v>
      </c>
      <c r="E1784" s="18" t="s">
        <v>29</v>
      </c>
      <c r="F1784" s="18" t="s">
        <v>108</v>
      </c>
      <c r="G1784" s="18" t="s">
        <v>21</v>
      </c>
      <c r="H1784" s="18" t="str">
        <f>Assumptions!$B$2</f>
        <v>Worst</v>
      </c>
      <c r="I1784" s="18">
        <f>_xlfn.XLOOKUP(Assumptions!$B$2,Assumptions!$F$4:$H$4,Assumptions!$F$5:$H$5)</f>
        <v>1200</v>
      </c>
      <c r="J1784" s="18">
        <f>_xlfn.XLOOKUP(Assumptions!$B$2,Assumptions!$F$4:$H$4,Assumptions!$F$6:$H$6)</f>
        <v>17</v>
      </c>
      <c r="K1784" s="12">
        <f>_xlfn.XLOOKUP(Assumptions!$B$2,Assumptions!$F$4:$H$4,Assumptions!$F$8:$H$8)</f>
        <v>0.1</v>
      </c>
      <c r="L1784" s="12">
        <f>_xlfn.XLOOKUP(Assumptions!$B$2,Assumptions!$F$4:$H$4,Assumptions!$F$9:$H$9)</f>
        <v>0.18</v>
      </c>
      <c r="M1784" s="18">
        <f>_xlfn.XLOOKUP(Assumptions!$B$2,Assumptions!$F$4:$H$4,Assumptions!$F$10:$H$10)</f>
        <v>18000</v>
      </c>
      <c r="N1784" s="12">
        <f>_xlfn.XLOOKUP(Assumptions!$B$2,Assumptions!$F$4:$H$4,Assumptions!$F$11:$H$11)</f>
        <v>0.3</v>
      </c>
      <c r="O1784" s="14">
        <f>Final_Table[[#This Row],[Units Sold]]*Final_Table[[#This Row],[Sale Price]]</f>
        <v>20400</v>
      </c>
      <c r="P1784" s="14">
        <f>Final_Table[[#This Row],[Gross Revenue]]*(1-Final_Table[[#This Row],[Discount %]])</f>
        <v>18360</v>
      </c>
      <c r="Q1784">
        <f>Final_Table[[#This Row],[Net Revenue]]*Final_Table[[#This Row],[Variable Cost %]]</f>
        <v>3304.7999999999997</v>
      </c>
      <c r="R1784">
        <f>Final_Table[[#This Row],[Variable Cost]]+Final_Table[[#This Row],[Fixed Monthly Cost]]</f>
        <v>21304.799999999999</v>
      </c>
      <c r="S1784" s="5">
        <f>Final_Table[[#This Row],[Net Revenue]]-Final_Table[[#This Row],[Total Cost (COGS)]]</f>
        <v>-2944.7999999999993</v>
      </c>
      <c r="T1784">
        <f>Final_Table[[#This Row],[Gross Profit]]*Final_Table[[#This Row],[Tax Rate]]</f>
        <v>-883.43999999999971</v>
      </c>
      <c r="U1784" s="5">
        <f>Final_Table[[#This Row],[Gross Profit]]-Final_Table[[#This Row],[Tax]]</f>
        <v>-2061.3599999999997</v>
      </c>
      <c r="V1784" s="12">
        <f>Final_Table[[#This Row],[Net Profit]]/Final_Table[[#This Row],[Gross Revenue]]</f>
        <v>-0.10104705882352939</v>
      </c>
    </row>
    <row r="1785" spans="1:22">
      <c r="A1785" s="18" t="s">
        <v>68</v>
      </c>
      <c r="B1785">
        <v>2014</v>
      </c>
      <c r="C1785" t="s">
        <v>132</v>
      </c>
      <c r="D1785">
        <v>1</v>
      </c>
      <c r="E1785" s="18" t="s">
        <v>29</v>
      </c>
      <c r="F1785" s="18" t="s">
        <v>108</v>
      </c>
      <c r="G1785" s="18" t="s">
        <v>25</v>
      </c>
      <c r="H1785" s="18" t="str">
        <f>Assumptions!$B$2</f>
        <v>Worst</v>
      </c>
      <c r="I1785" s="18">
        <f>_xlfn.XLOOKUP(Assumptions!$B$2,Assumptions!$F$4:$H$4,Assumptions!$F$5:$H$5)</f>
        <v>1200</v>
      </c>
      <c r="J1785" s="18">
        <f>_xlfn.XLOOKUP(Assumptions!$B$2,Assumptions!$F$4:$H$4,Assumptions!$F$6:$H$6)</f>
        <v>17</v>
      </c>
      <c r="K1785" s="12">
        <f>_xlfn.XLOOKUP(Assumptions!$B$2,Assumptions!$F$4:$H$4,Assumptions!$F$8:$H$8)</f>
        <v>0.1</v>
      </c>
      <c r="L1785" s="12">
        <f>_xlfn.XLOOKUP(Assumptions!$B$2,Assumptions!$F$4:$H$4,Assumptions!$F$9:$H$9)</f>
        <v>0.18</v>
      </c>
      <c r="M1785" s="18">
        <f>_xlfn.XLOOKUP(Assumptions!$B$2,Assumptions!$F$4:$H$4,Assumptions!$F$10:$H$10)</f>
        <v>18000</v>
      </c>
      <c r="N1785" s="12">
        <f>_xlfn.XLOOKUP(Assumptions!$B$2,Assumptions!$F$4:$H$4,Assumptions!$F$11:$H$11)</f>
        <v>0.3</v>
      </c>
      <c r="O1785" s="14">
        <f>Final_Table[[#This Row],[Units Sold]]*Final_Table[[#This Row],[Sale Price]]</f>
        <v>20400</v>
      </c>
      <c r="P1785" s="14">
        <f>Final_Table[[#This Row],[Gross Revenue]]*(1-Final_Table[[#This Row],[Discount %]])</f>
        <v>18360</v>
      </c>
      <c r="Q1785">
        <f>Final_Table[[#This Row],[Net Revenue]]*Final_Table[[#This Row],[Variable Cost %]]</f>
        <v>3304.7999999999997</v>
      </c>
      <c r="R1785">
        <f>Final_Table[[#This Row],[Variable Cost]]+Final_Table[[#This Row],[Fixed Monthly Cost]]</f>
        <v>21304.799999999999</v>
      </c>
      <c r="S1785" s="5">
        <f>Final_Table[[#This Row],[Net Revenue]]-Final_Table[[#This Row],[Total Cost (COGS)]]</f>
        <v>-2944.7999999999993</v>
      </c>
      <c r="T1785">
        <f>Final_Table[[#This Row],[Gross Profit]]*Final_Table[[#This Row],[Tax Rate]]</f>
        <v>-883.43999999999971</v>
      </c>
      <c r="U1785" s="5">
        <f>Final_Table[[#This Row],[Gross Profit]]-Final_Table[[#This Row],[Tax]]</f>
        <v>-2061.3599999999997</v>
      </c>
      <c r="V1785" s="12">
        <f>Final_Table[[#This Row],[Net Profit]]/Final_Table[[#This Row],[Gross Revenue]]</f>
        <v>-0.10104705882352939</v>
      </c>
    </row>
    <row r="1786" spans="1:22">
      <c r="A1786" s="18" t="s">
        <v>68</v>
      </c>
      <c r="B1786">
        <v>2014</v>
      </c>
      <c r="C1786" t="s">
        <v>132</v>
      </c>
      <c r="D1786">
        <v>1</v>
      </c>
      <c r="E1786" s="18" t="s">
        <v>29</v>
      </c>
      <c r="F1786" s="18" t="s">
        <v>108</v>
      </c>
      <c r="G1786" s="18" t="s">
        <v>17</v>
      </c>
      <c r="H1786" s="18" t="str">
        <f>Assumptions!$B$2</f>
        <v>Worst</v>
      </c>
      <c r="I1786" s="18">
        <f>_xlfn.XLOOKUP(Assumptions!$B$2,Assumptions!$F$4:$H$4,Assumptions!$F$5:$H$5)</f>
        <v>1200</v>
      </c>
      <c r="J1786" s="18">
        <f>_xlfn.XLOOKUP(Assumptions!$B$2,Assumptions!$F$4:$H$4,Assumptions!$F$6:$H$6)</f>
        <v>17</v>
      </c>
      <c r="K1786" s="12">
        <f>_xlfn.XLOOKUP(Assumptions!$B$2,Assumptions!$F$4:$H$4,Assumptions!$F$8:$H$8)</f>
        <v>0.1</v>
      </c>
      <c r="L1786" s="12">
        <f>_xlfn.XLOOKUP(Assumptions!$B$2,Assumptions!$F$4:$H$4,Assumptions!$F$9:$H$9)</f>
        <v>0.18</v>
      </c>
      <c r="M1786" s="18">
        <f>_xlfn.XLOOKUP(Assumptions!$B$2,Assumptions!$F$4:$H$4,Assumptions!$F$10:$H$10)</f>
        <v>18000</v>
      </c>
      <c r="N1786" s="12">
        <f>_xlfn.XLOOKUP(Assumptions!$B$2,Assumptions!$F$4:$H$4,Assumptions!$F$11:$H$11)</f>
        <v>0.3</v>
      </c>
      <c r="O1786" s="14">
        <f>Final_Table[[#This Row],[Units Sold]]*Final_Table[[#This Row],[Sale Price]]</f>
        <v>20400</v>
      </c>
      <c r="P1786" s="14">
        <f>Final_Table[[#This Row],[Gross Revenue]]*(1-Final_Table[[#This Row],[Discount %]])</f>
        <v>18360</v>
      </c>
      <c r="Q1786">
        <f>Final_Table[[#This Row],[Net Revenue]]*Final_Table[[#This Row],[Variable Cost %]]</f>
        <v>3304.7999999999997</v>
      </c>
      <c r="R1786">
        <f>Final_Table[[#This Row],[Variable Cost]]+Final_Table[[#This Row],[Fixed Monthly Cost]]</f>
        <v>21304.799999999999</v>
      </c>
      <c r="S1786" s="5">
        <f>Final_Table[[#This Row],[Net Revenue]]-Final_Table[[#This Row],[Total Cost (COGS)]]</f>
        <v>-2944.7999999999993</v>
      </c>
      <c r="T1786">
        <f>Final_Table[[#This Row],[Gross Profit]]*Final_Table[[#This Row],[Tax Rate]]</f>
        <v>-883.43999999999971</v>
      </c>
      <c r="U1786" s="5">
        <f>Final_Table[[#This Row],[Gross Profit]]-Final_Table[[#This Row],[Tax]]</f>
        <v>-2061.3599999999997</v>
      </c>
      <c r="V1786" s="12">
        <f>Final_Table[[#This Row],[Net Profit]]/Final_Table[[#This Row],[Gross Revenue]]</f>
        <v>-0.10104705882352939</v>
      </c>
    </row>
    <row r="1787" spans="1:22">
      <c r="A1787" s="18" t="s">
        <v>68</v>
      </c>
      <c r="B1787">
        <v>2014</v>
      </c>
      <c r="C1787" t="s">
        <v>132</v>
      </c>
      <c r="D1787">
        <v>1</v>
      </c>
      <c r="E1787" s="18" t="s">
        <v>29</v>
      </c>
      <c r="F1787" s="18" t="s">
        <v>112</v>
      </c>
      <c r="G1787" s="18" t="s">
        <v>36</v>
      </c>
      <c r="H1787" s="18" t="str">
        <f>Assumptions!$B$2</f>
        <v>Worst</v>
      </c>
      <c r="I1787" s="18">
        <f>_xlfn.XLOOKUP(Assumptions!$B$2,Assumptions!$F$4:$H$4,Assumptions!$F$5:$H$5)</f>
        <v>1200</v>
      </c>
      <c r="J1787" s="18">
        <f>_xlfn.XLOOKUP(Assumptions!$B$2,Assumptions!$F$4:$H$4,Assumptions!$F$6:$H$6)</f>
        <v>17</v>
      </c>
      <c r="K1787" s="12">
        <f>_xlfn.XLOOKUP(Assumptions!$B$2,Assumptions!$F$4:$H$4,Assumptions!$F$8:$H$8)</f>
        <v>0.1</v>
      </c>
      <c r="L1787" s="12">
        <f>_xlfn.XLOOKUP(Assumptions!$B$2,Assumptions!$F$4:$H$4,Assumptions!$F$9:$H$9)</f>
        <v>0.18</v>
      </c>
      <c r="M1787" s="18">
        <f>_xlfn.XLOOKUP(Assumptions!$B$2,Assumptions!$F$4:$H$4,Assumptions!$F$10:$H$10)</f>
        <v>18000</v>
      </c>
      <c r="N1787" s="12">
        <f>_xlfn.XLOOKUP(Assumptions!$B$2,Assumptions!$F$4:$H$4,Assumptions!$F$11:$H$11)</f>
        <v>0.3</v>
      </c>
      <c r="O1787" s="14">
        <f>Final_Table[[#This Row],[Units Sold]]*Final_Table[[#This Row],[Sale Price]]</f>
        <v>20400</v>
      </c>
      <c r="P1787" s="14">
        <f>Final_Table[[#This Row],[Gross Revenue]]*(1-Final_Table[[#This Row],[Discount %]])</f>
        <v>18360</v>
      </c>
      <c r="Q1787">
        <f>Final_Table[[#This Row],[Net Revenue]]*Final_Table[[#This Row],[Variable Cost %]]</f>
        <v>3304.7999999999997</v>
      </c>
      <c r="R1787">
        <f>Final_Table[[#This Row],[Variable Cost]]+Final_Table[[#This Row],[Fixed Monthly Cost]]</f>
        <v>21304.799999999999</v>
      </c>
      <c r="S1787" s="5">
        <f>Final_Table[[#This Row],[Net Revenue]]-Final_Table[[#This Row],[Total Cost (COGS)]]</f>
        <v>-2944.7999999999993</v>
      </c>
      <c r="T1787">
        <f>Final_Table[[#This Row],[Gross Profit]]*Final_Table[[#This Row],[Tax Rate]]</f>
        <v>-883.43999999999971</v>
      </c>
      <c r="U1787" s="5">
        <f>Final_Table[[#This Row],[Gross Profit]]-Final_Table[[#This Row],[Tax]]</f>
        <v>-2061.3599999999997</v>
      </c>
      <c r="V1787" s="12">
        <f>Final_Table[[#This Row],[Net Profit]]/Final_Table[[#This Row],[Gross Revenue]]</f>
        <v>-0.10104705882352939</v>
      </c>
    </row>
    <row r="1788" spans="1:22">
      <c r="A1788" s="18" t="s">
        <v>68</v>
      </c>
      <c r="B1788">
        <v>2014</v>
      </c>
      <c r="C1788" t="s">
        <v>132</v>
      </c>
      <c r="D1788">
        <v>1</v>
      </c>
      <c r="E1788" s="18" t="s">
        <v>29</v>
      </c>
      <c r="F1788" s="18" t="s">
        <v>112</v>
      </c>
      <c r="G1788" s="18" t="s">
        <v>23</v>
      </c>
      <c r="H1788" s="18" t="str">
        <f>Assumptions!$B$2</f>
        <v>Worst</v>
      </c>
      <c r="I1788" s="18">
        <f>_xlfn.XLOOKUP(Assumptions!$B$2,Assumptions!$F$4:$H$4,Assumptions!$F$5:$H$5)</f>
        <v>1200</v>
      </c>
      <c r="J1788" s="18">
        <f>_xlfn.XLOOKUP(Assumptions!$B$2,Assumptions!$F$4:$H$4,Assumptions!$F$6:$H$6)</f>
        <v>17</v>
      </c>
      <c r="K1788" s="12">
        <f>_xlfn.XLOOKUP(Assumptions!$B$2,Assumptions!$F$4:$H$4,Assumptions!$F$8:$H$8)</f>
        <v>0.1</v>
      </c>
      <c r="L1788" s="12">
        <f>_xlfn.XLOOKUP(Assumptions!$B$2,Assumptions!$F$4:$H$4,Assumptions!$F$9:$H$9)</f>
        <v>0.18</v>
      </c>
      <c r="M1788" s="18">
        <f>_xlfn.XLOOKUP(Assumptions!$B$2,Assumptions!$F$4:$H$4,Assumptions!$F$10:$H$10)</f>
        <v>18000</v>
      </c>
      <c r="N1788" s="12">
        <f>_xlfn.XLOOKUP(Assumptions!$B$2,Assumptions!$F$4:$H$4,Assumptions!$F$11:$H$11)</f>
        <v>0.3</v>
      </c>
      <c r="O1788" s="14">
        <f>Final_Table[[#This Row],[Units Sold]]*Final_Table[[#This Row],[Sale Price]]</f>
        <v>20400</v>
      </c>
      <c r="P1788" s="14">
        <f>Final_Table[[#This Row],[Gross Revenue]]*(1-Final_Table[[#This Row],[Discount %]])</f>
        <v>18360</v>
      </c>
      <c r="Q1788">
        <f>Final_Table[[#This Row],[Net Revenue]]*Final_Table[[#This Row],[Variable Cost %]]</f>
        <v>3304.7999999999997</v>
      </c>
      <c r="R1788">
        <f>Final_Table[[#This Row],[Variable Cost]]+Final_Table[[#This Row],[Fixed Monthly Cost]]</f>
        <v>21304.799999999999</v>
      </c>
      <c r="S1788" s="5">
        <f>Final_Table[[#This Row],[Net Revenue]]-Final_Table[[#This Row],[Total Cost (COGS)]]</f>
        <v>-2944.7999999999993</v>
      </c>
      <c r="T1788">
        <f>Final_Table[[#This Row],[Gross Profit]]*Final_Table[[#This Row],[Tax Rate]]</f>
        <v>-883.43999999999971</v>
      </c>
      <c r="U1788" s="5">
        <f>Final_Table[[#This Row],[Gross Profit]]-Final_Table[[#This Row],[Tax]]</f>
        <v>-2061.3599999999997</v>
      </c>
      <c r="V1788" s="12">
        <f>Final_Table[[#This Row],[Net Profit]]/Final_Table[[#This Row],[Gross Revenue]]</f>
        <v>-0.10104705882352939</v>
      </c>
    </row>
    <row r="1789" spans="1:22">
      <c r="A1789" s="18" t="s">
        <v>68</v>
      </c>
      <c r="B1789">
        <v>2014</v>
      </c>
      <c r="C1789" t="s">
        <v>132</v>
      </c>
      <c r="D1789">
        <v>1</v>
      </c>
      <c r="E1789" s="18" t="s">
        <v>29</v>
      </c>
      <c r="F1789" s="18" t="s">
        <v>112</v>
      </c>
      <c r="G1789" s="18" t="s">
        <v>21</v>
      </c>
      <c r="H1789" s="18" t="str">
        <f>Assumptions!$B$2</f>
        <v>Worst</v>
      </c>
      <c r="I1789" s="18">
        <f>_xlfn.XLOOKUP(Assumptions!$B$2,Assumptions!$F$4:$H$4,Assumptions!$F$5:$H$5)</f>
        <v>1200</v>
      </c>
      <c r="J1789" s="18">
        <f>_xlfn.XLOOKUP(Assumptions!$B$2,Assumptions!$F$4:$H$4,Assumptions!$F$6:$H$6)</f>
        <v>17</v>
      </c>
      <c r="K1789" s="12">
        <f>_xlfn.XLOOKUP(Assumptions!$B$2,Assumptions!$F$4:$H$4,Assumptions!$F$8:$H$8)</f>
        <v>0.1</v>
      </c>
      <c r="L1789" s="12">
        <f>_xlfn.XLOOKUP(Assumptions!$B$2,Assumptions!$F$4:$H$4,Assumptions!$F$9:$H$9)</f>
        <v>0.18</v>
      </c>
      <c r="M1789" s="18">
        <f>_xlfn.XLOOKUP(Assumptions!$B$2,Assumptions!$F$4:$H$4,Assumptions!$F$10:$H$10)</f>
        <v>18000</v>
      </c>
      <c r="N1789" s="12">
        <f>_xlfn.XLOOKUP(Assumptions!$B$2,Assumptions!$F$4:$H$4,Assumptions!$F$11:$H$11)</f>
        <v>0.3</v>
      </c>
      <c r="O1789" s="14">
        <f>Final_Table[[#This Row],[Units Sold]]*Final_Table[[#This Row],[Sale Price]]</f>
        <v>20400</v>
      </c>
      <c r="P1789" s="14">
        <f>Final_Table[[#This Row],[Gross Revenue]]*(1-Final_Table[[#This Row],[Discount %]])</f>
        <v>18360</v>
      </c>
      <c r="Q1789">
        <f>Final_Table[[#This Row],[Net Revenue]]*Final_Table[[#This Row],[Variable Cost %]]</f>
        <v>3304.7999999999997</v>
      </c>
      <c r="R1789">
        <f>Final_Table[[#This Row],[Variable Cost]]+Final_Table[[#This Row],[Fixed Monthly Cost]]</f>
        <v>21304.799999999999</v>
      </c>
      <c r="S1789" s="5">
        <f>Final_Table[[#This Row],[Net Revenue]]-Final_Table[[#This Row],[Total Cost (COGS)]]</f>
        <v>-2944.7999999999993</v>
      </c>
      <c r="T1789">
        <f>Final_Table[[#This Row],[Gross Profit]]*Final_Table[[#This Row],[Tax Rate]]</f>
        <v>-883.43999999999971</v>
      </c>
      <c r="U1789" s="5">
        <f>Final_Table[[#This Row],[Gross Profit]]-Final_Table[[#This Row],[Tax]]</f>
        <v>-2061.3599999999997</v>
      </c>
      <c r="V1789" s="12">
        <f>Final_Table[[#This Row],[Net Profit]]/Final_Table[[#This Row],[Gross Revenue]]</f>
        <v>-0.10104705882352939</v>
      </c>
    </row>
    <row r="1790" spans="1:22">
      <c r="A1790" s="18" t="s">
        <v>68</v>
      </c>
      <c r="B1790">
        <v>2014</v>
      </c>
      <c r="C1790" t="s">
        <v>132</v>
      </c>
      <c r="D1790">
        <v>1</v>
      </c>
      <c r="E1790" s="18" t="s">
        <v>29</v>
      </c>
      <c r="F1790" s="18" t="s">
        <v>112</v>
      </c>
      <c r="G1790" s="18" t="s">
        <v>25</v>
      </c>
      <c r="H1790" s="18" t="str">
        <f>Assumptions!$B$2</f>
        <v>Worst</v>
      </c>
      <c r="I1790" s="18">
        <f>_xlfn.XLOOKUP(Assumptions!$B$2,Assumptions!$F$4:$H$4,Assumptions!$F$5:$H$5)</f>
        <v>1200</v>
      </c>
      <c r="J1790" s="18">
        <f>_xlfn.XLOOKUP(Assumptions!$B$2,Assumptions!$F$4:$H$4,Assumptions!$F$6:$H$6)</f>
        <v>17</v>
      </c>
      <c r="K1790" s="12">
        <f>_xlfn.XLOOKUP(Assumptions!$B$2,Assumptions!$F$4:$H$4,Assumptions!$F$8:$H$8)</f>
        <v>0.1</v>
      </c>
      <c r="L1790" s="12">
        <f>_xlfn.XLOOKUP(Assumptions!$B$2,Assumptions!$F$4:$H$4,Assumptions!$F$9:$H$9)</f>
        <v>0.18</v>
      </c>
      <c r="M1790" s="18">
        <f>_xlfn.XLOOKUP(Assumptions!$B$2,Assumptions!$F$4:$H$4,Assumptions!$F$10:$H$10)</f>
        <v>18000</v>
      </c>
      <c r="N1790" s="12">
        <f>_xlfn.XLOOKUP(Assumptions!$B$2,Assumptions!$F$4:$H$4,Assumptions!$F$11:$H$11)</f>
        <v>0.3</v>
      </c>
      <c r="O1790" s="14">
        <f>Final_Table[[#This Row],[Units Sold]]*Final_Table[[#This Row],[Sale Price]]</f>
        <v>20400</v>
      </c>
      <c r="P1790" s="14">
        <f>Final_Table[[#This Row],[Gross Revenue]]*(1-Final_Table[[#This Row],[Discount %]])</f>
        <v>18360</v>
      </c>
      <c r="Q1790">
        <f>Final_Table[[#This Row],[Net Revenue]]*Final_Table[[#This Row],[Variable Cost %]]</f>
        <v>3304.7999999999997</v>
      </c>
      <c r="R1790">
        <f>Final_Table[[#This Row],[Variable Cost]]+Final_Table[[#This Row],[Fixed Monthly Cost]]</f>
        <v>21304.799999999999</v>
      </c>
      <c r="S1790" s="5">
        <f>Final_Table[[#This Row],[Net Revenue]]-Final_Table[[#This Row],[Total Cost (COGS)]]</f>
        <v>-2944.7999999999993</v>
      </c>
      <c r="T1790">
        <f>Final_Table[[#This Row],[Gross Profit]]*Final_Table[[#This Row],[Tax Rate]]</f>
        <v>-883.43999999999971</v>
      </c>
      <c r="U1790" s="5">
        <f>Final_Table[[#This Row],[Gross Profit]]-Final_Table[[#This Row],[Tax]]</f>
        <v>-2061.3599999999997</v>
      </c>
      <c r="V1790" s="12">
        <f>Final_Table[[#This Row],[Net Profit]]/Final_Table[[#This Row],[Gross Revenue]]</f>
        <v>-0.10104705882352939</v>
      </c>
    </row>
    <row r="1791" spans="1:22">
      <c r="A1791" s="18" t="s">
        <v>68</v>
      </c>
      <c r="B1791">
        <v>2014</v>
      </c>
      <c r="C1791" t="s">
        <v>132</v>
      </c>
      <c r="D1791">
        <v>1</v>
      </c>
      <c r="E1791" s="18" t="s">
        <v>29</v>
      </c>
      <c r="F1791" s="18" t="s">
        <v>112</v>
      </c>
      <c r="G1791" s="18" t="s">
        <v>17</v>
      </c>
      <c r="H1791" s="18" t="str">
        <f>Assumptions!$B$2</f>
        <v>Worst</v>
      </c>
      <c r="I1791" s="18">
        <f>_xlfn.XLOOKUP(Assumptions!$B$2,Assumptions!$F$4:$H$4,Assumptions!$F$5:$H$5)</f>
        <v>1200</v>
      </c>
      <c r="J1791" s="18">
        <f>_xlfn.XLOOKUP(Assumptions!$B$2,Assumptions!$F$4:$H$4,Assumptions!$F$6:$H$6)</f>
        <v>17</v>
      </c>
      <c r="K1791" s="12">
        <f>_xlfn.XLOOKUP(Assumptions!$B$2,Assumptions!$F$4:$H$4,Assumptions!$F$8:$H$8)</f>
        <v>0.1</v>
      </c>
      <c r="L1791" s="12">
        <f>_xlfn.XLOOKUP(Assumptions!$B$2,Assumptions!$F$4:$H$4,Assumptions!$F$9:$H$9)</f>
        <v>0.18</v>
      </c>
      <c r="M1791" s="18">
        <f>_xlfn.XLOOKUP(Assumptions!$B$2,Assumptions!$F$4:$H$4,Assumptions!$F$10:$H$10)</f>
        <v>18000</v>
      </c>
      <c r="N1791" s="12">
        <f>_xlfn.XLOOKUP(Assumptions!$B$2,Assumptions!$F$4:$H$4,Assumptions!$F$11:$H$11)</f>
        <v>0.3</v>
      </c>
      <c r="O1791" s="14">
        <f>Final_Table[[#This Row],[Units Sold]]*Final_Table[[#This Row],[Sale Price]]</f>
        <v>20400</v>
      </c>
      <c r="P1791" s="14">
        <f>Final_Table[[#This Row],[Gross Revenue]]*(1-Final_Table[[#This Row],[Discount %]])</f>
        <v>18360</v>
      </c>
      <c r="Q1791">
        <f>Final_Table[[#This Row],[Net Revenue]]*Final_Table[[#This Row],[Variable Cost %]]</f>
        <v>3304.7999999999997</v>
      </c>
      <c r="R1791">
        <f>Final_Table[[#This Row],[Variable Cost]]+Final_Table[[#This Row],[Fixed Monthly Cost]]</f>
        <v>21304.799999999999</v>
      </c>
      <c r="S1791" s="5">
        <f>Final_Table[[#This Row],[Net Revenue]]-Final_Table[[#This Row],[Total Cost (COGS)]]</f>
        <v>-2944.7999999999993</v>
      </c>
      <c r="T1791">
        <f>Final_Table[[#This Row],[Gross Profit]]*Final_Table[[#This Row],[Tax Rate]]</f>
        <v>-883.43999999999971</v>
      </c>
      <c r="U1791" s="5">
        <f>Final_Table[[#This Row],[Gross Profit]]-Final_Table[[#This Row],[Tax]]</f>
        <v>-2061.3599999999997</v>
      </c>
      <c r="V1791" s="12">
        <f>Final_Table[[#This Row],[Net Profit]]/Final_Table[[#This Row],[Gross Revenue]]</f>
        <v>-0.10104705882352939</v>
      </c>
    </row>
    <row r="1792" spans="1:22">
      <c r="A1792" s="18" t="s">
        <v>68</v>
      </c>
      <c r="B1792">
        <v>2014</v>
      </c>
      <c r="C1792" t="s">
        <v>132</v>
      </c>
      <c r="D1792">
        <v>1</v>
      </c>
      <c r="E1792" s="18" t="s">
        <v>29</v>
      </c>
      <c r="F1792" s="18" t="s">
        <v>113</v>
      </c>
      <c r="G1792" s="18" t="s">
        <v>36</v>
      </c>
      <c r="H1792" s="18" t="str">
        <f>Assumptions!$B$2</f>
        <v>Worst</v>
      </c>
      <c r="I1792" s="18">
        <f>_xlfn.XLOOKUP(Assumptions!$B$2,Assumptions!$F$4:$H$4,Assumptions!$F$5:$H$5)</f>
        <v>1200</v>
      </c>
      <c r="J1792" s="18">
        <f>_xlfn.XLOOKUP(Assumptions!$B$2,Assumptions!$F$4:$H$4,Assumptions!$F$6:$H$6)</f>
        <v>17</v>
      </c>
      <c r="K1792" s="12">
        <f>_xlfn.XLOOKUP(Assumptions!$B$2,Assumptions!$F$4:$H$4,Assumptions!$F$8:$H$8)</f>
        <v>0.1</v>
      </c>
      <c r="L1792" s="12">
        <f>_xlfn.XLOOKUP(Assumptions!$B$2,Assumptions!$F$4:$H$4,Assumptions!$F$9:$H$9)</f>
        <v>0.18</v>
      </c>
      <c r="M1792" s="18">
        <f>_xlfn.XLOOKUP(Assumptions!$B$2,Assumptions!$F$4:$H$4,Assumptions!$F$10:$H$10)</f>
        <v>18000</v>
      </c>
      <c r="N1792" s="12">
        <f>_xlfn.XLOOKUP(Assumptions!$B$2,Assumptions!$F$4:$H$4,Assumptions!$F$11:$H$11)</f>
        <v>0.3</v>
      </c>
      <c r="O1792" s="14">
        <f>Final_Table[[#This Row],[Units Sold]]*Final_Table[[#This Row],[Sale Price]]</f>
        <v>20400</v>
      </c>
      <c r="P1792" s="14">
        <f>Final_Table[[#This Row],[Gross Revenue]]*(1-Final_Table[[#This Row],[Discount %]])</f>
        <v>18360</v>
      </c>
      <c r="Q1792">
        <f>Final_Table[[#This Row],[Net Revenue]]*Final_Table[[#This Row],[Variable Cost %]]</f>
        <v>3304.7999999999997</v>
      </c>
      <c r="R1792">
        <f>Final_Table[[#This Row],[Variable Cost]]+Final_Table[[#This Row],[Fixed Monthly Cost]]</f>
        <v>21304.799999999999</v>
      </c>
      <c r="S1792" s="5">
        <f>Final_Table[[#This Row],[Net Revenue]]-Final_Table[[#This Row],[Total Cost (COGS)]]</f>
        <v>-2944.7999999999993</v>
      </c>
      <c r="T1792">
        <f>Final_Table[[#This Row],[Gross Profit]]*Final_Table[[#This Row],[Tax Rate]]</f>
        <v>-883.43999999999971</v>
      </c>
      <c r="U1792" s="5">
        <f>Final_Table[[#This Row],[Gross Profit]]-Final_Table[[#This Row],[Tax]]</f>
        <v>-2061.3599999999997</v>
      </c>
      <c r="V1792" s="12">
        <f>Final_Table[[#This Row],[Net Profit]]/Final_Table[[#This Row],[Gross Revenue]]</f>
        <v>-0.10104705882352939</v>
      </c>
    </row>
    <row r="1793" spans="1:22">
      <c r="A1793" s="18" t="s">
        <v>68</v>
      </c>
      <c r="B1793">
        <v>2014</v>
      </c>
      <c r="C1793" t="s">
        <v>132</v>
      </c>
      <c r="D1793">
        <v>1</v>
      </c>
      <c r="E1793" s="18" t="s">
        <v>29</v>
      </c>
      <c r="F1793" s="18" t="s">
        <v>113</v>
      </c>
      <c r="G1793" s="18" t="s">
        <v>23</v>
      </c>
      <c r="H1793" s="18" t="str">
        <f>Assumptions!$B$2</f>
        <v>Worst</v>
      </c>
      <c r="I1793" s="18">
        <f>_xlfn.XLOOKUP(Assumptions!$B$2,Assumptions!$F$4:$H$4,Assumptions!$F$5:$H$5)</f>
        <v>1200</v>
      </c>
      <c r="J1793" s="18">
        <f>_xlfn.XLOOKUP(Assumptions!$B$2,Assumptions!$F$4:$H$4,Assumptions!$F$6:$H$6)</f>
        <v>17</v>
      </c>
      <c r="K1793" s="12">
        <f>_xlfn.XLOOKUP(Assumptions!$B$2,Assumptions!$F$4:$H$4,Assumptions!$F$8:$H$8)</f>
        <v>0.1</v>
      </c>
      <c r="L1793" s="12">
        <f>_xlfn.XLOOKUP(Assumptions!$B$2,Assumptions!$F$4:$H$4,Assumptions!$F$9:$H$9)</f>
        <v>0.18</v>
      </c>
      <c r="M1793" s="18">
        <f>_xlfn.XLOOKUP(Assumptions!$B$2,Assumptions!$F$4:$H$4,Assumptions!$F$10:$H$10)</f>
        <v>18000</v>
      </c>
      <c r="N1793" s="12">
        <f>_xlfn.XLOOKUP(Assumptions!$B$2,Assumptions!$F$4:$H$4,Assumptions!$F$11:$H$11)</f>
        <v>0.3</v>
      </c>
      <c r="O1793" s="14">
        <f>Final_Table[[#This Row],[Units Sold]]*Final_Table[[#This Row],[Sale Price]]</f>
        <v>20400</v>
      </c>
      <c r="P1793" s="14">
        <f>Final_Table[[#This Row],[Gross Revenue]]*(1-Final_Table[[#This Row],[Discount %]])</f>
        <v>18360</v>
      </c>
      <c r="Q1793">
        <f>Final_Table[[#This Row],[Net Revenue]]*Final_Table[[#This Row],[Variable Cost %]]</f>
        <v>3304.7999999999997</v>
      </c>
      <c r="R1793">
        <f>Final_Table[[#This Row],[Variable Cost]]+Final_Table[[#This Row],[Fixed Monthly Cost]]</f>
        <v>21304.799999999999</v>
      </c>
      <c r="S1793" s="5">
        <f>Final_Table[[#This Row],[Net Revenue]]-Final_Table[[#This Row],[Total Cost (COGS)]]</f>
        <v>-2944.7999999999993</v>
      </c>
      <c r="T1793">
        <f>Final_Table[[#This Row],[Gross Profit]]*Final_Table[[#This Row],[Tax Rate]]</f>
        <v>-883.43999999999971</v>
      </c>
      <c r="U1793" s="5">
        <f>Final_Table[[#This Row],[Gross Profit]]-Final_Table[[#This Row],[Tax]]</f>
        <v>-2061.3599999999997</v>
      </c>
      <c r="V1793" s="12">
        <f>Final_Table[[#This Row],[Net Profit]]/Final_Table[[#This Row],[Gross Revenue]]</f>
        <v>-0.10104705882352939</v>
      </c>
    </row>
    <row r="1794" spans="1:22">
      <c r="A1794" s="18" t="s">
        <v>68</v>
      </c>
      <c r="B1794">
        <v>2014</v>
      </c>
      <c r="C1794" t="s">
        <v>132</v>
      </c>
      <c r="D1794">
        <v>1</v>
      </c>
      <c r="E1794" s="18" t="s">
        <v>29</v>
      </c>
      <c r="F1794" s="18" t="s">
        <v>113</v>
      </c>
      <c r="G1794" s="18" t="s">
        <v>21</v>
      </c>
      <c r="H1794" s="18" t="str">
        <f>Assumptions!$B$2</f>
        <v>Worst</v>
      </c>
      <c r="I1794" s="18">
        <f>_xlfn.XLOOKUP(Assumptions!$B$2,Assumptions!$F$4:$H$4,Assumptions!$F$5:$H$5)</f>
        <v>1200</v>
      </c>
      <c r="J1794" s="18">
        <f>_xlfn.XLOOKUP(Assumptions!$B$2,Assumptions!$F$4:$H$4,Assumptions!$F$6:$H$6)</f>
        <v>17</v>
      </c>
      <c r="K1794" s="12">
        <f>_xlfn.XLOOKUP(Assumptions!$B$2,Assumptions!$F$4:$H$4,Assumptions!$F$8:$H$8)</f>
        <v>0.1</v>
      </c>
      <c r="L1794" s="12">
        <f>_xlfn.XLOOKUP(Assumptions!$B$2,Assumptions!$F$4:$H$4,Assumptions!$F$9:$H$9)</f>
        <v>0.18</v>
      </c>
      <c r="M1794" s="18">
        <f>_xlfn.XLOOKUP(Assumptions!$B$2,Assumptions!$F$4:$H$4,Assumptions!$F$10:$H$10)</f>
        <v>18000</v>
      </c>
      <c r="N1794" s="12">
        <f>_xlfn.XLOOKUP(Assumptions!$B$2,Assumptions!$F$4:$H$4,Assumptions!$F$11:$H$11)</f>
        <v>0.3</v>
      </c>
      <c r="O1794" s="14">
        <f>Final_Table[[#This Row],[Units Sold]]*Final_Table[[#This Row],[Sale Price]]</f>
        <v>20400</v>
      </c>
      <c r="P1794" s="14">
        <f>Final_Table[[#This Row],[Gross Revenue]]*(1-Final_Table[[#This Row],[Discount %]])</f>
        <v>18360</v>
      </c>
      <c r="Q1794">
        <f>Final_Table[[#This Row],[Net Revenue]]*Final_Table[[#This Row],[Variable Cost %]]</f>
        <v>3304.7999999999997</v>
      </c>
      <c r="R1794">
        <f>Final_Table[[#This Row],[Variable Cost]]+Final_Table[[#This Row],[Fixed Monthly Cost]]</f>
        <v>21304.799999999999</v>
      </c>
      <c r="S1794" s="5">
        <f>Final_Table[[#This Row],[Net Revenue]]-Final_Table[[#This Row],[Total Cost (COGS)]]</f>
        <v>-2944.7999999999993</v>
      </c>
      <c r="T1794">
        <f>Final_Table[[#This Row],[Gross Profit]]*Final_Table[[#This Row],[Tax Rate]]</f>
        <v>-883.43999999999971</v>
      </c>
      <c r="U1794" s="5">
        <f>Final_Table[[#This Row],[Gross Profit]]-Final_Table[[#This Row],[Tax]]</f>
        <v>-2061.3599999999997</v>
      </c>
      <c r="V1794" s="12">
        <f>Final_Table[[#This Row],[Net Profit]]/Final_Table[[#This Row],[Gross Revenue]]</f>
        <v>-0.10104705882352939</v>
      </c>
    </row>
    <row r="1795" spans="1:22">
      <c r="A1795" s="18" t="s">
        <v>68</v>
      </c>
      <c r="B1795">
        <v>2014</v>
      </c>
      <c r="C1795" t="s">
        <v>132</v>
      </c>
      <c r="D1795">
        <v>1</v>
      </c>
      <c r="E1795" s="18" t="s">
        <v>29</v>
      </c>
      <c r="F1795" s="18" t="s">
        <v>113</v>
      </c>
      <c r="G1795" s="18" t="s">
        <v>25</v>
      </c>
      <c r="H1795" s="18" t="str">
        <f>Assumptions!$B$2</f>
        <v>Worst</v>
      </c>
      <c r="I1795" s="18">
        <f>_xlfn.XLOOKUP(Assumptions!$B$2,Assumptions!$F$4:$H$4,Assumptions!$F$5:$H$5)</f>
        <v>1200</v>
      </c>
      <c r="J1795" s="18">
        <f>_xlfn.XLOOKUP(Assumptions!$B$2,Assumptions!$F$4:$H$4,Assumptions!$F$6:$H$6)</f>
        <v>17</v>
      </c>
      <c r="K1795" s="12">
        <f>_xlfn.XLOOKUP(Assumptions!$B$2,Assumptions!$F$4:$H$4,Assumptions!$F$8:$H$8)</f>
        <v>0.1</v>
      </c>
      <c r="L1795" s="12">
        <f>_xlfn.XLOOKUP(Assumptions!$B$2,Assumptions!$F$4:$H$4,Assumptions!$F$9:$H$9)</f>
        <v>0.18</v>
      </c>
      <c r="M1795" s="18">
        <f>_xlfn.XLOOKUP(Assumptions!$B$2,Assumptions!$F$4:$H$4,Assumptions!$F$10:$H$10)</f>
        <v>18000</v>
      </c>
      <c r="N1795" s="12">
        <f>_xlfn.XLOOKUP(Assumptions!$B$2,Assumptions!$F$4:$H$4,Assumptions!$F$11:$H$11)</f>
        <v>0.3</v>
      </c>
      <c r="O1795" s="14">
        <f>Final_Table[[#This Row],[Units Sold]]*Final_Table[[#This Row],[Sale Price]]</f>
        <v>20400</v>
      </c>
      <c r="P1795" s="14">
        <f>Final_Table[[#This Row],[Gross Revenue]]*(1-Final_Table[[#This Row],[Discount %]])</f>
        <v>18360</v>
      </c>
      <c r="Q1795">
        <f>Final_Table[[#This Row],[Net Revenue]]*Final_Table[[#This Row],[Variable Cost %]]</f>
        <v>3304.7999999999997</v>
      </c>
      <c r="R1795">
        <f>Final_Table[[#This Row],[Variable Cost]]+Final_Table[[#This Row],[Fixed Monthly Cost]]</f>
        <v>21304.799999999999</v>
      </c>
      <c r="S1795" s="5">
        <f>Final_Table[[#This Row],[Net Revenue]]-Final_Table[[#This Row],[Total Cost (COGS)]]</f>
        <v>-2944.7999999999993</v>
      </c>
      <c r="T1795">
        <f>Final_Table[[#This Row],[Gross Profit]]*Final_Table[[#This Row],[Tax Rate]]</f>
        <v>-883.43999999999971</v>
      </c>
      <c r="U1795" s="5">
        <f>Final_Table[[#This Row],[Gross Profit]]-Final_Table[[#This Row],[Tax]]</f>
        <v>-2061.3599999999997</v>
      </c>
      <c r="V1795" s="12">
        <f>Final_Table[[#This Row],[Net Profit]]/Final_Table[[#This Row],[Gross Revenue]]</f>
        <v>-0.10104705882352939</v>
      </c>
    </row>
    <row r="1796" spans="1:22">
      <c r="A1796" s="18" t="s">
        <v>68</v>
      </c>
      <c r="B1796">
        <v>2014</v>
      </c>
      <c r="C1796" t="s">
        <v>132</v>
      </c>
      <c r="D1796">
        <v>1</v>
      </c>
      <c r="E1796" s="18" t="s">
        <v>29</v>
      </c>
      <c r="F1796" s="18" t="s">
        <v>113</v>
      </c>
      <c r="G1796" s="18" t="s">
        <v>17</v>
      </c>
      <c r="H1796" s="18" t="str">
        <f>Assumptions!$B$2</f>
        <v>Worst</v>
      </c>
      <c r="I1796" s="18">
        <f>_xlfn.XLOOKUP(Assumptions!$B$2,Assumptions!$F$4:$H$4,Assumptions!$F$5:$H$5)</f>
        <v>1200</v>
      </c>
      <c r="J1796" s="18">
        <f>_xlfn.XLOOKUP(Assumptions!$B$2,Assumptions!$F$4:$H$4,Assumptions!$F$6:$H$6)</f>
        <v>17</v>
      </c>
      <c r="K1796" s="12">
        <f>_xlfn.XLOOKUP(Assumptions!$B$2,Assumptions!$F$4:$H$4,Assumptions!$F$8:$H$8)</f>
        <v>0.1</v>
      </c>
      <c r="L1796" s="12">
        <f>_xlfn.XLOOKUP(Assumptions!$B$2,Assumptions!$F$4:$H$4,Assumptions!$F$9:$H$9)</f>
        <v>0.18</v>
      </c>
      <c r="M1796" s="18">
        <f>_xlfn.XLOOKUP(Assumptions!$B$2,Assumptions!$F$4:$H$4,Assumptions!$F$10:$H$10)</f>
        <v>18000</v>
      </c>
      <c r="N1796" s="12">
        <f>_xlfn.XLOOKUP(Assumptions!$B$2,Assumptions!$F$4:$H$4,Assumptions!$F$11:$H$11)</f>
        <v>0.3</v>
      </c>
      <c r="O1796" s="14">
        <f>Final_Table[[#This Row],[Units Sold]]*Final_Table[[#This Row],[Sale Price]]</f>
        <v>20400</v>
      </c>
      <c r="P1796" s="14">
        <f>Final_Table[[#This Row],[Gross Revenue]]*(1-Final_Table[[#This Row],[Discount %]])</f>
        <v>18360</v>
      </c>
      <c r="Q1796">
        <f>Final_Table[[#This Row],[Net Revenue]]*Final_Table[[#This Row],[Variable Cost %]]</f>
        <v>3304.7999999999997</v>
      </c>
      <c r="R1796">
        <f>Final_Table[[#This Row],[Variable Cost]]+Final_Table[[#This Row],[Fixed Monthly Cost]]</f>
        <v>21304.799999999999</v>
      </c>
      <c r="S1796" s="5">
        <f>Final_Table[[#This Row],[Net Revenue]]-Final_Table[[#This Row],[Total Cost (COGS)]]</f>
        <v>-2944.7999999999993</v>
      </c>
      <c r="T1796">
        <f>Final_Table[[#This Row],[Gross Profit]]*Final_Table[[#This Row],[Tax Rate]]</f>
        <v>-883.43999999999971</v>
      </c>
      <c r="U1796" s="5">
        <f>Final_Table[[#This Row],[Gross Profit]]-Final_Table[[#This Row],[Tax]]</f>
        <v>-2061.3599999999997</v>
      </c>
      <c r="V1796" s="12">
        <f>Final_Table[[#This Row],[Net Profit]]/Final_Table[[#This Row],[Gross Revenue]]</f>
        <v>-0.10104705882352939</v>
      </c>
    </row>
    <row r="1797" spans="1:22">
      <c r="A1797" s="18" t="s">
        <v>68</v>
      </c>
      <c r="B1797">
        <v>2014</v>
      </c>
      <c r="C1797" t="s">
        <v>132</v>
      </c>
      <c r="D1797">
        <v>1</v>
      </c>
      <c r="E1797" s="18" t="s">
        <v>29</v>
      </c>
      <c r="F1797" s="18" t="s">
        <v>114</v>
      </c>
      <c r="G1797" s="18" t="s">
        <v>36</v>
      </c>
      <c r="H1797" s="18" t="str">
        <f>Assumptions!$B$2</f>
        <v>Worst</v>
      </c>
      <c r="I1797" s="18">
        <f>_xlfn.XLOOKUP(Assumptions!$B$2,Assumptions!$F$4:$H$4,Assumptions!$F$5:$H$5)</f>
        <v>1200</v>
      </c>
      <c r="J1797" s="18">
        <f>_xlfn.XLOOKUP(Assumptions!$B$2,Assumptions!$F$4:$H$4,Assumptions!$F$6:$H$6)</f>
        <v>17</v>
      </c>
      <c r="K1797" s="12">
        <f>_xlfn.XLOOKUP(Assumptions!$B$2,Assumptions!$F$4:$H$4,Assumptions!$F$8:$H$8)</f>
        <v>0.1</v>
      </c>
      <c r="L1797" s="12">
        <f>_xlfn.XLOOKUP(Assumptions!$B$2,Assumptions!$F$4:$H$4,Assumptions!$F$9:$H$9)</f>
        <v>0.18</v>
      </c>
      <c r="M1797" s="18">
        <f>_xlfn.XLOOKUP(Assumptions!$B$2,Assumptions!$F$4:$H$4,Assumptions!$F$10:$H$10)</f>
        <v>18000</v>
      </c>
      <c r="N1797" s="12">
        <f>_xlfn.XLOOKUP(Assumptions!$B$2,Assumptions!$F$4:$H$4,Assumptions!$F$11:$H$11)</f>
        <v>0.3</v>
      </c>
      <c r="O1797" s="14">
        <f>Final_Table[[#This Row],[Units Sold]]*Final_Table[[#This Row],[Sale Price]]</f>
        <v>20400</v>
      </c>
      <c r="P1797" s="14">
        <f>Final_Table[[#This Row],[Gross Revenue]]*(1-Final_Table[[#This Row],[Discount %]])</f>
        <v>18360</v>
      </c>
      <c r="Q1797">
        <f>Final_Table[[#This Row],[Net Revenue]]*Final_Table[[#This Row],[Variable Cost %]]</f>
        <v>3304.7999999999997</v>
      </c>
      <c r="R1797">
        <f>Final_Table[[#This Row],[Variable Cost]]+Final_Table[[#This Row],[Fixed Monthly Cost]]</f>
        <v>21304.799999999999</v>
      </c>
      <c r="S1797" s="5">
        <f>Final_Table[[#This Row],[Net Revenue]]-Final_Table[[#This Row],[Total Cost (COGS)]]</f>
        <v>-2944.7999999999993</v>
      </c>
      <c r="T1797">
        <f>Final_Table[[#This Row],[Gross Profit]]*Final_Table[[#This Row],[Tax Rate]]</f>
        <v>-883.43999999999971</v>
      </c>
      <c r="U1797" s="5">
        <f>Final_Table[[#This Row],[Gross Profit]]-Final_Table[[#This Row],[Tax]]</f>
        <v>-2061.3599999999997</v>
      </c>
      <c r="V1797" s="12">
        <f>Final_Table[[#This Row],[Net Profit]]/Final_Table[[#This Row],[Gross Revenue]]</f>
        <v>-0.10104705882352939</v>
      </c>
    </row>
    <row r="1798" spans="1:22">
      <c r="A1798" s="18" t="s">
        <v>68</v>
      </c>
      <c r="B1798">
        <v>2014</v>
      </c>
      <c r="C1798" t="s">
        <v>132</v>
      </c>
      <c r="D1798">
        <v>1</v>
      </c>
      <c r="E1798" s="18" t="s">
        <v>29</v>
      </c>
      <c r="F1798" s="18" t="s">
        <v>114</v>
      </c>
      <c r="G1798" s="18" t="s">
        <v>23</v>
      </c>
      <c r="H1798" s="18" t="str">
        <f>Assumptions!$B$2</f>
        <v>Worst</v>
      </c>
      <c r="I1798" s="18">
        <f>_xlfn.XLOOKUP(Assumptions!$B$2,Assumptions!$F$4:$H$4,Assumptions!$F$5:$H$5)</f>
        <v>1200</v>
      </c>
      <c r="J1798" s="18">
        <f>_xlfn.XLOOKUP(Assumptions!$B$2,Assumptions!$F$4:$H$4,Assumptions!$F$6:$H$6)</f>
        <v>17</v>
      </c>
      <c r="K1798" s="12">
        <f>_xlfn.XLOOKUP(Assumptions!$B$2,Assumptions!$F$4:$H$4,Assumptions!$F$8:$H$8)</f>
        <v>0.1</v>
      </c>
      <c r="L1798" s="12">
        <f>_xlfn.XLOOKUP(Assumptions!$B$2,Assumptions!$F$4:$H$4,Assumptions!$F$9:$H$9)</f>
        <v>0.18</v>
      </c>
      <c r="M1798" s="18">
        <f>_xlfn.XLOOKUP(Assumptions!$B$2,Assumptions!$F$4:$H$4,Assumptions!$F$10:$H$10)</f>
        <v>18000</v>
      </c>
      <c r="N1798" s="12">
        <f>_xlfn.XLOOKUP(Assumptions!$B$2,Assumptions!$F$4:$H$4,Assumptions!$F$11:$H$11)</f>
        <v>0.3</v>
      </c>
      <c r="O1798" s="14">
        <f>Final_Table[[#This Row],[Units Sold]]*Final_Table[[#This Row],[Sale Price]]</f>
        <v>20400</v>
      </c>
      <c r="P1798" s="14">
        <f>Final_Table[[#This Row],[Gross Revenue]]*(1-Final_Table[[#This Row],[Discount %]])</f>
        <v>18360</v>
      </c>
      <c r="Q1798">
        <f>Final_Table[[#This Row],[Net Revenue]]*Final_Table[[#This Row],[Variable Cost %]]</f>
        <v>3304.7999999999997</v>
      </c>
      <c r="R1798">
        <f>Final_Table[[#This Row],[Variable Cost]]+Final_Table[[#This Row],[Fixed Monthly Cost]]</f>
        <v>21304.799999999999</v>
      </c>
      <c r="S1798" s="5">
        <f>Final_Table[[#This Row],[Net Revenue]]-Final_Table[[#This Row],[Total Cost (COGS)]]</f>
        <v>-2944.7999999999993</v>
      </c>
      <c r="T1798">
        <f>Final_Table[[#This Row],[Gross Profit]]*Final_Table[[#This Row],[Tax Rate]]</f>
        <v>-883.43999999999971</v>
      </c>
      <c r="U1798" s="5">
        <f>Final_Table[[#This Row],[Gross Profit]]-Final_Table[[#This Row],[Tax]]</f>
        <v>-2061.3599999999997</v>
      </c>
      <c r="V1798" s="12">
        <f>Final_Table[[#This Row],[Net Profit]]/Final_Table[[#This Row],[Gross Revenue]]</f>
        <v>-0.10104705882352939</v>
      </c>
    </row>
    <row r="1799" spans="1:22">
      <c r="A1799" s="18" t="s">
        <v>68</v>
      </c>
      <c r="B1799">
        <v>2014</v>
      </c>
      <c r="C1799" t="s">
        <v>132</v>
      </c>
      <c r="D1799">
        <v>1</v>
      </c>
      <c r="E1799" s="18" t="s">
        <v>29</v>
      </c>
      <c r="F1799" s="18" t="s">
        <v>114</v>
      </c>
      <c r="G1799" s="18" t="s">
        <v>21</v>
      </c>
      <c r="H1799" s="18" t="str">
        <f>Assumptions!$B$2</f>
        <v>Worst</v>
      </c>
      <c r="I1799" s="18">
        <f>_xlfn.XLOOKUP(Assumptions!$B$2,Assumptions!$F$4:$H$4,Assumptions!$F$5:$H$5)</f>
        <v>1200</v>
      </c>
      <c r="J1799" s="18">
        <f>_xlfn.XLOOKUP(Assumptions!$B$2,Assumptions!$F$4:$H$4,Assumptions!$F$6:$H$6)</f>
        <v>17</v>
      </c>
      <c r="K1799" s="12">
        <f>_xlfn.XLOOKUP(Assumptions!$B$2,Assumptions!$F$4:$H$4,Assumptions!$F$8:$H$8)</f>
        <v>0.1</v>
      </c>
      <c r="L1799" s="12">
        <f>_xlfn.XLOOKUP(Assumptions!$B$2,Assumptions!$F$4:$H$4,Assumptions!$F$9:$H$9)</f>
        <v>0.18</v>
      </c>
      <c r="M1799" s="18">
        <f>_xlfn.XLOOKUP(Assumptions!$B$2,Assumptions!$F$4:$H$4,Assumptions!$F$10:$H$10)</f>
        <v>18000</v>
      </c>
      <c r="N1799" s="12">
        <f>_xlfn.XLOOKUP(Assumptions!$B$2,Assumptions!$F$4:$H$4,Assumptions!$F$11:$H$11)</f>
        <v>0.3</v>
      </c>
      <c r="O1799" s="14">
        <f>Final_Table[[#This Row],[Units Sold]]*Final_Table[[#This Row],[Sale Price]]</f>
        <v>20400</v>
      </c>
      <c r="P1799" s="14">
        <f>Final_Table[[#This Row],[Gross Revenue]]*(1-Final_Table[[#This Row],[Discount %]])</f>
        <v>18360</v>
      </c>
      <c r="Q1799">
        <f>Final_Table[[#This Row],[Net Revenue]]*Final_Table[[#This Row],[Variable Cost %]]</f>
        <v>3304.7999999999997</v>
      </c>
      <c r="R1799">
        <f>Final_Table[[#This Row],[Variable Cost]]+Final_Table[[#This Row],[Fixed Monthly Cost]]</f>
        <v>21304.799999999999</v>
      </c>
      <c r="S1799" s="5">
        <f>Final_Table[[#This Row],[Net Revenue]]-Final_Table[[#This Row],[Total Cost (COGS)]]</f>
        <v>-2944.7999999999993</v>
      </c>
      <c r="T1799">
        <f>Final_Table[[#This Row],[Gross Profit]]*Final_Table[[#This Row],[Tax Rate]]</f>
        <v>-883.43999999999971</v>
      </c>
      <c r="U1799" s="5">
        <f>Final_Table[[#This Row],[Gross Profit]]-Final_Table[[#This Row],[Tax]]</f>
        <v>-2061.3599999999997</v>
      </c>
      <c r="V1799" s="12">
        <f>Final_Table[[#This Row],[Net Profit]]/Final_Table[[#This Row],[Gross Revenue]]</f>
        <v>-0.10104705882352939</v>
      </c>
    </row>
    <row r="1800" spans="1:22">
      <c r="A1800" s="18" t="s">
        <v>68</v>
      </c>
      <c r="B1800">
        <v>2014</v>
      </c>
      <c r="C1800" t="s">
        <v>132</v>
      </c>
      <c r="D1800">
        <v>1</v>
      </c>
      <c r="E1800" s="18" t="s">
        <v>29</v>
      </c>
      <c r="F1800" s="18" t="s">
        <v>114</v>
      </c>
      <c r="G1800" s="18" t="s">
        <v>25</v>
      </c>
      <c r="H1800" s="18" t="str">
        <f>Assumptions!$B$2</f>
        <v>Worst</v>
      </c>
      <c r="I1800" s="18">
        <f>_xlfn.XLOOKUP(Assumptions!$B$2,Assumptions!$F$4:$H$4,Assumptions!$F$5:$H$5)</f>
        <v>1200</v>
      </c>
      <c r="J1800" s="18">
        <f>_xlfn.XLOOKUP(Assumptions!$B$2,Assumptions!$F$4:$H$4,Assumptions!$F$6:$H$6)</f>
        <v>17</v>
      </c>
      <c r="K1800" s="12">
        <f>_xlfn.XLOOKUP(Assumptions!$B$2,Assumptions!$F$4:$H$4,Assumptions!$F$8:$H$8)</f>
        <v>0.1</v>
      </c>
      <c r="L1800" s="12">
        <f>_xlfn.XLOOKUP(Assumptions!$B$2,Assumptions!$F$4:$H$4,Assumptions!$F$9:$H$9)</f>
        <v>0.18</v>
      </c>
      <c r="M1800" s="18">
        <f>_xlfn.XLOOKUP(Assumptions!$B$2,Assumptions!$F$4:$H$4,Assumptions!$F$10:$H$10)</f>
        <v>18000</v>
      </c>
      <c r="N1800" s="12">
        <f>_xlfn.XLOOKUP(Assumptions!$B$2,Assumptions!$F$4:$H$4,Assumptions!$F$11:$H$11)</f>
        <v>0.3</v>
      </c>
      <c r="O1800" s="14">
        <f>Final_Table[[#This Row],[Units Sold]]*Final_Table[[#This Row],[Sale Price]]</f>
        <v>20400</v>
      </c>
      <c r="P1800" s="14">
        <f>Final_Table[[#This Row],[Gross Revenue]]*(1-Final_Table[[#This Row],[Discount %]])</f>
        <v>18360</v>
      </c>
      <c r="Q1800">
        <f>Final_Table[[#This Row],[Net Revenue]]*Final_Table[[#This Row],[Variable Cost %]]</f>
        <v>3304.7999999999997</v>
      </c>
      <c r="R1800">
        <f>Final_Table[[#This Row],[Variable Cost]]+Final_Table[[#This Row],[Fixed Monthly Cost]]</f>
        <v>21304.799999999999</v>
      </c>
      <c r="S1800" s="5">
        <f>Final_Table[[#This Row],[Net Revenue]]-Final_Table[[#This Row],[Total Cost (COGS)]]</f>
        <v>-2944.7999999999993</v>
      </c>
      <c r="T1800">
        <f>Final_Table[[#This Row],[Gross Profit]]*Final_Table[[#This Row],[Tax Rate]]</f>
        <v>-883.43999999999971</v>
      </c>
      <c r="U1800" s="5">
        <f>Final_Table[[#This Row],[Gross Profit]]-Final_Table[[#This Row],[Tax]]</f>
        <v>-2061.3599999999997</v>
      </c>
      <c r="V1800" s="12">
        <f>Final_Table[[#This Row],[Net Profit]]/Final_Table[[#This Row],[Gross Revenue]]</f>
        <v>-0.10104705882352939</v>
      </c>
    </row>
    <row r="1801" spans="1:22">
      <c r="A1801" s="18" t="s">
        <v>68</v>
      </c>
      <c r="B1801">
        <v>2014</v>
      </c>
      <c r="C1801" t="s">
        <v>132</v>
      </c>
      <c r="D1801">
        <v>1</v>
      </c>
      <c r="E1801" s="18" t="s">
        <v>29</v>
      </c>
      <c r="F1801" s="18" t="s">
        <v>114</v>
      </c>
      <c r="G1801" s="18" t="s">
        <v>17</v>
      </c>
      <c r="H1801" s="18" t="str">
        <f>Assumptions!$B$2</f>
        <v>Worst</v>
      </c>
      <c r="I1801" s="18">
        <f>_xlfn.XLOOKUP(Assumptions!$B$2,Assumptions!$F$4:$H$4,Assumptions!$F$5:$H$5)</f>
        <v>1200</v>
      </c>
      <c r="J1801" s="18">
        <f>_xlfn.XLOOKUP(Assumptions!$B$2,Assumptions!$F$4:$H$4,Assumptions!$F$6:$H$6)</f>
        <v>17</v>
      </c>
      <c r="K1801" s="12">
        <f>_xlfn.XLOOKUP(Assumptions!$B$2,Assumptions!$F$4:$H$4,Assumptions!$F$8:$H$8)</f>
        <v>0.1</v>
      </c>
      <c r="L1801" s="12">
        <f>_xlfn.XLOOKUP(Assumptions!$B$2,Assumptions!$F$4:$H$4,Assumptions!$F$9:$H$9)</f>
        <v>0.18</v>
      </c>
      <c r="M1801" s="18">
        <f>_xlfn.XLOOKUP(Assumptions!$B$2,Assumptions!$F$4:$H$4,Assumptions!$F$10:$H$10)</f>
        <v>18000</v>
      </c>
      <c r="N1801" s="12">
        <f>_xlfn.XLOOKUP(Assumptions!$B$2,Assumptions!$F$4:$H$4,Assumptions!$F$11:$H$11)</f>
        <v>0.3</v>
      </c>
      <c r="O1801" s="14">
        <f>Final_Table[[#This Row],[Units Sold]]*Final_Table[[#This Row],[Sale Price]]</f>
        <v>20400</v>
      </c>
      <c r="P1801" s="14">
        <f>Final_Table[[#This Row],[Gross Revenue]]*(1-Final_Table[[#This Row],[Discount %]])</f>
        <v>18360</v>
      </c>
      <c r="Q1801">
        <f>Final_Table[[#This Row],[Net Revenue]]*Final_Table[[#This Row],[Variable Cost %]]</f>
        <v>3304.7999999999997</v>
      </c>
      <c r="R1801">
        <f>Final_Table[[#This Row],[Variable Cost]]+Final_Table[[#This Row],[Fixed Monthly Cost]]</f>
        <v>21304.799999999999</v>
      </c>
      <c r="S1801" s="5">
        <f>Final_Table[[#This Row],[Net Revenue]]-Final_Table[[#This Row],[Total Cost (COGS)]]</f>
        <v>-2944.7999999999993</v>
      </c>
      <c r="T1801">
        <f>Final_Table[[#This Row],[Gross Profit]]*Final_Table[[#This Row],[Tax Rate]]</f>
        <v>-883.43999999999971</v>
      </c>
      <c r="U1801" s="5">
        <f>Final_Table[[#This Row],[Gross Profit]]-Final_Table[[#This Row],[Tax]]</f>
        <v>-2061.3599999999997</v>
      </c>
      <c r="V1801" s="12">
        <f>Final_Table[[#This Row],[Net Profit]]/Final_Table[[#This Row],[Gross Revenue]]</f>
        <v>-0.10104705882352939</v>
      </c>
    </row>
    <row r="1802" spans="1:22">
      <c r="A1802" s="18" t="s">
        <v>68</v>
      </c>
      <c r="B1802">
        <v>2014</v>
      </c>
      <c r="C1802" t="s">
        <v>132</v>
      </c>
      <c r="D1802">
        <v>1</v>
      </c>
      <c r="E1802" s="18" t="s">
        <v>22</v>
      </c>
      <c r="F1802" s="18" t="s">
        <v>80</v>
      </c>
      <c r="G1802" s="18" t="s">
        <v>36</v>
      </c>
      <c r="H1802" s="18" t="str">
        <f>Assumptions!$B$2</f>
        <v>Worst</v>
      </c>
      <c r="I1802" s="18">
        <f>_xlfn.XLOOKUP(Assumptions!$B$2,Assumptions!$F$4:$H$4,Assumptions!$F$5:$H$5)</f>
        <v>1200</v>
      </c>
      <c r="J1802" s="18">
        <f>_xlfn.XLOOKUP(Assumptions!$B$2,Assumptions!$F$4:$H$4,Assumptions!$F$6:$H$6)</f>
        <v>17</v>
      </c>
      <c r="K1802" s="12">
        <f>_xlfn.XLOOKUP(Assumptions!$B$2,Assumptions!$F$4:$H$4,Assumptions!$F$8:$H$8)</f>
        <v>0.1</v>
      </c>
      <c r="L1802" s="12">
        <f>_xlfn.XLOOKUP(Assumptions!$B$2,Assumptions!$F$4:$H$4,Assumptions!$F$9:$H$9)</f>
        <v>0.18</v>
      </c>
      <c r="M1802" s="18">
        <f>_xlfn.XLOOKUP(Assumptions!$B$2,Assumptions!$F$4:$H$4,Assumptions!$F$10:$H$10)</f>
        <v>18000</v>
      </c>
      <c r="N1802" s="12">
        <f>_xlfn.XLOOKUP(Assumptions!$B$2,Assumptions!$F$4:$H$4,Assumptions!$F$11:$H$11)</f>
        <v>0.3</v>
      </c>
      <c r="O1802" s="14">
        <f>Final_Table[[#This Row],[Units Sold]]*Final_Table[[#This Row],[Sale Price]]</f>
        <v>20400</v>
      </c>
      <c r="P1802" s="14">
        <f>Final_Table[[#This Row],[Gross Revenue]]*(1-Final_Table[[#This Row],[Discount %]])</f>
        <v>18360</v>
      </c>
      <c r="Q1802">
        <f>Final_Table[[#This Row],[Net Revenue]]*Final_Table[[#This Row],[Variable Cost %]]</f>
        <v>3304.7999999999997</v>
      </c>
      <c r="R1802">
        <f>Final_Table[[#This Row],[Variable Cost]]+Final_Table[[#This Row],[Fixed Monthly Cost]]</f>
        <v>21304.799999999999</v>
      </c>
      <c r="S1802" s="5">
        <f>Final_Table[[#This Row],[Net Revenue]]-Final_Table[[#This Row],[Total Cost (COGS)]]</f>
        <v>-2944.7999999999993</v>
      </c>
      <c r="T1802">
        <f>Final_Table[[#This Row],[Gross Profit]]*Final_Table[[#This Row],[Tax Rate]]</f>
        <v>-883.43999999999971</v>
      </c>
      <c r="U1802" s="5">
        <f>Final_Table[[#This Row],[Gross Profit]]-Final_Table[[#This Row],[Tax]]</f>
        <v>-2061.3599999999997</v>
      </c>
      <c r="V1802" s="12">
        <f>Final_Table[[#This Row],[Net Profit]]/Final_Table[[#This Row],[Gross Revenue]]</f>
        <v>-0.10104705882352939</v>
      </c>
    </row>
    <row r="1803" spans="1:22">
      <c r="A1803" s="18" t="s">
        <v>68</v>
      </c>
      <c r="B1803">
        <v>2014</v>
      </c>
      <c r="C1803" t="s">
        <v>132</v>
      </c>
      <c r="D1803">
        <v>1</v>
      </c>
      <c r="E1803" s="18" t="s">
        <v>22</v>
      </c>
      <c r="F1803" s="18" t="s">
        <v>80</v>
      </c>
      <c r="G1803" s="18" t="s">
        <v>23</v>
      </c>
      <c r="H1803" s="18" t="str">
        <f>Assumptions!$B$2</f>
        <v>Worst</v>
      </c>
      <c r="I1803" s="18">
        <f>_xlfn.XLOOKUP(Assumptions!$B$2,Assumptions!$F$4:$H$4,Assumptions!$F$5:$H$5)</f>
        <v>1200</v>
      </c>
      <c r="J1803" s="18">
        <f>_xlfn.XLOOKUP(Assumptions!$B$2,Assumptions!$F$4:$H$4,Assumptions!$F$6:$H$6)</f>
        <v>17</v>
      </c>
      <c r="K1803" s="12">
        <f>_xlfn.XLOOKUP(Assumptions!$B$2,Assumptions!$F$4:$H$4,Assumptions!$F$8:$H$8)</f>
        <v>0.1</v>
      </c>
      <c r="L1803" s="12">
        <f>_xlfn.XLOOKUP(Assumptions!$B$2,Assumptions!$F$4:$H$4,Assumptions!$F$9:$H$9)</f>
        <v>0.18</v>
      </c>
      <c r="M1803" s="18">
        <f>_xlfn.XLOOKUP(Assumptions!$B$2,Assumptions!$F$4:$H$4,Assumptions!$F$10:$H$10)</f>
        <v>18000</v>
      </c>
      <c r="N1803" s="12">
        <f>_xlfn.XLOOKUP(Assumptions!$B$2,Assumptions!$F$4:$H$4,Assumptions!$F$11:$H$11)</f>
        <v>0.3</v>
      </c>
      <c r="O1803" s="14">
        <f>Final_Table[[#This Row],[Units Sold]]*Final_Table[[#This Row],[Sale Price]]</f>
        <v>20400</v>
      </c>
      <c r="P1803" s="14">
        <f>Final_Table[[#This Row],[Gross Revenue]]*(1-Final_Table[[#This Row],[Discount %]])</f>
        <v>18360</v>
      </c>
      <c r="Q1803">
        <f>Final_Table[[#This Row],[Net Revenue]]*Final_Table[[#This Row],[Variable Cost %]]</f>
        <v>3304.7999999999997</v>
      </c>
      <c r="R1803">
        <f>Final_Table[[#This Row],[Variable Cost]]+Final_Table[[#This Row],[Fixed Monthly Cost]]</f>
        <v>21304.799999999999</v>
      </c>
      <c r="S1803" s="5">
        <f>Final_Table[[#This Row],[Net Revenue]]-Final_Table[[#This Row],[Total Cost (COGS)]]</f>
        <v>-2944.7999999999993</v>
      </c>
      <c r="T1803">
        <f>Final_Table[[#This Row],[Gross Profit]]*Final_Table[[#This Row],[Tax Rate]]</f>
        <v>-883.43999999999971</v>
      </c>
      <c r="U1803" s="5">
        <f>Final_Table[[#This Row],[Gross Profit]]-Final_Table[[#This Row],[Tax]]</f>
        <v>-2061.3599999999997</v>
      </c>
      <c r="V1803" s="12">
        <f>Final_Table[[#This Row],[Net Profit]]/Final_Table[[#This Row],[Gross Revenue]]</f>
        <v>-0.10104705882352939</v>
      </c>
    </row>
    <row r="1804" spans="1:22">
      <c r="A1804" s="18" t="s">
        <v>68</v>
      </c>
      <c r="B1804">
        <v>2014</v>
      </c>
      <c r="C1804" t="s">
        <v>132</v>
      </c>
      <c r="D1804">
        <v>1</v>
      </c>
      <c r="E1804" s="18" t="s">
        <v>22</v>
      </c>
      <c r="F1804" s="18" t="s">
        <v>80</v>
      </c>
      <c r="G1804" s="18" t="s">
        <v>21</v>
      </c>
      <c r="H1804" s="18" t="str">
        <f>Assumptions!$B$2</f>
        <v>Worst</v>
      </c>
      <c r="I1804" s="18">
        <f>_xlfn.XLOOKUP(Assumptions!$B$2,Assumptions!$F$4:$H$4,Assumptions!$F$5:$H$5)</f>
        <v>1200</v>
      </c>
      <c r="J1804" s="18">
        <f>_xlfn.XLOOKUP(Assumptions!$B$2,Assumptions!$F$4:$H$4,Assumptions!$F$6:$H$6)</f>
        <v>17</v>
      </c>
      <c r="K1804" s="12">
        <f>_xlfn.XLOOKUP(Assumptions!$B$2,Assumptions!$F$4:$H$4,Assumptions!$F$8:$H$8)</f>
        <v>0.1</v>
      </c>
      <c r="L1804" s="12">
        <f>_xlfn.XLOOKUP(Assumptions!$B$2,Assumptions!$F$4:$H$4,Assumptions!$F$9:$H$9)</f>
        <v>0.18</v>
      </c>
      <c r="M1804" s="18">
        <f>_xlfn.XLOOKUP(Assumptions!$B$2,Assumptions!$F$4:$H$4,Assumptions!$F$10:$H$10)</f>
        <v>18000</v>
      </c>
      <c r="N1804" s="12">
        <f>_xlfn.XLOOKUP(Assumptions!$B$2,Assumptions!$F$4:$H$4,Assumptions!$F$11:$H$11)</f>
        <v>0.3</v>
      </c>
      <c r="O1804" s="14">
        <f>Final_Table[[#This Row],[Units Sold]]*Final_Table[[#This Row],[Sale Price]]</f>
        <v>20400</v>
      </c>
      <c r="P1804" s="14">
        <f>Final_Table[[#This Row],[Gross Revenue]]*(1-Final_Table[[#This Row],[Discount %]])</f>
        <v>18360</v>
      </c>
      <c r="Q1804">
        <f>Final_Table[[#This Row],[Net Revenue]]*Final_Table[[#This Row],[Variable Cost %]]</f>
        <v>3304.7999999999997</v>
      </c>
      <c r="R1804">
        <f>Final_Table[[#This Row],[Variable Cost]]+Final_Table[[#This Row],[Fixed Monthly Cost]]</f>
        <v>21304.799999999999</v>
      </c>
      <c r="S1804" s="5">
        <f>Final_Table[[#This Row],[Net Revenue]]-Final_Table[[#This Row],[Total Cost (COGS)]]</f>
        <v>-2944.7999999999993</v>
      </c>
      <c r="T1804">
        <f>Final_Table[[#This Row],[Gross Profit]]*Final_Table[[#This Row],[Tax Rate]]</f>
        <v>-883.43999999999971</v>
      </c>
      <c r="U1804" s="5">
        <f>Final_Table[[#This Row],[Gross Profit]]-Final_Table[[#This Row],[Tax]]</f>
        <v>-2061.3599999999997</v>
      </c>
      <c r="V1804" s="12">
        <f>Final_Table[[#This Row],[Net Profit]]/Final_Table[[#This Row],[Gross Revenue]]</f>
        <v>-0.10104705882352939</v>
      </c>
    </row>
    <row r="1805" spans="1:22">
      <c r="A1805" s="18" t="s">
        <v>68</v>
      </c>
      <c r="B1805">
        <v>2014</v>
      </c>
      <c r="C1805" t="s">
        <v>132</v>
      </c>
      <c r="D1805">
        <v>1</v>
      </c>
      <c r="E1805" s="18" t="s">
        <v>22</v>
      </c>
      <c r="F1805" s="18" t="s">
        <v>80</v>
      </c>
      <c r="G1805" s="18" t="s">
        <v>25</v>
      </c>
      <c r="H1805" s="18" t="str">
        <f>Assumptions!$B$2</f>
        <v>Worst</v>
      </c>
      <c r="I1805" s="18">
        <f>_xlfn.XLOOKUP(Assumptions!$B$2,Assumptions!$F$4:$H$4,Assumptions!$F$5:$H$5)</f>
        <v>1200</v>
      </c>
      <c r="J1805" s="18">
        <f>_xlfn.XLOOKUP(Assumptions!$B$2,Assumptions!$F$4:$H$4,Assumptions!$F$6:$H$6)</f>
        <v>17</v>
      </c>
      <c r="K1805" s="12">
        <f>_xlfn.XLOOKUP(Assumptions!$B$2,Assumptions!$F$4:$H$4,Assumptions!$F$8:$H$8)</f>
        <v>0.1</v>
      </c>
      <c r="L1805" s="12">
        <f>_xlfn.XLOOKUP(Assumptions!$B$2,Assumptions!$F$4:$H$4,Assumptions!$F$9:$H$9)</f>
        <v>0.18</v>
      </c>
      <c r="M1805" s="18">
        <f>_xlfn.XLOOKUP(Assumptions!$B$2,Assumptions!$F$4:$H$4,Assumptions!$F$10:$H$10)</f>
        <v>18000</v>
      </c>
      <c r="N1805" s="12">
        <f>_xlfn.XLOOKUP(Assumptions!$B$2,Assumptions!$F$4:$H$4,Assumptions!$F$11:$H$11)</f>
        <v>0.3</v>
      </c>
      <c r="O1805" s="14">
        <f>Final_Table[[#This Row],[Units Sold]]*Final_Table[[#This Row],[Sale Price]]</f>
        <v>20400</v>
      </c>
      <c r="P1805" s="14">
        <f>Final_Table[[#This Row],[Gross Revenue]]*(1-Final_Table[[#This Row],[Discount %]])</f>
        <v>18360</v>
      </c>
      <c r="Q1805">
        <f>Final_Table[[#This Row],[Net Revenue]]*Final_Table[[#This Row],[Variable Cost %]]</f>
        <v>3304.7999999999997</v>
      </c>
      <c r="R1805">
        <f>Final_Table[[#This Row],[Variable Cost]]+Final_Table[[#This Row],[Fixed Monthly Cost]]</f>
        <v>21304.799999999999</v>
      </c>
      <c r="S1805" s="5">
        <f>Final_Table[[#This Row],[Net Revenue]]-Final_Table[[#This Row],[Total Cost (COGS)]]</f>
        <v>-2944.7999999999993</v>
      </c>
      <c r="T1805">
        <f>Final_Table[[#This Row],[Gross Profit]]*Final_Table[[#This Row],[Tax Rate]]</f>
        <v>-883.43999999999971</v>
      </c>
      <c r="U1805" s="5">
        <f>Final_Table[[#This Row],[Gross Profit]]-Final_Table[[#This Row],[Tax]]</f>
        <v>-2061.3599999999997</v>
      </c>
      <c r="V1805" s="12">
        <f>Final_Table[[#This Row],[Net Profit]]/Final_Table[[#This Row],[Gross Revenue]]</f>
        <v>-0.10104705882352939</v>
      </c>
    </row>
    <row r="1806" spans="1:22">
      <c r="A1806" s="18" t="s">
        <v>68</v>
      </c>
      <c r="B1806">
        <v>2014</v>
      </c>
      <c r="C1806" t="s">
        <v>132</v>
      </c>
      <c r="D1806">
        <v>1</v>
      </c>
      <c r="E1806" s="18" t="s">
        <v>22</v>
      </c>
      <c r="F1806" s="18" t="s">
        <v>80</v>
      </c>
      <c r="G1806" s="18" t="s">
        <v>17</v>
      </c>
      <c r="H1806" s="18" t="str">
        <f>Assumptions!$B$2</f>
        <v>Worst</v>
      </c>
      <c r="I1806" s="18">
        <f>_xlfn.XLOOKUP(Assumptions!$B$2,Assumptions!$F$4:$H$4,Assumptions!$F$5:$H$5)</f>
        <v>1200</v>
      </c>
      <c r="J1806" s="18">
        <f>_xlfn.XLOOKUP(Assumptions!$B$2,Assumptions!$F$4:$H$4,Assumptions!$F$6:$H$6)</f>
        <v>17</v>
      </c>
      <c r="K1806" s="12">
        <f>_xlfn.XLOOKUP(Assumptions!$B$2,Assumptions!$F$4:$H$4,Assumptions!$F$8:$H$8)</f>
        <v>0.1</v>
      </c>
      <c r="L1806" s="12">
        <f>_xlfn.XLOOKUP(Assumptions!$B$2,Assumptions!$F$4:$H$4,Assumptions!$F$9:$H$9)</f>
        <v>0.18</v>
      </c>
      <c r="M1806" s="18">
        <f>_xlfn.XLOOKUP(Assumptions!$B$2,Assumptions!$F$4:$H$4,Assumptions!$F$10:$H$10)</f>
        <v>18000</v>
      </c>
      <c r="N1806" s="12">
        <f>_xlfn.XLOOKUP(Assumptions!$B$2,Assumptions!$F$4:$H$4,Assumptions!$F$11:$H$11)</f>
        <v>0.3</v>
      </c>
      <c r="O1806" s="14">
        <f>Final_Table[[#This Row],[Units Sold]]*Final_Table[[#This Row],[Sale Price]]</f>
        <v>20400</v>
      </c>
      <c r="P1806" s="14">
        <f>Final_Table[[#This Row],[Gross Revenue]]*(1-Final_Table[[#This Row],[Discount %]])</f>
        <v>18360</v>
      </c>
      <c r="Q1806">
        <f>Final_Table[[#This Row],[Net Revenue]]*Final_Table[[#This Row],[Variable Cost %]]</f>
        <v>3304.7999999999997</v>
      </c>
      <c r="R1806">
        <f>Final_Table[[#This Row],[Variable Cost]]+Final_Table[[#This Row],[Fixed Monthly Cost]]</f>
        <v>21304.799999999999</v>
      </c>
      <c r="S1806" s="5">
        <f>Final_Table[[#This Row],[Net Revenue]]-Final_Table[[#This Row],[Total Cost (COGS)]]</f>
        <v>-2944.7999999999993</v>
      </c>
      <c r="T1806">
        <f>Final_Table[[#This Row],[Gross Profit]]*Final_Table[[#This Row],[Tax Rate]]</f>
        <v>-883.43999999999971</v>
      </c>
      <c r="U1806" s="5">
        <f>Final_Table[[#This Row],[Gross Profit]]-Final_Table[[#This Row],[Tax]]</f>
        <v>-2061.3599999999997</v>
      </c>
      <c r="V1806" s="12">
        <f>Final_Table[[#This Row],[Net Profit]]/Final_Table[[#This Row],[Gross Revenue]]</f>
        <v>-0.10104705882352939</v>
      </c>
    </row>
    <row r="1807" spans="1:22">
      <c r="A1807" s="18" t="s">
        <v>68</v>
      </c>
      <c r="B1807">
        <v>2014</v>
      </c>
      <c r="C1807" t="s">
        <v>132</v>
      </c>
      <c r="D1807">
        <v>1</v>
      </c>
      <c r="E1807" s="18" t="s">
        <v>22</v>
      </c>
      <c r="F1807" s="18" t="s">
        <v>108</v>
      </c>
      <c r="G1807" s="18" t="s">
        <v>36</v>
      </c>
      <c r="H1807" s="18" t="str">
        <f>Assumptions!$B$2</f>
        <v>Worst</v>
      </c>
      <c r="I1807" s="18">
        <f>_xlfn.XLOOKUP(Assumptions!$B$2,Assumptions!$F$4:$H$4,Assumptions!$F$5:$H$5)</f>
        <v>1200</v>
      </c>
      <c r="J1807" s="18">
        <f>_xlfn.XLOOKUP(Assumptions!$B$2,Assumptions!$F$4:$H$4,Assumptions!$F$6:$H$6)</f>
        <v>17</v>
      </c>
      <c r="K1807" s="12">
        <f>_xlfn.XLOOKUP(Assumptions!$B$2,Assumptions!$F$4:$H$4,Assumptions!$F$8:$H$8)</f>
        <v>0.1</v>
      </c>
      <c r="L1807" s="12">
        <f>_xlfn.XLOOKUP(Assumptions!$B$2,Assumptions!$F$4:$H$4,Assumptions!$F$9:$H$9)</f>
        <v>0.18</v>
      </c>
      <c r="M1807" s="18">
        <f>_xlfn.XLOOKUP(Assumptions!$B$2,Assumptions!$F$4:$H$4,Assumptions!$F$10:$H$10)</f>
        <v>18000</v>
      </c>
      <c r="N1807" s="12">
        <f>_xlfn.XLOOKUP(Assumptions!$B$2,Assumptions!$F$4:$H$4,Assumptions!$F$11:$H$11)</f>
        <v>0.3</v>
      </c>
      <c r="O1807" s="14">
        <f>Final_Table[[#This Row],[Units Sold]]*Final_Table[[#This Row],[Sale Price]]</f>
        <v>20400</v>
      </c>
      <c r="P1807" s="14">
        <f>Final_Table[[#This Row],[Gross Revenue]]*(1-Final_Table[[#This Row],[Discount %]])</f>
        <v>18360</v>
      </c>
      <c r="Q1807">
        <f>Final_Table[[#This Row],[Net Revenue]]*Final_Table[[#This Row],[Variable Cost %]]</f>
        <v>3304.7999999999997</v>
      </c>
      <c r="R1807">
        <f>Final_Table[[#This Row],[Variable Cost]]+Final_Table[[#This Row],[Fixed Monthly Cost]]</f>
        <v>21304.799999999999</v>
      </c>
      <c r="S1807" s="5">
        <f>Final_Table[[#This Row],[Net Revenue]]-Final_Table[[#This Row],[Total Cost (COGS)]]</f>
        <v>-2944.7999999999993</v>
      </c>
      <c r="T1807">
        <f>Final_Table[[#This Row],[Gross Profit]]*Final_Table[[#This Row],[Tax Rate]]</f>
        <v>-883.43999999999971</v>
      </c>
      <c r="U1807" s="5">
        <f>Final_Table[[#This Row],[Gross Profit]]-Final_Table[[#This Row],[Tax]]</f>
        <v>-2061.3599999999997</v>
      </c>
      <c r="V1807" s="12">
        <f>Final_Table[[#This Row],[Net Profit]]/Final_Table[[#This Row],[Gross Revenue]]</f>
        <v>-0.10104705882352939</v>
      </c>
    </row>
    <row r="1808" spans="1:22">
      <c r="A1808" s="18" t="s">
        <v>68</v>
      </c>
      <c r="B1808">
        <v>2014</v>
      </c>
      <c r="C1808" t="s">
        <v>132</v>
      </c>
      <c r="D1808">
        <v>1</v>
      </c>
      <c r="E1808" s="18" t="s">
        <v>22</v>
      </c>
      <c r="F1808" s="18" t="s">
        <v>108</v>
      </c>
      <c r="G1808" s="18" t="s">
        <v>23</v>
      </c>
      <c r="H1808" s="18" t="str">
        <f>Assumptions!$B$2</f>
        <v>Worst</v>
      </c>
      <c r="I1808" s="18">
        <f>_xlfn.XLOOKUP(Assumptions!$B$2,Assumptions!$F$4:$H$4,Assumptions!$F$5:$H$5)</f>
        <v>1200</v>
      </c>
      <c r="J1808" s="18">
        <f>_xlfn.XLOOKUP(Assumptions!$B$2,Assumptions!$F$4:$H$4,Assumptions!$F$6:$H$6)</f>
        <v>17</v>
      </c>
      <c r="K1808" s="12">
        <f>_xlfn.XLOOKUP(Assumptions!$B$2,Assumptions!$F$4:$H$4,Assumptions!$F$8:$H$8)</f>
        <v>0.1</v>
      </c>
      <c r="L1808" s="12">
        <f>_xlfn.XLOOKUP(Assumptions!$B$2,Assumptions!$F$4:$H$4,Assumptions!$F$9:$H$9)</f>
        <v>0.18</v>
      </c>
      <c r="M1808" s="18">
        <f>_xlfn.XLOOKUP(Assumptions!$B$2,Assumptions!$F$4:$H$4,Assumptions!$F$10:$H$10)</f>
        <v>18000</v>
      </c>
      <c r="N1808" s="12">
        <f>_xlfn.XLOOKUP(Assumptions!$B$2,Assumptions!$F$4:$H$4,Assumptions!$F$11:$H$11)</f>
        <v>0.3</v>
      </c>
      <c r="O1808" s="14">
        <f>Final_Table[[#This Row],[Units Sold]]*Final_Table[[#This Row],[Sale Price]]</f>
        <v>20400</v>
      </c>
      <c r="P1808" s="14">
        <f>Final_Table[[#This Row],[Gross Revenue]]*(1-Final_Table[[#This Row],[Discount %]])</f>
        <v>18360</v>
      </c>
      <c r="Q1808">
        <f>Final_Table[[#This Row],[Net Revenue]]*Final_Table[[#This Row],[Variable Cost %]]</f>
        <v>3304.7999999999997</v>
      </c>
      <c r="R1808">
        <f>Final_Table[[#This Row],[Variable Cost]]+Final_Table[[#This Row],[Fixed Monthly Cost]]</f>
        <v>21304.799999999999</v>
      </c>
      <c r="S1808" s="5">
        <f>Final_Table[[#This Row],[Net Revenue]]-Final_Table[[#This Row],[Total Cost (COGS)]]</f>
        <v>-2944.7999999999993</v>
      </c>
      <c r="T1808">
        <f>Final_Table[[#This Row],[Gross Profit]]*Final_Table[[#This Row],[Tax Rate]]</f>
        <v>-883.43999999999971</v>
      </c>
      <c r="U1808" s="5">
        <f>Final_Table[[#This Row],[Gross Profit]]-Final_Table[[#This Row],[Tax]]</f>
        <v>-2061.3599999999997</v>
      </c>
      <c r="V1808" s="12">
        <f>Final_Table[[#This Row],[Net Profit]]/Final_Table[[#This Row],[Gross Revenue]]</f>
        <v>-0.10104705882352939</v>
      </c>
    </row>
    <row r="1809" spans="1:22">
      <c r="A1809" s="18" t="s">
        <v>68</v>
      </c>
      <c r="B1809">
        <v>2014</v>
      </c>
      <c r="C1809" t="s">
        <v>132</v>
      </c>
      <c r="D1809">
        <v>1</v>
      </c>
      <c r="E1809" s="18" t="s">
        <v>22</v>
      </c>
      <c r="F1809" s="18" t="s">
        <v>108</v>
      </c>
      <c r="G1809" s="18" t="s">
        <v>21</v>
      </c>
      <c r="H1809" s="18" t="str">
        <f>Assumptions!$B$2</f>
        <v>Worst</v>
      </c>
      <c r="I1809" s="18">
        <f>_xlfn.XLOOKUP(Assumptions!$B$2,Assumptions!$F$4:$H$4,Assumptions!$F$5:$H$5)</f>
        <v>1200</v>
      </c>
      <c r="J1809" s="18">
        <f>_xlfn.XLOOKUP(Assumptions!$B$2,Assumptions!$F$4:$H$4,Assumptions!$F$6:$H$6)</f>
        <v>17</v>
      </c>
      <c r="K1809" s="12">
        <f>_xlfn.XLOOKUP(Assumptions!$B$2,Assumptions!$F$4:$H$4,Assumptions!$F$8:$H$8)</f>
        <v>0.1</v>
      </c>
      <c r="L1809" s="12">
        <f>_xlfn.XLOOKUP(Assumptions!$B$2,Assumptions!$F$4:$H$4,Assumptions!$F$9:$H$9)</f>
        <v>0.18</v>
      </c>
      <c r="M1809" s="18">
        <f>_xlfn.XLOOKUP(Assumptions!$B$2,Assumptions!$F$4:$H$4,Assumptions!$F$10:$H$10)</f>
        <v>18000</v>
      </c>
      <c r="N1809" s="12">
        <f>_xlfn.XLOOKUP(Assumptions!$B$2,Assumptions!$F$4:$H$4,Assumptions!$F$11:$H$11)</f>
        <v>0.3</v>
      </c>
      <c r="O1809" s="14">
        <f>Final_Table[[#This Row],[Units Sold]]*Final_Table[[#This Row],[Sale Price]]</f>
        <v>20400</v>
      </c>
      <c r="P1809" s="14">
        <f>Final_Table[[#This Row],[Gross Revenue]]*(1-Final_Table[[#This Row],[Discount %]])</f>
        <v>18360</v>
      </c>
      <c r="Q1809">
        <f>Final_Table[[#This Row],[Net Revenue]]*Final_Table[[#This Row],[Variable Cost %]]</f>
        <v>3304.7999999999997</v>
      </c>
      <c r="R1809">
        <f>Final_Table[[#This Row],[Variable Cost]]+Final_Table[[#This Row],[Fixed Monthly Cost]]</f>
        <v>21304.799999999999</v>
      </c>
      <c r="S1809" s="5">
        <f>Final_Table[[#This Row],[Net Revenue]]-Final_Table[[#This Row],[Total Cost (COGS)]]</f>
        <v>-2944.7999999999993</v>
      </c>
      <c r="T1809">
        <f>Final_Table[[#This Row],[Gross Profit]]*Final_Table[[#This Row],[Tax Rate]]</f>
        <v>-883.43999999999971</v>
      </c>
      <c r="U1809" s="5">
        <f>Final_Table[[#This Row],[Gross Profit]]-Final_Table[[#This Row],[Tax]]</f>
        <v>-2061.3599999999997</v>
      </c>
      <c r="V1809" s="12">
        <f>Final_Table[[#This Row],[Net Profit]]/Final_Table[[#This Row],[Gross Revenue]]</f>
        <v>-0.10104705882352939</v>
      </c>
    </row>
    <row r="1810" spans="1:22">
      <c r="A1810" s="18" t="s">
        <v>68</v>
      </c>
      <c r="B1810">
        <v>2014</v>
      </c>
      <c r="C1810" t="s">
        <v>132</v>
      </c>
      <c r="D1810">
        <v>1</v>
      </c>
      <c r="E1810" s="18" t="s">
        <v>22</v>
      </c>
      <c r="F1810" s="18" t="s">
        <v>108</v>
      </c>
      <c r="G1810" s="18" t="s">
        <v>25</v>
      </c>
      <c r="H1810" s="18" t="str">
        <f>Assumptions!$B$2</f>
        <v>Worst</v>
      </c>
      <c r="I1810" s="18">
        <f>_xlfn.XLOOKUP(Assumptions!$B$2,Assumptions!$F$4:$H$4,Assumptions!$F$5:$H$5)</f>
        <v>1200</v>
      </c>
      <c r="J1810" s="18">
        <f>_xlfn.XLOOKUP(Assumptions!$B$2,Assumptions!$F$4:$H$4,Assumptions!$F$6:$H$6)</f>
        <v>17</v>
      </c>
      <c r="K1810" s="12">
        <f>_xlfn.XLOOKUP(Assumptions!$B$2,Assumptions!$F$4:$H$4,Assumptions!$F$8:$H$8)</f>
        <v>0.1</v>
      </c>
      <c r="L1810" s="12">
        <f>_xlfn.XLOOKUP(Assumptions!$B$2,Assumptions!$F$4:$H$4,Assumptions!$F$9:$H$9)</f>
        <v>0.18</v>
      </c>
      <c r="M1810" s="18">
        <f>_xlfn.XLOOKUP(Assumptions!$B$2,Assumptions!$F$4:$H$4,Assumptions!$F$10:$H$10)</f>
        <v>18000</v>
      </c>
      <c r="N1810" s="12">
        <f>_xlfn.XLOOKUP(Assumptions!$B$2,Assumptions!$F$4:$H$4,Assumptions!$F$11:$H$11)</f>
        <v>0.3</v>
      </c>
      <c r="O1810" s="14">
        <f>Final_Table[[#This Row],[Units Sold]]*Final_Table[[#This Row],[Sale Price]]</f>
        <v>20400</v>
      </c>
      <c r="P1810" s="14">
        <f>Final_Table[[#This Row],[Gross Revenue]]*(1-Final_Table[[#This Row],[Discount %]])</f>
        <v>18360</v>
      </c>
      <c r="Q1810">
        <f>Final_Table[[#This Row],[Net Revenue]]*Final_Table[[#This Row],[Variable Cost %]]</f>
        <v>3304.7999999999997</v>
      </c>
      <c r="R1810">
        <f>Final_Table[[#This Row],[Variable Cost]]+Final_Table[[#This Row],[Fixed Monthly Cost]]</f>
        <v>21304.799999999999</v>
      </c>
      <c r="S1810" s="5">
        <f>Final_Table[[#This Row],[Net Revenue]]-Final_Table[[#This Row],[Total Cost (COGS)]]</f>
        <v>-2944.7999999999993</v>
      </c>
      <c r="T1810">
        <f>Final_Table[[#This Row],[Gross Profit]]*Final_Table[[#This Row],[Tax Rate]]</f>
        <v>-883.43999999999971</v>
      </c>
      <c r="U1810" s="5">
        <f>Final_Table[[#This Row],[Gross Profit]]-Final_Table[[#This Row],[Tax]]</f>
        <v>-2061.3599999999997</v>
      </c>
      <c r="V1810" s="12">
        <f>Final_Table[[#This Row],[Net Profit]]/Final_Table[[#This Row],[Gross Revenue]]</f>
        <v>-0.10104705882352939</v>
      </c>
    </row>
    <row r="1811" spans="1:22">
      <c r="A1811" s="18" t="s">
        <v>68</v>
      </c>
      <c r="B1811">
        <v>2014</v>
      </c>
      <c r="C1811" t="s">
        <v>132</v>
      </c>
      <c r="D1811">
        <v>1</v>
      </c>
      <c r="E1811" s="18" t="s">
        <v>22</v>
      </c>
      <c r="F1811" s="18" t="s">
        <v>108</v>
      </c>
      <c r="G1811" s="18" t="s">
        <v>17</v>
      </c>
      <c r="H1811" s="18" t="str">
        <f>Assumptions!$B$2</f>
        <v>Worst</v>
      </c>
      <c r="I1811" s="18">
        <f>_xlfn.XLOOKUP(Assumptions!$B$2,Assumptions!$F$4:$H$4,Assumptions!$F$5:$H$5)</f>
        <v>1200</v>
      </c>
      <c r="J1811" s="18">
        <f>_xlfn.XLOOKUP(Assumptions!$B$2,Assumptions!$F$4:$H$4,Assumptions!$F$6:$H$6)</f>
        <v>17</v>
      </c>
      <c r="K1811" s="12">
        <f>_xlfn.XLOOKUP(Assumptions!$B$2,Assumptions!$F$4:$H$4,Assumptions!$F$8:$H$8)</f>
        <v>0.1</v>
      </c>
      <c r="L1811" s="12">
        <f>_xlfn.XLOOKUP(Assumptions!$B$2,Assumptions!$F$4:$H$4,Assumptions!$F$9:$H$9)</f>
        <v>0.18</v>
      </c>
      <c r="M1811" s="18">
        <f>_xlfn.XLOOKUP(Assumptions!$B$2,Assumptions!$F$4:$H$4,Assumptions!$F$10:$H$10)</f>
        <v>18000</v>
      </c>
      <c r="N1811" s="12">
        <f>_xlfn.XLOOKUP(Assumptions!$B$2,Assumptions!$F$4:$H$4,Assumptions!$F$11:$H$11)</f>
        <v>0.3</v>
      </c>
      <c r="O1811" s="14">
        <f>Final_Table[[#This Row],[Units Sold]]*Final_Table[[#This Row],[Sale Price]]</f>
        <v>20400</v>
      </c>
      <c r="P1811" s="14">
        <f>Final_Table[[#This Row],[Gross Revenue]]*(1-Final_Table[[#This Row],[Discount %]])</f>
        <v>18360</v>
      </c>
      <c r="Q1811">
        <f>Final_Table[[#This Row],[Net Revenue]]*Final_Table[[#This Row],[Variable Cost %]]</f>
        <v>3304.7999999999997</v>
      </c>
      <c r="R1811">
        <f>Final_Table[[#This Row],[Variable Cost]]+Final_Table[[#This Row],[Fixed Monthly Cost]]</f>
        <v>21304.799999999999</v>
      </c>
      <c r="S1811" s="5">
        <f>Final_Table[[#This Row],[Net Revenue]]-Final_Table[[#This Row],[Total Cost (COGS)]]</f>
        <v>-2944.7999999999993</v>
      </c>
      <c r="T1811">
        <f>Final_Table[[#This Row],[Gross Profit]]*Final_Table[[#This Row],[Tax Rate]]</f>
        <v>-883.43999999999971</v>
      </c>
      <c r="U1811" s="5">
        <f>Final_Table[[#This Row],[Gross Profit]]-Final_Table[[#This Row],[Tax]]</f>
        <v>-2061.3599999999997</v>
      </c>
      <c r="V1811" s="12">
        <f>Final_Table[[#This Row],[Net Profit]]/Final_Table[[#This Row],[Gross Revenue]]</f>
        <v>-0.10104705882352939</v>
      </c>
    </row>
    <row r="1812" spans="1:22">
      <c r="A1812" s="18" t="s">
        <v>68</v>
      </c>
      <c r="B1812">
        <v>2014</v>
      </c>
      <c r="C1812" t="s">
        <v>132</v>
      </c>
      <c r="D1812">
        <v>1</v>
      </c>
      <c r="E1812" s="18" t="s">
        <v>22</v>
      </c>
      <c r="F1812" s="18" t="s">
        <v>112</v>
      </c>
      <c r="G1812" s="18" t="s">
        <v>36</v>
      </c>
      <c r="H1812" s="18" t="str">
        <f>Assumptions!$B$2</f>
        <v>Worst</v>
      </c>
      <c r="I1812" s="18">
        <f>_xlfn.XLOOKUP(Assumptions!$B$2,Assumptions!$F$4:$H$4,Assumptions!$F$5:$H$5)</f>
        <v>1200</v>
      </c>
      <c r="J1812" s="18">
        <f>_xlfn.XLOOKUP(Assumptions!$B$2,Assumptions!$F$4:$H$4,Assumptions!$F$6:$H$6)</f>
        <v>17</v>
      </c>
      <c r="K1812" s="12">
        <f>_xlfn.XLOOKUP(Assumptions!$B$2,Assumptions!$F$4:$H$4,Assumptions!$F$8:$H$8)</f>
        <v>0.1</v>
      </c>
      <c r="L1812" s="12">
        <f>_xlfn.XLOOKUP(Assumptions!$B$2,Assumptions!$F$4:$H$4,Assumptions!$F$9:$H$9)</f>
        <v>0.18</v>
      </c>
      <c r="M1812" s="18">
        <f>_xlfn.XLOOKUP(Assumptions!$B$2,Assumptions!$F$4:$H$4,Assumptions!$F$10:$H$10)</f>
        <v>18000</v>
      </c>
      <c r="N1812" s="12">
        <f>_xlfn.XLOOKUP(Assumptions!$B$2,Assumptions!$F$4:$H$4,Assumptions!$F$11:$H$11)</f>
        <v>0.3</v>
      </c>
      <c r="O1812" s="14">
        <f>Final_Table[[#This Row],[Units Sold]]*Final_Table[[#This Row],[Sale Price]]</f>
        <v>20400</v>
      </c>
      <c r="P1812" s="14">
        <f>Final_Table[[#This Row],[Gross Revenue]]*(1-Final_Table[[#This Row],[Discount %]])</f>
        <v>18360</v>
      </c>
      <c r="Q1812">
        <f>Final_Table[[#This Row],[Net Revenue]]*Final_Table[[#This Row],[Variable Cost %]]</f>
        <v>3304.7999999999997</v>
      </c>
      <c r="R1812">
        <f>Final_Table[[#This Row],[Variable Cost]]+Final_Table[[#This Row],[Fixed Monthly Cost]]</f>
        <v>21304.799999999999</v>
      </c>
      <c r="S1812" s="5">
        <f>Final_Table[[#This Row],[Net Revenue]]-Final_Table[[#This Row],[Total Cost (COGS)]]</f>
        <v>-2944.7999999999993</v>
      </c>
      <c r="T1812">
        <f>Final_Table[[#This Row],[Gross Profit]]*Final_Table[[#This Row],[Tax Rate]]</f>
        <v>-883.43999999999971</v>
      </c>
      <c r="U1812" s="5">
        <f>Final_Table[[#This Row],[Gross Profit]]-Final_Table[[#This Row],[Tax]]</f>
        <v>-2061.3599999999997</v>
      </c>
      <c r="V1812" s="12">
        <f>Final_Table[[#This Row],[Net Profit]]/Final_Table[[#This Row],[Gross Revenue]]</f>
        <v>-0.10104705882352939</v>
      </c>
    </row>
    <row r="1813" spans="1:22">
      <c r="A1813" s="18" t="s">
        <v>68</v>
      </c>
      <c r="B1813">
        <v>2014</v>
      </c>
      <c r="C1813" t="s">
        <v>132</v>
      </c>
      <c r="D1813">
        <v>1</v>
      </c>
      <c r="E1813" s="18" t="s">
        <v>22</v>
      </c>
      <c r="F1813" s="18" t="s">
        <v>112</v>
      </c>
      <c r="G1813" s="18" t="s">
        <v>23</v>
      </c>
      <c r="H1813" s="18" t="str">
        <f>Assumptions!$B$2</f>
        <v>Worst</v>
      </c>
      <c r="I1813" s="18">
        <f>_xlfn.XLOOKUP(Assumptions!$B$2,Assumptions!$F$4:$H$4,Assumptions!$F$5:$H$5)</f>
        <v>1200</v>
      </c>
      <c r="J1813" s="18">
        <f>_xlfn.XLOOKUP(Assumptions!$B$2,Assumptions!$F$4:$H$4,Assumptions!$F$6:$H$6)</f>
        <v>17</v>
      </c>
      <c r="K1813" s="12">
        <f>_xlfn.XLOOKUP(Assumptions!$B$2,Assumptions!$F$4:$H$4,Assumptions!$F$8:$H$8)</f>
        <v>0.1</v>
      </c>
      <c r="L1813" s="12">
        <f>_xlfn.XLOOKUP(Assumptions!$B$2,Assumptions!$F$4:$H$4,Assumptions!$F$9:$H$9)</f>
        <v>0.18</v>
      </c>
      <c r="M1813" s="18">
        <f>_xlfn.XLOOKUP(Assumptions!$B$2,Assumptions!$F$4:$H$4,Assumptions!$F$10:$H$10)</f>
        <v>18000</v>
      </c>
      <c r="N1813" s="12">
        <f>_xlfn.XLOOKUP(Assumptions!$B$2,Assumptions!$F$4:$H$4,Assumptions!$F$11:$H$11)</f>
        <v>0.3</v>
      </c>
      <c r="O1813" s="14">
        <f>Final_Table[[#This Row],[Units Sold]]*Final_Table[[#This Row],[Sale Price]]</f>
        <v>20400</v>
      </c>
      <c r="P1813" s="14">
        <f>Final_Table[[#This Row],[Gross Revenue]]*(1-Final_Table[[#This Row],[Discount %]])</f>
        <v>18360</v>
      </c>
      <c r="Q1813">
        <f>Final_Table[[#This Row],[Net Revenue]]*Final_Table[[#This Row],[Variable Cost %]]</f>
        <v>3304.7999999999997</v>
      </c>
      <c r="R1813">
        <f>Final_Table[[#This Row],[Variable Cost]]+Final_Table[[#This Row],[Fixed Monthly Cost]]</f>
        <v>21304.799999999999</v>
      </c>
      <c r="S1813" s="5">
        <f>Final_Table[[#This Row],[Net Revenue]]-Final_Table[[#This Row],[Total Cost (COGS)]]</f>
        <v>-2944.7999999999993</v>
      </c>
      <c r="T1813">
        <f>Final_Table[[#This Row],[Gross Profit]]*Final_Table[[#This Row],[Tax Rate]]</f>
        <v>-883.43999999999971</v>
      </c>
      <c r="U1813" s="5">
        <f>Final_Table[[#This Row],[Gross Profit]]-Final_Table[[#This Row],[Tax]]</f>
        <v>-2061.3599999999997</v>
      </c>
      <c r="V1813" s="12">
        <f>Final_Table[[#This Row],[Net Profit]]/Final_Table[[#This Row],[Gross Revenue]]</f>
        <v>-0.10104705882352939</v>
      </c>
    </row>
    <row r="1814" spans="1:22">
      <c r="A1814" s="18" t="s">
        <v>68</v>
      </c>
      <c r="B1814">
        <v>2014</v>
      </c>
      <c r="C1814" t="s">
        <v>132</v>
      </c>
      <c r="D1814">
        <v>1</v>
      </c>
      <c r="E1814" s="18" t="s">
        <v>22</v>
      </c>
      <c r="F1814" s="18" t="s">
        <v>112</v>
      </c>
      <c r="G1814" s="18" t="s">
        <v>21</v>
      </c>
      <c r="H1814" s="18" t="str">
        <f>Assumptions!$B$2</f>
        <v>Worst</v>
      </c>
      <c r="I1814" s="18">
        <f>_xlfn.XLOOKUP(Assumptions!$B$2,Assumptions!$F$4:$H$4,Assumptions!$F$5:$H$5)</f>
        <v>1200</v>
      </c>
      <c r="J1814" s="18">
        <f>_xlfn.XLOOKUP(Assumptions!$B$2,Assumptions!$F$4:$H$4,Assumptions!$F$6:$H$6)</f>
        <v>17</v>
      </c>
      <c r="K1814" s="12">
        <f>_xlfn.XLOOKUP(Assumptions!$B$2,Assumptions!$F$4:$H$4,Assumptions!$F$8:$H$8)</f>
        <v>0.1</v>
      </c>
      <c r="L1814" s="12">
        <f>_xlfn.XLOOKUP(Assumptions!$B$2,Assumptions!$F$4:$H$4,Assumptions!$F$9:$H$9)</f>
        <v>0.18</v>
      </c>
      <c r="M1814" s="18">
        <f>_xlfn.XLOOKUP(Assumptions!$B$2,Assumptions!$F$4:$H$4,Assumptions!$F$10:$H$10)</f>
        <v>18000</v>
      </c>
      <c r="N1814" s="12">
        <f>_xlfn.XLOOKUP(Assumptions!$B$2,Assumptions!$F$4:$H$4,Assumptions!$F$11:$H$11)</f>
        <v>0.3</v>
      </c>
      <c r="O1814" s="14">
        <f>Final_Table[[#This Row],[Units Sold]]*Final_Table[[#This Row],[Sale Price]]</f>
        <v>20400</v>
      </c>
      <c r="P1814" s="14">
        <f>Final_Table[[#This Row],[Gross Revenue]]*(1-Final_Table[[#This Row],[Discount %]])</f>
        <v>18360</v>
      </c>
      <c r="Q1814">
        <f>Final_Table[[#This Row],[Net Revenue]]*Final_Table[[#This Row],[Variable Cost %]]</f>
        <v>3304.7999999999997</v>
      </c>
      <c r="R1814">
        <f>Final_Table[[#This Row],[Variable Cost]]+Final_Table[[#This Row],[Fixed Monthly Cost]]</f>
        <v>21304.799999999999</v>
      </c>
      <c r="S1814" s="5">
        <f>Final_Table[[#This Row],[Net Revenue]]-Final_Table[[#This Row],[Total Cost (COGS)]]</f>
        <v>-2944.7999999999993</v>
      </c>
      <c r="T1814">
        <f>Final_Table[[#This Row],[Gross Profit]]*Final_Table[[#This Row],[Tax Rate]]</f>
        <v>-883.43999999999971</v>
      </c>
      <c r="U1814" s="5">
        <f>Final_Table[[#This Row],[Gross Profit]]-Final_Table[[#This Row],[Tax]]</f>
        <v>-2061.3599999999997</v>
      </c>
      <c r="V1814" s="12">
        <f>Final_Table[[#This Row],[Net Profit]]/Final_Table[[#This Row],[Gross Revenue]]</f>
        <v>-0.10104705882352939</v>
      </c>
    </row>
    <row r="1815" spans="1:22">
      <c r="A1815" s="18" t="s">
        <v>68</v>
      </c>
      <c r="B1815">
        <v>2014</v>
      </c>
      <c r="C1815" t="s">
        <v>132</v>
      </c>
      <c r="D1815">
        <v>1</v>
      </c>
      <c r="E1815" s="18" t="s">
        <v>22</v>
      </c>
      <c r="F1815" s="18" t="s">
        <v>112</v>
      </c>
      <c r="G1815" s="18" t="s">
        <v>25</v>
      </c>
      <c r="H1815" s="18" t="str">
        <f>Assumptions!$B$2</f>
        <v>Worst</v>
      </c>
      <c r="I1815" s="18">
        <f>_xlfn.XLOOKUP(Assumptions!$B$2,Assumptions!$F$4:$H$4,Assumptions!$F$5:$H$5)</f>
        <v>1200</v>
      </c>
      <c r="J1815" s="18">
        <f>_xlfn.XLOOKUP(Assumptions!$B$2,Assumptions!$F$4:$H$4,Assumptions!$F$6:$H$6)</f>
        <v>17</v>
      </c>
      <c r="K1815" s="12">
        <f>_xlfn.XLOOKUP(Assumptions!$B$2,Assumptions!$F$4:$H$4,Assumptions!$F$8:$H$8)</f>
        <v>0.1</v>
      </c>
      <c r="L1815" s="12">
        <f>_xlfn.XLOOKUP(Assumptions!$B$2,Assumptions!$F$4:$H$4,Assumptions!$F$9:$H$9)</f>
        <v>0.18</v>
      </c>
      <c r="M1815" s="18">
        <f>_xlfn.XLOOKUP(Assumptions!$B$2,Assumptions!$F$4:$H$4,Assumptions!$F$10:$H$10)</f>
        <v>18000</v>
      </c>
      <c r="N1815" s="12">
        <f>_xlfn.XLOOKUP(Assumptions!$B$2,Assumptions!$F$4:$H$4,Assumptions!$F$11:$H$11)</f>
        <v>0.3</v>
      </c>
      <c r="O1815" s="14">
        <f>Final_Table[[#This Row],[Units Sold]]*Final_Table[[#This Row],[Sale Price]]</f>
        <v>20400</v>
      </c>
      <c r="P1815" s="14">
        <f>Final_Table[[#This Row],[Gross Revenue]]*(1-Final_Table[[#This Row],[Discount %]])</f>
        <v>18360</v>
      </c>
      <c r="Q1815">
        <f>Final_Table[[#This Row],[Net Revenue]]*Final_Table[[#This Row],[Variable Cost %]]</f>
        <v>3304.7999999999997</v>
      </c>
      <c r="R1815">
        <f>Final_Table[[#This Row],[Variable Cost]]+Final_Table[[#This Row],[Fixed Monthly Cost]]</f>
        <v>21304.799999999999</v>
      </c>
      <c r="S1815" s="5">
        <f>Final_Table[[#This Row],[Net Revenue]]-Final_Table[[#This Row],[Total Cost (COGS)]]</f>
        <v>-2944.7999999999993</v>
      </c>
      <c r="T1815">
        <f>Final_Table[[#This Row],[Gross Profit]]*Final_Table[[#This Row],[Tax Rate]]</f>
        <v>-883.43999999999971</v>
      </c>
      <c r="U1815" s="5">
        <f>Final_Table[[#This Row],[Gross Profit]]-Final_Table[[#This Row],[Tax]]</f>
        <v>-2061.3599999999997</v>
      </c>
      <c r="V1815" s="12">
        <f>Final_Table[[#This Row],[Net Profit]]/Final_Table[[#This Row],[Gross Revenue]]</f>
        <v>-0.10104705882352939</v>
      </c>
    </row>
    <row r="1816" spans="1:22">
      <c r="A1816" s="18" t="s">
        <v>68</v>
      </c>
      <c r="B1816">
        <v>2014</v>
      </c>
      <c r="C1816" t="s">
        <v>132</v>
      </c>
      <c r="D1816">
        <v>1</v>
      </c>
      <c r="E1816" s="18" t="s">
        <v>22</v>
      </c>
      <c r="F1816" s="18" t="s">
        <v>112</v>
      </c>
      <c r="G1816" s="18" t="s">
        <v>17</v>
      </c>
      <c r="H1816" s="18" t="str">
        <f>Assumptions!$B$2</f>
        <v>Worst</v>
      </c>
      <c r="I1816" s="18">
        <f>_xlfn.XLOOKUP(Assumptions!$B$2,Assumptions!$F$4:$H$4,Assumptions!$F$5:$H$5)</f>
        <v>1200</v>
      </c>
      <c r="J1816" s="18">
        <f>_xlfn.XLOOKUP(Assumptions!$B$2,Assumptions!$F$4:$H$4,Assumptions!$F$6:$H$6)</f>
        <v>17</v>
      </c>
      <c r="K1816" s="12">
        <f>_xlfn.XLOOKUP(Assumptions!$B$2,Assumptions!$F$4:$H$4,Assumptions!$F$8:$H$8)</f>
        <v>0.1</v>
      </c>
      <c r="L1816" s="12">
        <f>_xlfn.XLOOKUP(Assumptions!$B$2,Assumptions!$F$4:$H$4,Assumptions!$F$9:$H$9)</f>
        <v>0.18</v>
      </c>
      <c r="M1816" s="18">
        <f>_xlfn.XLOOKUP(Assumptions!$B$2,Assumptions!$F$4:$H$4,Assumptions!$F$10:$H$10)</f>
        <v>18000</v>
      </c>
      <c r="N1816" s="12">
        <f>_xlfn.XLOOKUP(Assumptions!$B$2,Assumptions!$F$4:$H$4,Assumptions!$F$11:$H$11)</f>
        <v>0.3</v>
      </c>
      <c r="O1816" s="14">
        <f>Final_Table[[#This Row],[Units Sold]]*Final_Table[[#This Row],[Sale Price]]</f>
        <v>20400</v>
      </c>
      <c r="P1816" s="14">
        <f>Final_Table[[#This Row],[Gross Revenue]]*(1-Final_Table[[#This Row],[Discount %]])</f>
        <v>18360</v>
      </c>
      <c r="Q1816">
        <f>Final_Table[[#This Row],[Net Revenue]]*Final_Table[[#This Row],[Variable Cost %]]</f>
        <v>3304.7999999999997</v>
      </c>
      <c r="R1816">
        <f>Final_Table[[#This Row],[Variable Cost]]+Final_Table[[#This Row],[Fixed Monthly Cost]]</f>
        <v>21304.799999999999</v>
      </c>
      <c r="S1816" s="5">
        <f>Final_Table[[#This Row],[Net Revenue]]-Final_Table[[#This Row],[Total Cost (COGS)]]</f>
        <v>-2944.7999999999993</v>
      </c>
      <c r="T1816">
        <f>Final_Table[[#This Row],[Gross Profit]]*Final_Table[[#This Row],[Tax Rate]]</f>
        <v>-883.43999999999971</v>
      </c>
      <c r="U1816" s="5">
        <f>Final_Table[[#This Row],[Gross Profit]]-Final_Table[[#This Row],[Tax]]</f>
        <v>-2061.3599999999997</v>
      </c>
      <c r="V1816" s="12">
        <f>Final_Table[[#This Row],[Net Profit]]/Final_Table[[#This Row],[Gross Revenue]]</f>
        <v>-0.10104705882352939</v>
      </c>
    </row>
    <row r="1817" spans="1:22">
      <c r="A1817" s="18" t="s">
        <v>68</v>
      </c>
      <c r="B1817">
        <v>2014</v>
      </c>
      <c r="C1817" t="s">
        <v>132</v>
      </c>
      <c r="D1817">
        <v>1</v>
      </c>
      <c r="E1817" s="18" t="s">
        <v>22</v>
      </c>
      <c r="F1817" s="18" t="s">
        <v>113</v>
      </c>
      <c r="G1817" s="18" t="s">
        <v>36</v>
      </c>
      <c r="H1817" s="18" t="str">
        <f>Assumptions!$B$2</f>
        <v>Worst</v>
      </c>
      <c r="I1817" s="18">
        <f>_xlfn.XLOOKUP(Assumptions!$B$2,Assumptions!$F$4:$H$4,Assumptions!$F$5:$H$5)</f>
        <v>1200</v>
      </c>
      <c r="J1817" s="18">
        <f>_xlfn.XLOOKUP(Assumptions!$B$2,Assumptions!$F$4:$H$4,Assumptions!$F$6:$H$6)</f>
        <v>17</v>
      </c>
      <c r="K1817" s="12">
        <f>_xlfn.XLOOKUP(Assumptions!$B$2,Assumptions!$F$4:$H$4,Assumptions!$F$8:$H$8)</f>
        <v>0.1</v>
      </c>
      <c r="L1817" s="12">
        <f>_xlfn.XLOOKUP(Assumptions!$B$2,Assumptions!$F$4:$H$4,Assumptions!$F$9:$H$9)</f>
        <v>0.18</v>
      </c>
      <c r="M1817" s="18">
        <f>_xlfn.XLOOKUP(Assumptions!$B$2,Assumptions!$F$4:$H$4,Assumptions!$F$10:$H$10)</f>
        <v>18000</v>
      </c>
      <c r="N1817" s="12">
        <f>_xlfn.XLOOKUP(Assumptions!$B$2,Assumptions!$F$4:$H$4,Assumptions!$F$11:$H$11)</f>
        <v>0.3</v>
      </c>
      <c r="O1817" s="14">
        <f>Final_Table[[#This Row],[Units Sold]]*Final_Table[[#This Row],[Sale Price]]</f>
        <v>20400</v>
      </c>
      <c r="P1817" s="14">
        <f>Final_Table[[#This Row],[Gross Revenue]]*(1-Final_Table[[#This Row],[Discount %]])</f>
        <v>18360</v>
      </c>
      <c r="Q1817">
        <f>Final_Table[[#This Row],[Net Revenue]]*Final_Table[[#This Row],[Variable Cost %]]</f>
        <v>3304.7999999999997</v>
      </c>
      <c r="R1817">
        <f>Final_Table[[#This Row],[Variable Cost]]+Final_Table[[#This Row],[Fixed Monthly Cost]]</f>
        <v>21304.799999999999</v>
      </c>
      <c r="S1817" s="5">
        <f>Final_Table[[#This Row],[Net Revenue]]-Final_Table[[#This Row],[Total Cost (COGS)]]</f>
        <v>-2944.7999999999993</v>
      </c>
      <c r="T1817">
        <f>Final_Table[[#This Row],[Gross Profit]]*Final_Table[[#This Row],[Tax Rate]]</f>
        <v>-883.43999999999971</v>
      </c>
      <c r="U1817" s="5">
        <f>Final_Table[[#This Row],[Gross Profit]]-Final_Table[[#This Row],[Tax]]</f>
        <v>-2061.3599999999997</v>
      </c>
      <c r="V1817" s="12">
        <f>Final_Table[[#This Row],[Net Profit]]/Final_Table[[#This Row],[Gross Revenue]]</f>
        <v>-0.10104705882352939</v>
      </c>
    </row>
    <row r="1818" spans="1:22">
      <c r="A1818" s="18" t="s">
        <v>68</v>
      </c>
      <c r="B1818">
        <v>2014</v>
      </c>
      <c r="C1818" t="s">
        <v>132</v>
      </c>
      <c r="D1818">
        <v>1</v>
      </c>
      <c r="E1818" s="18" t="s">
        <v>22</v>
      </c>
      <c r="F1818" s="18" t="s">
        <v>113</v>
      </c>
      <c r="G1818" s="18" t="s">
        <v>23</v>
      </c>
      <c r="H1818" s="18" t="str">
        <f>Assumptions!$B$2</f>
        <v>Worst</v>
      </c>
      <c r="I1818" s="18">
        <f>_xlfn.XLOOKUP(Assumptions!$B$2,Assumptions!$F$4:$H$4,Assumptions!$F$5:$H$5)</f>
        <v>1200</v>
      </c>
      <c r="J1818" s="18">
        <f>_xlfn.XLOOKUP(Assumptions!$B$2,Assumptions!$F$4:$H$4,Assumptions!$F$6:$H$6)</f>
        <v>17</v>
      </c>
      <c r="K1818" s="12">
        <f>_xlfn.XLOOKUP(Assumptions!$B$2,Assumptions!$F$4:$H$4,Assumptions!$F$8:$H$8)</f>
        <v>0.1</v>
      </c>
      <c r="L1818" s="12">
        <f>_xlfn.XLOOKUP(Assumptions!$B$2,Assumptions!$F$4:$H$4,Assumptions!$F$9:$H$9)</f>
        <v>0.18</v>
      </c>
      <c r="M1818" s="18">
        <f>_xlfn.XLOOKUP(Assumptions!$B$2,Assumptions!$F$4:$H$4,Assumptions!$F$10:$H$10)</f>
        <v>18000</v>
      </c>
      <c r="N1818" s="12">
        <f>_xlfn.XLOOKUP(Assumptions!$B$2,Assumptions!$F$4:$H$4,Assumptions!$F$11:$H$11)</f>
        <v>0.3</v>
      </c>
      <c r="O1818" s="14">
        <f>Final_Table[[#This Row],[Units Sold]]*Final_Table[[#This Row],[Sale Price]]</f>
        <v>20400</v>
      </c>
      <c r="P1818" s="14">
        <f>Final_Table[[#This Row],[Gross Revenue]]*(1-Final_Table[[#This Row],[Discount %]])</f>
        <v>18360</v>
      </c>
      <c r="Q1818">
        <f>Final_Table[[#This Row],[Net Revenue]]*Final_Table[[#This Row],[Variable Cost %]]</f>
        <v>3304.7999999999997</v>
      </c>
      <c r="R1818">
        <f>Final_Table[[#This Row],[Variable Cost]]+Final_Table[[#This Row],[Fixed Monthly Cost]]</f>
        <v>21304.799999999999</v>
      </c>
      <c r="S1818" s="5">
        <f>Final_Table[[#This Row],[Net Revenue]]-Final_Table[[#This Row],[Total Cost (COGS)]]</f>
        <v>-2944.7999999999993</v>
      </c>
      <c r="T1818">
        <f>Final_Table[[#This Row],[Gross Profit]]*Final_Table[[#This Row],[Tax Rate]]</f>
        <v>-883.43999999999971</v>
      </c>
      <c r="U1818" s="5">
        <f>Final_Table[[#This Row],[Gross Profit]]-Final_Table[[#This Row],[Tax]]</f>
        <v>-2061.3599999999997</v>
      </c>
      <c r="V1818" s="12">
        <f>Final_Table[[#This Row],[Net Profit]]/Final_Table[[#This Row],[Gross Revenue]]</f>
        <v>-0.10104705882352939</v>
      </c>
    </row>
    <row r="1819" spans="1:22">
      <c r="A1819" s="18" t="s">
        <v>68</v>
      </c>
      <c r="B1819">
        <v>2014</v>
      </c>
      <c r="C1819" t="s">
        <v>132</v>
      </c>
      <c r="D1819">
        <v>1</v>
      </c>
      <c r="E1819" s="18" t="s">
        <v>22</v>
      </c>
      <c r="F1819" s="18" t="s">
        <v>113</v>
      </c>
      <c r="G1819" s="18" t="s">
        <v>21</v>
      </c>
      <c r="H1819" s="18" t="str">
        <f>Assumptions!$B$2</f>
        <v>Worst</v>
      </c>
      <c r="I1819" s="18">
        <f>_xlfn.XLOOKUP(Assumptions!$B$2,Assumptions!$F$4:$H$4,Assumptions!$F$5:$H$5)</f>
        <v>1200</v>
      </c>
      <c r="J1819" s="18">
        <f>_xlfn.XLOOKUP(Assumptions!$B$2,Assumptions!$F$4:$H$4,Assumptions!$F$6:$H$6)</f>
        <v>17</v>
      </c>
      <c r="K1819" s="12">
        <f>_xlfn.XLOOKUP(Assumptions!$B$2,Assumptions!$F$4:$H$4,Assumptions!$F$8:$H$8)</f>
        <v>0.1</v>
      </c>
      <c r="L1819" s="12">
        <f>_xlfn.XLOOKUP(Assumptions!$B$2,Assumptions!$F$4:$H$4,Assumptions!$F$9:$H$9)</f>
        <v>0.18</v>
      </c>
      <c r="M1819" s="18">
        <f>_xlfn.XLOOKUP(Assumptions!$B$2,Assumptions!$F$4:$H$4,Assumptions!$F$10:$H$10)</f>
        <v>18000</v>
      </c>
      <c r="N1819" s="12">
        <f>_xlfn.XLOOKUP(Assumptions!$B$2,Assumptions!$F$4:$H$4,Assumptions!$F$11:$H$11)</f>
        <v>0.3</v>
      </c>
      <c r="O1819" s="14">
        <f>Final_Table[[#This Row],[Units Sold]]*Final_Table[[#This Row],[Sale Price]]</f>
        <v>20400</v>
      </c>
      <c r="P1819" s="14">
        <f>Final_Table[[#This Row],[Gross Revenue]]*(1-Final_Table[[#This Row],[Discount %]])</f>
        <v>18360</v>
      </c>
      <c r="Q1819">
        <f>Final_Table[[#This Row],[Net Revenue]]*Final_Table[[#This Row],[Variable Cost %]]</f>
        <v>3304.7999999999997</v>
      </c>
      <c r="R1819">
        <f>Final_Table[[#This Row],[Variable Cost]]+Final_Table[[#This Row],[Fixed Monthly Cost]]</f>
        <v>21304.799999999999</v>
      </c>
      <c r="S1819" s="5">
        <f>Final_Table[[#This Row],[Net Revenue]]-Final_Table[[#This Row],[Total Cost (COGS)]]</f>
        <v>-2944.7999999999993</v>
      </c>
      <c r="T1819">
        <f>Final_Table[[#This Row],[Gross Profit]]*Final_Table[[#This Row],[Tax Rate]]</f>
        <v>-883.43999999999971</v>
      </c>
      <c r="U1819" s="5">
        <f>Final_Table[[#This Row],[Gross Profit]]-Final_Table[[#This Row],[Tax]]</f>
        <v>-2061.3599999999997</v>
      </c>
      <c r="V1819" s="12">
        <f>Final_Table[[#This Row],[Net Profit]]/Final_Table[[#This Row],[Gross Revenue]]</f>
        <v>-0.10104705882352939</v>
      </c>
    </row>
    <row r="1820" spans="1:22">
      <c r="A1820" s="18" t="s">
        <v>68</v>
      </c>
      <c r="B1820">
        <v>2014</v>
      </c>
      <c r="C1820" t="s">
        <v>132</v>
      </c>
      <c r="D1820">
        <v>1</v>
      </c>
      <c r="E1820" s="18" t="s">
        <v>22</v>
      </c>
      <c r="F1820" s="18" t="s">
        <v>113</v>
      </c>
      <c r="G1820" s="18" t="s">
        <v>25</v>
      </c>
      <c r="H1820" s="18" t="str">
        <f>Assumptions!$B$2</f>
        <v>Worst</v>
      </c>
      <c r="I1820" s="18">
        <f>_xlfn.XLOOKUP(Assumptions!$B$2,Assumptions!$F$4:$H$4,Assumptions!$F$5:$H$5)</f>
        <v>1200</v>
      </c>
      <c r="J1820" s="18">
        <f>_xlfn.XLOOKUP(Assumptions!$B$2,Assumptions!$F$4:$H$4,Assumptions!$F$6:$H$6)</f>
        <v>17</v>
      </c>
      <c r="K1820" s="12">
        <f>_xlfn.XLOOKUP(Assumptions!$B$2,Assumptions!$F$4:$H$4,Assumptions!$F$8:$H$8)</f>
        <v>0.1</v>
      </c>
      <c r="L1820" s="12">
        <f>_xlfn.XLOOKUP(Assumptions!$B$2,Assumptions!$F$4:$H$4,Assumptions!$F$9:$H$9)</f>
        <v>0.18</v>
      </c>
      <c r="M1820" s="18">
        <f>_xlfn.XLOOKUP(Assumptions!$B$2,Assumptions!$F$4:$H$4,Assumptions!$F$10:$H$10)</f>
        <v>18000</v>
      </c>
      <c r="N1820" s="12">
        <f>_xlfn.XLOOKUP(Assumptions!$B$2,Assumptions!$F$4:$H$4,Assumptions!$F$11:$H$11)</f>
        <v>0.3</v>
      </c>
      <c r="O1820" s="14">
        <f>Final_Table[[#This Row],[Units Sold]]*Final_Table[[#This Row],[Sale Price]]</f>
        <v>20400</v>
      </c>
      <c r="P1820" s="14">
        <f>Final_Table[[#This Row],[Gross Revenue]]*(1-Final_Table[[#This Row],[Discount %]])</f>
        <v>18360</v>
      </c>
      <c r="Q1820">
        <f>Final_Table[[#This Row],[Net Revenue]]*Final_Table[[#This Row],[Variable Cost %]]</f>
        <v>3304.7999999999997</v>
      </c>
      <c r="R1820">
        <f>Final_Table[[#This Row],[Variable Cost]]+Final_Table[[#This Row],[Fixed Monthly Cost]]</f>
        <v>21304.799999999999</v>
      </c>
      <c r="S1820" s="5">
        <f>Final_Table[[#This Row],[Net Revenue]]-Final_Table[[#This Row],[Total Cost (COGS)]]</f>
        <v>-2944.7999999999993</v>
      </c>
      <c r="T1820">
        <f>Final_Table[[#This Row],[Gross Profit]]*Final_Table[[#This Row],[Tax Rate]]</f>
        <v>-883.43999999999971</v>
      </c>
      <c r="U1820" s="5">
        <f>Final_Table[[#This Row],[Gross Profit]]-Final_Table[[#This Row],[Tax]]</f>
        <v>-2061.3599999999997</v>
      </c>
      <c r="V1820" s="12">
        <f>Final_Table[[#This Row],[Net Profit]]/Final_Table[[#This Row],[Gross Revenue]]</f>
        <v>-0.10104705882352939</v>
      </c>
    </row>
    <row r="1821" spans="1:22">
      <c r="A1821" s="18" t="s">
        <v>68</v>
      </c>
      <c r="B1821">
        <v>2014</v>
      </c>
      <c r="C1821" t="s">
        <v>132</v>
      </c>
      <c r="D1821">
        <v>1</v>
      </c>
      <c r="E1821" s="18" t="s">
        <v>22</v>
      </c>
      <c r="F1821" s="18" t="s">
        <v>113</v>
      </c>
      <c r="G1821" s="18" t="s">
        <v>17</v>
      </c>
      <c r="H1821" s="18" t="str">
        <f>Assumptions!$B$2</f>
        <v>Worst</v>
      </c>
      <c r="I1821" s="18">
        <f>_xlfn.XLOOKUP(Assumptions!$B$2,Assumptions!$F$4:$H$4,Assumptions!$F$5:$H$5)</f>
        <v>1200</v>
      </c>
      <c r="J1821" s="18">
        <f>_xlfn.XLOOKUP(Assumptions!$B$2,Assumptions!$F$4:$H$4,Assumptions!$F$6:$H$6)</f>
        <v>17</v>
      </c>
      <c r="K1821" s="12">
        <f>_xlfn.XLOOKUP(Assumptions!$B$2,Assumptions!$F$4:$H$4,Assumptions!$F$8:$H$8)</f>
        <v>0.1</v>
      </c>
      <c r="L1821" s="12">
        <f>_xlfn.XLOOKUP(Assumptions!$B$2,Assumptions!$F$4:$H$4,Assumptions!$F$9:$H$9)</f>
        <v>0.18</v>
      </c>
      <c r="M1821" s="18">
        <f>_xlfn.XLOOKUP(Assumptions!$B$2,Assumptions!$F$4:$H$4,Assumptions!$F$10:$H$10)</f>
        <v>18000</v>
      </c>
      <c r="N1821" s="12">
        <f>_xlfn.XLOOKUP(Assumptions!$B$2,Assumptions!$F$4:$H$4,Assumptions!$F$11:$H$11)</f>
        <v>0.3</v>
      </c>
      <c r="O1821" s="14">
        <f>Final_Table[[#This Row],[Units Sold]]*Final_Table[[#This Row],[Sale Price]]</f>
        <v>20400</v>
      </c>
      <c r="P1821" s="14">
        <f>Final_Table[[#This Row],[Gross Revenue]]*(1-Final_Table[[#This Row],[Discount %]])</f>
        <v>18360</v>
      </c>
      <c r="Q1821">
        <f>Final_Table[[#This Row],[Net Revenue]]*Final_Table[[#This Row],[Variable Cost %]]</f>
        <v>3304.7999999999997</v>
      </c>
      <c r="R1821">
        <f>Final_Table[[#This Row],[Variable Cost]]+Final_Table[[#This Row],[Fixed Monthly Cost]]</f>
        <v>21304.799999999999</v>
      </c>
      <c r="S1821" s="5">
        <f>Final_Table[[#This Row],[Net Revenue]]-Final_Table[[#This Row],[Total Cost (COGS)]]</f>
        <v>-2944.7999999999993</v>
      </c>
      <c r="T1821">
        <f>Final_Table[[#This Row],[Gross Profit]]*Final_Table[[#This Row],[Tax Rate]]</f>
        <v>-883.43999999999971</v>
      </c>
      <c r="U1821" s="5">
        <f>Final_Table[[#This Row],[Gross Profit]]-Final_Table[[#This Row],[Tax]]</f>
        <v>-2061.3599999999997</v>
      </c>
      <c r="V1821" s="12">
        <f>Final_Table[[#This Row],[Net Profit]]/Final_Table[[#This Row],[Gross Revenue]]</f>
        <v>-0.10104705882352939</v>
      </c>
    </row>
    <row r="1822" spans="1:22">
      <c r="A1822" s="18" t="s">
        <v>68</v>
      </c>
      <c r="B1822">
        <v>2014</v>
      </c>
      <c r="C1822" t="s">
        <v>132</v>
      </c>
      <c r="D1822">
        <v>1</v>
      </c>
      <c r="E1822" s="18" t="s">
        <v>22</v>
      </c>
      <c r="F1822" s="18" t="s">
        <v>114</v>
      </c>
      <c r="G1822" s="18" t="s">
        <v>36</v>
      </c>
      <c r="H1822" s="18" t="str">
        <f>Assumptions!$B$2</f>
        <v>Worst</v>
      </c>
      <c r="I1822" s="18">
        <f>_xlfn.XLOOKUP(Assumptions!$B$2,Assumptions!$F$4:$H$4,Assumptions!$F$5:$H$5)</f>
        <v>1200</v>
      </c>
      <c r="J1822" s="18">
        <f>_xlfn.XLOOKUP(Assumptions!$B$2,Assumptions!$F$4:$H$4,Assumptions!$F$6:$H$6)</f>
        <v>17</v>
      </c>
      <c r="K1822" s="12">
        <f>_xlfn.XLOOKUP(Assumptions!$B$2,Assumptions!$F$4:$H$4,Assumptions!$F$8:$H$8)</f>
        <v>0.1</v>
      </c>
      <c r="L1822" s="12">
        <f>_xlfn.XLOOKUP(Assumptions!$B$2,Assumptions!$F$4:$H$4,Assumptions!$F$9:$H$9)</f>
        <v>0.18</v>
      </c>
      <c r="M1822" s="18">
        <f>_xlfn.XLOOKUP(Assumptions!$B$2,Assumptions!$F$4:$H$4,Assumptions!$F$10:$H$10)</f>
        <v>18000</v>
      </c>
      <c r="N1822" s="12">
        <f>_xlfn.XLOOKUP(Assumptions!$B$2,Assumptions!$F$4:$H$4,Assumptions!$F$11:$H$11)</f>
        <v>0.3</v>
      </c>
      <c r="O1822" s="14">
        <f>Final_Table[[#This Row],[Units Sold]]*Final_Table[[#This Row],[Sale Price]]</f>
        <v>20400</v>
      </c>
      <c r="P1822" s="14">
        <f>Final_Table[[#This Row],[Gross Revenue]]*(1-Final_Table[[#This Row],[Discount %]])</f>
        <v>18360</v>
      </c>
      <c r="Q1822">
        <f>Final_Table[[#This Row],[Net Revenue]]*Final_Table[[#This Row],[Variable Cost %]]</f>
        <v>3304.7999999999997</v>
      </c>
      <c r="R1822">
        <f>Final_Table[[#This Row],[Variable Cost]]+Final_Table[[#This Row],[Fixed Monthly Cost]]</f>
        <v>21304.799999999999</v>
      </c>
      <c r="S1822" s="5">
        <f>Final_Table[[#This Row],[Net Revenue]]-Final_Table[[#This Row],[Total Cost (COGS)]]</f>
        <v>-2944.7999999999993</v>
      </c>
      <c r="T1822">
        <f>Final_Table[[#This Row],[Gross Profit]]*Final_Table[[#This Row],[Tax Rate]]</f>
        <v>-883.43999999999971</v>
      </c>
      <c r="U1822" s="5">
        <f>Final_Table[[#This Row],[Gross Profit]]-Final_Table[[#This Row],[Tax]]</f>
        <v>-2061.3599999999997</v>
      </c>
      <c r="V1822" s="12">
        <f>Final_Table[[#This Row],[Net Profit]]/Final_Table[[#This Row],[Gross Revenue]]</f>
        <v>-0.10104705882352939</v>
      </c>
    </row>
    <row r="1823" spans="1:22">
      <c r="A1823" s="18" t="s">
        <v>68</v>
      </c>
      <c r="B1823">
        <v>2014</v>
      </c>
      <c r="C1823" t="s">
        <v>132</v>
      </c>
      <c r="D1823">
        <v>1</v>
      </c>
      <c r="E1823" s="18" t="s">
        <v>22</v>
      </c>
      <c r="F1823" s="18" t="s">
        <v>114</v>
      </c>
      <c r="G1823" s="18" t="s">
        <v>23</v>
      </c>
      <c r="H1823" s="18" t="str">
        <f>Assumptions!$B$2</f>
        <v>Worst</v>
      </c>
      <c r="I1823" s="18">
        <f>_xlfn.XLOOKUP(Assumptions!$B$2,Assumptions!$F$4:$H$4,Assumptions!$F$5:$H$5)</f>
        <v>1200</v>
      </c>
      <c r="J1823" s="18">
        <f>_xlfn.XLOOKUP(Assumptions!$B$2,Assumptions!$F$4:$H$4,Assumptions!$F$6:$H$6)</f>
        <v>17</v>
      </c>
      <c r="K1823" s="12">
        <f>_xlfn.XLOOKUP(Assumptions!$B$2,Assumptions!$F$4:$H$4,Assumptions!$F$8:$H$8)</f>
        <v>0.1</v>
      </c>
      <c r="L1823" s="12">
        <f>_xlfn.XLOOKUP(Assumptions!$B$2,Assumptions!$F$4:$H$4,Assumptions!$F$9:$H$9)</f>
        <v>0.18</v>
      </c>
      <c r="M1823" s="18">
        <f>_xlfn.XLOOKUP(Assumptions!$B$2,Assumptions!$F$4:$H$4,Assumptions!$F$10:$H$10)</f>
        <v>18000</v>
      </c>
      <c r="N1823" s="12">
        <f>_xlfn.XLOOKUP(Assumptions!$B$2,Assumptions!$F$4:$H$4,Assumptions!$F$11:$H$11)</f>
        <v>0.3</v>
      </c>
      <c r="O1823" s="14">
        <f>Final_Table[[#This Row],[Units Sold]]*Final_Table[[#This Row],[Sale Price]]</f>
        <v>20400</v>
      </c>
      <c r="P1823" s="14">
        <f>Final_Table[[#This Row],[Gross Revenue]]*(1-Final_Table[[#This Row],[Discount %]])</f>
        <v>18360</v>
      </c>
      <c r="Q1823">
        <f>Final_Table[[#This Row],[Net Revenue]]*Final_Table[[#This Row],[Variable Cost %]]</f>
        <v>3304.7999999999997</v>
      </c>
      <c r="R1823">
        <f>Final_Table[[#This Row],[Variable Cost]]+Final_Table[[#This Row],[Fixed Monthly Cost]]</f>
        <v>21304.799999999999</v>
      </c>
      <c r="S1823" s="5">
        <f>Final_Table[[#This Row],[Net Revenue]]-Final_Table[[#This Row],[Total Cost (COGS)]]</f>
        <v>-2944.7999999999993</v>
      </c>
      <c r="T1823">
        <f>Final_Table[[#This Row],[Gross Profit]]*Final_Table[[#This Row],[Tax Rate]]</f>
        <v>-883.43999999999971</v>
      </c>
      <c r="U1823" s="5">
        <f>Final_Table[[#This Row],[Gross Profit]]-Final_Table[[#This Row],[Tax]]</f>
        <v>-2061.3599999999997</v>
      </c>
      <c r="V1823" s="12">
        <f>Final_Table[[#This Row],[Net Profit]]/Final_Table[[#This Row],[Gross Revenue]]</f>
        <v>-0.10104705882352939</v>
      </c>
    </row>
    <row r="1824" spans="1:22">
      <c r="A1824" s="18" t="s">
        <v>68</v>
      </c>
      <c r="B1824">
        <v>2014</v>
      </c>
      <c r="C1824" t="s">
        <v>132</v>
      </c>
      <c r="D1824">
        <v>1</v>
      </c>
      <c r="E1824" s="18" t="s">
        <v>22</v>
      </c>
      <c r="F1824" s="18" t="s">
        <v>114</v>
      </c>
      <c r="G1824" s="18" t="s">
        <v>21</v>
      </c>
      <c r="H1824" s="18" t="str">
        <f>Assumptions!$B$2</f>
        <v>Worst</v>
      </c>
      <c r="I1824" s="18">
        <f>_xlfn.XLOOKUP(Assumptions!$B$2,Assumptions!$F$4:$H$4,Assumptions!$F$5:$H$5)</f>
        <v>1200</v>
      </c>
      <c r="J1824" s="18">
        <f>_xlfn.XLOOKUP(Assumptions!$B$2,Assumptions!$F$4:$H$4,Assumptions!$F$6:$H$6)</f>
        <v>17</v>
      </c>
      <c r="K1824" s="12">
        <f>_xlfn.XLOOKUP(Assumptions!$B$2,Assumptions!$F$4:$H$4,Assumptions!$F$8:$H$8)</f>
        <v>0.1</v>
      </c>
      <c r="L1824" s="12">
        <f>_xlfn.XLOOKUP(Assumptions!$B$2,Assumptions!$F$4:$H$4,Assumptions!$F$9:$H$9)</f>
        <v>0.18</v>
      </c>
      <c r="M1824" s="18">
        <f>_xlfn.XLOOKUP(Assumptions!$B$2,Assumptions!$F$4:$H$4,Assumptions!$F$10:$H$10)</f>
        <v>18000</v>
      </c>
      <c r="N1824" s="12">
        <f>_xlfn.XLOOKUP(Assumptions!$B$2,Assumptions!$F$4:$H$4,Assumptions!$F$11:$H$11)</f>
        <v>0.3</v>
      </c>
      <c r="O1824" s="14">
        <f>Final_Table[[#This Row],[Units Sold]]*Final_Table[[#This Row],[Sale Price]]</f>
        <v>20400</v>
      </c>
      <c r="P1824" s="14">
        <f>Final_Table[[#This Row],[Gross Revenue]]*(1-Final_Table[[#This Row],[Discount %]])</f>
        <v>18360</v>
      </c>
      <c r="Q1824">
        <f>Final_Table[[#This Row],[Net Revenue]]*Final_Table[[#This Row],[Variable Cost %]]</f>
        <v>3304.7999999999997</v>
      </c>
      <c r="R1824">
        <f>Final_Table[[#This Row],[Variable Cost]]+Final_Table[[#This Row],[Fixed Monthly Cost]]</f>
        <v>21304.799999999999</v>
      </c>
      <c r="S1824" s="5">
        <f>Final_Table[[#This Row],[Net Revenue]]-Final_Table[[#This Row],[Total Cost (COGS)]]</f>
        <v>-2944.7999999999993</v>
      </c>
      <c r="T1824">
        <f>Final_Table[[#This Row],[Gross Profit]]*Final_Table[[#This Row],[Tax Rate]]</f>
        <v>-883.43999999999971</v>
      </c>
      <c r="U1824" s="5">
        <f>Final_Table[[#This Row],[Gross Profit]]-Final_Table[[#This Row],[Tax]]</f>
        <v>-2061.3599999999997</v>
      </c>
      <c r="V1824" s="12">
        <f>Final_Table[[#This Row],[Net Profit]]/Final_Table[[#This Row],[Gross Revenue]]</f>
        <v>-0.10104705882352939</v>
      </c>
    </row>
    <row r="1825" spans="1:22">
      <c r="A1825" s="18" t="s">
        <v>68</v>
      </c>
      <c r="B1825">
        <v>2014</v>
      </c>
      <c r="C1825" t="s">
        <v>132</v>
      </c>
      <c r="D1825">
        <v>1</v>
      </c>
      <c r="E1825" s="18" t="s">
        <v>22</v>
      </c>
      <c r="F1825" s="18" t="s">
        <v>114</v>
      </c>
      <c r="G1825" s="18" t="s">
        <v>25</v>
      </c>
      <c r="H1825" s="18" t="str">
        <f>Assumptions!$B$2</f>
        <v>Worst</v>
      </c>
      <c r="I1825" s="18">
        <f>_xlfn.XLOOKUP(Assumptions!$B$2,Assumptions!$F$4:$H$4,Assumptions!$F$5:$H$5)</f>
        <v>1200</v>
      </c>
      <c r="J1825" s="18">
        <f>_xlfn.XLOOKUP(Assumptions!$B$2,Assumptions!$F$4:$H$4,Assumptions!$F$6:$H$6)</f>
        <v>17</v>
      </c>
      <c r="K1825" s="12">
        <f>_xlfn.XLOOKUP(Assumptions!$B$2,Assumptions!$F$4:$H$4,Assumptions!$F$8:$H$8)</f>
        <v>0.1</v>
      </c>
      <c r="L1825" s="12">
        <f>_xlfn.XLOOKUP(Assumptions!$B$2,Assumptions!$F$4:$H$4,Assumptions!$F$9:$H$9)</f>
        <v>0.18</v>
      </c>
      <c r="M1825" s="18">
        <f>_xlfn.XLOOKUP(Assumptions!$B$2,Assumptions!$F$4:$H$4,Assumptions!$F$10:$H$10)</f>
        <v>18000</v>
      </c>
      <c r="N1825" s="12">
        <f>_xlfn.XLOOKUP(Assumptions!$B$2,Assumptions!$F$4:$H$4,Assumptions!$F$11:$H$11)</f>
        <v>0.3</v>
      </c>
      <c r="O1825" s="14">
        <f>Final_Table[[#This Row],[Units Sold]]*Final_Table[[#This Row],[Sale Price]]</f>
        <v>20400</v>
      </c>
      <c r="P1825" s="14">
        <f>Final_Table[[#This Row],[Gross Revenue]]*(1-Final_Table[[#This Row],[Discount %]])</f>
        <v>18360</v>
      </c>
      <c r="Q1825">
        <f>Final_Table[[#This Row],[Net Revenue]]*Final_Table[[#This Row],[Variable Cost %]]</f>
        <v>3304.7999999999997</v>
      </c>
      <c r="R1825">
        <f>Final_Table[[#This Row],[Variable Cost]]+Final_Table[[#This Row],[Fixed Monthly Cost]]</f>
        <v>21304.799999999999</v>
      </c>
      <c r="S1825" s="5">
        <f>Final_Table[[#This Row],[Net Revenue]]-Final_Table[[#This Row],[Total Cost (COGS)]]</f>
        <v>-2944.7999999999993</v>
      </c>
      <c r="T1825">
        <f>Final_Table[[#This Row],[Gross Profit]]*Final_Table[[#This Row],[Tax Rate]]</f>
        <v>-883.43999999999971</v>
      </c>
      <c r="U1825" s="5">
        <f>Final_Table[[#This Row],[Gross Profit]]-Final_Table[[#This Row],[Tax]]</f>
        <v>-2061.3599999999997</v>
      </c>
      <c r="V1825" s="12">
        <f>Final_Table[[#This Row],[Net Profit]]/Final_Table[[#This Row],[Gross Revenue]]</f>
        <v>-0.10104705882352939</v>
      </c>
    </row>
    <row r="1826" spans="1:22">
      <c r="A1826" s="18" t="s">
        <v>68</v>
      </c>
      <c r="B1826">
        <v>2014</v>
      </c>
      <c r="C1826" t="s">
        <v>132</v>
      </c>
      <c r="D1826">
        <v>1</v>
      </c>
      <c r="E1826" s="18" t="s">
        <v>22</v>
      </c>
      <c r="F1826" s="18" t="s">
        <v>114</v>
      </c>
      <c r="G1826" s="18" t="s">
        <v>17</v>
      </c>
      <c r="H1826" s="18" t="str">
        <f>Assumptions!$B$2</f>
        <v>Worst</v>
      </c>
      <c r="I1826" s="18">
        <f>_xlfn.XLOOKUP(Assumptions!$B$2,Assumptions!$F$4:$H$4,Assumptions!$F$5:$H$5)</f>
        <v>1200</v>
      </c>
      <c r="J1826" s="18">
        <f>_xlfn.XLOOKUP(Assumptions!$B$2,Assumptions!$F$4:$H$4,Assumptions!$F$6:$H$6)</f>
        <v>17</v>
      </c>
      <c r="K1826" s="12">
        <f>_xlfn.XLOOKUP(Assumptions!$B$2,Assumptions!$F$4:$H$4,Assumptions!$F$8:$H$8)</f>
        <v>0.1</v>
      </c>
      <c r="L1826" s="12">
        <f>_xlfn.XLOOKUP(Assumptions!$B$2,Assumptions!$F$4:$H$4,Assumptions!$F$9:$H$9)</f>
        <v>0.18</v>
      </c>
      <c r="M1826" s="18">
        <f>_xlfn.XLOOKUP(Assumptions!$B$2,Assumptions!$F$4:$H$4,Assumptions!$F$10:$H$10)</f>
        <v>18000</v>
      </c>
      <c r="N1826" s="12">
        <f>_xlfn.XLOOKUP(Assumptions!$B$2,Assumptions!$F$4:$H$4,Assumptions!$F$11:$H$11)</f>
        <v>0.3</v>
      </c>
      <c r="O1826" s="14">
        <f>Final_Table[[#This Row],[Units Sold]]*Final_Table[[#This Row],[Sale Price]]</f>
        <v>20400</v>
      </c>
      <c r="P1826" s="14">
        <f>Final_Table[[#This Row],[Gross Revenue]]*(1-Final_Table[[#This Row],[Discount %]])</f>
        <v>18360</v>
      </c>
      <c r="Q1826">
        <f>Final_Table[[#This Row],[Net Revenue]]*Final_Table[[#This Row],[Variable Cost %]]</f>
        <v>3304.7999999999997</v>
      </c>
      <c r="R1826">
        <f>Final_Table[[#This Row],[Variable Cost]]+Final_Table[[#This Row],[Fixed Monthly Cost]]</f>
        <v>21304.799999999999</v>
      </c>
      <c r="S1826" s="5">
        <f>Final_Table[[#This Row],[Net Revenue]]-Final_Table[[#This Row],[Total Cost (COGS)]]</f>
        <v>-2944.7999999999993</v>
      </c>
      <c r="T1826">
        <f>Final_Table[[#This Row],[Gross Profit]]*Final_Table[[#This Row],[Tax Rate]]</f>
        <v>-883.43999999999971</v>
      </c>
      <c r="U1826" s="5">
        <f>Final_Table[[#This Row],[Gross Profit]]-Final_Table[[#This Row],[Tax]]</f>
        <v>-2061.3599999999997</v>
      </c>
      <c r="V1826" s="12">
        <f>Final_Table[[#This Row],[Net Profit]]/Final_Table[[#This Row],[Gross Revenue]]</f>
        <v>-0.10104705882352939</v>
      </c>
    </row>
    <row r="1827" spans="1:22">
      <c r="A1827" s="18" t="s">
        <v>68</v>
      </c>
      <c r="B1827">
        <v>2014</v>
      </c>
      <c r="C1827" t="s">
        <v>132</v>
      </c>
      <c r="D1827">
        <v>1</v>
      </c>
      <c r="E1827" s="18" t="s">
        <v>16</v>
      </c>
      <c r="F1827" s="18" t="s">
        <v>80</v>
      </c>
      <c r="G1827" s="18" t="s">
        <v>36</v>
      </c>
      <c r="H1827" s="18" t="str">
        <f>Assumptions!$B$2</f>
        <v>Worst</v>
      </c>
      <c r="I1827" s="18">
        <f>_xlfn.XLOOKUP(Assumptions!$B$2,Assumptions!$F$4:$H$4,Assumptions!$F$5:$H$5)</f>
        <v>1200</v>
      </c>
      <c r="J1827" s="18">
        <f>_xlfn.XLOOKUP(Assumptions!$B$2,Assumptions!$F$4:$H$4,Assumptions!$F$6:$H$6)</f>
        <v>17</v>
      </c>
      <c r="K1827" s="12">
        <f>_xlfn.XLOOKUP(Assumptions!$B$2,Assumptions!$F$4:$H$4,Assumptions!$F$8:$H$8)</f>
        <v>0.1</v>
      </c>
      <c r="L1827" s="12">
        <f>_xlfn.XLOOKUP(Assumptions!$B$2,Assumptions!$F$4:$H$4,Assumptions!$F$9:$H$9)</f>
        <v>0.18</v>
      </c>
      <c r="M1827" s="18">
        <f>_xlfn.XLOOKUP(Assumptions!$B$2,Assumptions!$F$4:$H$4,Assumptions!$F$10:$H$10)</f>
        <v>18000</v>
      </c>
      <c r="N1827" s="12">
        <f>_xlfn.XLOOKUP(Assumptions!$B$2,Assumptions!$F$4:$H$4,Assumptions!$F$11:$H$11)</f>
        <v>0.3</v>
      </c>
      <c r="O1827" s="14">
        <f>Final_Table[[#This Row],[Units Sold]]*Final_Table[[#This Row],[Sale Price]]</f>
        <v>20400</v>
      </c>
      <c r="P1827" s="14">
        <f>Final_Table[[#This Row],[Gross Revenue]]*(1-Final_Table[[#This Row],[Discount %]])</f>
        <v>18360</v>
      </c>
      <c r="Q1827">
        <f>Final_Table[[#This Row],[Net Revenue]]*Final_Table[[#This Row],[Variable Cost %]]</f>
        <v>3304.7999999999997</v>
      </c>
      <c r="R1827">
        <f>Final_Table[[#This Row],[Variable Cost]]+Final_Table[[#This Row],[Fixed Monthly Cost]]</f>
        <v>21304.799999999999</v>
      </c>
      <c r="S1827" s="5">
        <f>Final_Table[[#This Row],[Net Revenue]]-Final_Table[[#This Row],[Total Cost (COGS)]]</f>
        <v>-2944.7999999999993</v>
      </c>
      <c r="T1827">
        <f>Final_Table[[#This Row],[Gross Profit]]*Final_Table[[#This Row],[Tax Rate]]</f>
        <v>-883.43999999999971</v>
      </c>
      <c r="U1827" s="5">
        <f>Final_Table[[#This Row],[Gross Profit]]-Final_Table[[#This Row],[Tax]]</f>
        <v>-2061.3599999999997</v>
      </c>
      <c r="V1827" s="12">
        <f>Final_Table[[#This Row],[Net Profit]]/Final_Table[[#This Row],[Gross Revenue]]</f>
        <v>-0.10104705882352939</v>
      </c>
    </row>
    <row r="1828" spans="1:22">
      <c r="A1828" s="18" t="s">
        <v>68</v>
      </c>
      <c r="B1828">
        <v>2014</v>
      </c>
      <c r="C1828" t="s">
        <v>132</v>
      </c>
      <c r="D1828">
        <v>1</v>
      </c>
      <c r="E1828" s="18" t="s">
        <v>16</v>
      </c>
      <c r="F1828" s="18" t="s">
        <v>80</v>
      </c>
      <c r="G1828" s="18" t="s">
        <v>23</v>
      </c>
      <c r="H1828" s="18" t="str">
        <f>Assumptions!$B$2</f>
        <v>Worst</v>
      </c>
      <c r="I1828" s="18">
        <f>_xlfn.XLOOKUP(Assumptions!$B$2,Assumptions!$F$4:$H$4,Assumptions!$F$5:$H$5)</f>
        <v>1200</v>
      </c>
      <c r="J1828" s="18">
        <f>_xlfn.XLOOKUP(Assumptions!$B$2,Assumptions!$F$4:$H$4,Assumptions!$F$6:$H$6)</f>
        <v>17</v>
      </c>
      <c r="K1828" s="12">
        <f>_xlfn.XLOOKUP(Assumptions!$B$2,Assumptions!$F$4:$H$4,Assumptions!$F$8:$H$8)</f>
        <v>0.1</v>
      </c>
      <c r="L1828" s="12">
        <f>_xlfn.XLOOKUP(Assumptions!$B$2,Assumptions!$F$4:$H$4,Assumptions!$F$9:$H$9)</f>
        <v>0.18</v>
      </c>
      <c r="M1828" s="18">
        <f>_xlfn.XLOOKUP(Assumptions!$B$2,Assumptions!$F$4:$H$4,Assumptions!$F$10:$H$10)</f>
        <v>18000</v>
      </c>
      <c r="N1828" s="12">
        <f>_xlfn.XLOOKUP(Assumptions!$B$2,Assumptions!$F$4:$H$4,Assumptions!$F$11:$H$11)</f>
        <v>0.3</v>
      </c>
      <c r="O1828" s="14">
        <f>Final_Table[[#This Row],[Units Sold]]*Final_Table[[#This Row],[Sale Price]]</f>
        <v>20400</v>
      </c>
      <c r="P1828" s="14">
        <f>Final_Table[[#This Row],[Gross Revenue]]*(1-Final_Table[[#This Row],[Discount %]])</f>
        <v>18360</v>
      </c>
      <c r="Q1828">
        <f>Final_Table[[#This Row],[Net Revenue]]*Final_Table[[#This Row],[Variable Cost %]]</f>
        <v>3304.7999999999997</v>
      </c>
      <c r="R1828">
        <f>Final_Table[[#This Row],[Variable Cost]]+Final_Table[[#This Row],[Fixed Monthly Cost]]</f>
        <v>21304.799999999999</v>
      </c>
      <c r="S1828" s="5">
        <f>Final_Table[[#This Row],[Net Revenue]]-Final_Table[[#This Row],[Total Cost (COGS)]]</f>
        <v>-2944.7999999999993</v>
      </c>
      <c r="T1828">
        <f>Final_Table[[#This Row],[Gross Profit]]*Final_Table[[#This Row],[Tax Rate]]</f>
        <v>-883.43999999999971</v>
      </c>
      <c r="U1828" s="5">
        <f>Final_Table[[#This Row],[Gross Profit]]-Final_Table[[#This Row],[Tax]]</f>
        <v>-2061.3599999999997</v>
      </c>
      <c r="V1828" s="12">
        <f>Final_Table[[#This Row],[Net Profit]]/Final_Table[[#This Row],[Gross Revenue]]</f>
        <v>-0.10104705882352939</v>
      </c>
    </row>
    <row r="1829" spans="1:22">
      <c r="A1829" s="18" t="s">
        <v>68</v>
      </c>
      <c r="B1829">
        <v>2014</v>
      </c>
      <c r="C1829" t="s">
        <v>132</v>
      </c>
      <c r="D1829">
        <v>1</v>
      </c>
      <c r="E1829" s="18" t="s">
        <v>16</v>
      </c>
      <c r="F1829" s="18" t="s">
        <v>80</v>
      </c>
      <c r="G1829" s="18" t="s">
        <v>21</v>
      </c>
      <c r="H1829" s="18" t="str">
        <f>Assumptions!$B$2</f>
        <v>Worst</v>
      </c>
      <c r="I1829" s="18">
        <f>_xlfn.XLOOKUP(Assumptions!$B$2,Assumptions!$F$4:$H$4,Assumptions!$F$5:$H$5)</f>
        <v>1200</v>
      </c>
      <c r="J1829" s="18">
        <f>_xlfn.XLOOKUP(Assumptions!$B$2,Assumptions!$F$4:$H$4,Assumptions!$F$6:$H$6)</f>
        <v>17</v>
      </c>
      <c r="K1829" s="12">
        <f>_xlfn.XLOOKUP(Assumptions!$B$2,Assumptions!$F$4:$H$4,Assumptions!$F$8:$H$8)</f>
        <v>0.1</v>
      </c>
      <c r="L1829" s="12">
        <f>_xlfn.XLOOKUP(Assumptions!$B$2,Assumptions!$F$4:$H$4,Assumptions!$F$9:$H$9)</f>
        <v>0.18</v>
      </c>
      <c r="M1829" s="18">
        <f>_xlfn.XLOOKUP(Assumptions!$B$2,Assumptions!$F$4:$H$4,Assumptions!$F$10:$H$10)</f>
        <v>18000</v>
      </c>
      <c r="N1829" s="12">
        <f>_xlfn.XLOOKUP(Assumptions!$B$2,Assumptions!$F$4:$H$4,Assumptions!$F$11:$H$11)</f>
        <v>0.3</v>
      </c>
      <c r="O1829" s="14">
        <f>Final_Table[[#This Row],[Units Sold]]*Final_Table[[#This Row],[Sale Price]]</f>
        <v>20400</v>
      </c>
      <c r="P1829" s="14">
        <f>Final_Table[[#This Row],[Gross Revenue]]*(1-Final_Table[[#This Row],[Discount %]])</f>
        <v>18360</v>
      </c>
      <c r="Q1829">
        <f>Final_Table[[#This Row],[Net Revenue]]*Final_Table[[#This Row],[Variable Cost %]]</f>
        <v>3304.7999999999997</v>
      </c>
      <c r="R1829">
        <f>Final_Table[[#This Row],[Variable Cost]]+Final_Table[[#This Row],[Fixed Monthly Cost]]</f>
        <v>21304.799999999999</v>
      </c>
      <c r="S1829" s="5">
        <f>Final_Table[[#This Row],[Net Revenue]]-Final_Table[[#This Row],[Total Cost (COGS)]]</f>
        <v>-2944.7999999999993</v>
      </c>
      <c r="T1829">
        <f>Final_Table[[#This Row],[Gross Profit]]*Final_Table[[#This Row],[Tax Rate]]</f>
        <v>-883.43999999999971</v>
      </c>
      <c r="U1829" s="5">
        <f>Final_Table[[#This Row],[Gross Profit]]-Final_Table[[#This Row],[Tax]]</f>
        <v>-2061.3599999999997</v>
      </c>
      <c r="V1829" s="12">
        <f>Final_Table[[#This Row],[Net Profit]]/Final_Table[[#This Row],[Gross Revenue]]</f>
        <v>-0.10104705882352939</v>
      </c>
    </row>
    <row r="1830" spans="1:22">
      <c r="A1830" s="18" t="s">
        <v>68</v>
      </c>
      <c r="B1830">
        <v>2014</v>
      </c>
      <c r="C1830" t="s">
        <v>132</v>
      </c>
      <c r="D1830">
        <v>1</v>
      </c>
      <c r="E1830" s="18" t="s">
        <v>16</v>
      </c>
      <c r="F1830" s="18" t="s">
        <v>80</v>
      </c>
      <c r="G1830" s="18" t="s">
        <v>25</v>
      </c>
      <c r="H1830" s="18" t="str">
        <f>Assumptions!$B$2</f>
        <v>Worst</v>
      </c>
      <c r="I1830" s="18">
        <f>_xlfn.XLOOKUP(Assumptions!$B$2,Assumptions!$F$4:$H$4,Assumptions!$F$5:$H$5)</f>
        <v>1200</v>
      </c>
      <c r="J1830" s="18">
        <f>_xlfn.XLOOKUP(Assumptions!$B$2,Assumptions!$F$4:$H$4,Assumptions!$F$6:$H$6)</f>
        <v>17</v>
      </c>
      <c r="K1830" s="12">
        <f>_xlfn.XLOOKUP(Assumptions!$B$2,Assumptions!$F$4:$H$4,Assumptions!$F$8:$H$8)</f>
        <v>0.1</v>
      </c>
      <c r="L1830" s="12">
        <f>_xlfn.XLOOKUP(Assumptions!$B$2,Assumptions!$F$4:$H$4,Assumptions!$F$9:$H$9)</f>
        <v>0.18</v>
      </c>
      <c r="M1830" s="18">
        <f>_xlfn.XLOOKUP(Assumptions!$B$2,Assumptions!$F$4:$H$4,Assumptions!$F$10:$H$10)</f>
        <v>18000</v>
      </c>
      <c r="N1830" s="12">
        <f>_xlfn.XLOOKUP(Assumptions!$B$2,Assumptions!$F$4:$H$4,Assumptions!$F$11:$H$11)</f>
        <v>0.3</v>
      </c>
      <c r="O1830" s="14">
        <f>Final_Table[[#This Row],[Units Sold]]*Final_Table[[#This Row],[Sale Price]]</f>
        <v>20400</v>
      </c>
      <c r="P1830" s="14">
        <f>Final_Table[[#This Row],[Gross Revenue]]*(1-Final_Table[[#This Row],[Discount %]])</f>
        <v>18360</v>
      </c>
      <c r="Q1830">
        <f>Final_Table[[#This Row],[Net Revenue]]*Final_Table[[#This Row],[Variable Cost %]]</f>
        <v>3304.7999999999997</v>
      </c>
      <c r="R1830">
        <f>Final_Table[[#This Row],[Variable Cost]]+Final_Table[[#This Row],[Fixed Monthly Cost]]</f>
        <v>21304.799999999999</v>
      </c>
      <c r="S1830" s="5">
        <f>Final_Table[[#This Row],[Net Revenue]]-Final_Table[[#This Row],[Total Cost (COGS)]]</f>
        <v>-2944.7999999999993</v>
      </c>
      <c r="T1830">
        <f>Final_Table[[#This Row],[Gross Profit]]*Final_Table[[#This Row],[Tax Rate]]</f>
        <v>-883.43999999999971</v>
      </c>
      <c r="U1830" s="5">
        <f>Final_Table[[#This Row],[Gross Profit]]-Final_Table[[#This Row],[Tax]]</f>
        <v>-2061.3599999999997</v>
      </c>
      <c r="V1830" s="12">
        <f>Final_Table[[#This Row],[Net Profit]]/Final_Table[[#This Row],[Gross Revenue]]</f>
        <v>-0.10104705882352939</v>
      </c>
    </row>
    <row r="1831" spans="1:22">
      <c r="A1831" s="18" t="s">
        <v>68</v>
      </c>
      <c r="B1831">
        <v>2014</v>
      </c>
      <c r="C1831" t="s">
        <v>132</v>
      </c>
      <c r="D1831">
        <v>1</v>
      </c>
      <c r="E1831" s="18" t="s">
        <v>16</v>
      </c>
      <c r="F1831" s="18" t="s">
        <v>80</v>
      </c>
      <c r="G1831" s="18" t="s">
        <v>17</v>
      </c>
      <c r="H1831" s="18" t="str">
        <f>Assumptions!$B$2</f>
        <v>Worst</v>
      </c>
      <c r="I1831" s="18">
        <f>_xlfn.XLOOKUP(Assumptions!$B$2,Assumptions!$F$4:$H$4,Assumptions!$F$5:$H$5)</f>
        <v>1200</v>
      </c>
      <c r="J1831" s="18">
        <f>_xlfn.XLOOKUP(Assumptions!$B$2,Assumptions!$F$4:$H$4,Assumptions!$F$6:$H$6)</f>
        <v>17</v>
      </c>
      <c r="K1831" s="12">
        <f>_xlfn.XLOOKUP(Assumptions!$B$2,Assumptions!$F$4:$H$4,Assumptions!$F$8:$H$8)</f>
        <v>0.1</v>
      </c>
      <c r="L1831" s="12">
        <f>_xlfn.XLOOKUP(Assumptions!$B$2,Assumptions!$F$4:$H$4,Assumptions!$F$9:$H$9)</f>
        <v>0.18</v>
      </c>
      <c r="M1831" s="18">
        <f>_xlfn.XLOOKUP(Assumptions!$B$2,Assumptions!$F$4:$H$4,Assumptions!$F$10:$H$10)</f>
        <v>18000</v>
      </c>
      <c r="N1831" s="12">
        <f>_xlfn.XLOOKUP(Assumptions!$B$2,Assumptions!$F$4:$H$4,Assumptions!$F$11:$H$11)</f>
        <v>0.3</v>
      </c>
      <c r="O1831" s="14">
        <f>Final_Table[[#This Row],[Units Sold]]*Final_Table[[#This Row],[Sale Price]]</f>
        <v>20400</v>
      </c>
      <c r="P1831" s="14">
        <f>Final_Table[[#This Row],[Gross Revenue]]*(1-Final_Table[[#This Row],[Discount %]])</f>
        <v>18360</v>
      </c>
      <c r="Q1831">
        <f>Final_Table[[#This Row],[Net Revenue]]*Final_Table[[#This Row],[Variable Cost %]]</f>
        <v>3304.7999999999997</v>
      </c>
      <c r="R1831">
        <f>Final_Table[[#This Row],[Variable Cost]]+Final_Table[[#This Row],[Fixed Monthly Cost]]</f>
        <v>21304.799999999999</v>
      </c>
      <c r="S1831" s="5">
        <f>Final_Table[[#This Row],[Net Revenue]]-Final_Table[[#This Row],[Total Cost (COGS)]]</f>
        <v>-2944.7999999999993</v>
      </c>
      <c r="T1831">
        <f>Final_Table[[#This Row],[Gross Profit]]*Final_Table[[#This Row],[Tax Rate]]</f>
        <v>-883.43999999999971</v>
      </c>
      <c r="U1831" s="5">
        <f>Final_Table[[#This Row],[Gross Profit]]-Final_Table[[#This Row],[Tax]]</f>
        <v>-2061.3599999999997</v>
      </c>
      <c r="V1831" s="12">
        <f>Final_Table[[#This Row],[Net Profit]]/Final_Table[[#This Row],[Gross Revenue]]</f>
        <v>-0.10104705882352939</v>
      </c>
    </row>
    <row r="1832" spans="1:22">
      <c r="A1832" s="18" t="s">
        <v>68</v>
      </c>
      <c r="B1832">
        <v>2014</v>
      </c>
      <c r="C1832" t="s">
        <v>132</v>
      </c>
      <c r="D1832">
        <v>1</v>
      </c>
      <c r="E1832" s="18" t="s">
        <v>16</v>
      </c>
      <c r="F1832" s="18" t="s">
        <v>108</v>
      </c>
      <c r="G1832" s="18" t="s">
        <v>36</v>
      </c>
      <c r="H1832" s="18" t="str">
        <f>Assumptions!$B$2</f>
        <v>Worst</v>
      </c>
      <c r="I1832" s="18">
        <f>_xlfn.XLOOKUP(Assumptions!$B$2,Assumptions!$F$4:$H$4,Assumptions!$F$5:$H$5)</f>
        <v>1200</v>
      </c>
      <c r="J1832" s="18">
        <f>_xlfn.XLOOKUP(Assumptions!$B$2,Assumptions!$F$4:$H$4,Assumptions!$F$6:$H$6)</f>
        <v>17</v>
      </c>
      <c r="K1832" s="12">
        <f>_xlfn.XLOOKUP(Assumptions!$B$2,Assumptions!$F$4:$H$4,Assumptions!$F$8:$H$8)</f>
        <v>0.1</v>
      </c>
      <c r="L1832" s="12">
        <f>_xlfn.XLOOKUP(Assumptions!$B$2,Assumptions!$F$4:$H$4,Assumptions!$F$9:$H$9)</f>
        <v>0.18</v>
      </c>
      <c r="M1832" s="18">
        <f>_xlfn.XLOOKUP(Assumptions!$B$2,Assumptions!$F$4:$H$4,Assumptions!$F$10:$H$10)</f>
        <v>18000</v>
      </c>
      <c r="N1832" s="12">
        <f>_xlfn.XLOOKUP(Assumptions!$B$2,Assumptions!$F$4:$H$4,Assumptions!$F$11:$H$11)</f>
        <v>0.3</v>
      </c>
      <c r="O1832" s="14">
        <f>Final_Table[[#This Row],[Units Sold]]*Final_Table[[#This Row],[Sale Price]]</f>
        <v>20400</v>
      </c>
      <c r="P1832" s="14">
        <f>Final_Table[[#This Row],[Gross Revenue]]*(1-Final_Table[[#This Row],[Discount %]])</f>
        <v>18360</v>
      </c>
      <c r="Q1832">
        <f>Final_Table[[#This Row],[Net Revenue]]*Final_Table[[#This Row],[Variable Cost %]]</f>
        <v>3304.7999999999997</v>
      </c>
      <c r="R1832">
        <f>Final_Table[[#This Row],[Variable Cost]]+Final_Table[[#This Row],[Fixed Monthly Cost]]</f>
        <v>21304.799999999999</v>
      </c>
      <c r="S1832" s="5">
        <f>Final_Table[[#This Row],[Net Revenue]]-Final_Table[[#This Row],[Total Cost (COGS)]]</f>
        <v>-2944.7999999999993</v>
      </c>
      <c r="T1832">
        <f>Final_Table[[#This Row],[Gross Profit]]*Final_Table[[#This Row],[Tax Rate]]</f>
        <v>-883.43999999999971</v>
      </c>
      <c r="U1832" s="5">
        <f>Final_Table[[#This Row],[Gross Profit]]-Final_Table[[#This Row],[Tax]]</f>
        <v>-2061.3599999999997</v>
      </c>
      <c r="V1832" s="12">
        <f>Final_Table[[#This Row],[Net Profit]]/Final_Table[[#This Row],[Gross Revenue]]</f>
        <v>-0.10104705882352939</v>
      </c>
    </row>
    <row r="1833" spans="1:22">
      <c r="A1833" s="18" t="s">
        <v>68</v>
      </c>
      <c r="B1833">
        <v>2014</v>
      </c>
      <c r="C1833" t="s">
        <v>132</v>
      </c>
      <c r="D1833">
        <v>1</v>
      </c>
      <c r="E1833" s="18" t="s">
        <v>16</v>
      </c>
      <c r="F1833" s="18" t="s">
        <v>108</v>
      </c>
      <c r="G1833" s="18" t="s">
        <v>23</v>
      </c>
      <c r="H1833" s="18" t="str">
        <f>Assumptions!$B$2</f>
        <v>Worst</v>
      </c>
      <c r="I1833" s="18">
        <f>_xlfn.XLOOKUP(Assumptions!$B$2,Assumptions!$F$4:$H$4,Assumptions!$F$5:$H$5)</f>
        <v>1200</v>
      </c>
      <c r="J1833" s="18">
        <f>_xlfn.XLOOKUP(Assumptions!$B$2,Assumptions!$F$4:$H$4,Assumptions!$F$6:$H$6)</f>
        <v>17</v>
      </c>
      <c r="K1833" s="12">
        <f>_xlfn.XLOOKUP(Assumptions!$B$2,Assumptions!$F$4:$H$4,Assumptions!$F$8:$H$8)</f>
        <v>0.1</v>
      </c>
      <c r="L1833" s="12">
        <f>_xlfn.XLOOKUP(Assumptions!$B$2,Assumptions!$F$4:$H$4,Assumptions!$F$9:$H$9)</f>
        <v>0.18</v>
      </c>
      <c r="M1833" s="18">
        <f>_xlfn.XLOOKUP(Assumptions!$B$2,Assumptions!$F$4:$H$4,Assumptions!$F$10:$H$10)</f>
        <v>18000</v>
      </c>
      <c r="N1833" s="12">
        <f>_xlfn.XLOOKUP(Assumptions!$B$2,Assumptions!$F$4:$H$4,Assumptions!$F$11:$H$11)</f>
        <v>0.3</v>
      </c>
      <c r="O1833" s="14">
        <f>Final_Table[[#This Row],[Units Sold]]*Final_Table[[#This Row],[Sale Price]]</f>
        <v>20400</v>
      </c>
      <c r="P1833" s="14">
        <f>Final_Table[[#This Row],[Gross Revenue]]*(1-Final_Table[[#This Row],[Discount %]])</f>
        <v>18360</v>
      </c>
      <c r="Q1833">
        <f>Final_Table[[#This Row],[Net Revenue]]*Final_Table[[#This Row],[Variable Cost %]]</f>
        <v>3304.7999999999997</v>
      </c>
      <c r="R1833">
        <f>Final_Table[[#This Row],[Variable Cost]]+Final_Table[[#This Row],[Fixed Monthly Cost]]</f>
        <v>21304.799999999999</v>
      </c>
      <c r="S1833" s="5">
        <f>Final_Table[[#This Row],[Net Revenue]]-Final_Table[[#This Row],[Total Cost (COGS)]]</f>
        <v>-2944.7999999999993</v>
      </c>
      <c r="T1833">
        <f>Final_Table[[#This Row],[Gross Profit]]*Final_Table[[#This Row],[Tax Rate]]</f>
        <v>-883.43999999999971</v>
      </c>
      <c r="U1833" s="5">
        <f>Final_Table[[#This Row],[Gross Profit]]-Final_Table[[#This Row],[Tax]]</f>
        <v>-2061.3599999999997</v>
      </c>
      <c r="V1833" s="12">
        <f>Final_Table[[#This Row],[Net Profit]]/Final_Table[[#This Row],[Gross Revenue]]</f>
        <v>-0.10104705882352939</v>
      </c>
    </row>
    <row r="1834" spans="1:22">
      <c r="A1834" s="18" t="s">
        <v>68</v>
      </c>
      <c r="B1834">
        <v>2014</v>
      </c>
      <c r="C1834" t="s">
        <v>132</v>
      </c>
      <c r="D1834">
        <v>1</v>
      </c>
      <c r="E1834" s="18" t="s">
        <v>16</v>
      </c>
      <c r="F1834" s="18" t="s">
        <v>108</v>
      </c>
      <c r="G1834" s="18" t="s">
        <v>21</v>
      </c>
      <c r="H1834" s="18" t="str">
        <f>Assumptions!$B$2</f>
        <v>Worst</v>
      </c>
      <c r="I1834" s="18">
        <f>_xlfn.XLOOKUP(Assumptions!$B$2,Assumptions!$F$4:$H$4,Assumptions!$F$5:$H$5)</f>
        <v>1200</v>
      </c>
      <c r="J1834" s="18">
        <f>_xlfn.XLOOKUP(Assumptions!$B$2,Assumptions!$F$4:$H$4,Assumptions!$F$6:$H$6)</f>
        <v>17</v>
      </c>
      <c r="K1834" s="12">
        <f>_xlfn.XLOOKUP(Assumptions!$B$2,Assumptions!$F$4:$H$4,Assumptions!$F$8:$H$8)</f>
        <v>0.1</v>
      </c>
      <c r="L1834" s="12">
        <f>_xlfn.XLOOKUP(Assumptions!$B$2,Assumptions!$F$4:$H$4,Assumptions!$F$9:$H$9)</f>
        <v>0.18</v>
      </c>
      <c r="M1834" s="18">
        <f>_xlfn.XLOOKUP(Assumptions!$B$2,Assumptions!$F$4:$H$4,Assumptions!$F$10:$H$10)</f>
        <v>18000</v>
      </c>
      <c r="N1834" s="12">
        <f>_xlfn.XLOOKUP(Assumptions!$B$2,Assumptions!$F$4:$H$4,Assumptions!$F$11:$H$11)</f>
        <v>0.3</v>
      </c>
      <c r="O1834" s="14">
        <f>Final_Table[[#This Row],[Units Sold]]*Final_Table[[#This Row],[Sale Price]]</f>
        <v>20400</v>
      </c>
      <c r="P1834" s="14">
        <f>Final_Table[[#This Row],[Gross Revenue]]*(1-Final_Table[[#This Row],[Discount %]])</f>
        <v>18360</v>
      </c>
      <c r="Q1834">
        <f>Final_Table[[#This Row],[Net Revenue]]*Final_Table[[#This Row],[Variable Cost %]]</f>
        <v>3304.7999999999997</v>
      </c>
      <c r="R1834">
        <f>Final_Table[[#This Row],[Variable Cost]]+Final_Table[[#This Row],[Fixed Monthly Cost]]</f>
        <v>21304.799999999999</v>
      </c>
      <c r="S1834" s="5">
        <f>Final_Table[[#This Row],[Net Revenue]]-Final_Table[[#This Row],[Total Cost (COGS)]]</f>
        <v>-2944.7999999999993</v>
      </c>
      <c r="T1834">
        <f>Final_Table[[#This Row],[Gross Profit]]*Final_Table[[#This Row],[Tax Rate]]</f>
        <v>-883.43999999999971</v>
      </c>
      <c r="U1834" s="5">
        <f>Final_Table[[#This Row],[Gross Profit]]-Final_Table[[#This Row],[Tax]]</f>
        <v>-2061.3599999999997</v>
      </c>
      <c r="V1834" s="12">
        <f>Final_Table[[#This Row],[Net Profit]]/Final_Table[[#This Row],[Gross Revenue]]</f>
        <v>-0.10104705882352939</v>
      </c>
    </row>
    <row r="1835" spans="1:22">
      <c r="A1835" s="18" t="s">
        <v>68</v>
      </c>
      <c r="B1835">
        <v>2014</v>
      </c>
      <c r="C1835" t="s">
        <v>132</v>
      </c>
      <c r="D1835">
        <v>1</v>
      </c>
      <c r="E1835" s="18" t="s">
        <v>16</v>
      </c>
      <c r="F1835" s="18" t="s">
        <v>108</v>
      </c>
      <c r="G1835" s="18" t="s">
        <v>25</v>
      </c>
      <c r="H1835" s="18" t="str">
        <f>Assumptions!$B$2</f>
        <v>Worst</v>
      </c>
      <c r="I1835" s="18">
        <f>_xlfn.XLOOKUP(Assumptions!$B$2,Assumptions!$F$4:$H$4,Assumptions!$F$5:$H$5)</f>
        <v>1200</v>
      </c>
      <c r="J1835" s="18">
        <f>_xlfn.XLOOKUP(Assumptions!$B$2,Assumptions!$F$4:$H$4,Assumptions!$F$6:$H$6)</f>
        <v>17</v>
      </c>
      <c r="K1835" s="12">
        <f>_xlfn.XLOOKUP(Assumptions!$B$2,Assumptions!$F$4:$H$4,Assumptions!$F$8:$H$8)</f>
        <v>0.1</v>
      </c>
      <c r="L1835" s="12">
        <f>_xlfn.XLOOKUP(Assumptions!$B$2,Assumptions!$F$4:$H$4,Assumptions!$F$9:$H$9)</f>
        <v>0.18</v>
      </c>
      <c r="M1835" s="18">
        <f>_xlfn.XLOOKUP(Assumptions!$B$2,Assumptions!$F$4:$H$4,Assumptions!$F$10:$H$10)</f>
        <v>18000</v>
      </c>
      <c r="N1835" s="12">
        <f>_xlfn.XLOOKUP(Assumptions!$B$2,Assumptions!$F$4:$H$4,Assumptions!$F$11:$H$11)</f>
        <v>0.3</v>
      </c>
      <c r="O1835" s="14">
        <f>Final_Table[[#This Row],[Units Sold]]*Final_Table[[#This Row],[Sale Price]]</f>
        <v>20400</v>
      </c>
      <c r="P1835" s="14">
        <f>Final_Table[[#This Row],[Gross Revenue]]*(1-Final_Table[[#This Row],[Discount %]])</f>
        <v>18360</v>
      </c>
      <c r="Q1835">
        <f>Final_Table[[#This Row],[Net Revenue]]*Final_Table[[#This Row],[Variable Cost %]]</f>
        <v>3304.7999999999997</v>
      </c>
      <c r="R1835">
        <f>Final_Table[[#This Row],[Variable Cost]]+Final_Table[[#This Row],[Fixed Monthly Cost]]</f>
        <v>21304.799999999999</v>
      </c>
      <c r="S1835" s="5">
        <f>Final_Table[[#This Row],[Net Revenue]]-Final_Table[[#This Row],[Total Cost (COGS)]]</f>
        <v>-2944.7999999999993</v>
      </c>
      <c r="T1835">
        <f>Final_Table[[#This Row],[Gross Profit]]*Final_Table[[#This Row],[Tax Rate]]</f>
        <v>-883.43999999999971</v>
      </c>
      <c r="U1835" s="5">
        <f>Final_Table[[#This Row],[Gross Profit]]-Final_Table[[#This Row],[Tax]]</f>
        <v>-2061.3599999999997</v>
      </c>
      <c r="V1835" s="12">
        <f>Final_Table[[#This Row],[Net Profit]]/Final_Table[[#This Row],[Gross Revenue]]</f>
        <v>-0.10104705882352939</v>
      </c>
    </row>
    <row r="1836" spans="1:22">
      <c r="A1836" s="18" t="s">
        <v>68</v>
      </c>
      <c r="B1836">
        <v>2014</v>
      </c>
      <c r="C1836" t="s">
        <v>132</v>
      </c>
      <c r="D1836">
        <v>1</v>
      </c>
      <c r="E1836" s="18" t="s">
        <v>16</v>
      </c>
      <c r="F1836" s="18" t="s">
        <v>108</v>
      </c>
      <c r="G1836" s="18" t="s">
        <v>17</v>
      </c>
      <c r="H1836" s="18" t="str">
        <f>Assumptions!$B$2</f>
        <v>Worst</v>
      </c>
      <c r="I1836" s="18">
        <f>_xlfn.XLOOKUP(Assumptions!$B$2,Assumptions!$F$4:$H$4,Assumptions!$F$5:$H$5)</f>
        <v>1200</v>
      </c>
      <c r="J1836" s="18">
        <f>_xlfn.XLOOKUP(Assumptions!$B$2,Assumptions!$F$4:$H$4,Assumptions!$F$6:$H$6)</f>
        <v>17</v>
      </c>
      <c r="K1836" s="12">
        <f>_xlfn.XLOOKUP(Assumptions!$B$2,Assumptions!$F$4:$H$4,Assumptions!$F$8:$H$8)</f>
        <v>0.1</v>
      </c>
      <c r="L1836" s="12">
        <f>_xlfn.XLOOKUP(Assumptions!$B$2,Assumptions!$F$4:$H$4,Assumptions!$F$9:$H$9)</f>
        <v>0.18</v>
      </c>
      <c r="M1836" s="18">
        <f>_xlfn.XLOOKUP(Assumptions!$B$2,Assumptions!$F$4:$H$4,Assumptions!$F$10:$H$10)</f>
        <v>18000</v>
      </c>
      <c r="N1836" s="12">
        <f>_xlfn.XLOOKUP(Assumptions!$B$2,Assumptions!$F$4:$H$4,Assumptions!$F$11:$H$11)</f>
        <v>0.3</v>
      </c>
      <c r="O1836" s="14">
        <f>Final_Table[[#This Row],[Units Sold]]*Final_Table[[#This Row],[Sale Price]]</f>
        <v>20400</v>
      </c>
      <c r="P1836" s="14">
        <f>Final_Table[[#This Row],[Gross Revenue]]*(1-Final_Table[[#This Row],[Discount %]])</f>
        <v>18360</v>
      </c>
      <c r="Q1836">
        <f>Final_Table[[#This Row],[Net Revenue]]*Final_Table[[#This Row],[Variable Cost %]]</f>
        <v>3304.7999999999997</v>
      </c>
      <c r="R1836">
        <f>Final_Table[[#This Row],[Variable Cost]]+Final_Table[[#This Row],[Fixed Monthly Cost]]</f>
        <v>21304.799999999999</v>
      </c>
      <c r="S1836" s="5">
        <f>Final_Table[[#This Row],[Net Revenue]]-Final_Table[[#This Row],[Total Cost (COGS)]]</f>
        <v>-2944.7999999999993</v>
      </c>
      <c r="T1836">
        <f>Final_Table[[#This Row],[Gross Profit]]*Final_Table[[#This Row],[Tax Rate]]</f>
        <v>-883.43999999999971</v>
      </c>
      <c r="U1836" s="5">
        <f>Final_Table[[#This Row],[Gross Profit]]-Final_Table[[#This Row],[Tax]]</f>
        <v>-2061.3599999999997</v>
      </c>
      <c r="V1836" s="12">
        <f>Final_Table[[#This Row],[Net Profit]]/Final_Table[[#This Row],[Gross Revenue]]</f>
        <v>-0.10104705882352939</v>
      </c>
    </row>
    <row r="1837" spans="1:22">
      <c r="A1837" s="18" t="s">
        <v>68</v>
      </c>
      <c r="B1837">
        <v>2014</v>
      </c>
      <c r="C1837" t="s">
        <v>132</v>
      </c>
      <c r="D1837">
        <v>1</v>
      </c>
      <c r="E1837" s="18" t="s">
        <v>16</v>
      </c>
      <c r="F1837" s="18" t="s">
        <v>112</v>
      </c>
      <c r="G1837" s="18" t="s">
        <v>36</v>
      </c>
      <c r="H1837" s="18" t="str">
        <f>Assumptions!$B$2</f>
        <v>Worst</v>
      </c>
      <c r="I1837" s="18">
        <f>_xlfn.XLOOKUP(Assumptions!$B$2,Assumptions!$F$4:$H$4,Assumptions!$F$5:$H$5)</f>
        <v>1200</v>
      </c>
      <c r="J1837" s="18">
        <f>_xlfn.XLOOKUP(Assumptions!$B$2,Assumptions!$F$4:$H$4,Assumptions!$F$6:$H$6)</f>
        <v>17</v>
      </c>
      <c r="K1837" s="12">
        <f>_xlfn.XLOOKUP(Assumptions!$B$2,Assumptions!$F$4:$H$4,Assumptions!$F$8:$H$8)</f>
        <v>0.1</v>
      </c>
      <c r="L1837" s="12">
        <f>_xlfn.XLOOKUP(Assumptions!$B$2,Assumptions!$F$4:$H$4,Assumptions!$F$9:$H$9)</f>
        <v>0.18</v>
      </c>
      <c r="M1837" s="18">
        <f>_xlfn.XLOOKUP(Assumptions!$B$2,Assumptions!$F$4:$H$4,Assumptions!$F$10:$H$10)</f>
        <v>18000</v>
      </c>
      <c r="N1837" s="12">
        <f>_xlfn.XLOOKUP(Assumptions!$B$2,Assumptions!$F$4:$H$4,Assumptions!$F$11:$H$11)</f>
        <v>0.3</v>
      </c>
      <c r="O1837" s="14">
        <f>Final_Table[[#This Row],[Units Sold]]*Final_Table[[#This Row],[Sale Price]]</f>
        <v>20400</v>
      </c>
      <c r="P1837" s="14">
        <f>Final_Table[[#This Row],[Gross Revenue]]*(1-Final_Table[[#This Row],[Discount %]])</f>
        <v>18360</v>
      </c>
      <c r="Q1837">
        <f>Final_Table[[#This Row],[Net Revenue]]*Final_Table[[#This Row],[Variable Cost %]]</f>
        <v>3304.7999999999997</v>
      </c>
      <c r="R1837">
        <f>Final_Table[[#This Row],[Variable Cost]]+Final_Table[[#This Row],[Fixed Monthly Cost]]</f>
        <v>21304.799999999999</v>
      </c>
      <c r="S1837" s="5">
        <f>Final_Table[[#This Row],[Net Revenue]]-Final_Table[[#This Row],[Total Cost (COGS)]]</f>
        <v>-2944.7999999999993</v>
      </c>
      <c r="T1837">
        <f>Final_Table[[#This Row],[Gross Profit]]*Final_Table[[#This Row],[Tax Rate]]</f>
        <v>-883.43999999999971</v>
      </c>
      <c r="U1837" s="5">
        <f>Final_Table[[#This Row],[Gross Profit]]-Final_Table[[#This Row],[Tax]]</f>
        <v>-2061.3599999999997</v>
      </c>
      <c r="V1837" s="12">
        <f>Final_Table[[#This Row],[Net Profit]]/Final_Table[[#This Row],[Gross Revenue]]</f>
        <v>-0.10104705882352939</v>
      </c>
    </row>
    <row r="1838" spans="1:22">
      <c r="A1838" s="18" t="s">
        <v>68</v>
      </c>
      <c r="B1838">
        <v>2014</v>
      </c>
      <c r="C1838" t="s">
        <v>132</v>
      </c>
      <c r="D1838">
        <v>1</v>
      </c>
      <c r="E1838" s="18" t="s">
        <v>16</v>
      </c>
      <c r="F1838" s="18" t="s">
        <v>112</v>
      </c>
      <c r="G1838" s="18" t="s">
        <v>23</v>
      </c>
      <c r="H1838" s="18" t="str">
        <f>Assumptions!$B$2</f>
        <v>Worst</v>
      </c>
      <c r="I1838" s="18">
        <f>_xlfn.XLOOKUP(Assumptions!$B$2,Assumptions!$F$4:$H$4,Assumptions!$F$5:$H$5)</f>
        <v>1200</v>
      </c>
      <c r="J1838" s="18">
        <f>_xlfn.XLOOKUP(Assumptions!$B$2,Assumptions!$F$4:$H$4,Assumptions!$F$6:$H$6)</f>
        <v>17</v>
      </c>
      <c r="K1838" s="12">
        <f>_xlfn.XLOOKUP(Assumptions!$B$2,Assumptions!$F$4:$H$4,Assumptions!$F$8:$H$8)</f>
        <v>0.1</v>
      </c>
      <c r="L1838" s="12">
        <f>_xlfn.XLOOKUP(Assumptions!$B$2,Assumptions!$F$4:$H$4,Assumptions!$F$9:$H$9)</f>
        <v>0.18</v>
      </c>
      <c r="M1838" s="18">
        <f>_xlfn.XLOOKUP(Assumptions!$B$2,Assumptions!$F$4:$H$4,Assumptions!$F$10:$H$10)</f>
        <v>18000</v>
      </c>
      <c r="N1838" s="12">
        <f>_xlfn.XLOOKUP(Assumptions!$B$2,Assumptions!$F$4:$H$4,Assumptions!$F$11:$H$11)</f>
        <v>0.3</v>
      </c>
      <c r="O1838" s="14">
        <f>Final_Table[[#This Row],[Units Sold]]*Final_Table[[#This Row],[Sale Price]]</f>
        <v>20400</v>
      </c>
      <c r="P1838" s="14">
        <f>Final_Table[[#This Row],[Gross Revenue]]*(1-Final_Table[[#This Row],[Discount %]])</f>
        <v>18360</v>
      </c>
      <c r="Q1838">
        <f>Final_Table[[#This Row],[Net Revenue]]*Final_Table[[#This Row],[Variable Cost %]]</f>
        <v>3304.7999999999997</v>
      </c>
      <c r="R1838">
        <f>Final_Table[[#This Row],[Variable Cost]]+Final_Table[[#This Row],[Fixed Monthly Cost]]</f>
        <v>21304.799999999999</v>
      </c>
      <c r="S1838" s="5">
        <f>Final_Table[[#This Row],[Net Revenue]]-Final_Table[[#This Row],[Total Cost (COGS)]]</f>
        <v>-2944.7999999999993</v>
      </c>
      <c r="T1838">
        <f>Final_Table[[#This Row],[Gross Profit]]*Final_Table[[#This Row],[Tax Rate]]</f>
        <v>-883.43999999999971</v>
      </c>
      <c r="U1838" s="5">
        <f>Final_Table[[#This Row],[Gross Profit]]-Final_Table[[#This Row],[Tax]]</f>
        <v>-2061.3599999999997</v>
      </c>
      <c r="V1838" s="12">
        <f>Final_Table[[#This Row],[Net Profit]]/Final_Table[[#This Row],[Gross Revenue]]</f>
        <v>-0.10104705882352939</v>
      </c>
    </row>
    <row r="1839" spans="1:22">
      <c r="A1839" s="18" t="s">
        <v>68</v>
      </c>
      <c r="B1839">
        <v>2014</v>
      </c>
      <c r="C1839" t="s">
        <v>132</v>
      </c>
      <c r="D1839">
        <v>1</v>
      </c>
      <c r="E1839" s="18" t="s">
        <v>16</v>
      </c>
      <c r="F1839" s="18" t="s">
        <v>112</v>
      </c>
      <c r="G1839" s="18" t="s">
        <v>21</v>
      </c>
      <c r="H1839" s="18" t="str">
        <f>Assumptions!$B$2</f>
        <v>Worst</v>
      </c>
      <c r="I1839" s="18">
        <f>_xlfn.XLOOKUP(Assumptions!$B$2,Assumptions!$F$4:$H$4,Assumptions!$F$5:$H$5)</f>
        <v>1200</v>
      </c>
      <c r="J1839" s="18">
        <f>_xlfn.XLOOKUP(Assumptions!$B$2,Assumptions!$F$4:$H$4,Assumptions!$F$6:$H$6)</f>
        <v>17</v>
      </c>
      <c r="K1839" s="12">
        <f>_xlfn.XLOOKUP(Assumptions!$B$2,Assumptions!$F$4:$H$4,Assumptions!$F$8:$H$8)</f>
        <v>0.1</v>
      </c>
      <c r="L1839" s="12">
        <f>_xlfn.XLOOKUP(Assumptions!$B$2,Assumptions!$F$4:$H$4,Assumptions!$F$9:$H$9)</f>
        <v>0.18</v>
      </c>
      <c r="M1839" s="18">
        <f>_xlfn.XLOOKUP(Assumptions!$B$2,Assumptions!$F$4:$H$4,Assumptions!$F$10:$H$10)</f>
        <v>18000</v>
      </c>
      <c r="N1839" s="12">
        <f>_xlfn.XLOOKUP(Assumptions!$B$2,Assumptions!$F$4:$H$4,Assumptions!$F$11:$H$11)</f>
        <v>0.3</v>
      </c>
      <c r="O1839" s="14">
        <f>Final_Table[[#This Row],[Units Sold]]*Final_Table[[#This Row],[Sale Price]]</f>
        <v>20400</v>
      </c>
      <c r="P1839" s="14">
        <f>Final_Table[[#This Row],[Gross Revenue]]*(1-Final_Table[[#This Row],[Discount %]])</f>
        <v>18360</v>
      </c>
      <c r="Q1839">
        <f>Final_Table[[#This Row],[Net Revenue]]*Final_Table[[#This Row],[Variable Cost %]]</f>
        <v>3304.7999999999997</v>
      </c>
      <c r="R1839">
        <f>Final_Table[[#This Row],[Variable Cost]]+Final_Table[[#This Row],[Fixed Monthly Cost]]</f>
        <v>21304.799999999999</v>
      </c>
      <c r="S1839" s="5">
        <f>Final_Table[[#This Row],[Net Revenue]]-Final_Table[[#This Row],[Total Cost (COGS)]]</f>
        <v>-2944.7999999999993</v>
      </c>
      <c r="T1839">
        <f>Final_Table[[#This Row],[Gross Profit]]*Final_Table[[#This Row],[Tax Rate]]</f>
        <v>-883.43999999999971</v>
      </c>
      <c r="U1839" s="5">
        <f>Final_Table[[#This Row],[Gross Profit]]-Final_Table[[#This Row],[Tax]]</f>
        <v>-2061.3599999999997</v>
      </c>
      <c r="V1839" s="12">
        <f>Final_Table[[#This Row],[Net Profit]]/Final_Table[[#This Row],[Gross Revenue]]</f>
        <v>-0.10104705882352939</v>
      </c>
    </row>
    <row r="1840" spans="1:22">
      <c r="A1840" s="18" t="s">
        <v>68</v>
      </c>
      <c r="B1840">
        <v>2014</v>
      </c>
      <c r="C1840" t="s">
        <v>132</v>
      </c>
      <c r="D1840">
        <v>1</v>
      </c>
      <c r="E1840" s="18" t="s">
        <v>16</v>
      </c>
      <c r="F1840" s="18" t="s">
        <v>112</v>
      </c>
      <c r="G1840" s="18" t="s">
        <v>25</v>
      </c>
      <c r="H1840" s="18" t="str">
        <f>Assumptions!$B$2</f>
        <v>Worst</v>
      </c>
      <c r="I1840" s="18">
        <f>_xlfn.XLOOKUP(Assumptions!$B$2,Assumptions!$F$4:$H$4,Assumptions!$F$5:$H$5)</f>
        <v>1200</v>
      </c>
      <c r="J1840" s="18">
        <f>_xlfn.XLOOKUP(Assumptions!$B$2,Assumptions!$F$4:$H$4,Assumptions!$F$6:$H$6)</f>
        <v>17</v>
      </c>
      <c r="K1840" s="12">
        <f>_xlfn.XLOOKUP(Assumptions!$B$2,Assumptions!$F$4:$H$4,Assumptions!$F$8:$H$8)</f>
        <v>0.1</v>
      </c>
      <c r="L1840" s="12">
        <f>_xlfn.XLOOKUP(Assumptions!$B$2,Assumptions!$F$4:$H$4,Assumptions!$F$9:$H$9)</f>
        <v>0.18</v>
      </c>
      <c r="M1840" s="18">
        <f>_xlfn.XLOOKUP(Assumptions!$B$2,Assumptions!$F$4:$H$4,Assumptions!$F$10:$H$10)</f>
        <v>18000</v>
      </c>
      <c r="N1840" s="12">
        <f>_xlfn.XLOOKUP(Assumptions!$B$2,Assumptions!$F$4:$H$4,Assumptions!$F$11:$H$11)</f>
        <v>0.3</v>
      </c>
      <c r="O1840" s="14">
        <f>Final_Table[[#This Row],[Units Sold]]*Final_Table[[#This Row],[Sale Price]]</f>
        <v>20400</v>
      </c>
      <c r="P1840" s="14">
        <f>Final_Table[[#This Row],[Gross Revenue]]*(1-Final_Table[[#This Row],[Discount %]])</f>
        <v>18360</v>
      </c>
      <c r="Q1840">
        <f>Final_Table[[#This Row],[Net Revenue]]*Final_Table[[#This Row],[Variable Cost %]]</f>
        <v>3304.7999999999997</v>
      </c>
      <c r="R1840">
        <f>Final_Table[[#This Row],[Variable Cost]]+Final_Table[[#This Row],[Fixed Monthly Cost]]</f>
        <v>21304.799999999999</v>
      </c>
      <c r="S1840" s="5">
        <f>Final_Table[[#This Row],[Net Revenue]]-Final_Table[[#This Row],[Total Cost (COGS)]]</f>
        <v>-2944.7999999999993</v>
      </c>
      <c r="T1840">
        <f>Final_Table[[#This Row],[Gross Profit]]*Final_Table[[#This Row],[Tax Rate]]</f>
        <v>-883.43999999999971</v>
      </c>
      <c r="U1840" s="5">
        <f>Final_Table[[#This Row],[Gross Profit]]-Final_Table[[#This Row],[Tax]]</f>
        <v>-2061.3599999999997</v>
      </c>
      <c r="V1840" s="12">
        <f>Final_Table[[#This Row],[Net Profit]]/Final_Table[[#This Row],[Gross Revenue]]</f>
        <v>-0.10104705882352939</v>
      </c>
    </row>
    <row r="1841" spans="1:22">
      <c r="A1841" s="18" t="s">
        <v>68</v>
      </c>
      <c r="B1841">
        <v>2014</v>
      </c>
      <c r="C1841" t="s">
        <v>132</v>
      </c>
      <c r="D1841">
        <v>1</v>
      </c>
      <c r="E1841" s="18" t="s">
        <v>16</v>
      </c>
      <c r="F1841" s="18" t="s">
        <v>112</v>
      </c>
      <c r="G1841" s="18" t="s">
        <v>17</v>
      </c>
      <c r="H1841" s="18" t="str">
        <f>Assumptions!$B$2</f>
        <v>Worst</v>
      </c>
      <c r="I1841" s="18">
        <f>_xlfn.XLOOKUP(Assumptions!$B$2,Assumptions!$F$4:$H$4,Assumptions!$F$5:$H$5)</f>
        <v>1200</v>
      </c>
      <c r="J1841" s="18">
        <f>_xlfn.XLOOKUP(Assumptions!$B$2,Assumptions!$F$4:$H$4,Assumptions!$F$6:$H$6)</f>
        <v>17</v>
      </c>
      <c r="K1841" s="12">
        <f>_xlfn.XLOOKUP(Assumptions!$B$2,Assumptions!$F$4:$H$4,Assumptions!$F$8:$H$8)</f>
        <v>0.1</v>
      </c>
      <c r="L1841" s="12">
        <f>_xlfn.XLOOKUP(Assumptions!$B$2,Assumptions!$F$4:$H$4,Assumptions!$F$9:$H$9)</f>
        <v>0.18</v>
      </c>
      <c r="M1841" s="18">
        <f>_xlfn.XLOOKUP(Assumptions!$B$2,Assumptions!$F$4:$H$4,Assumptions!$F$10:$H$10)</f>
        <v>18000</v>
      </c>
      <c r="N1841" s="12">
        <f>_xlfn.XLOOKUP(Assumptions!$B$2,Assumptions!$F$4:$H$4,Assumptions!$F$11:$H$11)</f>
        <v>0.3</v>
      </c>
      <c r="O1841" s="14">
        <f>Final_Table[[#This Row],[Units Sold]]*Final_Table[[#This Row],[Sale Price]]</f>
        <v>20400</v>
      </c>
      <c r="P1841" s="14">
        <f>Final_Table[[#This Row],[Gross Revenue]]*(1-Final_Table[[#This Row],[Discount %]])</f>
        <v>18360</v>
      </c>
      <c r="Q1841">
        <f>Final_Table[[#This Row],[Net Revenue]]*Final_Table[[#This Row],[Variable Cost %]]</f>
        <v>3304.7999999999997</v>
      </c>
      <c r="R1841">
        <f>Final_Table[[#This Row],[Variable Cost]]+Final_Table[[#This Row],[Fixed Monthly Cost]]</f>
        <v>21304.799999999999</v>
      </c>
      <c r="S1841" s="5">
        <f>Final_Table[[#This Row],[Net Revenue]]-Final_Table[[#This Row],[Total Cost (COGS)]]</f>
        <v>-2944.7999999999993</v>
      </c>
      <c r="T1841">
        <f>Final_Table[[#This Row],[Gross Profit]]*Final_Table[[#This Row],[Tax Rate]]</f>
        <v>-883.43999999999971</v>
      </c>
      <c r="U1841" s="5">
        <f>Final_Table[[#This Row],[Gross Profit]]-Final_Table[[#This Row],[Tax]]</f>
        <v>-2061.3599999999997</v>
      </c>
      <c r="V1841" s="12">
        <f>Final_Table[[#This Row],[Net Profit]]/Final_Table[[#This Row],[Gross Revenue]]</f>
        <v>-0.10104705882352939</v>
      </c>
    </row>
    <row r="1842" spans="1:22">
      <c r="A1842" s="18" t="s">
        <v>68</v>
      </c>
      <c r="B1842">
        <v>2014</v>
      </c>
      <c r="C1842" t="s">
        <v>132</v>
      </c>
      <c r="D1842">
        <v>1</v>
      </c>
      <c r="E1842" s="18" t="s">
        <v>16</v>
      </c>
      <c r="F1842" s="18" t="s">
        <v>113</v>
      </c>
      <c r="G1842" s="18" t="s">
        <v>36</v>
      </c>
      <c r="H1842" s="18" t="str">
        <f>Assumptions!$B$2</f>
        <v>Worst</v>
      </c>
      <c r="I1842" s="18">
        <f>_xlfn.XLOOKUP(Assumptions!$B$2,Assumptions!$F$4:$H$4,Assumptions!$F$5:$H$5)</f>
        <v>1200</v>
      </c>
      <c r="J1842" s="18">
        <f>_xlfn.XLOOKUP(Assumptions!$B$2,Assumptions!$F$4:$H$4,Assumptions!$F$6:$H$6)</f>
        <v>17</v>
      </c>
      <c r="K1842" s="12">
        <f>_xlfn.XLOOKUP(Assumptions!$B$2,Assumptions!$F$4:$H$4,Assumptions!$F$8:$H$8)</f>
        <v>0.1</v>
      </c>
      <c r="L1842" s="12">
        <f>_xlfn.XLOOKUP(Assumptions!$B$2,Assumptions!$F$4:$H$4,Assumptions!$F$9:$H$9)</f>
        <v>0.18</v>
      </c>
      <c r="M1842" s="18">
        <f>_xlfn.XLOOKUP(Assumptions!$B$2,Assumptions!$F$4:$H$4,Assumptions!$F$10:$H$10)</f>
        <v>18000</v>
      </c>
      <c r="N1842" s="12">
        <f>_xlfn.XLOOKUP(Assumptions!$B$2,Assumptions!$F$4:$H$4,Assumptions!$F$11:$H$11)</f>
        <v>0.3</v>
      </c>
      <c r="O1842" s="14">
        <f>Final_Table[[#This Row],[Units Sold]]*Final_Table[[#This Row],[Sale Price]]</f>
        <v>20400</v>
      </c>
      <c r="P1842" s="14">
        <f>Final_Table[[#This Row],[Gross Revenue]]*(1-Final_Table[[#This Row],[Discount %]])</f>
        <v>18360</v>
      </c>
      <c r="Q1842">
        <f>Final_Table[[#This Row],[Net Revenue]]*Final_Table[[#This Row],[Variable Cost %]]</f>
        <v>3304.7999999999997</v>
      </c>
      <c r="R1842">
        <f>Final_Table[[#This Row],[Variable Cost]]+Final_Table[[#This Row],[Fixed Monthly Cost]]</f>
        <v>21304.799999999999</v>
      </c>
      <c r="S1842" s="5">
        <f>Final_Table[[#This Row],[Net Revenue]]-Final_Table[[#This Row],[Total Cost (COGS)]]</f>
        <v>-2944.7999999999993</v>
      </c>
      <c r="T1842">
        <f>Final_Table[[#This Row],[Gross Profit]]*Final_Table[[#This Row],[Tax Rate]]</f>
        <v>-883.43999999999971</v>
      </c>
      <c r="U1842" s="5">
        <f>Final_Table[[#This Row],[Gross Profit]]-Final_Table[[#This Row],[Tax]]</f>
        <v>-2061.3599999999997</v>
      </c>
      <c r="V1842" s="12">
        <f>Final_Table[[#This Row],[Net Profit]]/Final_Table[[#This Row],[Gross Revenue]]</f>
        <v>-0.10104705882352939</v>
      </c>
    </row>
    <row r="1843" spans="1:22">
      <c r="A1843" s="18" t="s">
        <v>68</v>
      </c>
      <c r="B1843">
        <v>2014</v>
      </c>
      <c r="C1843" t="s">
        <v>132</v>
      </c>
      <c r="D1843">
        <v>1</v>
      </c>
      <c r="E1843" s="18" t="s">
        <v>16</v>
      </c>
      <c r="F1843" s="18" t="s">
        <v>113</v>
      </c>
      <c r="G1843" s="18" t="s">
        <v>23</v>
      </c>
      <c r="H1843" s="18" t="str">
        <f>Assumptions!$B$2</f>
        <v>Worst</v>
      </c>
      <c r="I1843" s="18">
        <f>_xlfn.XLOOKUP(Assumptions!$B$2,Assumptions!$F$4:$H$4,Assumptions!$F$5:$H$5)</f>
        <v>1200</v>
      </c>
      <c r="J1843" s="18">
        <f>_xlfn.XLOOKUP(Assumptions!$B$2,Assumptions!$F$4:$H$4,Assumptions!$F$6:$H$6)</f>
        <v>17</v>
      </c>
      <c r="K1843" s="12">
        <f>_xlfn.XLOOKUP(Assumptions!$B$2,Assumptions!$F$4:$H$4,Assumptions!$F$8:$H$8)</f>
        <v>0.1</v>
      </c>
      <c r="L1843" s="12">
        <f>_xlfn.XLOOKUP(Assumptions!$B$2,Assumptions!$F$4:$H$4,Assumptions!$F$9:$H$9)</f>
        <v>0.18</v>
      </c>
      <c r="M1843" s="18">
        <f>_xlfn.XLOOKUP(Assumptions!$B$2,Assumptions!$F$4:$H$4,Assumptions!$F$10:$H$10)</f>
        <v>18000</v>
      </c>
      <c r="N1843" s="12">
        <f>_xlfn.XLOOKUP(Assumptions!$B$2,Assumptions!$F$4:$H$4,Assumptions!$F$11:$H$11)</f>
        <v>0.3</v>
      </c>
      <c r="O1843" s="14">
        <f>Final_Table[[#This Row],[Units Sold]]*Final_Table[[#This Row],[Sale Price]]</f>
        <v>20400</v>
      </c>
      <c r="P1843" s="14">
        <f>Final_Table[[#This Row],[Gross Revenue]]*(1-Final_Table[[#This Row],[Discount %]])</f>
        <v>18360</v>
      </c>
      <c r="Q1843">
        <f>Final_Table[[#This Row],[Net Revenue]]*Final_Table[[#This Row],[Variable Cost %]]</f>
        <v>3304.7999999999997</v>
      </c>
      <c r="R1843">
        <f>Final_Table[[#This Row],[Variable Cost]]+Final_Table[[#This Row],[Fixed Monthly Cost]]</f>
        <v>21304.799999999999</v>
      </c>
      <c r="S1843" s="5">
        <f>Final_Table[[#This Row],[Net Revenue]]-Final_Table[[#This Row],[Total Cost (COGS)]]</f>
        <v>-2944.7999999999993</v>
      </c>
      <c r="T1843">
        <f>Final_Table[[#This Row],[Gross Profit]]*Final_Table[[#This Row],[Tax Rate]]</f>
        <v>-883.43999999999971</v>
      </c>
      <c r="U1843" s="5">
        <f>Final_Table[[#This Row],[Gross Profit]]-Final_Table[[#This Row],[Tax]]</f>
        <v>-2061.3599999999997</v>
      </c>
      <c r="V1843" s="12">
        <f>Final_Table[[#This Row],[Net Profit]]/Final_Table[[#This Row],[Gross Revenue]]</f>
        <v>-0.10104705882352939</v>
      </c>
    </row>
    <row r="1844" spans="1:22">
      <c r="A1844" s="18" t="s">
        <v>68</v>
      </c>
      <c r="B1844">
        <v>2014</v>
      </c>
      <c r="C1844" t="s">
        <v>132</v>
      </c>
      <c r="D1844">
        <v>1</v>
      </c>
      <c r="E1844" s="18" t="s">
        <v>16</v>
      </c>
      <c r="F1844" s="18" t="s">
        <v>113</v>
      </c>
      <c r="G1844" s="18" t="s">
        <v>21</v>
      </c>
      <c r="H1844" s="18" t="str">
        <f>Assumptions!$B$2</f>
        <v>Worst</v>
      </c>
      <c r="I1844" s="18">
        <f>_xlfn.XLOOKUP(Assumptions!$B$2,Assumptions!$F$4:$H$4,Assumptions!$F$5:$H$5)</f>
        <v>1200</v>
      </c>
      <c r="J1844" s="18">
        <f>_xlfn.XLOOKUP(Assumptions!$B$2,Assumptions!$F$4:$H$4,Assumptions!$F$6:$H$6)</f>
        <v>17</v>
      </c>
      <c r="K1844" s="12">
        <f>_xlfn.XLOOKUP(Assumptions!$B$2,Assumptions!$F$4:$H$4,Assumptions!$F$8:$H$8)</f>
        <v>0.1</v>
      </c>
      <c r="L1844" s="12">
        <f>_xlfn.XLOOKUP(Assumptions!$B$2,Assumptions!$F$4:$H$4,Assumptions!$F$9:$H$9)</f>
        <v>0.18</v>
      </c>
      <c r="M1844" s="18">
        <f>_xlfn.XLOOKUP(Assumptions!$B$2,Assumptions!$F$4:$H$4,Assumptions!$F$10:$H$10)</f>
        <v>18000</v>
      </c>
      <c r="N1844" s="12">
        <f>_xlfn.XLOOKUP(Assumptions!$B$2,Assumptions!$F$4:$H$4,Assumptions!$F$11:$H$11)</f>
        <v>0.3</v>
      </c>
      <c r="O1844" s="14">
        <f>Final_Table[[#This Row],[Units Sold]]*Final_Table[[#This Row],[Sale Price]]</f>
        <v>20400</v>
      </c>
      <c r="P1844" s="14">
        <f>Final_Table[[#This Row],[Gross Revenue]]*(1-Final_Table[[#This Row],[Discount %]])</f>
        <v>18360</v>
      </c>
      <c r="Q1844">
        <f>Final_Table[[#This Row],[Net Revenue]]*Final_Table[[#This Row],[Variable Cost %]]</f>
        <v>3304.7999999999997</v>
      </c>
      <c r="R1844">
        <f>Final_Table[[#This Row],[Variable Cost]]+Final_Table[[#This Row],[Fixed Monthly Cost]]</f>
        <v>21304.799999999999</v>
      </c>
      <c r="S1844" s="5">
        <f>Final_Table[[#This Row],[Net Revenue]]-Final_Table[[#This Row],[Total Cost (COGS)]]</f>
        <v>-2944.7999999999993</v>
      </c>
      <c r="T1844">
        <f>Final_Table[[#This Row],[Gross Profit]]*Final_Table[[#This Row],[Tax Rate]]</f>
        <v>-883.43999999999971</v>
      </c>
      <c r="U1844" s="5">
        <f>Final_Table[[#This Row],[Gross Profit]]-Final_Table[[#This Row],[Tax]]</f>
        <v>-2061.3599999999997</v>
      </c>
      <c r="V1844" s="12">
        <f>Final_Table[[#This Row],[Net Profit]]/Final_Table[[#This Row],[Gross Revenue]]</f>
        <v>-0.10104705882352939</v>
      </c>
    </row>
    <row r="1845" spans="1:22">
      <c r="A1845" s="18" t="s">
        <v>68</v>
      </c>
      <c r="B1845">
        <v>2014</v>
      </c>
      <c r="C1845" t="s">
        <v>132</v>
      </c>
      <c r="D1845">
        <v>1</v>
      </c>
      <c r="E1845" s="18" t="s">
        <v>16</v>
      </c>
      <c r="F1845" s="18" t="s">
        <v>113</v>
      </c>
      <c r="G1845" s="18" t="s">
        <v>25</v>
      </c>
      <c r="H1845" s="18" t="str">
        <f>Assumptions!$B$2</f>
        <v>Worst</v>
      </c>
      <c r="I1845" s="18">
        <f>_xlfn.XLOOKUP(Assumptions!$B$2,Assumptions!$F$4:$H$4,Assumptions!$F$5:$H$5)</f>
        <v>1200</v>
      </c>
      <c r="J1845" s="18">
        <f>_xlfn.XLOOKUP(Assumptions!$B$2,Assumptions!$F$4:$H$4,Assumptions!$F$6:$H$6)</f>
        <v>17</v>
      </c>
      <c r="K1845" s="12">
        <f>_xlfn.XLOOKUP(Assumptions!$B$2,Assumptions!$F$4:$H$4,Assumptions!$F$8:$H$8)</f>
        <v>0.1</v>
      </c>
      <c r="L1845" s="12">
        <f>_xlfn.XLOOKUP(Assumptions!$B$2,Assumptions!$F$4:$H$4,Assumptions!$F$9:$H$9)</f>
        <v>0.18</v>
      </c>
      <c r="M1845" s="18">
        <f>_xlfn.XLOOKUP(Assumptions!$B$2,Assumptions!$F$4:$H$4,Assumptions!$F$10:$H$10)</f>
        <v>18000</v>
      </c>
      <c r="N1845" s="12">
        <f>_xlfn.XLOOKUP(Assumptions!$B$2,Assumptions!$F$4:$H$4,Assumptions!$F$11:$H$11)</f>
        <v>0.3</v>
      </c>
      <c r="O1845" s="14">
        <f>Final_Table[[#This Row],[Units Sold]]*Final_Table[[#This Row],[Sale Price]]</f>
        <v>20400</v>
      </c>
      <c r="P1845" s="14">
        <f>Final_Table[[#This Row],[Gross Revenue]]*(1-Final_Table[[#This Row],[Discount %]])</f>
        <v>18360</v>
      </c>
      <c r="Q1845">
        <f>Final_Table[[#This Row],[Net Revenue]]*Final_Table[[#This Row],[Variable Cost %]]</f>
        <v>3304.7999999999997</v>
      </c>
      <c r="R1845">
        <f>Final_Table[[#This Row],[Variable Cost]]+Final_Table[[#This Row],[Fixed Monthly Cost]]</f>
        <v>21304.799999999999</v>
      </c>
      <c r="S1845" s="5">
        <f>Final_Table[[#This Row],[Net Revenue]]-Final_Table[[#This Row],[Total Cost (COGS)]]</f>
        <v>-2944.7999999999993</v>
      </c>
      <c r="T1845">
        <f>Final_Table[[#This Row],[Gross Profit]]*Final_Table[[#This Row],[Tax Rate]]</f>
        <v>-883.43999999999971</v>
      </c>
      <c r="U1845" s="5">
        <f>Final_Table[[#This Row],[Gross Profit]]-Final_Table[[#This Row],[Tax]]</f>
        <v>-2061.3599999999997</v>
      </c>
      <c r="V1845" s="12">
        <f>Final_Table[[#This Row],[Net Profit]]/Final_Table[[#This Row],[Gross Revenue]]</f>
        <v>-0.10104705882352939</v>
      </c>
    </row>
    <row r="1846" spans="1:22">
      <c r="A1846" s="18" t="s">
        <v>68</v>
      </c>
      <c r="B1846">
        <v>2014</v>
      </c>
      <c r="C1846" t="s">
        <v>132</v>
      </c>
      <c r="D1846">
        <v>1</v>
      </c>
      <c r="E1846" s="18" t="s">
        <v>16</v>
      </c>
      <c r="F1846" s="18" t="s">
        <v>113</v>
      </c>
      <c r="G1846" s="18" t="s">
        <v>17</v>
      </c>
      <c r="H1846" s="18" t="str">
        <f>Assumptions!$B$2</f>
        <v>Worst</v>
      </c>
      <c r="I1846" s="18">
        <f>_xlfn.XLOOKUP(Assumptions!$B$2,Assumptions!$F$4:$H$4,Assumptions!$F$5:$H$5)</f>
        <v>1200</v>
      </c>
      <c r="J1846" s="18">
        <f>_xlfn.XLOOKUP(Assumptions!$B$2,Assumptions!$F$4:$H$4,Assumptions!$F$6:$H$6)</f>
        <v>17</v>
      </c>
      <c r="K1846" s="12">
        <f>_xlfn.XLOOKUP(Assumptions!$B$2,Assumptions!$F$4:$H$4,Assumptions!$F$8:$H$8)</f>
        <v>0.1</v>
      </c>
      <c r="L1846" s="12">
        <f>_xlfn.XLOOKUP(Assumptions!$B$2,Assumptions!$F$4:$H$4,Assumptions!$F$9:$H$9)</f>
        <v>0.18</v>
      </c>
      <c r="M1846" s="18">
        <f>_xlfn.XLOOKUP(Assumptions!$B$2,Assumptions!$F$4:$H$4,Assumptions!$F$10:$H$10)</f>
        <v>18000</v>
      </c>
      <c r="N1846" s="12">
        <f>_xlfn.XLOOKUP(Assumptions!$B$2,Assumptions!$F$4:$H$4,Assumptions!$F$11:$H$11)</f>
        <v>0.3</v>
      </c>
      <c r="O1846" s="14">
        <f>Final_Table[[#This Row],[Units Sold]]*Final_Table[[#This Row],[Sale Price]]</f>
        <v>20400</v>
      </c>
      <c r="P1846" s="14">
        <f>Final_Table[[#This Row],[Gross Revenue]]*(1-Final_Table[[#This Row],[Discount %]])</f>
        <v>18360</v>
      </c>
      <c r="Q1846">
        <f>Final_Table[[#This Row],[Net Revenue]]*Final_Table[[#This Row],[Variable Cost %]]</f>
        <v>3304.7999999999997</v>
      </c>
      <c r="R1846">
        <f>Final_Table[[#This Row],[Variable Cost]]+Final_Table[[#This Row],[Fixed Monthly Cost]]</f>
        <v>21304.799999999999</v>
      </c>
      <c r="S1846" s="5">
        <f>Final_Table[[#This Row],[Net Revenue]]-Final_Table[[#This Row],[Total Cost (COGS)]]</f>
        <v>-2944.7999999999993</v>
      </c>
      <c r="T1846">
        <f>Final_Table[[#This Row],[Gross Profit]]*Final_Table[[#This Row],[Tax Rate]]</f>
        <v>-883.43999999999971</v>
      </c>
      <c r="U1846" s="5">
        <f>Final_Table[[#This Row],[Gross Profit]]-Final_Table[[#This Row],[Tax]]</f>
        <v>-2061.3599999999997</v>
      </c>
      <c r="V1846" s="12">
        <f>Final_Table[[#This Row],[Net Profit]]/Final_Table[[#This Row],[Gross Revenue]]</f>
        <v>-0.10104705882352939</v>
      </c>
    </row>
    <row r="1847" spans="1:22">
      <c r="A1847" s="18" t="s">
        <v>68</v>
      </c>
      <c r="B1847">
        <v>2014</v>
      </c>
      <c r="C1847" t="s">
        <v>132</v>
      </c>
      <c r="D1847">
        <v>1</v>
      </c>
      <c r="E1847" s="18" t="s">
        <v>16</v>
      </c>
      <c r="F1847" s="18" t="s">
        <v>114</v>
      </c>
      <c r="G1847" s="18" t="s">
        <v>36</v>
      </c>
      <c r="H1847" s="18" t="str">
        <f>Assumptions!$B$2</f>
        <v>Worst</v>
      </c>
      <c r="I1847" s="18">
        <f>_xlfn.XLOOKUP(Assumptions!$B$2,Assumptions!$F$4:$H$4,Assumptions!$F$5:$H$5)</f>
        <v>1200</v>
      </c>
      <c r="J1847" s="18">
        <f>_xlfn.XLOOKUP(Assumptions!$B$2,Assumptions!$F$4:$H$4,Assumptions!$F$6:$H$6)</f>
        <v>17</v>
      </c>
      <c r="K1847" s="12">
        <f>_xlfn.XLOOKUP(Assumptions!$B$2,Assumptions!$F$4:$H$4,Assumptions!$F$8:$H$8)</f>
        <v>0.1</v>
      </c>
      <c r="L1847" s="12">
        <f>_xlfn.XLOOKUP(Assumptions!$B$2,Assumptions!$F$4:$H$4,Assumptions!$F$9:$H$9)</f>
        <v>0.18</v>
      </c>
      <c r="M1847" s="18">
        <f>_xlfn.XLOOKUP(Assumptions!$B$2,Assumptions!$F$4:$H$4,Assumptions!$F$10:$H$10)</f>
        <v>18000</v>
      </c>
      <c r="N1847" s="12">
        <f>_xlfn.XLOOKUP(Assumptions!$B$2,Assumptions!$F$4:$H$4,Assumptions!$F$11:$H$11)</f>
        <v>0.3</v>
      </c>
      <c r="O1847" s="14">
        <f>Final_Table[[#This Row],[Units Sold]]*Final_Table[[#This Row],[Sale Price]]</f>
        <v>20400</v>
      </c>
      <c r="P1847" s="14">
        <f>Final_Table[[#This Row],[Gross Revenue]]*(1-Final_Table[[#This Row],[Discount %]])</f>
        <v>18360</v>
      </c>
      <c r="Q1847">
        <f>Final_Table[[#This Row],[Net Revenue]]*Final_Table[[#This Row],[Variable Cost %]]</f>
        <v>3304.7999999999997</v>
      </c>
      <c r="R1847">
        <f>Final_Table[[#This Row],[Variable Cost]]+Final_Table[[#This Row],[Fixed Monthly Cost]]</f>
        <v>21304.799999999999</v>
      </c>
      <c r="S1847" s="5">
        <f>Final_Table[[#This Row],[Net Revenue]]-Final_Table[[#This Row],[Total Cost (COGS)]]</f>
        <v>-2944.7999999999993</v>
      </c>
      <c r="T1847">
        <f>Final_Table[[#This Row],[Gross Profit]]*Final_Table[[#This Row],[Tax Rate]]</f>
        <v>-883.43999999999971</v>
      </c>
      <c r="U1847" s="5">
        <f>Final_Table[[#This Row],[Gross Profit]]-Final_Table[[#This Row],[Tax]]</f>
        <v>-2061.3599999999997</v>
      </c>
      <c r="V1847" s="12">
        <f>Final_Table[[#This Row],[Net Profit]]/Final_Table[[#This Row],[Gross Revenue]]</f>
        <v>-0.10104705882352939</v>
      </c>
    </row>
    <row r="1848" spans="1:22">
      <c r="A1848" s="18" t="s">
        <v>68</v>
      </c>
      <c r="B1848">
        <v>2014</v>
      </c>
      <c r="C1848" t="s">
        <v>132</v>
      </c>
      <c r="D1848">
        <v>1</v>
      </c>
      <c r="E1848" s="18" t="s">
        <v>16</v>
      </c>
      <c r="F1848" s="18" t="s">
        <v>114</v>
      </c>
      <c r="G1848" s="18" t="s">
        <v>23</v>
      </c>
      <c r="H1848" s="18" t="str">
        <f>Assumptions!$B$2</f>
        <v>Worst</v>
      </c>
      <c r="I1848" s="18">
        <f>_xlfn.XLOOKUP(Assumptions!$B$2,Assumptions!$F$4:$H$4,Assumptions!$F$5:$H$5)</f>
        <v>1200</v>
      </c>
      <c r="J1848" s="18">
        <f>_xlfn.XLOOKUP(Assumptions!$B$2,Assumptions!$F$4:$H$4,Assumptions!$F$6:$H$6)</f>
        <v>17</v>
      </c>
      <c r="K1848" s="12">
        <f>_xlfn.XLOOKUP(Assumptions!$B$2,Assumptions!$F$4:$H$4,Assumptions!$F$8:$H$8)</f>
        <v>0.1</v>
      </c>
      <c r="L1848" s="12">
        <f>_xlfn.XLOOKUP(Assumptions!$B$2,Assumptions!$F$4:$H$4,Assumptions!$F$9:$H$9)</f>
        <v>0.18</v>
      </c>
      <c r="M1848" s="18">
        <f>_xlfn.XLOOKUP(Assumptions!$B$2,Assumptions!$F$4:$H$4,Assumptions!$F$10:$H$10)</f>
        <v>18000</v>
      </c>
      <c r="N1848" s="12">
        <f>_xlfn.XLOOKUP(Assumptions!$B$2,Assumptions!$F$4:$H$4,Assumptions!$F$11:$H$11)</f>
        <v>0.3</v>
      </c>
      <c r="O1848" s="14">
        <f>Final_Table[[#This Row],[Units Sold]]*Final_Table[[#This Row],[Sale Price]]</f>
        <v>20400</v>
      </c>
      <c r="P1848" s="14">
        <f>Final_Table[[#This Row],[Gross Revenue]]*(1-Final_Table[[#This Row],[Discount %]])</f>
        <v>18360</v>
      </c>
      <c r="Q1848">
        <f>Final_Table[[#This Row],[Net Revenue]]*Final_Table[[#This Row],[Variable Cost %]]</f>
        <v>3304.7999999999997</v>
      </c>
      <c r="R1848">
        <f>Final_Table[[#This Row],[Variable Cost]]+Final_Table[[#This Row],[Fixed Monthly Cost]]</f>
        <v>21304.799999999999</v>
      </c>
      <c r="S1848" s="5">
        <f>Final_Table[[#This Row],[Net Revenue]]-Final_Table[[#This Row],[Total Cost (COGS)]]</f>
        <v>-2944.7999999999993</v>
      </c>
      <c r="T1848">
        <f>Final_Table[[#This Row],[Gross Profit]]*Final_Table[[#This Row],[Tax Rate]]</f>
        <v>-883.43999999999971</v>
      </c>
      <c r="U1848" s="5">
        <f>Final_Table[[#This Row],[Gross Profit]]-Final_Table[[#This Row],[Tax]]</f>
        <v>-2061.3599999999997</v>
      </c>
      <c r="V1848" s="12">
        <f>Final_Table[[#This Row],[Net Profit]]/Final_Table[[#This Row],[Gross Revenue]]</f>
        <v>-0.10104705882352939</v>
      </c>
    </row>
    <row r="1849" spans="1:22">
      <c r="A1849" s="18" t="s">
        <v>68</v>
      </c>
      <c r="B1849">
        <v>2014</v>
      </c>
      <c r="C1849" t="s">
        <v>132</v>
      </c>
      <c r="D1849">
        <v>1</v>
      </c>
      <c r="E1849" s="18" t="s">
        <v>16</v>
      </c>
      <c r="F1849" s="18" t="s">
        <v>114</v>
      </c>
      <c r="G1849" s="18" t="s">
        <v>21</v>
      </c>
      <c r="H1849" s="18" t="str">
        <f>Assumptions!$B$2</f>
        <v>Worst</v>
      </c>
      <c r="I1849" s="18">
        <f>_xlfn.XLOOKUP(Assumptions!$B$2,Assumptions!$F$4:$H$4,Assumptions!$F$5:$H$5)</f>
        <v>1200</v>
      </c>
      <c r="J1849" s="18">
        <f>_xlfn.XLOOKUP(Assumptions!$B$2,Assumptions!$F$4:$H$4,Assumptions!$F$6:$H$6)</f>
        <v>17</v>
      </c>
      <c r="K1849" s="12">
        <f>_xlfn.XLOOKUP(Assumptions!$B$2,Assumptions!$F$4:$H$4,Assumptions!$F$8:$H$8)</f>
        <v>0.1</v>
      </c>
      <c r="L1849" s="12">
        <f>_xlfn.XLOOKUP(Assumptions!$B$2,Assumptions!$F$4:$H$4,Assumptions!$F$9:$H$9)</f>
        <v>0.18</v>
      </c>
      <c r="M1849" s="18">
        <f>_xlfn.XLOOKUP(Assumptions!$B$2,Assumptions!$F$4:$H$4,Assumptions!$F$10:$H$10)</f>
        <v>18000</v>
      </c>
      <c r="N1849" s="12">
        <f>_xlfn.XLOOKUP(Assumptions!$B$2,Assumptions!$F$4:$H$4,Assumptions!$F$11:$H$11)</f>
        <v>0.3</v>
      </c>
      <c r="O1849" s="14">
        <f>Final_Table[[#This Row],[Units Sold]]*Final_Table[[#This Row],[Sale Price]]</f>
        <v>20400</v>
      </c>
      <c r="P1849" s="14">
        <f>Final_Table[[#This Row],[Gross Revenue]]*(1-Final_Table[[#This Row],[Discount %]])</f>
        <v>18360</v>
      </c>
      <c r="Q1849">
        <f>Final_Table[[#This Row],[Net Revenue]]*Final_Table[[#This Row],[Variable Cost %]]</f>
        <v>3304.7999999999997</v>
      </c>
      <c r="R1849">
        <f>Final_Table[[#This Row],[Variable Cost]]+Final_Table[[#This Row],[Fixed Monthly Cost]]</f>
        <v>21304.799999999999</v>
      </c>
      <c r="S1849" s="5">
        <f>Final_Table[[#This Row],[Net Revenue]]-Final_Table[[#This Row],[Total Cost (COGS)]]</f>
        <v>-2944.7999999999993</v>
      </c>
      <c r="T1849">
        <f>Final_Table[[#This Row],[Gross Profit]]*Final_Table[[#This Row],[Tax Rate]]</f>
        <v>-883.43999999999971</v>
      </c>
      <c r="U1849" s="5">
        <f>Final_Table[[#This Row],[Gross Profit]]-Final_Table[[#This Row],[Tax]]</f>
        <v>-2061.3599999999997</v>
      </c>
      <c r="V1849" s="12">
        <f>Final_Table[[#This Row],[Net Profit]]/Final_Table[[#This Row],[Gross Revenue]]</f>
        <v>-0.10104705882352939</v>
      </c>
    </row>
    <row r="1850" spans="1:22">
      <c r="A1850" s="18" t="s">
        <v>68</v>
      </c>
      <c r="B1850">
        <v>2014</v>
      </c>
      <c r="C1850" t="s">
        <v>132</v>
      </c>
      <c r="D1850">
        <v>1</v>
      </c>
      <c r="E1850" s="18" t="s">
        <v>16</v>
      </c>
      <c r="F1850" s="18" t="s">
        <v>114</v>
      </c>
      <c r="G1850" s="18" t="s">
        <v>25</v>
      </c>
      <c r="H1850" s="18" t="str">
        <f>Assumptions!$B$2</f>
        <v>Worst</v>
      </c>
      <c r="I1850" s="18">
        <f>_xlfn.XLOOKUP(Assumptions!$B$2,Assumptions!$F$4:$H$4,Assumptions!$F$5:$H$5)</f>
        <v>1200</v>
      </c>
      <c r="J1850" s="18">
        <f>_xlfn.XLOOKUP(Assumptions!$B$2,Assumptions!$F$4:$H$4,Assumptions!$F$6:$H$6)</f>
        <v>17</v>
      </c>
      <c r="K1850" s="12">
        <f>_xlfn.XLOOKUP(Assumptions!$B$2,Assumptions!$F$4:$H$4,Assumptions!$F$8:$H$8)</f>
        <v>0.1</v>
      </c>
      <c r="L1850" s="12">
        <f>_xlfn.XLOOKUP(Assumptions!$B$2,Assumptions!$F$4:$H$4,Assumptions!$F$9:$H$9)</f>
        <v>0.18</v>
      </c>
      <c r="M1850" s="18">
        <f>_xlfn.XLOOKUP(Assumptions!$B$2,Assumptions!$F$4:$H$4,Assumptions!$F$10:$H$10)</f>
        <v>18000</v>
      </c>
      <c r="N1850" s="12">
        <f>_xlfn.XLOOKUP(Assumptions!$B$2,Assumptions!$F$4:$H$4,Assumptions!$F$11:$H$11)</f>
        <v>0.3</v>
      </c>
      <c r="O1850" s="14">
        <f>Final_Table[[#This Row],[Units Sold]]*Final_Table[[#This Row],[Sale Price]]</f>
        <v>20400</v>
      </c>
      <c r="P1850" s="14">
        <f>Final_Table[[#This Row],[Gross Revenue]]*(1-Final_Table[[#This Row],[Discount %]])</f>
        <v>18360</v>
      </c>
      <c r="Q1850">
        <f>Final_Table[[#This Row],[Net Revenue]]*Final_Table[[#This Row],[Variable Cost %]]</f>
        <v>3304.7999999999997</v>
      </c>
      <c r="R1850">
        <f>Final_Table[[#This Row],[Variable Cost]]+Final_Table[[#This Row],[Fixed Monthly Cost]]</f>
        <v>21304.799999999999</v>
      </c>
      <c r="S1850" s="5">
        <f>Final_Table[[#This Row],[Net Revenue]]-Final_Table[[#This Row],[Total Cost (COGS)]]</f>
        <v>-2944.7999999999993</v>
      </c>
      <c r="T1850">
        <f>Final_Table[[#This Row],[Gross Profit]]*Final_Table[[#This Row],[Tax Rate]]</f>
        <v>-883.43999999999971</v>
      </c>
      <c r="U1850" s="5">
        <f>Final_Table[[#This Row],[Gross Profit]]-Final_Table[[#This Row],[Tax]]</f>
        <v>-2061.3599999999997</v>
      </c>
      <c r="V1850" s="12">
        <f>Final_Table[[#This Row],[Net Profit]]/Final_Table[[#This Row],[Gross Revenue]]</f>
        <v>-0.10104705882352939</v>
      </c>
    </row>
    <row r="1851" spans="1:22">
      <c r="A1851" s="18" t="s">
        <v>68</v>
      </c>
      <c r="B1851">
        <v>2014</v>
      </c>
      <c r="C1851" t="s">
        <v>132</v>
      </c>
      <c r="D1851">
        <v>1</v>
      </c>
      <c r="E1851" s="18" t="s">
        <v>16</v>
      </c>
      <c r="F1851" s="18" t="s">
        <v>114</v>
      </c>
      <c r="G1851" s="18" t="s">
        <v>17</v>
      </c>
      <c r="H1851" s="18" t="str">
        <f>Assumptions!$B$2</f>
        <v>Worst</v>
      </c>
      <c r="I1851" s="18">
        <f>_xlfn.XLOOKUP(Assumptions!$B$2,Assumptions!$F$4:$H$4,Assumptions!$F$5:$H$5)</f>
        <v>1200</v>
      </c>
      <c r="J1851" s="18">
        <f>_xlfn.XLOOKUP(Assumptions!$B$2,Assumptions!$F$4:$H$4,Assumptions!$F$6:$H$6)</f>
        <v>17</v>
      </c>
      <c r="K1851" s="12">
        <f>_xlfn.XLOOKUP(Assumptions!$B$2,Assumptions!$F$4:$H$4,Assumptions!$F$8:$H$8)</f>
        <v>0.1</v>
      </c>
      <c r="L1851" s="12">
        <f>_xlfn.XLOOKUP(Assumptions!$B$2,Assumptions!$F$4:$H$4,Assumptions!$F$9:$H$9)</f>
        <v>0.18</v>
      </c>
      <c r="M1851" s="18">
        <f>_xlfn.XLOOKUP(Assumptions!$B$2,Assumptions!$F$4:$H$4,Assumptions!$F$10:$H$10)</f>
        <v>18000</v>
      </c>
      <c r="N1851" s="12">
        <f>_xlfn.XLOOKUP(Assumptions!$B$2,Assumptions!$F$4:$H$4,Assumptions!$F$11:$H$11)</f>
        <v>0.3</v>
      </c>
      <c r="O1851" s="14">
        <f>Final_Table[[#This Row],[Units Sold]]*Final_Table[[#This Row],[Sale Price]]</f>
        <v>20400</v>
      </c>
      <c r="P1851" s="14">
        <f>Final_Table[[#This Row],[Gross Revenue]]*(1-Final_Table[[#This Row],[Discount %]])</f>
        <v>18360</v>
      </c>
      <c r="Q1851">
        <f>Final_Table[[#This Row],[Net Revenue]]*Final_Table[[#This Row],[Variable Cost %]]</f>
        <v>3304.7999999999997</v>
      </c>
      <c r="R1851">
        <f>Final_Table[[#This Row],[Variable Cost]]+Final_Table[[#This Row],[Fixed Monthly Cost]]</f>
        <v>21304.799999999999</v>
      </c>
      <c r="S1851" s="5">
        <f>Final_Table[[#This Row],[Net Revenue]]-Final_Table[[#This Row],[Total Cost (COGS)]]</f>
        <v>-2944.7999999999993</v>
      </c>
      <c r="T1851">
        <f>Final_Table[[#This Row],[Gross Profit]]*Final_Table[[#This Row],[Tax Rate]]</f>
        <v>-883.43999999999971</v>
      </c>
      <c r="U1851" s="5">
        <f>Final_Table[[#This Row],[Gross Profit]]-Final_Table[[#This Row],[Tax]]</f>
        <v>-2061.3599999999997</v>
      </c>
      <c r="V1851" s="12">
        <f>Final_Table[[#This Row],[Net Profit]]/Final_Table[[#This Row],[Gross Revenue]]</f>
        <v>-0.10104705882352939</v>
      </c>
    </row>
    <row r="1852" spans="1:22">
      <c r="A1852" s="18" t="s">
        <v>68</v>
      </c>
      <c r="B1852">
        <v>2014</v>
      </c>
      <c r="C1852" t="s">
        <v>132</v>
      </c>
      <c r="D1852">
        <v>1</v>
      </c>
      <c r="E1852" s="18" t="s">
        <v>32</v>
      </c>
      <c r="F1852" s="18" t="s">
        <v>80</v>
      </c>
      <c r="G1852" s="18" t="s">
        <v>36</v>
      </c>
      <c r="H1852" s="18" t="str">
        <f>Assumptions!$B$2</f>
        <v>Worst</v>
      </c>
      <c r="I1852" s="18">
        <f>_xlfn.XLOOKUP(Assumptions!$B$2,Assumptions!$F$4:$H$4,Assumptions!$F$5:$H$5)</f>
        <v>1200</v>
      </c>
      <c r="J1852" s="18">
        <f>_xlfn.XLOOKUP(Assumptions!$B$2,Assumptions!$F$4:$H$4,Assumptions!$F$6:$H$6)</f>
        <v>17</v>
      </c>
      <c r="K1852" s="12">
        <f>_xlfn.XLOOKUP(Assumptions!$B$2,Assumptions!$F$4:$H$4,Assumptions!$F$8:$H$8)</f>
        <v>0.1</v>
      </c>
      <c r="L1852" s="12">
        <f>_xlfn.XLOOKUP(Assumptions!$B$2,Assumptions!$F$4:$H$4,Assumptions!$F$9:$H$9)</f>
        <v>0.18</v>
      </c>
      <c r="M1852" s="18">
        <f>_xlfn.XLOOKUP(Assumptions!$B$2,Assumptions!$F$4:$H$4,Assumptions!$F$10:$H$10)</f>
        <v>18000</v>
      </c>
      <c r="N1852" s="12">
        <f>_xlfn.XLOOKUP(Assumptions!$B$2,Assumptions!$F$4:$H$4,Assumptions!$F$11:$H$11)</f>
        <v>0.3</v>
      </c>
      <c r="O1852" s="14">
        <f>Final_Table[[#This Row],[Units Sold]]*Final_Table[[#This Row],[Sale Price]]</f>
        <v>20400</v>
      </c>
      <c r="P1852" s="14">
        <f>Final_Table[[#This Row],[Gross Revenue]]*(1-Final_Table[[#This Row],[Discount %]])</f>
        <v>18360</v>
      </c>
      <c r="Q1852">
        <f>Final_Table[[#This Row],[Net Revenue]]*Final_Table[[#This Row],[Variable Cost %]]</f>
        <v>3304.7999999999997</v>
      </c>
      <c r="R1852">
        <f>Final_Table[[#This Row],[Variable Cost]]+Final_Table[[#This Row],[Fixed Monthly Cost]]</f>
        <v>21304.799999999999</v>
      </c>
      <c r="S1852" s="5">
        <f>Final_Table[[#This Row],[Net Revenue]]-Final_Table[[#This Row],[Total Cost (COGS)]]</f>
        <v>-2944.7999999999993</v>
      </c>
      <c r="T1852">
        <f>Final_Table[[#This Row],[Gross Profit]]*Final_Table[[#This Row],[Tax Rate]]</f>
        <v>-883.43999999999971</v>
      </c>
      <c r="U1852" s="5">
        <f>Final_Table[[#This Row],[Gross Profit]]-Final_Table[[#This Row],[Tax]]</f>
        <v>-2061.3599999999997</v>
      </c>
      <c r="V1852" s="12">
        <f>Final_Table[[#This Row],[Net Profit]]/Final_Table[[#This Row],[Gross Revenue]]</f>
        <v>-0.10104705882352939</v>
      </c>
    </row>
    <row r="1853" spans="1:22">
      <c r="A1853" s="18" t="s">
        <v>68</v>
      </c>
      <c r="B1853">
        <v>2014</v>
      </c>
      <c r="C1853" t="s">
        <v>132</v>
      </c>
      <c r="D1853">
        <v>1</v>
      </c>
      <c r="E1853" s="18" t="s">
        <v>32</v>
      </c>
      <c r="F1853" s="18" t="s">
        <v>80</v>
      </c>
      <c r="G1853" s="18" t="s">
        <v>23</v>
      </c>
      <c r="H1853" s="18" t="str">
        <f>Assumptions!$B$2</f>
        <v>Worst</v>
      </c>
      <c r="I1853" s="18">
        <f>_xlfn.XLOOKUP(Assumptions!$B$2,Assumptions!$F$4:$H$4,Assumptions!$F$5:$H$5)</f>
        <v>1200</v>
      </c>
      <c r="J1853" s="18">
        <f>_xlfn.XLOOKUP(Assumptions!$B$2,Assumptions!$F$4:$H$4,Assumptions!$F$6:$H$6)</f>
        <v>17</v>
      </c>
      <c r="K1853" s="12">
        <f>_xlfn.XLOOKUP(Assumptions!$B$2,Assumptions!$F$4:$H$4,Assumptions!$F$8:$H$8)</f>
        <v>0.1</v>
      </c>
      <c r="L1853" s="12">
        <f>_xlfn.XLOOKUP(Assumptions!$B$2,Assumptions!$F$4:$H$4,Assumptions!$F$9:$H$9)</f>
        <v>0.18</v>
      </c>
      <c r="M1853" s="18">
        <f>_xlfn.XLOOKUP(Assumptions!$B$2,Assumptions!$F$4:$H$4,Assumptions!$F$10:$H$10)</f>
        <v>18000</v>
      </c>
      <c r="N1853" s="12">
        <f>_xlfn.XLOOKUP(Assumptions!$B$2,Assumptions!$F$4:$H$4,Assumptions!$F$11:$H$11)</f>
        <v>0.3</v>
      </c>
      <c r="O1853" s="14">
        <f>Final_Table[[#This Row],[Units Sold]]*Final_Table[[#This Row],[Sale Price]]</f>
        <v>20400</v>
      </c>
      <c r="P1853" s="14">
        <f>Final_Table[[#This Row],[Gross Revenue]]*(1-Final_Table[[#This Row],[Discount %]])</f>
        <v>18360</v>
      </c>
      <c r="Q1853">
        <f>Final_Table[[#This Row],[Net Revenue]]*Final_Table[[#This Row],[Variable Cost %]]</f>
        <v>3304.7999999999997</v>
      </c>
      <c r="R1853">
        <f>Final_Table[[#This Row],[Variable Cost]]+Final_Table[[#This Row],[Fixed Monthly Cost]]</f>
        <v>21304.799999999999</v>
      </c>
      <c r="S1853" s="5">
        <f>Final_Table[[#This Row],[Net Revenue]]-Final_Table[[#This Row],[Total Cost (COGS)]]</f>
        <v>-2944.7999999999993</v>
      </c>
      <c r="T1853">
        <f>Final_Table[[#This Row],[Gross Profit]]*Final_Table[[#This Row],[Tax Rate]]</f>
        <v>-883.43999999999971</v>
      </c>
      <c r="U1853" s="5">
        <f>Final_Table[[#This Row],[Gross Profit]]-Final_Table[[#This Row],[Tax]]</f>
        <v>-2061.3599999999997</v>
      </c>
      <c r="V1853" s="12">
        <f>Final_Table[[#This Row],[Net Profit]]/Final_Table[[#This Row],[Gross Revenue]]</f>
        <v>-0.10104705882352939</v>
      </c>
    </row>
    <row r="1854" spans="1:22">
      <c r="A1854" s="18" t="s">
        <v>68</v>
      </c>
      <c r="B1854">
        <v>2014</v>
      </c>
      <c r="C1854" t="s">
        <v>132</v>
      </c>
      <c r="D1854">
        <v>1</v>
      </c>
      <c r="E1854" s="18" t="s">
        <v>32</v>
      </c>
      <c r="F1854" s="18" t="s">
        <v>80</v>
      </c>
      <c r="G1854" s="18" t="s">
        <v>21</v>
      </c>
      <c r="H1854" s="18" t="str">
        <f>Assumptions!$B$2</f>
        <v>Worst</v>
      </c>
      <c r="I1854" s="18">
        <f>_xlfn.XLOOKUP(Assumptions!$B$2,Assumptions!$F$4:$H$4,Assumptions!$F$5:$H$5)</f>
        <v>1200</v>
      </c>
      <c r="J1854" s="18">
        <f>_xlfn.XLOOKUP(Assumptions!$B$2,Assumptions!$F$4:$H$4,Assumptions!$F$6:$H$6)</f>
        <v>17</v>
      </c>
      <c r="K1854" s="12">
        <f>_xlfn.XLOOKUP(Assumptions!$B$2,Assumptions!$F$4:$H$4,Assumptions!$F$8:$H$8)</f>
        <v>0.1</v>
      </c>
      <c r="L1854" s="12">
        <f>_xlfn.XLOOKUP(Assumptions!$B$2,Assumptions!$F$4:$H$4,Assumptions!$F$9:$H$9)</f>
        <v>0.18</v>
      </c>
      <c r="M1854" s="18">
        <f>_xlfn.XLOOKUP(Assumptions!$B$2,Assumptions!$F$4:$H$4,Assumptions!$F$10:$H$10)</f>
        <v>18000</v>
      </c>
      <c r="N1854" s="12">
        <f>_xlfn.XLOOKUP(Assumptions!$B$2,Assumptions!$F$4:$H$4,Assumptions!$F$11:$H$11)</f>
        <v>0.3</v>
      </c>
      <c r="O1854" s="14">
        <f>Final_Table[[#This Row],[Units Sold]]*Final_Table[[#This Row],[Sale Price]]</f>
        <v>20400</v>
      </c>
      <c r="P1854" s="14">
        <f>Final_Table[[#This Row],[Gross Revenue]]*(1-Final_Table[[#This Row],[Discount %]])</f>
        <v>18360</v>
      </c>
      <c r="Q1854">
        <f>Final_Table[[#This Row],[Net Revenue]]*Final_Table[[#This Row],[Variable Cost %]]</f>
        <v>3304.7999999999997</v>
      </c>
      <c r="R1854">
        <f>Final_Table[[#This Row],[Variable Cost]]+Final_Table[[#This Row],[Fixed Monthly Cost]]</f>
        <v>21304.799999999999</v>
      </c>
      <c r="S1854" s="5">
        <f>Final_Table[[#This Row],[Net Revenue]]-Final_Table[[#This Row],[Total Cost (COGS)]]</f>
        <v>-2944.7999999999993</v>
      </c>
      <c r="T1854">
        <f>Final_Table[[#This Row],[Gross Profit]]*Final_Table[[#This Row],[Tax Rate]]</f>
        <v>-883.43999999999971</v>
      </c>
      <c r="U1854" s="5">
        <f>Final_Table[[#This Row],[Gross Profit]]-Final_Table[[#This Row],[Tax]]</f>
        <v>-2061.3599999999997</v>
      </c>
      <c r="V1854" s="12">
        <f>Final_Table[[#This Row],[Net Profit]]/Final_Table[[#This Row],[Gross Revenue]]</f>
        <v>-0.10104705882352939</v>
      </c>
    </row>
    <row r="1855" spans="1:22">
      <c r="A1855" s="18" t="s">
        <v>68</v>
      </c>
      <c r="B1855">
        <v>2014</v>
      </c>
      <c r="C1855" t="s">
        <v>132</v>
      </c>
      <c r="D1855">
        <v>1</v>
      </c>
      <c r="E1855" s="18" t="s">
        <v>32</v>
      </c>
      <c r="F1855" s="18" t="s">
        <v>80</v>
      </c>
      <c r="G1855" s="18" t="s">
        <v>25</v>
      </c>
      <c r="H1855" s="18" t="str">
        <f>Assumptions!$B$2</f>
        <v>Worst</v>
      </c>
      <c r="I1855" s="18">
        <f>_xlfn.XLOOKUP(Assumptions!$B$2,Assumptions!$F$4:$H$4,Assumptions!$F$5:$H$5)</f>
        <v>1200</v>
      </c>
      <c r="J1855" s="18">
        <f>_xlfn.XLOOKUP(Assumptions!$B$2,Assumptions!$F$4:$H$4,Assumptions!$F$6:$H$6)</f>
        <v>17</v>
      </c>
      <c r="K1855" s="12">
        <f>_xlfn.XLOOKUP(Assumptions!$B$2,Assumptions!$F$4:$H$4,Assumptions!$F$8:$H$8)</f>
        <v>0.1</v>
      </c>
      <c r="L1855" s="12">
        <f>_xlfn.XLOOKUP(Assumptions!$B$2,Assumptions!$F$4:$H$4,Assumptions!$F$9:$H$9)</f>
        <v>0.18</v>
      </c>
      <c r="M1855" s="18">
        <f>_xlfn.XLOOKUP(Assumptions!$B$2,Assumptions!$F$4:$H$4,Assumptions!$F$10:$H$10)</f>
        <v>18000</v>
      </c>
      <c r="N1855" s="12">
        <f>_xlfn.XLOOKUP(Assumptions!$B$2,Assumptions!$F$4:$H$4,Assumptions!$F$11:$H$11)</f>
        <v>0.3</v>
      </c>
      <c r="O1855" s="14">
        <f>Final_Table[[#This Row],[Units Sold]]*Final_Table[[#This Row],[Sale Price]]</f>
        <v>20400</v>
      </c>
      <c r="P1855" s="14">
        <f>Final_Table[[#This Row],[Gross Revenue]]*(1-Final_Table[[#This Row],[Discount %]])</f>
        <v>18360</v>
      </c>
      <c r="Q1855">
        <f>Final_Table[[#This Row],[Net Revenue]]*Final_Table[[#This Row],[Variable Cost %]]</f>
        <v>3304.7999999999997</v>
      </c>
      <c r="R1855">
        <f>Final_Table[[#This Row],[Variable Cost]]+Final_Table[[#This Row],[Fixed Monthly Cost]]</f>
        <v>21304.799999999999</v>
      </c>
      <c r="S1855" s="5">
        <f>Final_Table[[#This Row],[Net Revenue]]-Final_Table[[#This Row],[Total Cost (COGS)]]</f>
        <v>-2944.7999999999993</v>
      </c>
      <c r="T1855">
        <f>Final_Table[[#This Row],[Gross Profit]]*Final_Table[[#This Row],[Tax Rate]]</f>
        <v>-883.43999999999971</v>
      </c>
      <c r="U1855" s="5">
        <f>Final_Table[[#This Row],[Gross Profit]]-Final_Table[[#This Row],[Tax]]</f>
        <v>-2061.3599999999997</v>
      </c>
      <c r="V1855" s="12">
        <f>Final_Table[[#This Row],[Net Profit]]/Final_Table[[#This Row],[Gross Revenue]]</f>
        <v>-0.10104705882352939</v>
      </c>
    </row>
    <row r="1856" spans="1:22">
      <c r="A1856" s="18" t="s">
        <v>68</v>
      </c>
      <c r="B1856">
        <v>2014</v>
      </c>
      <c r="C1856" t="s">
        <v>132</v>
      </c>
      <c r="D1856">
        <v>1</v>
      </c>
      <c r="E1856" s="18" t="s">
        <v>32</v>
      </c>
      <c r="F1856" s="18" t="s">
        <v>80</v>
      </c>
      <c r="G1856" s="18" t="s">
        <v>17</v>
      </c>
      <c r="H1856" s="18" t="str">
        <f>Assumptions!$B$2</f>
        <v>Worst</v>
      </c>
      <c r="I1856" s="18">
        <f>_xlfn.XLOOKUP(Assumptions!$B$2,Assumptions!$F$4:$H$4,Assumptions!$F$5:$H$5)</f>
        <v>1200</v>
      </c>
      <c r="J1856" s="18">
        <f>_xlfn.XLOOKUP(Assumptions!$B$2,Assumptions!$F$4:$H$4,Assumptions!$F$6:$H$6)</f>
        <v>17</v>
      </c>
      <c r="K1856" s="12">
        <f>_xlfn.XLOOKUP(Assumptions!$B$2,Assumptions!$F$4:$H$4,Assumptions!$F$8:$H$8)</f>
        <v>0.1</v>
      </c>
      <c r="L1856" s="12">
        <f>_xlfn.XLOOKUP(Assumptions!$B$2,Assumptions!$F$4:$H$4,Assumptions!$F$9:$H$9)</f>
        <v>0.18</v>
      </c>
      <c r="M1856" s="18">
        <f>_xlfn.XLOOKUP(Assumptions!$B$2,Assumptions!$F$4:$H$4,Assumptions!$F$10:$H$10)</f>
        <v>18000</v>
      </c>
      <c r="N1856" s="12">
        <f>_xlfn.XLOOKUP(Assumptions!$B$2,Assumptions!$F$4:$H$4,Assumptions!$F$11:$H$11)</f>
        <v>0.3</v>
      </c>
      <c r="O1856" s="14">
        <f>Final_Table[[#This Row],[Units Sold]]*Final_Table[[#This Row],[Sale Price]]</f>
        <v>20400</v>
      </c>
      <c r="P1856" s="14">
        <f>Final_Table[[#This Row],[Gross Revenue]]*(1-Final_Table[[#This Row],[Discount %]])</f>
        <v>18360</v>
      </c>
      <c r="Q1856">
        <f>Final_Table[[#This Row],[Net Revenue]]*Final_Table[[#This Row],[Variable Cost %]]</f>
        <v>3304.7999999999997</v>
      </c>
      <c r="R1856">
        <f>Final_Table[[#This Row],[Variable Cost]]+Final_Table[[#This Row],[Fixed Monthly Cost]]</f>
        <v>21304.799999999999</v>
      </c>
      <c r="S1856" s="5">
        <f>Final_Table[[#This Row],[Net Revenue]]-Final_Table[[#This Row],[Total Cost (COGS)]]</f>
        <v>-2944.7999999999993</v>
      </c>
      <c r="T1856">
        <f>Final_Table[[#This Row],[Gross Profit]]*Final_Table[[#This Row],[Tax Rate]]</f>
        <v>-883.43999999999971</v>
      </c>
      <c r="U1856" s="5">
        <f>Final_Table[[#This Row],[Gross Profit]]-Final_Table[[#This Row],[Tax]]</f>
        <v>-2061.3599999999997</v>
      </c>
      <c r="V1856" s="12">
        <f>Final_Table[[#This Row],[Net Profit]]/Final_Table[[#This Row],[Gross Revenue]]</f>
        <v>-0.10104705882352939</v>
      </c>
    </row>
    <row r="1857" spans="1:22">
      <c r="A1857" s="18" t="s">
        <v>68</v>
      </c>
      <c r="B1857">
        <v>2014</v>
      </c>
      <c r="C1857" t="s">
        <v>132</v>
      </c>
      <c r="D1857">
        <v>1</v>
      </c>
      <c r="E1857" s="18" t="s">
        <v>32</v>
      </c>
      <c r="F1857" s="18" t="s">
        <v>108</v>
      </c>
      <c r="G1857" s="18" t="s">
        <v>36</v>
      </c>
      <c r="H1857" s="18" t="str">
        <f>Assumptions!$B$2</f>
        <v>Worst</v>
      </c>
      <c r="I1857" s="18">
        <f>_xlfn.XLOOKUP(Assumptions!$B$2,Assumptions!$F$4:$H$4,Assumptions!$F$5:$H$5)</f>
        <v>1200</v>
      </c>
      <c r="J1857" s="18">
        <f>_xlfn.XLOOKUP(Assumptions!$B$2,Assumptions!$F$4:$H$4,Assumptions!$F$6:$H$6)</f>
        <v>17</v>
      </c>
      <c r="K1857" s="12">
        <f>_xlfn.XLOOKUP(Assumptions!$B$2,Assumptions!$F$4:$H$4,Assumptions!$F$8:$H$8)</f>
        <v>0.1</v>
      </c>
      <c r="L1857" s="12">
        <f>_xlfn.XLOOKUP(Assumptions!$B$2,Assumptions!$F$4:$H$4,Assumptions!$F$9:$H$9)</f>
        <v>0.18</v>
      </c>
      <c r="M1857" s="18">
        <f>_xlfn.XLOOKUP(Assumptions!$B$2,Assumptions!$F$4:$H$4,Assumptions!$F$10:$H$10)</f>
        <v>18000</v>
      </c>
      <c r="N1857" s="12">
        <f>_xlfn.XLOOKUP(Assumptions!$B$2,Assumptions!$F$4:$H$4,Assumptions!$F$11:$H$11)</f>
        <v>0.3</v>
      </c>
      <c r="O1857" s="14">
        <f>Final_Table[[#This Row],[Units Sold]]*Final_Table[[#This Row],[Sale Price]]</f>
        <v>20400</v>
      </c>
      <c r="P1857" s="14">
        <f>Final_Table[[#This Row],[Gross Revenue]]*(1-Final_Table[[#This Row],[Discount %]])</f>
        <v>18360</v>
      </c>
      <c r="Q1857">
        <f>Final_Table[[#This Row],[Net Revenue]]*Final_Table[[#This Row],[Variable Cost %]]</f>
        <v>3304.7999999999997</v>
      </c>
      <c r="R1857">
        <f>Final_Table[[#This Row],[Variable Cost]]+Final_Table[[#This Row],[Fixed Monthly Cost]]</f>
        <v>21304.799999999999</v>
      </c>
      <c r="S1857" s="5">
        <f>Final_Table[[#This Row],[Net Revenue]]-Final_Table[[#This Row],[Total Cost (COGS)]]</f>
        <v>-2944.7999999999993</v>
      </c>
      <c r="T1857">
        <f>Final_Table[[#This Row],[Gross Profit]]*Final_Table[[#This Row],[Tax Rate]]</f>
        <v>-883.43999999999971</v>
      </c>
      <c r="U1857" s="5">
        <f>Final_Table[[#This Row],[Gross Profit]]-Final_Table[[#This Row],[Tax]]</f>
        <v>-2061.3599999999997</v>
      </c>
      <c r="V1857" s="12">
        <f>Final_Table[[#This Row],[Net Profit]]/Final_Table[[#This Row],[Gross Revenue]]</f>
        <v>-0.10104705882352939</v>
      </c>
    </row>
    <row r="1858" spans="1:22">
      <c r="A1858" s="18" t="s">
        <v>68</v>
      </c>
      <c r="B1858">
        <v>2014</v>
      </c>
      <c r="C1858" t="s">
        <v>132</v>
      </c>
      <c r="D1858">
        <v>1</v>
      </c>
      <c r="E1858" s="18" t="s">
        <v>32</v>
      </c>
      <c r="F1858" s="18" t="s">
        <v>108</v>
      </c>
      <c r="G1858" s="18" t="s">
        <v>23</v>
      </c>
      <c r="H1858" s="18" t="str">
        <f>Assumptions!$B$2</f>
        <v>Worst</v>
      </c>
      <c r="I1858" s="18">
        <f>_xlfn.XLOOKUP(Assumptions!$B$2,Assumptions!$F$4:$H$4,Assumptions!$F$5:$H$5)</f>
        <v>1200</v>
      </c>
      <c r="J1858" s="18">
        <f>_xlfn.XLOOKUP(Assumptions!$B$2,Assumptions!$F$4:$H$4,Assumptions!$F$6:$H$6)</f>
        <v>17</v>
      </c>
      <c r="K1858" s="12">
        <f>_xlfn.XLOOKUP(Assumptions!$B$2,Assumptions!$F$4:$H$4,Assumptions!$F$8:$H$8)</f>
        <v>0.1</v>
      </c>
      <c r="L1858" s="12">
        <f>_xlfn.XLOOKUP(Assumptions!$B$2,Assumptions!$F$4:$H$4,Assumptions!$F$9:$H$9)</f>
        <v>0.18</v>
      </c>
      <c r="M1858" s="18">
        <f>_xlfn.XLOOKUP(Assumptions!$B$2,Assumptions!$F$4:$H$4,Assumptions!$F$10:$H$10)</f>
        <v>18000</v>
      </c>
      <c r="N1858" s="12">
        <f>_xlfn.XLOOKUP(Assumptions!$B$2,Assumptions!$F$4:$H$4,Assumptions!$F$11:$H$11)</f>
        <v>0.3</v>
      </c>
      <c r="O1858" s="14">
        <f>Final_Table[[#This Row],[Units Sold]]*Final_Table[[#This Row],[Sale Price]]</f>
        <v>20400</v>
      </c>
      <c r="P1858" s="14">
        <f>Final_Table[[#This Row],[Gross Revenue]]*(1-Final_Table[[#This Row],[Discount %]])</f>
        <v>18360</v>
      </c>
      <c r="Q1858">
        <f>Final_Table[[#This Row],[Net Revenue]]*Final_Table[[#This Row],[Variable Cost %]]</f>
        <v>3304.7999999999997</v>
      </c>
      <c r="R1858">
        <f>Final_Table[[#This Row],[Variable Cost]]+Final_Table[[#This Row],[Fixed Monthly Cost]]</f>
        <v>21304.799999999999</v>
      </c>
      <c r="S1858" s="5">
        <f>Final_Table[[#This Row],[Net Revenue]]-Final_Table[[#This Row],[Total Cost (COGS)]]</f>
        <v>-2944.7999999999993</v>
      </c>
      <c r="T1858">
        <f>Final_Table[[#This Row],[Gross Profit]]*Final_Table[[#This Row],[Tax Rate]]</f>
        <v>-883.43999999999971</v>
      </c>
      <c r="U1858" s="5">
        <f>Final_Table[[#This Row],[Gross Profit]]-Final_Table[[#This Row],[Tax]]</f>
        <v>-2061.3599999999997</v>
      </c>
      <c r="V1858" s="12">
        <f>Final_Table[[#This Row],[Net Profit]]/Final_Table[[#This Row],[Gross Revenue]]</f>
        <v>-0.10104705882352939</v>
      </c>
    </row>
    <row r="1859" spans="1:22">
      <c r="A1859" s="18" t="s">
        <v>68</v>
      </c>
      <c r="B1859">
        <v>2014</v>
      </c>
      <c r="C1859" t="s">
        <v>132</v>
      </c>
      <c r="D1859">
        <v>1</v>
      </c>
      <c r="E1859" s="18" t="s">
        <v>32</v>
      </c>
      <c r="F1859" s="18" t="s">
        <v>108</v>
      </c>
      <c r="G1859" s="18" t="s">
        <v>21</v>
      </c>
      <c r="H1859" s="18" t="str">
        <f>Assumptions!$B$2</f>
        <v>Worst</v>
      </c>
      <c r="I1859" s="18">
        <f>_xlfn.XLOOKUP(Assumptions!$B$2,Assumptions!$F$4:$H$4,Assumptions!$F$5:$H$5)</f>
        <v>1200</v>
      </c>
      <c r="J1859" s="18">
        <f>_xlfn.XLOOKUP(Assumptions!$B$2,Assumptions!$F$4:$H$4,Assumptions!$F$6:$H$6)</f>
        <v>17</v>
      </c>
      <c r="K1859" s="12">
        <f>_xlfn.XLOOKUP(Assumptions!$B$2,Assumptions!$F$4:$H$4,Assumptions!$F$8:$H$8)</f>
        <v>0.1</v>
      </c>
      <c r="L1859" s="12">
        <f>_xlfn.XLOOKUP(Assumptions!$B$2,Assumptions!$F$4:$H$4,Assumptions!$F$9:$H$9)</f>
        <v>0.18</v>
      </c>
      <c r="M1859" s="18">
        <f>_xlfn.XLOOKUP(Assumptions!$B$2,Assumptions!$F$4:$H$4,Assumptions!$F$10:$H$10)</f>
        <v>18000</v>
      </c>
      <c r="N1859" s="12">
        <f>_xlfn.XLOOKUP(Assumptions!$B$2,Assumptions!$F$4:$H$4,Assumptions!$F$11:$H$11)</f>
        <v>0.3</v>
      </c>
      <c r="O1859" s="14">
        <f>Final_Table[[#This Row],[Units Sold]]*Final_Table[[#This Row],[Sale Price]]</f>
        <v>20400</v>
      </c>
      <c r="P1859" s="14">
        <f>Final_Table[[#This Row],[Gross Revenue]]*(1-Final_Table[[#This Row],[Discount %]])</f>
        <v>18360</v>
      </c>
      <c r="Q1859">
        <f>Final_Table[[#This Row],[Net Revenue]]*Final_Table[[#This Row],[Variable Cost %]]</f>
        <v>3304.7999999999997</v>
      </c>
      <c r="R1859">
        <f>Final_Table[[#This Row],[Variable Cost]]+Final_Table[[#This Row],[Fixed Monthly Cost]]</f>
        <v>21304.799999999999</v>
      </c>
      <c r="S1859" s="5">
        <f>Final_Table[[#This Row],[Net Revenue]]-Final_Table[[#This Row],[Total Cost (COGS)]]</f>
        <v>-2944.7999999999993</v>
      </c>
      <c r="T1859">
        <f>Final_Table[[#This Row],[Gross Profit]]*Final_Table[[#This Row],[Tax Rate]]</f>
        <v>-883.43999999999971</v>
      </c>
      <c r="U1859" s="5">
        <f>Final_Table[[#This Row],[Gross Profit]]-Final_Table[[#This Row],[Tax]]</f>
        <v>-2061.3599999999997</v>
      </c>
      <c r="V1859" s="12">
        <f>Final_Table[[#This Row],[Net Profit]]/Final_Table[[#This Row],[Gross Revenue]]</f>
        <v>-0.10104705882352939</v>
      </c>
    </row>
    <row r="1860" spans="1:22">
      <c r="A1860" s="18" t="s">
        <v>68</v>
      </c>
      <c r="B1860">
        <v>2014</v>
      </c>
      <c r="C1860" t="s">
        <v>132</v>
      </c>
      <c r="D1860">
        <v>1</v>
      </c>
      <c r="E1860" s="18" t="s">
        <v>32</v>
      </c>
      <c r="F1860" s="18" t="s">
        <v>108</v>
      </c>
      <c r="G1860" s="18" t="s">
        <v>25</v>
      </c>
      <c r="H1860" s="18" t="str">
        <f>Assumptions!$B$2</f>
        <v>Worst</v>
      </c>
      <c r="I1860" s="18">
        <f>_xlfn.XLOOKUP(Assumptions!$B$2,Assumptions!$F$4:$H$4,Assumptions!$F$5:$H$5)</f>
        <v>1200</v>
      </c>
      <c r="J1860" s="18">
        <f>_xlfn.XLOOKUP(Assumptions!$B$2,Assumptions!$F$4:$H$4,Assumptions!$F$6:$H$6)</f>
        <v>17</v>
      </c>
      <c r="K1860" s="12">
        <f>_xlfn.XLOOKUP(Assumptions!$B$2,Assumptions!$F$4:$H$4,Assumptions!$F$8:$H$8)</f>
        <v>0.1</v>
      </c>
      <c r="L1860" s="12">
        <f>_xlfn.XLOOKUP(Assumptions!$B$2,Assumptions!$F$4:$H$4,Assumptions!$F$9:$H$9)</f>
        <v>0.18</v>
      </c>
      <c r="M1860" s="18">
        <f>_xlfn.XLOOKUP(Assumptions!$B$2,Assumptions!$F$4:$H$4,Assumptions!$F$10:$H$10)</f>
        <v>18000</v>
      </c>
      <c r="N1860" s="12">
        <f>_xlfn.XLOOKUP(Assumptions!$B$2,Assumptions!$F$4:$H$4,Assumptions!$F$11:$H$11)</f>
        <v>0.3</v>
      </c>
      <c r="O1860" s="14">
        <f>Final_Table[[#This Row],[Units Sold]]*Final_Table[[#This Row],[Sale Price]]</f>
        <v>20400</v>
      </c>
      <c r="P1860" s="14">
        <f>Final_Table[[#This Row],[Gross Revenue]]*(1-Final_Table[[#This Row],[Discount %]])</f>
        <v>18360</v>
      </c>
      <c r="Q1860">
        <f>Final_Table[[#This Row],[Net Revenue]]*Final_Table[[#This Row],[Variable Cost %]]</f>
        <v>3304.7999999999997</v>
      </c>
      <c r="R1860">
        <f>Final_Table[[#This Row],[Variable Cost]]+Final_Table[[#This Row],[Fixed Monthly Cost]]</f>
        <v>21304.799999999999</v>
      </c>
      <c r="S1860" s="5">
        <f>Final_Table[[#This Row],[Net Revenue]]-Final_Table[[#This Row],[Total Cost (COGS)]]</f>
        <v>-2944.7999999999993</v>
      </c>
      <c r="T1860">
        <f>Final_Table[[#This Row],[Gross Profit]]*Final_Table[[#This Row],[Tax Rate]]</f>
        <v>-883.43999999999971</v>
      </c>
      <c r="U1860" s="5">
        <f>Final_Table[[#This Row],[Gross Profit]]-Final_Table[[#This Row],[Tax]]</f>
        <v>-2061.3599999999997</v>
      </c>
      <c r="V1860" s="12">
        <f>Final_Table[[#This Row],[Net Profit]]/Final_Table[[#This Row],[Gross Revenue]]</f>
        <v>-0.10104705882352939</v>
      </c>
    </row>
    <row r="1861" spans="1:22">
      <c r="A1861" s="18" t="s">
        <v>68</v>
      </c>
      <c r="B1861">
        <v>2014</v>
      </c>
      <c r="C1861" t="s">
        <v>132</v>
      </c>
      <c r="D1861">
        <v>1</v>
      </c>
      <c r="E1861" s="18" t="s">
        <v>32</v>
      </c>
      <c r="F1861" s="18" t="s">
        <v>108</v>
      </c>
      <c r="G1861" s="18" t="s">
        <v>17</v>
      </c>
      <c r="H1861" s="18" t="str">
        <f>Assumptions!$B$2</f>
        <v>Worst</v>
      </c>
      <c r="I1861" s="18">
        <f>_xlfn.XLOOKUP(Assumptions!$B$2,Assumptions!$F$4:$H$4,Assumptions!$F$5:$H$5)</f>
        <v>1200</v>
      </c>
      <c r="J1861" s="18">
        <f>_xlfn.XLOOKUP(Assumptions!$B$2,Assumptions!$F$4:$H$4,Assumptions!$F$6:$H$6)</f>
        <v>17</v>
      </c>
      <c r="K1861" s="12">
        <f>_xlfn.XLOOKUP(Assumptions!$B$2,Assumptions!$F$4:$H$4,Assumptions!$F$8:$H$8)</f>
        <v>0.1</v>
      </c>
      <c r="L1861" s="12">
        <f>_xlfn.XLOOKUP(Assumptions!$B$2,Assumptions!$F$4:$H$4,Assumptions!$F$9:$H$9)</f>
        <v>0.18</v>
      </c>
      <c r="M1861" s="18">
        <f>_xlfn.XLOOKUP(Assumptions!$B$2,Assumptions!$F$4:$H$4,Assumptions!$F$10:$H$10)</f>
        <v>18000</v>
      </c>
      <c r="N1861" s="12">
        <f>_xlfn.XLOOKUP(Assumptions!$B$2,Assumptions!$F$4:$H$4,Assumptions!$F$11:$H$11)</f>
        <v>0.3</v>
      </c>
      <c r="O1861" s="14">
        <f>Final_Table[[#This Row],[Units Sold]]*Final_Table[[#This Row],[Sale Price]]</f>
        <v>20400</v>
      </c>
      <c r="P1861" s="14">
        <f>Final_Table[[#This Row],[Gross Revenue]]*(1-Final_Table[[#This Row],[Discount %]])</f>
        <v>18360</v>
      </c>
      <c r="Q1861">
        <f>Final_Table[[#This Row],[Net Revenue]]*Final_Table[[#This Row],[Variable Cost %]]</f>
        <v>3304.7999999999997</v>
      </c>
      <c r="R1861">
        <f>Final_Table[[#This Row],[Variable Cost]]+Final_Table[[#This Row],[Fixed Monthly Cost]]</f>
        <v>21304.799999999999</v>
      </c>
      <c r="S1861" s="5">
        <f>Final_Table[[#This Row],[Net Revenue]]-Final_Table[[#This Row],[Total Cost (COGS)]]</f>
        <v>-2944.7999999999993</v>
      </c>
      <c r="T1861">
        <f>Final_Table[[#This Row],[Gross Profit]]*Final_Table[[#This Row],[Tax Rate]]</f>
        <v>-883.43999999999971</v>
      </c>
      <c r="U1861" s="5">
        <f>Final_Table[[#This Row],[Gross Profit]]-Final_Table[[#This Row],[Tax]]</f>
        <v>-2061.3599999999997</v>
      </c>
      <c r="V1861" s="12">
        <f>Final_Table[[#This Row],[Net Profit]]/Final_Table[[#This Row],[Gross Revenue]]</f>
        <v>-0.10104705882352939</v>
      </c>
    </row>
    <row r="1862" spans="1:22">
      <c r="A1862" s="18" t="s">
        <v>68</v>
      </c>
      <c r="B1862">
        <v>2014</v>
      </c>
      <c r="C1862" t="s">
        <v>132</v>
      </c>
      <c r="D1862">
        <v>1</v>
      </c>
      <c r="E1862" s="18" t="s">
        <v>32</v>
      </c>
      <c r="F1862" s="18" t="s">
        <v>112</v>
      </c>
      <c r="G1862" s="18" t="s">
        <v>36</v>
      </c>
      <c r="H1862" s="18" t="str">
        <f>Assumptions!$B$2</f>
        <v>Worst</v>
      </c>
      <c r="I1862" s="18">
        <f>_xlfn.XLOOKUP(Assumptions!$B$2,Assumptions!$F$4:$H$4,Assumptions!$F$5:$H$5)</f>
        <v>1200</v>
      </c>
      <c r="J1862" s="18">
        <f>_xlfn.XLOOKUP(Assumptions!$B$2,Assumptions!$F$4:$H$4,Assumptions!$F$6:$H$6)</f>
        <v>17</v>
      </c>
      <c r="K1862" s="12">
        <f>_xlfn.XLOOKUP(Assumptions!$B$2,Assumptions!$F$4:$H$4,Assumptions!$F$8:$H$8)</f>
        <v>0.1</v>
      </c>
      <c r="L1862" s="12">
        <f>_xlfn.XLOOKUP(Assumptions!$B$2,Assumptions!$F$4:$H$4,Assumptions!$F$9:$H$9)</f>
        <v>0.18</v>
      </c>
      <c r="M1862" s="18">
        <f>_xlfn.XLOOKUP(Assumptions!$B$2,Assumptions!$F$4:$H$4,Assumptions!$F$10:$H$10)</f>
        <v>18000</v>
      </c>
      <c r="N1862" s="12">
        <f>_xlfn.XLOOKUP(Assumptions!$B$2,Assumptions!$F$4:$H$4,Assumptions!$F$11:$H$11)</f>
        <v>0.3</v>
      </c>
      <c r="O1862" s="14">
        <f>Final_Table[[#This Row],[Units Sold]]*Final_Table[[#This Row],[Sale Price]]</f>
        <v>20400</v>
      </c>
      <c r="P1862" s="14">
        <f>Final_Table[[#This Row],[Gross Revenue]]*(1-Final_Table[[#This Row],[Discount %]])</f>
        <v>18360</v>
      </c>
      <c r="Q1862">
        <f>Final_Table[[#This Row],[Net Revenue]]*Final_Table[[#This Row],[Variable Cost %]]</f>
        <v>3304.7999999999997</v>
      </c>
      <c r="R1862">
        <f>Final_Table[[#This Row],[Variable Cost]]+Final_Table[[#This Row],[Fixed Monthly Cost]]</f>
        <v>21304.799999999999</v>
      </c>
      <c r="S1862" s="5">
        <f>Final_Table[[#This Row],[Net Revenue]]-Final_Table[[#This Row],[Total Cost (COGS)]]</f>
        <v>-2944.7999999999993</v>
      </c>
      <c r="T1862">
        <f>Final_Table[[#This Row],[Gross Profit]]*Final_Table[[#This Row],[Tax Rate]]</f>
        <v>-883.43999999999971</v>
      </c>
      <c r="U1862" s="5">
        <f>Final_Table[[#This Row],[Gross Profit]]-Final_Table[[#This Row],[Tax]]</f>
        <v>-2061.3599999999997</v>
      </c>
      <c r="V1862" s="12">
        <f>Final_Table[[#This Row],[Net Profit]]/Final_Table[[#This Row],[Gross Revenue]]</f>
        <v>-0.10104705882352939</v>
      </c>
    </row>
    <row r="1863" spans="1:22">
      <c r="A1863" s="18" t="s">
        <v>68</v>
      </c>
      <c r="B1863">
        <v>2014</v>
      </c>
      <c r="C1863" t="s">
        <v>132</v>
      </c>
      <c r="D1863">
        <v>1</v>
      </c>
      <c r="E1863" s="18" t="s">
        <v>32</v>
      </c>
      <c r="F1863" s="18" t="s">
        <v>112</v>
      </c>
      <c r="G1863" s="18" t="s">
        <v>23</v>
      </c>
      <c r="H1863" s="18" t="str">
        <f>Assumptions!$B$2</f>
        <v>Worst</v>
      </c>
      <c r="I1863" s="18">
        <f>_xlfn.XLOOKUP(Assumptions!$B$2,Assumptions!$F$4:$H$4,Assumptions!$F$5:$H$5)</f>
        <v>1200</v>
      </c>
      <c r="J1863" s="18">
        <f>_xlfn.XLOOKUP(Assumptions!$B$2,Assumptions!$F$4:$H$4,Assumptions!$F$6:$H$6)</f>
        <v>17</v>
      </c>
      <c r="K1863" s="12">
        <f>_xlfn.XLOOKUP(Assumptions!$B$2,Assumptions!$F$4:$H$4,Assumptions!$F$8:$H$8)</f>
        <v>0.1</v>
      </c>
      <c r="L1863" s="12">
        <f>_xlfn.XLOOKUP(Assumptions!$B$2,Assumptions!$F$4:$H$4,Assumptions!$F$9:$H$9)</f>
        <v>0.18</v>
      </c>
      <c r="M1863" s="18">
        <f>_xlfn.XLOOKUP(Assumptions!$B$2,Assumptions!$F$4:$H$4,Assumptions!$F$10:$H$10)</f>
        <v>18000</v>
      </c>
      <c r="N1863" s="12">
        <f>_xlfn.XLOOKUP(Assumptions!$B$2,Assumptions!$F$4:$H$4,Assumptions!$F$11:$H$11)</f>
        <v>0.3</v>
      </c>
      <c r="O1863" s="14">
        <f>Final_Table[[#This Row],[Units Sold]]*Final_Table[[#This Row],[Sale Price]]</f>
        <v>20400</v>
      </c>
      <c r="P1863" s="14">
        <f>Final_Table[[#This Row],[Gross Revenue]]*(1-Final_Table[[#This Row],[Discount %]])</f>
        <v>18360</v>
      </c>
      <c r="Q1863">
        <f>Final_Table[[#This Row],[Net Revenue]]*Final_Table[[#This Row],[Variable Cost %]]</f>
        <v>3304.7999999999997</v>
      </c>
      <c r="R1863">
        <f>Final_Table[[#This Row],[Variable Cost]]+Final_Table[[#This Row],[Fixed Monthly Cost]]</f>
        <v>21304.799999999999</v>
      </c>
      <c r="S1863" s="5">
        <f>Final_Table[[#This Row],[Net Revenue]]-Final_Table[[#This Row],[Total Cost (COGS)]]</f>
        <v>-2944.7999999999993</v>
      </c>
      <c r="T1863">
        <f>Final_Table[[#This Row],[Gross Profit]]*Final_Table[[#This Row],[Tax Rate]]</f>
        <v>-883.43999999999971</v>
      </c>
      <c r="U1863" s="5">
        <f>Final_Table[[#This Row],[Gross Profit]]-Final_Table[[#This Row],[Tax]]</f>
        <v>-2061.3599999999997</v>
      </c>
      <c r="V1863" s="12">
        <f>Final_Table[[#This Row],[Net Profit]]/Final_Table[[#This Row],[Gross Revenue]]</f>
        <v>-0.10104705882352939</v>
      </c>
    </row>
    <row r="1864" spans="1:22">
      <c r="A1864" s="18" t="s">
        <v>68</v>
      </c>
      <c r="B1864">
        <v>2014</v>
      </c>
      <c r="C1864" t="s">
        <v>132</v>
      </c>
      <c r="D1864">
        <v>1</v>
      </c>
      <c r="E1864" s="18" t="s">
        <v>32</v>
      </c>
      <c r="F1864" s="18" t="s">
        <v>112</v>
      </c>
      <c r="G1864" s="18" t="s">
        <v>21</v>
      </c>
      <c r="H1864" s="18" t="str">
        <f>Assumptions!$B$2</f>
        <v>Worst</v>
      </c>
      <c r="I1864" s="18">
        <f>_xlfn.XLOOKUP(Assumptions!$B$2,Assumptions!$F$4:$H$4,Assumptions!$F$5:$H$5)</f>
        <v>1200</v>
      </c>
      <c r="J1864" s="18">
        <f>_xlfn.XLOOKUP(Assumptions!$B$2,Assumptions!$F$4:$H$4,Assumptions!$F$6:$H$6)</f>
        <v>17</v>
      </c>
      <c r="K1864" s="12">
        <f>_xlfn.XLOOKUP(Assumptions!$B$2,Assumptions!$F$4:$H$4,Assumptions!$F$8:$H$8)</f>
        <v>0.1</v>
      </c>
      <c r="L1864" s="12">
        <f>_xlfn.XLOOKUP(Assumptions!$B$2,Assumptions!$F$4:$H$4,Assumptions!$F$9:$H$9)</f>
        <v>0.18</v>
      </c>
      <c r="M1864" s="18">
        <f>_xlfn.XLOOKUP(Assumptions!$B$2,Assumptions!$F$4:$H$4,Assumptions!$F$10:$H$10)</f>
        <v>18000</v>
      </c>
      <c r="N1864" s="12">
        <f>_xlfn.XLOOKUP(Assumptions!$B$2,Assumptions!$F$4:$H$4,Assumptions!$F$11:$H$11)</f>
        <v>0.3</v>
      </c>
      <c r="O1864" s="14">
        <f>Final_Table[[#This Row],[Units Sold]]*Final_Table[[#This Row],[Sale Price]]</f>
        <v>20400</v>
      </c>
      <c r="P1864" s="14">
        <f>Final_Table[[#This Row],[Gross Revenue]]*(1-Final_Table[[#This Row],[Discount %]])</f>
        <v>18360</v>
      </c>
      <c r="Q1864">
        <f>Final_Table[[#This Row],[Net Revenue]]*Final_Table[[#This Row],[Variable Cost %]]</f>
        <v>3304.7999999999997</v>
      </c>
      <c r="R1864">
        <f>Final_Table[[#This Row],[Variable Cost]]+Final_Table[[#This Row],[Fixed Monthly Cost]]</f>
        <v>21304.799999999999</v>
      </c>
      <c r="S1864" s="5">
        <f>Final_Table[[#This Row],[Net Revenue]]-Final_Table[[#This Row],[Total Cost (COGS)]]</f>
        <v>-2944.7999999999993</v>
      </c>
      <c r="T1864">
        <f>Final_Table[[#This Row],[Gross Profit]]*Final_Table[[#This Row],[Tax Rate]]</f>
        <v>-883.43999999999971</v>
      </c>
      <c r="U1864" s="5">
        <f>Final_Table[[#This Row],[Gross Profit]]-Final_Table[[#This Row],[Tax]]</f>
        <v>-2061.3599999999997</v>
      </c>
      <c r="V1864" s="12">
        <f>Final_Table[[#This Row],[Net Profit]]/Final_Table[[#This Row],[Gross Revenue]]</f>
        <v>-0.10104705882352939</v>
      </c>
    </row>
    <row r="1865" spans="1:22">
      <c r="A1865" s="18" t="s">
        <v>68</v>
      </c>
      <c r="B1865">
        <v>2014</v>
      </c>
      <c r="C1865" t="s">
        <v>132</v>
      </c>
      <c r="D1865">
        <v>1</v>
      </c>
      <c r="E1865" s="18" t="s">
        <v>32</v>
      </c>
      <c r="F1865" s="18" t="s">
        <v>112</v>
      </c>
      <c r="G1865" s="18" t="s">
        <v>25</v>
      </c>
      <c r="H1865" s="18" t="str">
        <f>Assumptions!$B$2</f>
        <v>Worst</v>
      </c>
      <c r="I1865" s="18">
        <f>_xlfn.XLOOKUP(Assumptions!$B$2,Assumptions!$F$4:$H$4,Assumptions!$F$5:$H$5)</f>
        <v>1200</v>
      </c>
      <c r="J1865" s="18">
        <f>_xlfn.XLOOKUP(Assumptions!$B$2,Assumptions!$F$4:$H$4,Assumptions!$F$6:$H$6)</f>
        <v>17</v>
      </c>
      <c r="K1865" s="12">
        <f>_xlfn.XLOOKUP(Assumptions!$B$2,Assumptions!$F$4:$H$4,Assumptions!$F$8:$H$8)</f>
        <v>0.1</v>
      </c>
      <c r="L1865" s="12">
        <f>_xlfn.XLOOKUP(Assumptions!$B$2,Assumptions!$F$4:$H$4,Assumptions!$F$9:$H$9)</f>
        <v>0.18</v>
      </c>
      <c r="M1865" s="18">
        <f>_xlfn.XLOOKUP(Assumptions!$B$2,Assumptions!$F$4:$H$4,Assumptions!$F$10:$H$10)</f>
        <v>18000</v>
      </c>
      <c r="N1865" s="12">
        <f>_xlfn.XLOOKUP(Assumptions!$B$2,Assumptions!$F$4:$H$4,Assumptions!$F$11:$H$11)</f>
        <v>0.3</v>
      </c>
      <c r="O1865" s="14">
        <f>Final_Table[[#This Row],[Units Sold]]*Final_Table[[#This Row],[Sale Price]]</f>
        <v>20400</v>
      </c>
      <c r="P1865" s="14">
        <f>Final_Table[[#This Row],[Gross Revenue]]*(1-Final_Table[[#This Row],[Discount %]])</f>
        <v>18360</v>
      </c>
      <c r="Q1865">
        <f>Final_Table[[#This Row],[Net Revenue]]*Final_Table[[#This Row],[Variable Cost %]]</f>
        <v>3304.7999999999997</v>
      </c>
      <c r="R1865">
        <f>Final_Table[[#This Row],[Variable Cost]]+Final_Table[[#This Row],[Fixed Monthly Cost]]</f>
        <v>21304.799999999999</v>
      </c>
      <c r="S1865" s="5">
        <f>Final_Table[[#This Row],[Net Revenue]]-Final_Table[[#This Row],[Total Cost (COGS)]]</f>
        <v>-2944.7999999999993</v>
      </c>
      <c r="T1865">
        <f>Final_Table[[#This Row],[Gross Profit]]*Final_Table[[#This Row],[Tax Rate]]</f>
        <v>-883.43999999999971</v>
      </c>
      <c r="U1865" s="5">
        <f>Final_Table[[#This Row],[Gross Profit]]-Final_Table[[#This Row],[Tax]]</f>
        <v>-2061.3599999999997</v>
      </c>
      <c r="V1865" s="12">
        <f>Final_Table[[#This Row],[Net Profit]]/Final_Table[[#This Row],[Gross Revenue]]</f>
        <v>-0.10104705882352939</v>
      </c>
    </row>
    <row r="1866" spans="1:22">
      <c r="A1866" s="18" t="s">
        <v>68</v>
      </c>
      <c r="B1866">
        <v>2014</v>
      </c>
      <c r="C1866" t="s">
        <v>132</v>
      </c>
      <c r="D1866">
        <v>1</v>
      </c>
      <c r="E1866" s="18" t="s">
        <v>32</v>
      </c>
      <c r="F1866" s="18" t="s">
        <v>112</v>
      </c>
      <c r="G1866" s="18" t="s">
        <v>17</v>
      </c>
      <c r="H1866" s="18" t="str">
        <f>Assumptions!$B$2</f>
        <v>Worst</v>
      </c>
      <c r="I1866" s="18">
        <f>_xlfn.XLOOKUP(Assumptions!$B$2,Assumptions!$F$4:$H$4,Assumptions!$F$5:$H$5)</f>
        <v>1200</v>
      </c>
      <c r="J1866" s="18">
        <f>_xlfn.XLOOKUP(Assumptions!$B$2,Assumptions!$F$4:$H$4,Assumptions!$F$6:$H$6)</f>
        <v>17</v>
      </c>
      <c r="K1866" s="12">
        <f>_xlfn.XLOOKUP(Assumptions!$B$2,Assumptions!$F$4:$H$4,Assumptions!$F$8:$H$8)</f>
        <v>0.1</v>
      </c>
      <c r="L1866" s="12">
        <f>_xlfn.XLOOKUP(Assumptions!$B$2,Assumptions!$F$4:$H$4,Assumptions!$F$9:$H$9)</f>
        <v>0.18</v>
      </c>
      <c r="M1866" s="18">
        <f>_xlfn.XLOOKUP(Assumptions!$B$2,Assumptions!$F$4:$H$4,Assumptions!$F$10:$H$10)</f>
        <v>18000</v>
      </c>
      <c r="N1866" s="12">
        <f>_xlfn.XLOOKUP(Assumptions!$B$2,Assumptions!$F$4:$H$4,Assumptions!$F$11:$H$11)</f>
        <v>0.3</v>
      </c>
      <c r="O1866" s="14">
        <f>Final_Table[[#This Row],[Units Sold]]*Final_Table[[#This Row],[Sale Price]]</f>
        <v>20400</v>
      </c>
      <c r="P1866" s="14">
        <f>Final_Table[[#This Row],[Gross Revenue]]*(1-Final_Table[[#This Row],[Discount %]])</f>
        <v>18360</v>
      </c>
      <c r="Q1866">
        <f>Final_Table[[#This Row],[Net Revenue]]*Final_Table[[#This Row],[Variable Cost %]]</f>
        <v>3304.7999999999997</v>
      </c>
      <c r="R1866">
        <f>Final_Table[[#This Row],[Variable Cost]]+Final_Table[[#This Row],[Fixed Monthly Cost]]</f>
        <v>21304.799999999999</v>
      </c>
      <c r="S1866" s="5">
        <f>Final_Table[[#This Row],[Net Revenue]]-Final_Table[[#This Row],[Total Cost (COGS)]]</f>
        <v>-2944.7999999999993</v>
      </c>
      <c r="T1866">
        <f>Final_Table[[#This Row],[Gross Profit]]*Final_Table[[#This Row],[Tax Rate]]</f>
        <v>-883.43999999999971</v>
      </c>
      <c r="U1866" s="5">
        <f>Final_Table[[#This Row],[Gross Profit]]-Final_Table[[#This Row],[Tax]]</f>
        <v>-2061.3599999999997</v>
      </c>
      <c r="V1866" s="12">
        <f>Final_Table[[#This Row],[Net Profit]]/Final_Table[[#This Row],[Gross Revenue]]</f>
        <v>-0.10104705882352939</v>
      </c>
    </row>
    <row r="1867" spans="1:22">
      <c r="A1867" s="18" t="s">
        <v>68</v>
      </c>
      <c r="B1867">
        <v>2014</v>
      </c>
      <c r="C1867" t="s">
        <v>132</v>
      </c>
      <c r="D1867">
        <v>1</v>
      </c>
      <c r="E1867" s="18" t="s">
        <v>32</v>
      </c>
      <c r="F1867" s="18" t="s">
        <v>113</v>
      </c>
      <c r="G1867" s="18" t="s">
        <v>36</v>
      </c>
      <c r="H1867" s="18" t="str">
        <f>Assumptions!$B$2</f>
        <v>Worst</v>
      </c>
      <c r="I1867" s="18">
        <f>_xlfn.XLOOKUP(Assumptions!$B$2,Assumptions!$F$4:$H$4,Assumptions!$F$5:$H$5)</f>
        <v>1200</v>
      </c>
      <c r="J1867" s="18">
        <f>_xlfn.XLOOKUP(Assumptions!$B$2,Assumptions!$F$4:$H$4,Assumptions!$F$6:$H$6)</f>
        <v>17</v>
      </c>
      <c r="K1867" s="12">
        <f>_xlfn.XLOOKUP(Assumptions!$B$2,Assumptions!$F$4:$H$4,Assumptions!$F$8:$H$8)</f>
        <v>0.1</v>
      </c>
      <c r="L1867" s="12">
        <f>_xlfn.XLOOKUP(Assumptions!$B$2,Assumptions!$F$4:$H$4,Assumptions!$F$9:$H$9)</f>
        <v>0.18</v>
      </c>
      <c r="M1867" s="18">
        <f>_xlfn.XLOOKUP(Assumptions!$B$2,Assumptions!$F$4:$H$4,Assumptions!$F$10:$H$10)</f>
        <v>18000</v>
      </c>
      <c r="N1867" s="12">
        <f>_xlfn.XLOOKUP(Assumptions!$B$2,Assumptions!$F$4:$H$4,Assumptions!$F$11:$H$11)</f>
        <v>0.3</v>
      </c>
      <c r="O1867" s="14">
        <f>Final_Table[[#This Row],[Units Sold]]*Final_Table[[#This Row],[Sale Price]]</f>
        <v>20400</v>
      </c>
      <c r="P1867" s="14">
        <f>Final_Table[[#This Row],[Gross Revenue]]*(1-Final_Table[[#This Row],[Discount %]])</f>
        <v>18360</v>
      </c>
      <c r="Q1867">
        <f>Final_Table[[#This Row],[Net Revenue]]*Final_Table[[#This Row],[Variable Cost %]]</f>
        <v>3304.7999999999997</v>
      </c>
      <c r="R1867">
        <f>Final_Table[[#This Row],[Variable Cost]]+Final_Table[[#This Row],[Fixed Monthly Cost]]</f>
        <v>21304.799999999999</v>
      </c>
      <c r="S1867" s="5">
        <f>Final_Table[[#This Row],[Net Revenue]]-Final_Table[[#This Row],[Total Cost (COGS)]]</f>
        <v>-2944.7999999999993</v>
      </c>
      <c r="T1867">
        <f>Final_Table[[#This Row],[Gross Profit]]*Final_Table[[#This Row],[Tax Rate]]</f>
        <v>-883.43999999999971</v>
      </c>
      <c r="U1867" s="5">
        <f>Final_Table[[#This Row],[Gross Profit]]-Final_Table[[#This Row],[Tax]]</f>
        <v>-2061.3599999999997</v>
      </c>
      <c r="V1867" s="12">
        <f>Final_Table[[#This Row],[Net Profit]]/Final_Table[[#This Row],[Gross Revenue]]</f>
        <v>-0.10104705882352939</v>
      </c>
    </row>
    <row r="1868" spans="1:22">
      <c r="A1868" s="18" t="s">
        <v>68</v>
      </c>
      <c r="B1868">
        <v>2014</v>
      </c>
      <c r="C1868" t="s">
        <v>132</v>
      </c>
      <c r="D1868">
        <v>1</v>
      </c>
      <c r="E1868" s="18" t="s">
        <v>32</v>
      </c>
      <c r="F1868" s="18" t="s">
        <v>113</v>
      </c>
      <c r="G1868" s="18" t="s">
        <v>23</v>
      </c>
      <c r="H1868" s="18" t="str">
        <f>Assumptions!$B$2</f>
        <v>Worst</v>
      </c>
      <c r="I1868" s="18">
        <f>_xlfn.XLOOKUP(Assumptions!$B$2,Assumptions!$F$4:$H$4,Assumptions!$F$5:$H$5)</f>
        <v>1200</v>
      </c>
      <c r="J1868" s="18">
        <f>_xlfn.XLOOKUP(Assumptions!$B$2,Assumptions!$F$4:$H$4,Assumptions!$F$6:$H$6)</f>
        <v>17</v>
      </c>
      <c r="K1868" s="12">
        <f>_xlfn.XLOOKUP(Assumptions!$B$2,Assumptions!$F$4:$H$4,Assumptions!$F$8:$H$8)</f>
        <v>0.1</v>
      </c>
      <c r="L1868" s="12">
        <f>_xlfn.XLOOKUP(Assumptions!$B$2,Assumptions!$F$4:$H$4,Assumptions!$F$9:$H$9)</f>
        <v>0.18</v>
      </c>
      <c r="M1868" s="18">
        <f>_xlfn.XLOOKUP(Assumptions!$B$2,Assumptions!$F$4:$H$4,Assumptions!$F$10:$H$10)</f>
        <v>18000</v>
      </c>
      <c r="N1868" s="12">
        <f>_xlfn.XLOOKUP(Assumptions!$B$2,Assumptions!$F$4:$H$4,Assumptions!$F$11:$H$11)</f>
        <v>0.3</v>
      </c>
      <c r="O1868" s="14">
        <f>Final_Table[[#This Row],[Units Sold]]*Final_Table[[#This Row],[Sale Price]]</f>
        <v>20400</v>
      </c>
      <c r="P1868" s="14">
        <f>Final_Table[[#This Row],[Gross Revenue]]*(1-Final_Table[[#This Row],[Discount %]])</f>
        <v>18360</v>
      </c>
      <c r="Q1868">
        <f>Final_Table[[#This Row],[Net Revenue]]*Final_Table[[#This Row],[Variable Cost %]]</f>
        <v>3304.7999999999997</v>
      </c>
      <c r="R1868">
        <f>Final_Table[[#This Row],[Variable Cost]]+Final_Table[[#This Row],[Fixed Monthly Cost]]</f>
        <v>21304.799999999999</v>
      </c>
      <c r="S1868" s="5">
        <f>Final_Table[[#This Row],[Net Revenue]]-Final_Table[[#This Row],[Total Cost (COGS)]]</f>
        <v>-2944.7999999999993</v>
      </c>
      <c r="T1868">
        <f>Final_Table[[#This Row],[Gross Profit]]*Final_Table[[#This Row],[Tax Rate]]</f>
        <v>-883.43999999999971</v>
      </c>
      <c r="U1868" s="5">
        <f>Final_Table[[#This Row],[Gross Profit]]-Final_Table[[#This Row],[Tax]]</f>
        <v>-2061.3599999999997</v>
      </c>
      <c r="V1868" s="12">
        <f>Final_Table[[#This Row],[Net Profit]]/Final_Table[[#This Row],[Gross Revenue]]</f>
        <v>-0.10104705882352939</v>
      </c>
    </row>
    <row r="1869" spans="1:22">
      <c r="A1869" s="18" t="s">
        <v>68</v>
      </c>
      <c r="B1869">
        <v>2014</v>
      </c>
      <c r="C1869" t="s">
        <v>132</v>
      </c>
      <c r="D1869">
        <v>1</v>
      </c>
      <c r="E1869" s="18" t="s">
        <v>32</v>
      </c>
      <c r="F1869" s="18" t="s">
        <v>113</v>
      </c>
      <c r="G1869" s="18" t="s">
        <v>21</v>
      </c>
      <c r="H1869" s="18" t="str">
        <f>Assumptions!$B$2</f>
        <v>Worst</v>
      </c>
      <c r="I1869" s="18">
        <f>_xlfn.XLOOKUP(Assumptions!$B$2,Assumptions!$F$4:$H$4,Assumptions!$F$5:$H$5)</f>
        <v>1200</v>
      </c>
      <c r="J1869" s="18">
        <f>_xlfn.XLOOKUP(Assumptions!$B$2,Assumptions!$F$4:$H$4,Assumptions!$F$6:$H$6)</f>
        <v>17</v>
      </c>
      <c r="K1869" s="12">
        <f>_xlfn.XLOOKUP(Assumptions!$B$2,Assumptions!$F$4:$H$4,Assumptions!$F$8:$H$8)</f>
        <v>0.1</v>
      </c>
      <c r="L1869" s="12">
        <f>_xlfn.XLOOKUP(Assumptions!$B$2,Assumptions!$F$4:$H$4,Assumptions!$F$9:$H$9)</f>
        <v>0.18</v>
      </c>
      <c r="M1869" s="18">
        <f>_xlfn.XLOOKUP(Assumptions!$B$2,Assumptions!$F$4:$H$4,Assumptions!$F$10:$H$10)</f>
        <v>18000</v>
      </c>
      <c r="N1869" s="12">
        <f>_xlfn.XLOOKUP(Assumptions!$B$2,Assumptions!$F$4:$H$4,Assumptions!$F$11:$H$11)</f>
        <v>0.3</v>
      </c>
      <c r="O1869" s="14">
        <f>Final_Table[[#This Row],[Units Sold]]*Final_Table[[#This Row],[Sale Price]]</f>
        <v>20400</v>
      </c>
      <c r="P1869" s="14">
        <f>Final_Table[[#This Row],[Gross Revenue]]*(1-Final_Table[[#This Row],[Discount %]])</f>
        <v>18360</v>
      </c>
      <c r="Q1869">
        <f>Final_Table[[#This Row],[Net Revenue]]*Final_Table[[#This Row],[Variable Cost %]]</f>
        <v>3304.7999999999997</v>
      </c>
      <c r="R1869">
        <f>Final_Table[[#This Row],[Variable Cost]]+Final_Table[[#This Row],[Fixed Monthly Cost]]</f>
        <v>21304.799999999999</v>
      </c>
      <c r="S1869" s="5">
        <f>Final_Table[[#This Row],[Net Revenue]]-Final_Table[[#This Row],[Total Cost (COGS)]]</f>
        <v>-2944.7999999999993</v>
      </c>
      <c r="T1869">
        <f>Final_Table[[#This Row],[Gross Profit]]*Final_Table[[#This Row],[Tax Rate]]</f>
        <v>-883.43999999999971</v>
      </c>
      <c r="U1869" s="5">
        <f>Final_Table[[#This Row],[Gross Profit]]-Final_Table[[#This Row],[Tax]]</f>
        <v>-2061.3599999999997</v>
      </c>
      <c r="V1869" s="12">
        <f>Final_Table[[#This Row],[Net Profit]]/Final_Table[[#This Row],[Gross Revenue]]</f>
        <v>-0.10104705882352939</v>
      </c>
    </row>
    <row r="1870" spans="1:22">
      <c r="A1870" s="18" t="s">
        <v>68</v>
      </c>
      <c r="B1870">
        <v>2014</v>
      </c>
      <c r="C1870" t="s">
        <v>132</v>
      </c>
      <c r="D1870">
        <v>1</v>
      </c>
      <c r="E1870" s="18" t="s">
        <v>32</v>
      </c>
      <c r="F1870" s="18" t="s">
        <v>113</v>
      </c>
      <c r="G1870" s="18" t="s">
        <v>25</v>
      </c>
      <c r="H1870" s="18" t="str">
        <f>Assumptions!$B$2</f>
        <v>Worst</v>
      </c>
      <c r="I1870" s="18">
        <f>_xlfn.XLOOKUP(Assumptions!$B$2,Assumptions!$F$4:$H$4,Assumptions!$F$5:$H$5)</f>
        <v>1200</v>
      </c>
      <c r="J1870" s="18">
        <f>_xlfn.XLOOKUP(Assumptions!$B$2,Assumptions!$F$4:$H$4,Assumptions!$F$6:$H$6)</f>
        <v>17</v>
      </c>
      <c r="K1870" s="12">
        <f>_xlfn.XLOOKUP(Assumptions!$B$2,Assumptions!$F$4:$H$4,Assumptions!$F$8:$H$8)</f>
        <v>0.1</v>
      </c>
      <c r="L1870" s="12">
        <f>_xlfn.XLOOKUP(Assumptions!$B$2,Assumptions!$F$4:$H$4,Assumptions!$F$9:$H$9)</f>
        <v>0.18</v>
      </c>
      <c r="M1870" s="18">
        <f>_xlfn.XLOOKUP(Assumptions!$B$2,Assumptions!$F$4:$H$4,Assumptions!$F$10:$H$10)</f>
        <v>18000</v>
      </c>
      <c r="N1870" s="12">
        <f>_xlfn.XLOOKUP(Assumptions!$B$2,Assumptions!$F$4:$H$4,Assumptions!$F$11:$H$11)</f>
        <v>0.3</v>
      </c>
      <c r="O1870" s="14">
        <f>Final_Table[[#This Row],[Units Sold]]*Final_Table[[#This Row],[Sale Price]]</f>
        <v>20400</v>
      </c>
      <c r="P1870" s="14">
        <f>Final_Table[[#This Row],[Gross Revenue]]*(1-Final_Table[[#This Row],[Discount %]])</f>
        <v>18360</v>
      </c>
      <c r="Q1870">
        <f>Final_Table[[#This Row],[Net Revenue]]*Final_Table[[#This Row],[Variable Cost %]]</f>
        <v>3304.7999999999997</v>
      </c>
      <c r="R1870">
        <f>Final_Table[[#This Row],[Variable Cost]]+Final_Table[[#This Row],[Fixed Monthly Cost]]</f>
        <v>21304.799999999999</v>
      </c>
      <c r="S1870" s="5">
        <f>Final_Table[[#This Row],[Net Revenue]]-Final_Table[[#This Row],[Total Cost (COGS)]]</f>
        <v>-2944.7999999999993</v>
      </c>
      <c r="T1870">
        <f>Final_Table[[#This Row],[Gross Profit]]*Final_Table[[#This Row],[Tax Rate]]</f>
        <v>-883.43999999999971</v>
      </c>
      <c r="U1870" s="5">
        <f>Final_Table[[#This Row],[Gross Profit]]-Final_Table[[#This Row],[Tax]]</f>
        <v>-2061.3599999999997</v>
      </c>
      <c r="V1870" s="12">
        <f>Final_Table[[#This Row],[Net Profit]]/Final_Table[[#This Row],[Gross Revenue]]</f>
        <v>-0.10104705882352939</v>
      </c>
    </row>
    <row r="1871" spans="1:22">
      <c r="A1871" s="18" t="s">
        <v>68</v>
      </c>
      <c r="B1871">
        <v>2014</v>
      </c>
      <c r="C1871" t="s">
        <v>132</v>
      </c>
      <c r="D1871">
        <v>1</v>
      </c>
      <c r="E1871" s="18" t="s">
        <v>32</v>
      </c>
      <c r="F1871" s="18" t="s">
        <v>113</v>
      </c>
      <c r="G1871" s="18" t="s">
        <v>17</v>
      </c>
      <c r="H1871" s="18" t="str">
        <f>Assumptions!$B$2</f>
        <v>Worst</v>
      </c>
      <c r="I1871" s="18">
        <f>_xlfn.XLOOKUP(Assumptions!$B$2,Assumptions!$F$4:$H$4,Assumptions!$F$5:$H$5)</f>
        <v>1200</v>
      </c>
      <c r="J1871" s="18">
        <f>_xlfn.XLOOKUP(Assumptions!$B$2,Assumptions!$F$4:$H$4,Assumptions!$F$6:$H$6)</f>
        <v>17</v>
      </c>
      <c r="K1871" s="12">
        <f>_xlfn.XLOOKUP(Assumptions!$B$2,Assumptions!$F$4:$H$4,Assumptions!$F$8:$H$8)</f>
        <v>0.1</v>
      </c>
      <c r="L1871" s="12">
        <f>_xlfn.XLOOKUP(Assumptions!$B$2,Assumptions!$F$4:$H$4,Assumptions!$F$9:$H$9)</f>
        <v>0.18</v>
      </c>
      <c r="M1871" s="18">
        <f>_xlfn.XLOOKUP(Assumptions!$B$2,Assumptions!$F$4:$H$4,Assumptions!$F$10:$H$10)</f>
        <v>18000</v>
      </c>
      <c r="N1871" s="12">
        <f>_xlfn.XLOOKUP(Assumptions!$B$2,Assumptions!$F$4:$H$4,Assumptions!$F$11:$H$11)</f>
        <v>0.3</v>
      </c>
      <c r="O1871" s="14">
        <f>Final_Table[[#This Row],[Units Sold]]*Final_Table[[#This Row],[Sale Price]]</f>
        <v>20400</v>
      </c>
      <c r="P1871" s="14">
        <f>Final_Table[[#This Row],[Gross Revenue]]*(1-Final_Table[[#This Row],[Discount %]])</f>
        <v>18360</v>
      </c>
      <c r="Q1871">
        <f>Final_Table[[#This Row],[Net Revenue]]*Final_Table[[#This Row],[Variable Cost %]]</f>
        <v>3304.7999999999997</v>
      </c>
      <c r="R1871">
        <f>Final_Table[[#This Row],[Variable Cost]]+Final_Table[[#This Row],[Fixed Monthly Cost]]</f>
        <v>21304.799999999999</v>
      </c>
      <c r="S1871" s="5">
        <f>Final_Table[[#This Row],[Net Revenue]]-Final_Table[[#This Row],[Total Cost (COGS)]]</f>
        <v>-2944.7999999999993</v>
      </c>
      <c r="T1871">
        <f>Final_Table[[#This Row],[Gross Profit]]*Final_Table[[#This Row],[Tax Rate]]</f>
        <v>-883.43999999999971</v>
      </c>
      <c r="U1871" s="5">
        <f>Final_Table[[#This Row],[Gross Profit]]-Final_Table[[#This Row],[Tax]]</f>
        <v>-2061.3599999999997</v>
      </c>
      <c r="V1871" s="12">
        <f>Final_Table[[#This Row],[Net Profit]]/Final_Table[[#This Row],[Gross Revenue]]</f>
        <v>-0.10104705882352939</v>
      </c>
    </row>
    <row r="1872" spans="1:22">
      <c r="A1872" s="18" t="s">
        <v>68</v>
      </c>
      <c r="B1872">
        <v>2014</v>
      </c>
      <c r="C1872" t="s">
        <v>132</v>
      </c>
      <c r="D1872">
        <v>1</v>
      </c>
      <c r="E1872" s="18" t="s">
        <v>32</v>
      </c>
      <c r="F1872" s="18" t="s">
        <v>114</v>
      </c>
      <c r="G1872" s="18" t="s">
        <v>36</v>
      </c>
      <c r="H1872" s="18" t="str">
        <f>Assumptions!$B$2</f>
        <v>Worst</v>
      </c>
      <c r="I1872" s="18">
        <f>_xlfn.XLOOKUP(Assumptions!$B$2,Assumptions!$F$4:$H$4,Assumptions!$F$5:$H$5)</f>
        <v>1200</v>
      </c>
      <c r="J1872" s="18">
        <f>_xlfn.XLOOKUP(Assumptions!$B$2,Assumptions!$F$4:$H$4,Assumptions!$F$6:$H$6)</f>
        <v>17</v>
      </c>
      <c r="K1872" s="12">
        <f>_xlfn.XLOOKUP(Assumptions!$B$2,Assumptions!$F$4:$H$4,Assumptions!$F$8:$H$8)</f>
        <v>0.1</v>
      </c>
      <c r="L1872" s="12">
        <f>_xlfn.XLOOKUP(Assumptions!$B$2,Assumptions!$F$4:$H$4,Assumptions!$F$9:$H$9)</f>
        <v>0.18</v>
      </c>
      <c r="M1872" s="18">
        <f>_xlfn.XLOOKUP(Assumptions!$B$2,Assumptions!$F$4:$H$4,Assumptions!$F$10:$H$10)</f>
        <v>18000</v>
      </c>
      <c r="N1872" s="12">
        <f>_xlfn.XLOOKUP(Assumptions!$B$2,Assumptions!$F$4:$H$4,Assumptions!$F$11:$H$11)</f>
        <v>0.3</v>
      </c>
      <c r="O1872" s="14">
        <f>Final_Table[[#This Row],[Units Sold]]*Final_Table[[#This Row],[Sale Price]]</f>
        <v>20400</v>
      </c>
      <c r="P1872" s="14">
        <f>Final_Table[[#This Row],[Gross Revenue]]*(1-Final_Table[[#This Row],[Discount %]])</f>
        <v>18360</v>
      </c>
      <c r="Q1872">
        <f>Final_Table[[#This Row],[Net Revenue]]*Final_Table[[#This Row],[Variable Cost %]]</f>
        <v>3304.7999999999997</v>
      </c>
      <c r="R1872">
        <f>Final_Table[[#This Row],[Variable Cost]]+Final_Table[[#This Row],[Fixed Monthly Cost]]</f>
        <v>21304.799999999999</v>
      </c>
      <c r="S1872" s="5">
        <f>Final_Table[[#This Row],[Net Revenue]]-Final_Table[[#This Row],[Total Cost (COGS)]]</f>
        <v>-2944.7999999999993</v>
      </c>
      <c r="T1872">
        <f>Final_Table[[#This Row],[Gross Profit]]*Final_Table[[#This Row],[Tax Rate]]</f>
        <v>-883.43999999999971</v>
      </c>
      <c r="U1872" s="5">
        <f>Final_Table[[#This Row],[Gross Profit]]-Final_Table[[#This Row],[Tax]]</f>
        <v>-2061.3599999999997</v>
      </c>
      <c r="V1872" s="12">
        <f>Final_Table[[#This Row],[Net Profit]]/Final_Table[[#This Row],[Gross Revenue]]</f>
        <v>-0.10104705882352939</v>
      </c>
    </row>
    <row r="1873" spans="1:22">
      <c r="A1873" s="18" t="s">
        <v>68</v>
      </c>
      <c r="B1873">
        <v>2014</v>
      </c>
      <c r="C1873" t="s">
        <v>132</v>
      </c>
      <c r="D1873">
        <v>1</v>
      </c>
      <c r="E1873" s="18" t="s">
        <v>32</v>
      </c>
      <c r="F1873" s="18" t="s">
        <v>114</v>
      </c>
      <c r="G1873" s="18" t="s">
        <v>23</v>
      </c>
      <c r="H1873" s="18" t="str">
        <f>Assumptions!$B$2</f>
        <v>Worst</v>
      </c>
      <c r="I1873" s="18">
        <f>_xlfn.XLOOKUP(Assumptions!$B$2,Assumptions!$F$4:$H$4,Assumptions!$F$5:$H$5)</f>
        <v>1200</v>
      </c>
      <c r="J1873" s="18">
        <f>_xlfn.XLOOKUP(Assumptions!$B$2,Assumptions!$F$4:$H$4,Assumptions!$F$6:$H$6)</f>
        <v>17</v>
      </c>
      <c r="K1873" s="12">
        <f>_xlfn.XLOOKUP(Assumptions!$B$2,Assumptions!$F$4:$H$4,Assumptions!$F$8:$H$8)</f>
        <v>0.1</v>
      </c>
      <c r="L1873" s="12">
        <f>_xlfn.XLOOKUP(Assumptions!$B$2,Assumptions!$F$4:$H$4,Assumptions!$F$9:$H$9)</f>
        <v>0.18</v>
      </c>
      <c r="M1873" s="18">
        <f>_xlfn.XLOOKUP(Assumptions!$B$2,Assumptions!$F$4:$H$4,Assumptions!$F$10:$H$10)</f>
        <v>18000</v>
      </c>
      <c r="N1873" s="12">
        <f>_xlfn.XLOOKUP(Assumptions!$B$2,Assumptions!$F$4:$H$4,Assumptions!$F$11:$H$11)</f>
        <v>0.3</v>
      </c>
      <c r="O1873" s="14">
        <f>Final_Table[[#This Row],[Units Sold]]*Final_Table[[#This Row],[Sale Price]]</f>
        <v>20400</v>
      </c>
      <c r="P1873" s="14">
        <f>Final_Table[[#This Row],[Gross Revenue]]*(1-Final_Table[[#This Row],[Discount %]])</f>
        <v>18360</v>
      </c>
      <c r="Q1873">
        <f>Final_Table[[#This Row],[Net Revenue]]*Final_Table[[#This Row],[Variable Cost %]]</f>
        <v>3304.7999999999997</v>
      </c>
      <c r="R1873">
        <f>Final_Table[[#This Row],[Variable Cost]]+Final_Table[[#This Row],[Fixed Monthly Cost]]</f>
        <v>21304.799999999999</v>
      </c>
      <c r="S1873" s="5">
        <f>Final_Table[[#This Row],[Net Revenue]]-Final_Table[[#This Row],[Total Cost (COGS)]]</f>
        <v>-2944.7999999999993</v>
      </c>
      <c r="T1873">
        <f>Final_Table[[#This Row],[Gross Profit]]*Final_Table[[#This Row],[Tax Rate]]</f>
        <v>-883.43999999999971</v>
      </c>
      <c r="U1873" s="5">
        <f>Final_Table[[#This Row],[Gross Profit]]-Final_Table[[#This Row],[Tax]]</f>
        <v>-2061.3599999999997</v>
      </c>
      <c r="V1873" s="12">
        <f>Final_Table[[#This Row],[Net Profit]]/Final_Table[[#This Row],[Gross Revenue]]</f>
        <v>-0.10104705882352939</v>
      </c>
    </row>
    <row r="1874" spans="1:22">
      <c r="A1874" s="18" t="s">
        <v>68</v>
      </c>
      <c r="B1874">
        <v>2014</v>
      </c>
      <c r="C1874" t="s">
        <v>132</v>
      </c>
      <c r="D1874">
        <v>1</v>
      </c>
      <c r="E1874" s="18" t="s">
        <v>32</v>
      </c>
      <c r="F1874" s="18" t="s">
        <v>114</v>
      </c>
      <c r="G1874" s="18" t="s">
        <v>21</v>
      </c>
      <c r="H1874" s="18" t="str">
        <f>Assumptions!$B$2</f>
        <v>Worst</v>
      </c>
      <c r="I1874" s="18">
        <f>_xlfn.XLOOKUP(Assumptions!$B$2,Assumptions!$F$4:$H$4,Assumptions!$F$5:$H$5)</f>
        <v>1200</v>
      </c>
      <c r="J1874" s="18">
        <f>_xlfn.XLOOKUP(Assumptions!$B$2,Assumptions!$F$4:$H$4,Assumptions!$F$6:$H$6)</f>
        <v>17</v>
      </c>
      <c r="K1874" s="12">
        <f>_xlfn.XLOOKUP(Assumptions!$B$2,Assumptions!$F$4:$H$4,Assumptions!$F$8:$H$8)</f>
        <v>0.1</v>
      </c>
      <c r="L1874" s="12">
        <f>_xlfn.XLOOKUP(Assumptions!$B$2,Assumptions!$F$4:$H$4,Assumptions!$F$9:$H$9)</f>
        <v>0.18</v>
      </c>
      <c r="M1874" s="18">
        <f>_xlfn.XLOOKUP(Assumptions!$B$2,Assumptions!$F$4:$H$4,Assumptions!$F$10:$H$10)</f>
        <v>18000</v>
      </c>
      <c r="N1874" s="12">
        <f>_xlfn.XLOOKUP(Assumptions!$B$2,Assumptions!$F$4:$H$4,Assumptions!$F$11:$H$11)</f>
        <v>0.3</v>
      </c>
      <c r="O1874" s="14">
        <f>Final_Table[[#This Row],[Units Sold]]*Final_Table[[#This Row],[Sale Price]]</f>
        <v>20400</v>
      </c>
      <c r="P1874" s="14">
        <f>Final_Table[[#This Row],[Gross Revenue]]*(1-Final_Table[[#This Row],[Discount %]])</f>
        <v>18360</v>
      </c>
      <c r="Q1874">
        <f>Final_Table[[#This Row],[Net Revenue]]*Final_Table[[#This Row],[Variable Cost %]]</f>
        <v>3304.7999999999997</v>
      </c>
      <c r="R1874">
        <f>Final_Table[[#This Row],[Variable Cost]]+Final_Table[[#This Row],[Fixed Monthly Cost]]</f>
        <v>21304.799999999999</v>
      </c>
      <c r="S1874" s="5">
        <f>Final_Table[[#This Row],[Net Revenue]]-Final_Table[[#This Row],[Total Cost (COGS)]]</f>
        <v>-2944.7999999999993</v>
      </c>
      <c r="T1874">
        <f>Final_Table[[#This Row],[Gross Profit]]*Final_Table[[#This Row],[Tax Rate]]</f>
        <v>-883.43999999999971</v>
      </c>
      <c r="U1874" s="5">
        <f>Final_Table[[#This Row],[Gross Profit]]-Final_Table[[#This Row],[Tax]]</f>
        <v>-2061.3599999999997</v>
      </c>
      <c r="V1874" s="12">
        <f>Final_Table[[#This Row],[Net Profit]]/Final_Table[[#This Row],[Gross Revenue]]</f>
        <v>-0.10104705882352939</v>
      </c>
    </row>
    <row r="1875" spans="1:22">
      <c r="A1875" s="18" t="s">
        <v>68</v>
      </c>
      <c r="B1875">
        <v>2014</v>
      </c>
      <c r="C1875" t="s">
        <v>132</v>
      </c>
      <c r="D1875">
        <v>1</v>
      </c>
      <c r="E1875" s="18" t="s">
        <v>32</v>
      </c>
      <c r="F1875" s="18" t="s">
        <v>114</v>
      </c>
      <c r="G1875" s="18" t="s">
        <v>25</v>
      </c>
      <c r="H1875" s="18" t="str">
        <f>Assumptions!$B$2</f>
        <v>Worst</v>
      </c>
      <c r="I1875" s="18">
        <f>_xlfn.XLOOKUP(Assumptions!$B$2,Assumptions!$F$4:$H$4,Assumptions!$F$5:$H$5)</f>
        <v>1200</v>
      </c>
      <c r="J1875" s="18">
        <f>_xlfn.XLOOKUP(Assumptions!$B$2,Assumptions!$F$4:$H$4,Assumptions!$F$6:$H$6)</f>
        <v>17</v>
      </c>
      <c r="K1875" s="12">
        <f>_xlfn.XLOOKUP(Assumptions!$B$2,Assumptions!$F$4:$H$4,Assumptions!$F$8:$H$8)</f>
        <v>0.1</v>
      </c>
      <c r="L1875" s="12">
        <f>_xlfn.XLOOKUP(Assumptions!$B$2,Assumptions!$F$4:$H$4,Assumptions!$F$9:$H$9)</f>
        <v>0.18</v>
      </c>
      <c r="M1875" s="18">
        <f>_xlfn.XLOOKUP(Assumptions!$B$2,Assumptions!$F$4:$H$4,Assumptions!$F$10:$H$10)</f>
        <v>18000</v>
      </c>
      <c r="N1875" s="12">
        <f>_xlfn.XLOOKUP(Assumptions!$B$2,Assumptions!$F$4:$H$4,Assumptions!$F$11:$H$11)</f>
        <v>0.3</v>
      </c>
      <c r="O1875" s="14">
        <f>Final_Table[[#This Row],[Units Sold]]*Final_Table[[#This Row],[Sale Price]]</f>
        <v>20400</v>
      </c>
      <c r="P1875" s="14">
        <f>Final_Table[[#This Row],[Gross Revenue]]*(1-Final_Table[[#This Row],[Discount %]])</f>
        <v>18360</v>
      </c>
      <c r="Q1875">
        <f>Final_Table[[#This Row],[Net Revenue]]*Final_Table[[#This Row],[Variable Cost %]]</f>
        <v>3304.7999999999997</v>
      </c>
      <c r="R1875">
        <f>Final_Table[[#This Row],[Variable Cost]]+Final_Table[[#This Row],[Fixed Monthly Cost]]</f>
        <v>21304.799999999999</v>
      </c>
      <c r="S1875" s="5">
        <f>Final_Table[[#This Row],[Net Revenue]]-Final_Table[[#This Row],[Total Cost (COGS)]]</f>
        <v>-2944.7999999999993</v>
      </c>
      <c r="T1875">
        <f>Final_Table[[#This Row],[Gross Profit]]*Final_Table[[#This Row],[Tax Rate]]</f>
        <v>-883.43999999999971</v>
      </c>
      <c r="U1875" s="5">
        <f>Final_Table[[#This Row],[Gross Profit]]-Final_Table[[#This Row],[Tax]]</f>
        <v>-2061.3599999999997</v>
      </c>
      <c r="V1875" s="12">
        <f>Final_Table[[#This Row],[Net Profit]]/Final_Table[[#This Row],[Gross Revenue]]</f>
        <v>-0.10104705882352939</v>
      </c>
    </row>
    <row r="1876" spans="1:22">
      <c r="A1876" s="18" t="s">
        <v>68</v>
      </c>
      <c r="B1876">
        <v>2014</v>
      </c>
      <c r="C1876" t="s">
        <v>132</v>
      </c>
      <c r="D1876">
        <v>1</v>
      </c>
      <c r="E1876" s="18" t="s">
        <v>32</v>
      </c>
      <c r="F1876" s="18" t="s">
        <v>114</v>
      </c>
      <c r="G1876" s="18" t="s">
        <v>17</v>
      </c>
      <c r="H1876" s="18" t="str">
        <f>Assumptions!$B$2</f>
        <v>Worst</v>
      </c>
      <c r="I1876" s="18">
        <f>_xlfn.XLOOKUP(Assumptions!$B$2,Assumptions!$F$4:$H$4,Assumptions!$F$5:$H$5)</f>
        <v>1200</v>
      </c>
      <c r="J1876" s="18">
        <f>_xlfn.XLOOKUP(Assumptions!$B$2,Assumptions!$F$4:$H$4,Assumptions!$F$6:$H$6)</f>
        <v>17</v>
      </c>
      <c r="K1876" s="12">
        <f>_xlfn.XLOOKUP(Assumptions!$B$2,Assumptions!$F$4:$H$4,Assumptions!$F$8:$H$8)</f>
        <v>0.1</v>
      </c>
      <c r="L1876" s="12">
        <f>_xlfn.XLOOKUP(Assumptions!$B$2,Assumptions!$F$4:$H$4,Assumptions!$F$9:$H$9)</f>
        <v>0.18</v>
      </c>
      <c r="M1876" s="18">
        <f>_xlfn.XLOOKUP(Assumptions!$B$2,Assumptions!$F$4:$H$4,Assumptions!$F$10:$H$10)</f>
        <v>18000</v>
      </c>
      <c r="N1876" s="12">
        <f>_xlfn.XLOOKUP(Assumptions!$B$2,Assumptions!$F$4:$H$4,Assumptions!$F$11:$H$11)</f>
        <v>0.3</v>
      </c>
      <c r="O1876" s="14">
        <f>Final_Table[[#This Row],[Units Sold]]*Final_Table[[#This Row],[Sale Price]]</f>
        <v>20400</v>
      </c>
      <c r="P1876" s="14">
        <f>Final_Table[[#This Row],[Gross Revenue]]*(1-Final_Table[[#This Row],[Discount %]])</f>
        <v>18360</v>
      </c>
      <c r="Q1876">
        <f>Final_Table[[#This Row],[Net Revenue]]*Final_Table[[#This Row],[Variable Cost %]]</f>
        <v>3304.7999999999997</v>
      </c>
      <c r="R1876">
        <f>Final_Table[[#This Row],[Variable Cost]]+Final_Table[[#This Row],[Fixed Monthly Cost]]</f>
        <v>21304.799999999999</v>
      </c>
      <c r="S1876" s="5">
        <f>Final_Table[[#This Row],[Net Revenue]]-Final_Table[[#This Row],[Total Cost (COGS)]]</f>
        <v>-2944.7999999999993</v>
      </c>
      <c r="T1876">
        <f>Final_Table[[#This Row],[Gross Profit]]*Final_Table[[#This Row],[Tax Rate]]</f>
        <v>-883.43999999999971</v>
      </c>
      <c r="U1876" s="5">
        <f>Final_Table[[#This Row],[Gross Profit]]-Final_Table[[#This Row],[Tax]]</f>
        <v>-2061.3599999999997</v>
      </c>
      <c r="V1876" s="12">
        <f>Final_Table[[#This Row],[Net Profit]]/Final_Table[[#This Row],[Gross Revenue]]</f>
        <v>-0.10104705882352939</v>
      </c>
    </row>
    <row r="1877" spans="1:22">
      <c r="A1877" s="18" t="s">
        <v>69</v>
      </c>
      <c r="B1877">
        <v>2014</v>
      </c>
      <c r="C1877" t="s">
        <v>133</v>
      </c>
      <c r="D1877">
        <v>1</v>
      </c>
      <c r="E1877" s="18" t="s">
        <v>30</v>
      </c>
      <c r="F1877" s="18" t="s">
        <v>80</v>
      </c>
      <c r="G1877" s="18" t="s">
        <v>36</v>
      </c>
      <c r="H1877" s="18" t="str">
        <f>Assumptions!$B$2</f>
        <v>Worst</v>
      </c>
      <c r="I1877" s="18">
        <f>_xlfn.XLOOKUP(Assumptions!$B$2,Assumptions!$F$4:$H$4,Assumptions!$F$5:$H$5)</f>
        <v>1200</v>
      </c>
      <c r="J1877" s="18">
        <f>_xlfn.XLOOKUP(Assumptions!$B$2,Assumptions!$F$4:$H$4,Assumptions!$F$6:$H$6)</f>
        <v>17</v>
      </c>
      <c r="K1877" s="12">
        <f>_xlfn.XLOOKUP(Assumptions!$B$2,Assumptions!$F$4:$H$4,Assumptions!$F$8:$H$8)</f>
        <v>0.1</v>
      </c>
      <c r="L1877" s="12">
        <f>_xlfn.XLOOKUP(Assumptions!$B$2,Assumptions!$F$4:$H$4,Assumptions!$F$9:$H$9)</f>
        <v>0.18</v>
      </c>
      <c r="M1877" s="18">
        <f>_xlfn.XLOOKUP(Assumptions!$B$2,Assumptions!$F$4:$H$4,Assumptions!$F$10:$H$10)</f>
        <v>18000</v>
      </c>
      <c r="N1877" s="12">
        <f>_xlfn.XLOOKUP(Assumptions!$B$2,Assumptions!$F$4:$H$4,Assumptions!$F$11:$H$11)</f>
        <v>0.3</v>
      </c>
      <c r="O1877" s="14">
        <f>Final_Table[[#This Row],[Units Sold]]*Final_Table[[#This Row],[Sale Price]]</f>
        <v>20400</v>
      </c>
      <c r="P1877" s="14">
        <f>Final_Table[[#This Row],[Gross Revenue]]*(1-Final_Table[[#This Row],[Discount %]])</f>
        <v>18360</v>
      </c>
      <c r="Q1877">
        <f>Final_Table[[#This Row],[Net Revenue]]*Final_Table[[#This Row],[Variable Cost %]]</f>
        <v>3304.7999999999997</v>
      </c>
      <c r="R1877">
        <f>Final_Table[[#This Row],[Variable Cost]]+Final_Table[[#This Row],[Fixed Monthly Cost]]</f>
        <v>21304.799999999999</v>
      </c>
      <c r="S1877" s="5">
        <f>Final_Table[[#This Row],[Net Revenue]]-Final_Table[[#This Row],[Total Cost (COGS)]]</f>
        <v>-2944.7999999999993</v>
      </c>
      <c r="T1877">
        <f>Final_Table[[#This Row],[Gross Profit]]*Final_Table[[#This Row],[Tax Rate]]</f>
        <v>-883.43999999999971</v>
      </c>
      <c r="U1877" s="5">
        <f>Final_Table[[#This Row],[Gross Profit]]-Final_Table[[#This Row],[Tax]]</f>
        <v>-2061.3599999999997</v>
      </c>
      <c r="V1877" s="12">
        <f>Final_Table[[#This Row],[Net Profit]]/Final_Table[[#This Row],[Gross Revenue]]</f>
        <v>-0.10104705882352939</v>
      </c>
    </row>
    <row r="1878" spans="1:22">
      <c r="A1878" s="18" t="s">
        <v>69</v>
      </c>
      <c r="B1878">
        <v>2014</v>
      </c>
      <c r="C1878" t="s">
        <v>133</v>
      </c>
      <c r="D1878">
        <v>1</v>
      </c>
      <c r="E1878" s="18" t="s">
        <v>30</v>
      </c>
      <c r="F1878" s="18" t="s">
        <v>80</v>
      </c>
      <c r="G1878" s="18" t="s">
        <v>23</v>
      </c>
      <c r="H1878" s="18" t="str">
        <f>Assumptions!$B$2</f>
        <v>Worst</v>
      </c>
      <c r="I1878" s="18">
        <f>_xlfn.XLOOKUP(Assumptions!$B$2,Assumptions!$F$4:$H$4,Assumptions!$F$5:$H$5)</f>
        <v>1200</v>
      </c>
      <c r="J1878" s="18">
        <f>_xlfn.XLOOKUP(Assumptions!$B$2,Assumptions!$F$4:$H$4,Assumptions!$F$6:$H$6)</f>
        <v>17</v>
      </c>
      <c r="K1878" s="12">
        <f>_xlfn.XLOOKUP(Assumptions!$B$2,Assumptions!$F$4:$H$4,Assumptions!$F$8:$H$8)</f>
        <v>0.1</v>
      </c>
      <c r="L1878" s="12">
        <f>_xlfn.XLOOKUP(Assumptions!$B$2,Assumptions!$F$4:$H$4,Assumptions!$F$9:$H$9)</f>
        <v>0.18</v>
      </c>
      <c r="M1878" s="18">
        <f>_xlfn.XLOOKUP(Assumptions!$B$2,Assumptions!$F$4:$H$4,Assumptions!$F$10:$H$10)</f>
        <v>18000</v>
      </c>
      <c r="N1878" s="12">
        <f>_xlfn.XLOOKUP(Assumptions!$B$2,Assumptions!$F$4:$H$4,Assumptions!$F$11:$H$11)</f>
        <v>0.3</v>
      </c>
      <c r="O1878" s="14">
        <f>Final_Table[[#This Row],[Units Sold]]*Final_Table[[#This Row],[Sale Price]]</f>
        <v>20400</v>
      </c>
      <c r="P1878" s="14">
        <f>Final_Table[[#This Row],[Gross Revenue]]*(1-Final_Table[[#This Row],[Discount %]])</f>
        <v>18360</v>
      </c>
      <c r="Q1878">
        <f>Final_Table[[#This Row],[Net Revenue]]*Final_Table[[#This Row],[Variable Cost %]]</f>
        <v>3304.7999999999997</v>
      </c>
      <c r="R1878">
        <f>Final_Table[[#This Row],[Variable Cost]]+Final_Table[[#This Row],[Fixed Monthly Cost]]</f>
        <v>21304.799999999999</v>
      </c>
      <c r="S1878" s="5">
        <f>Final_Table[[#This Row],[Net Revenue]]-Final_Table[[#This Row],[Total Cost (COGS)]]</f>
        <v>-2944.7999999999993</v>
      </c>
      <c r="T1878">
        <f>Final_Table[[#This Row],[Gross Profit]]*Final_Table[[#This Row],[Tax Rate]]</f>
        <v>-883.43999999999971</v>
      </c>
      <c r="U1878" s="5">
        <f>Final_Table[[#This Row],[Gross Profit]]-Final_Table[[#This Row],[Tax]]</f>
        <v>-2061.3599999999997</v>
      </c>
      <c r="V1878" s="12">
        <f>Final_Table[[#This Row],[Net Profit]]/Final_Table[[#This Row],[Gross Revenue]]</f>
        <v>-0.10104705882352939</v>
      </c>
    </row>
    <row r="1879" spans="1:22">
      <c r="A1879" s="18" t="s">
        <v>69</v>
      </c>
      <c r="B1879">
        <v>2014</v>
      </c>
      <c r="C1879" t="s">
        <v>133</v>
      </c>
      <c r="D1879">
        <v>1</v>
      </c>
      <c r="E1879" s="18" t="s">
        <v>30</v>
      </c>
      <c r="F1879" s="18" t="s">
        <v>80</v>
      </c>
      <c r="G1879" s="18" t="s">
        <v>21</v>
      </c>
      <c r="H1879" s="18" t="str">
        <f>Assumptions!$B$2</f>
        <v>Worst</v>
      </c>
      <c r="I1879" s="18">
        <f>_xlfn.XLOOKUP(Assumptions!$B$2,Assumptions!$F$4:$H$4,Assumptions!$F$5:$H$5)</f>
        <v>1200</v>
      </c>
      <c r="J1879" s="18">
        <f>_xlfn.XLOOKUP(Assumptions!$B$2,Assumptions!$F$4:$H$4,Assumptions!$F$6:$H$6)</f>
        <v>17</v>
      </c>
      <c r="K1879" s="12">
        <f>_xlfn.XLOOKUP(Assumptions!$B$2,Assumptions!$F$4:$H$4,Assumptions!$F$8:$H$8)</f>
        <v>0.1</v>
      </c>
      <c r="L1879" s="12">
        <f>_xlfn.XLOOKUP(Assumptions!$B$2,Assumptions!$F$4:$H$4,Assumptions!$F$9:$H$9)</f>
        <v>0.18</v>
      </c>
      <c r="M1879" s="18">
        <f>_xlfn.XLOOKUP(Assumptions!$B$2,Assumptions!$F$4:$H$4,Assumptions!$F$10:$H$10)</f>
        <v>18000</v>
      </c>
      <c r="N1879" s="12">
        <f>_xlfn.XLOOKUP(Assumptions!$B$2,Assumptions!$F$4:$H$4,Assumptions!$F$11:$H$11)</f>
        <v>0.3</v>
      </c>
      <c r="O1879" s="14">
        <f>Final_Table[[#This Row],[Units Sold]]*Final_Table[[#This Row],[Sale Price]]</f>
        <v>20400</v>
      </c>
      <c r="P1879" s="14">
        <f>Final_Table[[#This Row],[Gross Revenue]]*(1-Final_Table[[#This Row],[Discount %]])</f>
        <v>18360</v>
      </c>
      <c r="Q1879">
        <f>Final_Table[[#This Row],[Net Revenue]]*Final_Table[[#This Row],[Variable Cost %]]</f>
        <v>3304.7999999999997</v>
      </c>
      <c r="R1879">
        <f>Final_Table[[#This Row],[Variable Cost]]+Final_Table[[#This Row],[Fixed Monthly Cost]]</f>
        <v>21304.799999999999</v>
      </c>
      <c r="S1879" s="5">
        <f>Final_Table[[#This Row],[Net Revenue]]-Final_Table[[#This Row],[Total Cost (COGS)]]</f>
        <v>-2944.7999999999993</v>
      </c>
      <c r="T1879">
        <f>Final_Table[[#This Row],[Gross Profit]]*Final_Table[[#This Row],[Tax Rate]]</f>
        <v>-883.43999999999971</v>
      </c>
      <c r="U1879" s="5">
        <f>Final_Table[[#This Row],[Gross Profit]]-Final_Table[[#This Row],[Tax]]</f>
        <v>-2061.3599999999997</v>
      </c>
      <c r="V1879" s="12">
        <f>Final_Table[[#This Row],[Net Profit]]/Final_Table[[#This Row],[Gross Revenue]]</f>
        <v>-0.10104705882352939</v>
      </c>
    </row>
    <row r="1880" spans="1:22">
      <c r="A1880" s="18" t="s">
        <v>69</v>
      </c>
      <c r="B1880">
        <v>2014</v>
      </c>
      <c r="C1880" t="s">
        <v>133</v>
      </c>
      <c r="D1880">
        <v>1</v>
      </c>
      <c r="E1880" s="18" t="s">
        <v>30</v>
      </c>
      <c r="F1880" s="18" t="s">
        <v>80</v>
      </c>
      <c r="G1880" s="18" t="s">
        <v>25</v>
      </c>
      <c r="H1880" s="18" t="str">
        <f>Assumptions!$B$2</f>
        <v>Worst</v>
      </c>
      <c r="I1880" s="18">
        <f>_xlfn.XLOOKUP(Assumptions!$B$2,Assumptions!$F$4:$H$4,Assumptions!$F$5:$H$5)</f>
        <v>1200</v>
      </c>
      <c r="J1880" s="18">
        <f>_xlfn.XLOOKUP(Assumptions!$B$2,Assumptions!$F$4:$H$4,Assumptions!$F$6:$H$6)</f>
        <v>17</v>
      </c>
      <c r="K1880" s="12">
        <f>_xlfn.XLOOKUP(Assumptions!$B$2,Assumptions!$F$4:$H$4,Assumptions!$F$8:$H$8)</f>
        <v>0.1</v>
      </c>
      <c r="L1880" s="12">
        <f>_xlfn.XLOOKUP(Assumptions!$B$2,Assumptions!$F$4:$H$4,Assumptions!$F$9:$H$9)</f>
        <v>0.18</v>
      </c>
      <c r="M1880" s="18">
        <f>_xlfn.XLOOKUP(Assumptions!$B$2,Assumptions!$F$4:$H$4,Assumptions!$F$10:$H$10)</f>
        <v>18000</v>
      </c>
      <c r="N1880" s="12">
        <f>_xlfn.XLOOKUP(Assumptions!$B$2,Assumptions!$F$4:$H$4,Assumptions!$F$11:$H$11)</f>
        <v>0.3</v>
      </c>
      <c r="O1880" s="14">
        <f>Final_Table[[#This Row],[Units Sold]]*Final_Table[[#This Row],[Sale Price]]</f>
        <v>20400</v>
      </c>
      <c r="P1880" s="14">
        <f>Final_Table[[#This Row],[Gross Revenue]]*(1-Final_Table[[#This Row],[Discount %]])</f>
        <v>18360</v>
      </c>
      <c r="Q1880">
        <f>Final_Table[[#This Row],[Net Revenue]]*Final_Table[[#This Row],[Variable Cost %]]</f>
        <v>3304.7999999999997</v>
      </c>
      <c r="R1880">
        <f>Final_Table[[#This Row],[Variable Cost]]+Final_Table[[#This Row],[Fixed Monthly Cost]]</f>
        <v>21304.799999999999</v>
      </c>
      <c r="S1880" s="5">
        <f>Final_Table[[#This Row],[Net Revenue]]-Final_Table[[#This Row],[Total Cost (COGS)]]</f>
        <v>-2944.7999999999993</v>
      </c>
      <c r="T1880">
        <f>Final_Table[[#This Row],[Gross Profit]]*Final_Table[[#This Row],[Tax Rate]]</f>
        <v>-883.43999999999971</v>
      </c>
      <c r="U1880" s="5">
        <f>Final_Table[[#This Row],[Gross Profit]]-Final_Table[[#This Row],[Tax]]</f>
        <v>-2061.3599999999997</v>
      </c>
      <c r="V1880" s="12">
        <f>Final_Table[[#This Row],[Net Profit]]/Final_Table[[#This Row],[Gross Revenue]]</f>
        <v>-0.10104705882352939</v>
      </c>
    </row>
    <row r="1881" spans="1:22">
      <c r="A1881" s="18" t="s">
        <v>69</v>
      </c>
      <c r="B1881">
        <v>2014</v>
      </c>
      <c r="C1881" t="s">
        <v>133</v>
      </c>
      <c r="D1881">
        <v>1</v>
      </c>
      <c r="E1881" s="18" t="s">
        <v>30</v>
      </c>
      <c r="F1881" s="18" t="s">
        <v>80</v>
      </c>
      <c r="G1881" s="18" t="s">
        <v>17</v>
      </c>
      <c r="H1881" s="18" t="str">
        <f>Assumptions!$B$2</f>
        <v>Worst</v>
      </c>
      <c r="I1881" s="18">
        <f>_xlfn.XLOOKUP(Assumptions!$B$2,Assumptions!$F$4:$H$4,Assumptions!$F$5:$H$5)</f>
        <v>1200</v>
      </c>
      <c r="J1881" s="18">
        <f>_xlfn.XLOOKUP(Assumptions!$B$2,Assumptions!$F$4:$H$4,Assumptions!$F$6:$H$6)</f>
        <v>17</v>
      </c>
      <c r="K1881" s="12">
        <f>_xlfn.XLOOKUP(Assumptions!$B$2,Assumptions!$F$4:$H$4,Assumptions!$F$8:$H$8)</f>
        <v>0.1</v>
      </c>
      <c r="L1881" s="12">
        <f>_xlfn.XLOOKUP(Assumptions!$B$2,Assumptions!$F$4:$H$4,Assumptions!$F$9:$H$9)</f>
        <v>0.18</v>
      </c>
      <c r="M1881" s="18">
        <f>_xlfn.XLOOKUP(Assumptions!$B$2,Assumptions!$F$4:$H$4,Assumptions!$F$10:$H$10)</f>
        <v>18000</v>
      </c>
      <c r="N1881" s="12">
        <f>_xlfn.XLOOKUP(Assumptions!$B$2,Assumptions!$F$4:$H$4,Assumptions!$F$11:$H$11)</f>
        <v>0.3</v>
      </c>
      <c r="O1881" s="14">
        <f>Final_Table[[#This Row],[Units Sold]]*Final_Table[[#This Row],[Sale Price]]</f>
        <v>20400</v>
      </c>
      <c r="P1881" s="14">
        <f>Final_Table[[#This Row],[Gross Revenue]]*(1-Final_Table[[#This Row],[Discount %]])</f>
        <v>18360</v>
      </c>
      <c r="Q1881">
        <f>Final_Table[[#This Row],[Net Revenue]]*Final_Table[[#This Row],[Variable Cost %]]</f>
        <v>3304.7999999999997</v>
      </c>
      <c r="R1881">
        <f>Final_Table[[#This Row],[Variable Cost]]+Final_Table[[#This Row],[Fixed Monthly Cost]]</f>
        <v>21304.799999999999</v>
      </c>
      <c r="S1881" s="5">
        <f>Final_Table[[#This Row],[Net Revenue]]-Final_Table[[#This Row],[Total Cost (COGS)]]</f>
        <v>-2944.7999999999993</v>
      </c>
      <c r="T1881">
        <f>Final_Table[[#This Row],[Gross Profit]]*Final_Table[[#This Row],[Tax Rate]]</f>
        <v>-883.43999999999971</v>
      </c>
      <c r="U1881" s="5">
        <f>Final_Table[[#This Row],[Gross Profit]]-Final_Table[[#This Row],[Tax]]</f>
        <v>-2061.3599999999997</v>
      </c>
      <c r="V1881" s="12">
        <f>Final_Table[[#This Row],[Net Profit]]/Final_Table[[#This Row],[Gross Revenue]]</f>
        <v>-0.10104705882352939</v>
      </c>
    </row>
    <row r="1882" spans="1:22">
      <c r="A1882" s="18" t="s">
        <v>69</v>
      </c>
      <c r="B1882">
        <v>2014</v>
      </c>
      <c r="C1882" t="s">
        <v>133</v>
      </c>
      <c r="D1882">
        <v>1</v>
      </c>
      <c r="E1882" s="18" t="s">
        <v>30</v>
      </c>
      <c r="F1882" s="18" t="s">
        <v>108</v>
      </c>
      <c r="G1882" s="18" t="s">
        <v>36</v>
      </c>
      <c r="H1882" s="18" t="str">
        <f>Assumptions!$B$2</f>
        <v>Worst</v>
      </c>
      <c r="I1882" s="18">
        <f>_xlfn.XLOOKUP(Assumptions!$B$2,Assumptions!$F$4:$H$4,Assumptions!$F$5:$H$5)</f>
        <v>1200</v>
      </c>
      <c r="J1882" s="18">
        <f>_xlfn.XLOOKUP(Assumptions!$B$2,Assumptions!$F$4:$H$4,Assumptions!$F$6:$H$6)</f>
        <v>17</v>
      </c>
      <c r="K1882" s="12">
        <f>_xlfn.XLOOKUP(Assumptions!$B$2,Assumptions!$F$4:$H$4,Assumptions!$F$8:$H$8)</f>
        <v>0.1</v>
      </c>
      <c r="L1882" s="12">
        <f>_xlfn.XLOOKUP(Assumptions!$B$2,Assumptions!$F$4:$H$4,Assumptions!$F$9:$H$9)</f>
        <v>0.18</v>
      </c>
      <c r="M1882" s="18">
        <f>_xlfn.XLOOKUP(Assumptions!$B$2,Assumptions!$F$4:$H$4,Assumptions!$F$10:$H$10)</f>
        <v>18000</v>
      </c>
      <c r="N1882" s="12">
        <f>_xlfn.XLOOKUP(Assumptions!$B$2,Assumptions!$F$4:$H$4,Assumptions!$F$11:$H$11)</f>
        <v>0.3</v>
      </c>
      <c r="O1882" s="14">
        <f>Final_Table[[#This Row],[Units Sold]]*Final_Table[[#This Row],[Sale Price]]</f>
        <v>20400</v>
      </c>
      <c r="P1882" s="14">
        <f>Final_Table[[#This Row],[Gross Revenue]]*(1-Final_Table[[#This Row],[Discount %]])</f>
        <v>18360</v>
      </c>
      <c r="Q1882">
        <f>Final_Table[[#This Row],[Net Revenue]]*Final_Table[[#This Row],[Variable Cost %]]</f>
        <v>3304.7999999999997</v>
      </c>
      <c r="R1882">
        <f>Final_Table[[#This Row],[Variable Cost]]+Final_Table[[#This Row],[Fixed Monthly Cost]]</f>
        <v>21304.799999999999</v>
      </c>
      <c r="S1882" s="5">
        <f>Final_Table[[#This Row],[Net Revenue]]-Final_Table[[#This Row],[Total Cost (COGS)]]</f>
        <v>-2944.7999999999993</v>
      </c>
      <c r="T1882">
        <f>Final_Table[[#This Row],[Gross Profit]]*Final_Table[[#This Row],[Tax Rate]]</f>
        <v>-883.43999999999971</v>
      </c>
      <c r="U1882" s="5">
        <f>Final_Table[[#This Row],[Gross Profit]]-Final_Table[[#This Row],[Tax]]</f>
        <v>-2061.3599999999997</v>
      </c>
      <c r="V1882" s="12">
        <f>Final_Table[[#This Row],[Net Profit]]/Final_Table[[#This Row],[Gross Revenue]]</f>
        <v>-0.10104705882352939</v>
      </c>
    </row>
    <row r="1883" spans="1:22">
      <c r="A1883" s="18" t="s">
        <v>69</v>
      </c>
      <c r="B1883">
        <v>2014</v>
      </c>
      <c r="C1883" t="s">
        <v>133</v>
      </c>
      <c r="D1883">
        <v>1</v>
      </c>
      <c r="E1883" s="18" t="s">
        <v>30</v>
      </c>
      <c r="F1883" s="18" t="s">
        <v>108</v>
      </c>
      <c r="G1883" s="18" t="s">
        <v>23</v>
      </c>
      <c r="H1883" s="18" t="str">
        <f>Assumptions!$B$2</f>
        <v>Worst</v>
      </c>
      <c r="I1883" s="18">
        <f>_xlfn.XLOOKUP(Assumptions!$B$2,Assumptions!$F$4:$H$4,Assumptions!$F$5:$H$5)</f>
        <v>1200</v>
      </c>
      <c r="J1883" s="18">
        <f>_xlfn.XLOOKUP(Assumptions!$B$2,Assumptions!$F$4:$H$4,Assumptions!$F$6:$H$6)</f>
        <v>17</v>
      </c>
      <c r="K1883" s="12">
        <f>_xlfn.XLOOKUP(Assumptions!$B$2,Assumptions!$F$4:$H$4,Assumptions!$F$8:$H$8)</f>
        <v>0.1</v>
      </c>
      <c r="L1883" s="12">
        <f>_xlfn.XLOOKUP(Assumptions!$B$2,Assumptions!$F$4:$H$4,Assumptions!$F$9:$H$9)</f>
        <v>0.18</v>
      </c>
      <c r="M1883" s="18">
        <f>_xlfn.XLOOKUP(Assumptions!$B$2,Assumptions!$F$4:$H$4,Assumptions!$F$10:$H$10)</f>
        <v>18000</v>
      </c>
      <c r="N1883" s="12">
        <f>_xlfn.XLOOKUP(Assumptions!$B$2,Assumptions!$F$4:$H$4,Assumptions!$F$11:$H$11)</f>
        <v>0.3</v>
      </c>
      <c r="O1883" s="14">
        <f>Final_Table[[#This Row],[Units Sold]]*Final_Table[[#This Row],[Sale Price]]</f>
        <v>20400</v>
      </c>
      <c r="P1883" s="14">
        <f>Final_Table[[#This Row],[Gross Revenue]]*(1-Final_Table[[#This Row],[Discount %]])</f>
        <v>18360</v>
      </c>
      <c r="Q1883">
        <f>Final_Table[[#This Row],[Net Revenue]]*Final_Table[[#This Row],[Variable Cost %]]</f>
        <v>3304.7999999999997</v>
      </c>
      <c r="R1883">
        <f>Final_Table[[#This Row],[Variable Cost]]+Final_Table[[#This Row],[Fixed Monthly Cost]]</f>
        <v>21304.799999999999</v>
      </c>
      <c r="S1883" s="5">
        <f>Final_Table[[#This Row],[Net Revenue]]-Final_Table[[#This Row],[Total Cost (COGS)]]</f>
        <v>-2944.7999999999993</v>
      </c>
      <c r="T1883">
        <f>Final_Table[[#This Row],[Gross Profit]]*Final_Table[[#This Row],[Tax Rate]]</f>
        <v>-883.43999999999971</v>
      </c>
      <c r="U1883" s="5">
        <f>Final_Table[[#This Row],[Gross Profit]]-Final_Table[[#This Row],[Tax]]</f>
        <v>-2061.3599999999997</v>
      </c>
      <c r="V1883" s="12">
        <f>Final_Table[[#This Row],[Net Profit]]/Final_Table[[#This Row],[Gross Revenue]]</f>
        <v>-0.10104705882352939</v>
      </c>
    </row>
    <row r="1884" spans="1:22">
      <c r="A1884" s="18" t="s">
        <v>69</v>
      </c>
      <c r="B1884">
        <v>2014</v>
      </c>
      <c r="C1884" t="s">
        <v>133</v>
      </c>
      <c r="D1884">
        <v>1</v>
      </c>
      <c r="E1884" s="18" t="s">
        <v>30</v>
      </c>
      <c r="F1884" s="18" t="s">
        <v>108</v>
      </c>
      <c r="G1884" s="18" t="s">
        <v>21</v>
      </c>
      <c r="H1884" s="18" t="str">
        <f>Assumptions!$B$2</f>
        <v>Worst</v>
      </c>
      <c r="I1884" s="18">
        <f>_xlfn.XLOOKUP(Assumptions!$B$2,Assumptions!$F$4:$H$4,Assumptions!$F$5:$H$5)</f>
        <v>1200</v>
      </c>
      <c r="J1884" s="18">
        <f>_xlfn.XLOOKUP(Assumptions!$B$2,Assumptions!$F$4:$H$4,Assumptions!$F$6:$H$6)</f>
        <v>17</v>
      </c>
      <c r="K1884" s="12">
        <f>_xlfn.XLOOKUP(Assumptions!$B$2,Assumptions!$F$4:$H$4,Assumptions!$F$8:$H$8)</f>
        <v>0.1</v>
      </c>
      <c r="L1884" s="12">
        <f>_xlfn.XLOOKUP(Assumptions!$B$2,Assumptions!$F$4:$H$4,Assumptions!$F$9:$H$9)</f>
        <v>0.18</v>
      </c>
      <c r="M1884" s="18">
        <f>_xlfn.XLOOKUP(Assumptions!$B$2,Assumptions!$F$4:$H$4,Assumptions!$F$10:$H$10)</f>
        <v>18000</v>
      </c>
      <c r="N1884" s="12">
        <f>_xlfn.XLOOKUP(Assumptions!$B$2,Assumptions!$F$4:$H$4,Assumptions!$F$11:$H$11)</f>
        <v>0.3</v>
      </c>
      <c r="O1884" s="14">
        <f>Final_Table[[#This Row],[Units Sold]]*Final_Table[[#This Row],[Sale Price]]</f>
        <v>20400</v>
      </c>
      <c r="P1884" s="14">
        <f>Final_Table[[#This Row],[Gross Revenue]]*(1-Final_Table[[#This Row],[Discount %]])</f>
        <v>18360</v>
      </c>
      <c r="Q1884">
        <f>Final_Table[[#This Row],[Net Revenue]]*Final_Table[[#This Row],[Variable Cost %]]</f>
        <v>3304.7999999999997</v>
      </c>
      <c r="R1884">
        <f>Final_Table[[#This Row],[Variable Cost]]+Final_Table[[#This Row],[Fixed Monthly Cost]]</f>
        <v>21304.799999999999</v>
      </c>
      <c r="S1884" s="5">
        <f>Final_Table[[#This Row],[Net Revenue]]-Final_Table[[#This Row],[Total Cost (COGS)]]</f>
        <v>-2944.7999999999993</v>
      </c>
      <c r="T1884">
        <f>Final_Table[[#This Row],[Gross Profit]]*Final_Table[[#This Row],[Tax Rate]]</f>
        <v>-883.43999999999971</v>
      </c>
      <c r="U1884" s="5">
        <f>Final_Table[[#This Row],[Gross Profit]]-Final_Table[[#This Row],[Tax]]</f>
        <v>-2061.3599999999997</v>
      </c>
      <c r="V1884" s="12">
        <f>Final_Table[[#This Row],[Net Profit]]/Final_Table[[#This Row],[Gross Revenue]]</f>
        <v>-0.10104705882352939</v>
      </c>
    </row>
    <row r="1885" spans="1:22">
      <c r="A1885" s="18" t="s">
        <v>69</v>
      </c>
      <c r="B1885">
        <v>2014</v>
      </c>
      <c r="C1885" t="s">
        <v>133</v>
      </c>
      <c r="D1885">
        <v>1</v>
      </c>
      <c r="E1885" s="18" t="s">
        <v>30</v>
      </c>
      <c r="F1885" s="18" t="s">
        <v>108</v>
      </c>
      <c r="G1885" s="18" t="s">
        <v>25</v>
      </c>
      <c r="H1885" s="18" t="str">
        <f>Assumptions!$B$2</f>
        <v>Worst</v>
      </c>
      <c r="I1885" s="18">
        <f>_xlfn.XLOOKUP(Assumptions!$B$2,Assumptions!$F$4:$H$4,Assumptions!$F$5:$H$5)</f>
        <v>1200</v>
      </c>
      <c r="J1885" s="18">
        <f>_xlfn.XLOOKUP(Assumptions!$B$2,Assumptions!$F$4:$H$4,Assumptions!$F$6:$H$6)</f>
        <v>17</v>
      </c>
      <c r="K1885" s="12">
        <f>_xlfn.XLOOKUP(Assumptions!$B$2,Assumptions!$F$4:$H$4,Assumptions!$F$8:$H$8)</f>
        <v>0.1</v>
      </c>
      <c r="L1885" s="12">
        <f>_xlfn.XLOOKUP(Assumptions!$B$2,Assumptions!$F$4:$H$4,Assumptions!$F$9:$H$9)</f>
        <v>0.18</v>
      </c>
      <c r="M1885" s="18">
        <f>_xlfn.XLOOKUP(Assumptions!$B$2,Assumptions!$F$4:$H$4,Assumptions!$F$10:$H$10)</f>
        <v>18000</v>
      </c>
      <c r="N1885" s="12">
        <f>_xlfn.XLOOKUP(Assumptions!$B$2,Assumptions!$F$4:$H$4,Assumptions!$F$11:$H$11)</f>
        <v>0.3</v>
      </c>
      <c r="O1885" s="14">
        <f>Final_Table[[#This Row],[Units Sold]]*Final_Table[[#This Row],[Sale Price]]</f>
        <v>20400</v>
      </c>
      <c r="P1885" s="14">
        <f>Final_Table[[#This Row],[Gross Revenue]]*(1-Final_Table[[#This Row],[Discount %]])</f>
        <v>18360</v>
      </c>
      <c r="Q1885">
        <f>Final_Table[[#This Row],[Net Revenue]]*Final_Table[[#This Row],[Variable Cost %]]</f>
        <v>3304.7999999999997</v>
      </c>
      <c r="R1885">
        <f>Final_Table[[#This Row],[Variable Cost]]+Final_Table[[#This Row],[Fixed Monthly Cost]]</f>
        <v>21304.799999999999</v>
      </c>
      <c r="S1885" s="5">
        <f>Final_Table[[#This Row],[Net Revenue]]-Final_Table[[#This Row],[Total Cost (COGS)]]</f>
        <v>-2944.7999999999993</v>
      </c>
      <c r="T1885">
        <f>Final_Table[[#This Row],[Gross Profit]]*Final_Table[[#This Row],[Tax Rate]]</f>
        <v>-883.43999999999971</v>
      </c>
      <c r="U1885" s="5">
        <f>Final_Table[[#This Row],[Gross Profit]]-Final_Table[[#This Row],[Tax]]</f>
        <v>-2061.3599999999997</v>
      </c>
      <c r="V1885" s="12">
        <f>Final_Table[[#This Row],[Net Profit]]/Final_Table[[#This Row],[Gross Revenue]]</f>
        <v>-0.10104705882352939</v>
      </c>
    </row>
    <row r="1886" spans="1:22">
      <c r="A1886" s="18" t="s">
        <v>69</v>
      </c>
      <c r="B1886">
        <v>2014</v>
      </c>
      <c r="C1886" t="s">
        <v>133</v>
      </c>
      <c r="D1886">
        <v>1</v>
      </c>
      <c r="E1886" s="18" t="s">
        <v>30</v>
      </c>
      <c r="F1886" s="18" t="s">
        <v>108</v>
      </c>
      <c r="G1886" s="18" t="s">
        <v>17</v>
      </c>
      <c r="H1886" s="18" t="str">
        <f>Assumptions!$B$2</f>
        <v>Worst</v>
      </c>
      <c r="I1886" s="18">
        <f>_xlfn.XLOOKUP(Assumptions!$B$2,Assumptions!$F$4:$H$4,Assumptions!$F$5:$H$5)</f>
        <v>1200</v>
      </c>
      <c r="J1886" s="18">
        <f>_xlfn.XLOOKUP(Assumptions!$B$2,Assumptions!$F$4:$H$4,Assumptions!$F$6:$H$6)</f>
        <v>17</v>
      </c>
      <c r="K1886" s="12">
        <f>_xlfn.XLOOKUP(Assumptions!$B$2,Assumptions!$F$4:$H$4,Assumptions!$F$8:$H$8)</f>
        <v>0.1</v>
      </c>
      <c r="L1886" s="12">
        <f>_xlfn.XLOOKUP(Assumptions!$B$2,Assumptions!$F$4:$H$4,Assumptions!$F$9:$H$9)</f>
        <v>0.18</v>
      </c>
      <c r="M1886" s="18">
        <f>_xlfn.XLOOKUP(Assumptions!$B$2,Assumptions!$F$4:$H$4,Assumptions!$F$10:$H$10)</f>
        <v>18000</v>
      </c>
      <c r="N1886" s="12">
        <f>_xlfn.XLOOKUP(Assumptions!$B$2,Assumptions!$F$4:$H$4,Assumptions!$F$11:$H$11)</f>
        <v>0.3</v>
      </c>
      <c r="O1886" s="14">
        <f>Final_Table[[#This Row],[Units Sold]]*Final_Table[[#This Row],[Sale Price]]</f>
        <v>20400</v>
      </c>
      <c r="P1886" s="14">
        <f>Final_Table[[#This Row],[Gross Revenue]]*(1-Final_Table[[#This Row],[Discount %]])</f>
        <v>18360</v>
      </c>
      <c r="Q1886">
        <f>Final_Table[[#This Row],[Net Revenue]]*Final_Table[[#This Row],[Variable Cost %]]</f>
        <v>3304.7999999999997</v>
      </c>
      <c r="R1886">
        <f>Final_Table[[#This Row],[Variable Cost]]+Final_Table[[#This Row],[Fixed Monthly Cost]]</f>
        <v>21304.799999999999</v>
      </c>
      <c r="S1886" s="5">
        <f>Final_Table[[#This Row],[Net Revenue]]-Final_Table[[#This Row],[Total Cost (COGS)]]</f>
        <v>-2944.7999999999993</v>
      </c>
      <c r="T1886">
        <f>Final_Table[[#This Row],[Gross Profit]]*Final_Table[[#This Row],[Tax Rate]]</f>
        <v>-883.43999999999971</v>
      </c>
      <c r="U1886" s="5">
        <f>Final_Table[[#This Row],[Gross Profit]]-Final_Table[[#This Row],[Tax]]</f>
        <v>-2061.3599999999997</v>
      </c>
      <c r="V1886" s="12">
        <f>Final_Table[[#This Row],[Net Profit]]/Final_Table[[#This Row],[Gross Revenue]]</f>
        <v>-0.10104705882352939</v>
      </c>
    </row>
    <row r="1887" spans="1:22">
      <c r="A1887" s="18" t="s">
        <v>69</v>
      </c>
      <c r="B1887">
        <v>2014</v>
      </c>
      <c r="C1887" t="s">
        <v>133</v>
      </c>
      <c r="D1887">
        <v>1</v>
      </c>
      <c r="E1887" s="18" t="s">
        <v>30</v>
      </c>
      <c r="F1887" s="18" t="s">
        <v>112</v>
      </c>
      <c r="G1887" s="18" t="s">
        <v>36</v>
      </c>
      <c r="H1887" s="18" t="str">
        <f>Assumptions!$B$2</f>
        <v>Worst</v>
      </c>
      <c r="I1887" s="18">
        <f>_xlfn.XLOOKUP(Assumptions!$B$2,Assumptions!$F$4:$H$4,Assumptions!$F$5:$H$5)</f>
        <v>1200</v>
      </c>
      <c r="J1887" s="18">
        <f>_xlfn.XLOOKUP(Assumptions!$B$2,Assumptions!$F$4:$H$4,Assumptions!$F$6:$H$6)</f>
        <v>17</v>
      </c>
      <c r="K1887" s="12">
        <f>_xlfn.XLOOKUP(Assumptions!$B$2,Assumptions!$F$4:$H$4,Assumptions!$F$8:$H$8)</f>
        <v>0.1</v>
      </c>
      <c r="L1887" s="12">
        <f>_xlfn.XLOOKUP(Assumptions!$B$2,Assumptions!$F$4:$H$4,Assumptions!$F$9:$H$9)</f>
        <v>0.18</v>
      </c>
      <c r="M1887" s="18">
        <f>_xlfn.XLOOKUP(Assumptions!$B$2,Assumptions!$F$4:$H$4,Assumptions!$F$10:$H$10)</f>
        <v>18000</v>
      </c>
      <c r="N1887" s="12">
        <f>_xlfn.XLOOKUP(Assumptions!$B$2,Assumptions!$F$4:$H$4,Assumptions!$F$11:$H$11)</f>
        <v>0.3</v>
      </c>
      <c r="O1887" s="14">
        <f>Final_Table[[#This Row],[Units Sold]]*Final_Table[[#This Row],[Sale Price]]</f>
        <v>20400</v>
      </c>
      <c r="P1887" s="14">
        <f>Final_Table[[#This Row],[Gross Revenue]]*(1-Final_Table[[#This Row],[Discount %]])</f>
        <v>18360</v>
      </c>
      <c r="Q1887">
        <f>Final_Table[[#This Row],[Net Revenue]]*Final_Table[[#This Row],[Variable Cost %]]</f>
        <v>3304.7999999999997</v>
      </c>
      <c r="R1887">
        <f>Final_Table[[#This Row],[Variable Cost]]+Final_Table[[#This Row],[Fixed Monthly Cost]]</f>
        <v>21304.799999999999</v>
      </c>
      <c r="S1887" s="5">
        <f>Final_Table[[#This Row],[Net Revenue]]-Final_Table[[#This Row],[Total Cost (COGS)]]</f>
        <v>-2944.7999999999993</v>
      </c>
      <c r="T1887">
        <f>Final_Table[[#This Row],[Gross Profit]]*Final_Table[[#This Row],[Tax Rate]]</f>
        <v>-883.43999999999971</v>
      </c>
      <c r="U1887" s="5">
        <f>Final_Table[[#This Row],[Gross Profit]]-Final_Table[[#This Row],[Tax]]</f>
        <v>-2061.3599999999997</v>
      </c>
      <c r="V1887" s="12">
        <f>Final_Table[[#This Row],[Net Profit]]/Final_Table[[#This Row],[Gross Revenue]]</f>
        <v>-0.10104705882352939</v>
      </c>
    </row>
    <row r="1888" spans="1:22">
      <c r="A1888" s="18" t="s">
        <v>69</v>
      </c>
      <c r="B1888">
        <v>2014</v>
      </c>
      <c r="C1888" t="s">
        <v>133</v>
      </c>
      <c r="D1888">
        <v>1</v>
      </c>
      <c r="E1888" s="18" t="s">
        <v>30</v>
      </c>
      <c r="F1888" s="18" t="s">
        <v>112</v>
      </c>
      <c r="G1888" s="18" t="s">
        <v>23</v>
      </c>
      <c r="H1888" s="18" t="str">
        <f>Assumptions!$B$2</f>
        <v>Worst</v>
      </c>
      <c r="I1888" s="18">
        <f>_xlfn.XLOOKUP(Assumptions!$B$2,Assumptions!$F$4:$H$4,Assumptions!$F$5:$H$5)</f>
        <v>1200</v>
      </c>
      <c r="J1888" s="18">
        <f>_xlfn.XLOOKUP(Assumptions!$B$2,Assumptions!$F$4:$H$4,Assumptions!$F$6:$H$6)</f>
        <v>17</v>
      </c>
      <c r="K1888" s="12">
        <f>_xlfn.XLOOKUP(Assumptions!$B$2,Assumptions!$F$4:$H$4,Assumptions!$F$8:$H$8)</f>
        <v>0.1</v>
      </c>
      <c r="L1888" s="12">
        <f>_xlfn.XLOOKUP(Assumptions!$B$2,Assumptions!$F$4:$H$4,Assumptions!$F$9:$H$9)</f>
        <v>0.18</v>
      </c>
      <c r="M1888" s="18">
        <f>_xlfn.XLOOKUP(Assumptions!$B$2,Assumptions!$F$4:$H$4,Assumptions!$F$10:$H$10)</f>
        <v>18000</v>
      </c>
      <c r="N1888" s="12">
        <f>_xlfn.XLOOKUP(Assumptions!$B$2,Assumptions!$F$4:$H$4,Assumptions!$F$11:$H$11)</f>
        <v>0.3</v>
      </c>
      <c r="O1888" s="14">
        <f>Final_Table[[#This Row],[Units Sold]]*Final_Table[[#This Row],[Sale Price]]</f>
        <v>20400</v>
      </c>
      <c r="P1888" s="14">
        <f>Final_Table[[#This Row],[Gross Revenue]]*(1-Final_Table[[#This Row],[Discount %]])</f>
        <v>18360</v>
      </c>
      <c r="Q1888">
        <f>Final_Table[[#This Row],[Net Revenue]]*Final_Table[[#This Row],[Variable Cost %]]</f>
        <v>3304.7999999999997</v>
      </c>
      <c r="R1888">
        <f>Final_Table[[#This Row],[Variable Cost]]+Final_Table[[#This Row],[Fixed Monthly Cost]]</f>
        <v>21304.799999999999</v>
      </c>
      <c r="S1888" s="5">
        <f>Final_Table[[#This Row],[Net Revenue]]-Final_Table[[#This Row],[Total Cost (COGS)]]</f>
        <v>-2944.7999999999993</v>
      </c>
      <c r="T1888">
        <f>Final_Table[[#This Row],[Gross Profit]]*Final_Table[[#This Row],[Tax Rate]]</f>
        <v>-883.43999999999971</v>
      </c>
      <c r="U1888" s="5">
        <f>Final_Table[[#This Row],[Gross Profit]]-Final_Table[[#This Row],[Tax]]</f>
        <v>-2061.3599999999997</v>
      </c>
      <c r="V1888" s="12">
        <f>Final_Table[[#This Row],[Net Profit]]/Final_Table[[#This Row],[Gross Revenue]]</f>
        <v>-0.10104705882352939</v>
      </c>
    </row>
    <row r="1889" spans="1:22">
      <c r="A1889" s="18" t="s">
        <v>69</v>
      </c>
      <c r="B1889">
        <v>2014</v>
      </c>
      <c r="C1889" t="s">
        <v>133</v>
      </c>
      <c r="D1889">
        <v>1</v>
      </c>
      <c r="E1889" s="18" t="s">
        <v>30</v>
      </c>
      <c r="F1889" s="18" t="s">
        <v>112</v>
      </c>
      <c r="G1889" s="18" t="s">
        <v>21</v>
      </c>
      <c r="H1889" s="18" t="str">
        <f>Assumptions!$B$2</f>
        <v>Worst</v>
      </c>
      <c r="I1889" s="18">
        <f>_xlfn.XLOOKUP(Assumptions!$B$2,Assumptions!$F$4:$H$4,Assumptions!$F$5:$H$5)</f>
        <v>1200</v>
      </c>
      <c r="J1889" s="18">
        <f>_xlfn.XLOOKUP(Assumptions!$B$2,Assumptions!$F$4:$H$4,Assumptions!$F$6:$H$6)</f>
        <v>17</v>
      </c>
      <c r="K1889" s="12">
        <f>_xlfn.XLOOKUP(Assumptions!$B$2,Assumptions!$F$4:$H$4,Assumptions!$F$8:$H$8)</f>
        <v>0.1</v>
      </c>
      <c r="L1889" s="12">
        <f>_xlfn.XLOOKUP(Assumptions!$B$2,Assumptions!$F$4:$H$4,Assumptions!$F$9:$H$9)</f>
        <v>0.18</v>
      </c>
      <c r="M1889" s="18">
        <f>_xlfn.XLOOKUP(Assumptions!$B$2,Assumptions!$F$4:$H$4,Assumptions!$F$10:$H$10)</f>
        <v>18000</v>
      </c>
      <c r="N1889" s="12">
        <f>_xlfn.XLOOKUP(Assumptions!$B$2,Assumptions!$F$4:$H$4,Assumptions!$F$11:$H$11)</f>
        <v>0.3</v>
      </c>
      <c r="O1889" s="14">
        <f>Final_Table[[#This Row],[Units Sold]]*Final_Table[[#This Row],[Sale Price]]</f>
        <v>20400</v>
      </c>
      <c r="P1889" s="14">
        <f>Final_Table[[#This Row],[Gross Revenue]]*(1-Final_Table[[#This Row],[Discount %]])</f>
        <v>18360</v>
      </c>
      <c r="Q1889">
        <f>Final_Table[[#This Row],[Net Revenue]]*Final_Table[[#This Row],[Variable Cost %]]</f>
        <v>3304.7999999999997</v>
      </c>
      <c r="R1889">
        <f>Final_Table[[#This Row],[Variable Cost]]+Final_Table[[#This Row],[Fixed Monthly Cost]]</f>
        <v>21304.799999999999</v>
      </c>
      <c r="S1889" s="5">
        <f>Final_Table[[#This Row],[Net Revenue]]-Final_Table[[#This Row],[Total Cost (COGS)]]</f>
        <v>-2944.7999999999993</v>
      </c>
      <c r="T1889">
        <f>Final_Table[[#This Row],[Gross Profit]]*Final_Table[[#This Row],[Tax Rate]]</f>
        <v>-883.43999999999971</v>
      </c>
      <c r="U1889" s="5">
        <f>Final_Table[[#This Row],[Gross Profit]]-Final_Table[[#This Row],[Tax]]</f>
        <v>-2061.3599999999997</v>
      </c>
      <c r="V1889" s="12">
        <f>Final_Table[[#This Row],[Net Profit]]/Final_Table[[#This Row],[Gross Revenue]]</f>
        <v>-0.10104705882352939</v>
      </c>
    </row>
    <row r="1890" spans="1:22">
      <c r="A1890" s="18" t="s">
        <v>69</v>
      </c>
      <c r="B1890">
        <v>2014</v>
      </c>
      <c r="C1890" t="s">
        <v>133</v>
      </c>
      <c r="D1890">
        <v>1</v>
      </c>
      <c r="E1890" s="18" t="s">
        <v>30</v>
      </c>
      <c r="F1890" s="18" t="s">
        <v>112</v>
      </c>
      <c r="G1890" s="18" t="s">
        <v>25</v>
      </c>
      <c r="H1890" s="18" t="str">
        <f>Assumptions!$B$2</f>
        <v>Worst</v>
      </c>
      <c r="I1890" s="18">
        <f>_xlfn.XLOOKUP(Assumptions!$B$2,Assumptions!$F$4:$H$4,Assumptions!$F$5:$H$5)</f>
        <v>1200</v>
      </c>
      <c r="J1890" s="18">
        <f>_xlfn.XLOOKUP(Assumptions!$B$2,Assumptions!$F$4:$H$4,Assumptions!$F$6:$H$6)</f>
        <v>17</v>
      </c>
      <c r="K1890" s="12">
        <f>_xlfn.XLOOKUP(Assumptions!$B$2,Assumptions!$F$4:$H$4,Assumptions!$F$8:$H$8)</f>
        <v>0.1</v>
      </c>
      <c r="L1890" s="12">
        <f>_xlfn.XLOOKUP(Assumptions!$B$2,Assumptions!$F$4:$H$4,Assumptions!$F$9:$H$9)</f>
        <v>0.18</v>
      </c>
      <c r="M1890" s="18">
        <f>_xlfn.XLOOKUP(Assumptions!$B$2,Assumptions!$F$4:$H$4,Assumptions!$F$10:$H$10)</f>
        <v>18000</v>
      </c>
      <c r="N1890" s="12">
        <f>_xlfn.XLOOKUP(Assumptions!$B$2,Assumptions!$F$4:$H$4,Assumptions!$F$11:$H$11)</f>
        <v>0.3</v>
      </c>
      <c r="O1890" s="14">
        <f>Final_Table[[#This Row],[Units Sold]]*Final_Table[[#This Row],[Sale Price]]</f>
        <v>20400</v>
      </c>
      <c r="P1890" s="14">
        <f>Final_Table[[#This Row],[Gross Revenue]]*(1-Final_Table[[#This Row],[Discount %]])</f>
        <v>18360</v>
      </c>
      <c r="Q1890">
        <f>Final_Table[[#This Row],[Net Revenue]]*Final_Table[[#This Row],[Variable Cost %]]</f>
        <v>3304.7999999999997</v>
      </c>
      <c r="R1890">
        <f>Final_Table[[#This Row],[Variable Cost]]+Final_Table[[#This Row],[Fixed Monthly Cost]]</f>
        <v>21304.799999999999</v>
      </c>
      <c r="S1890" s="5">
        <f>Final_Table[[#This Row],[Net Revenue]]-Final_Table[[#This Row],[Total Cost (COGS)]]</f>
        <v>-2944.7999999999993</v>
      </c>
      <c r="T1890">
        <f>Final_Table[[#This Row],[Gross Profit]]*Final_Table[[#This Row],[Tax Rate]]</f>
        <v>-883.43999999999971</v>
      </c>
      <c r="U1890" s="5">
        <f>Final_Table[[#This Row],[Gross Profit]]-Final_Table[[#This Row],[Tax]]</f>
        <v>-2061.3599999999997</v>
      </c>
      <c r="V1890" s="12">
        <f>Final_Table[[#This Row],[Net Profit]]/Final_Table[[#This Row],[Gross Revenue]]</f>
        <v>-0.10104705882352939</v>
      </c>
    </row>
    <row r="1891" spans="1:22">
      <c r="A1891" s="18" t="s">
        <v>69</v>
      </c>
      <c r="B1891">
        <v>2014</v>
      </c>
      <c r="C1891" t="s">
        <v>133</v>
      </c>
      <c r="D1891">
        <v>1</v>
      </c>
      <c r="E1891" s="18" t="s">
        <v>30</v>
      </c>
      <c r="F1891" s="18" t="s">
        <v>112</v>
      </c>
      <c r="G1891" s="18" t="s">
        <v>17</v>
      </c>
      <c r="H1891" s="18" t="str">
        <f>Assumptions!$B$2</f>
        <v>Worst</v>
      </c>
      <c r="I1891" s="18">
        <f>_xlfn.XLOOKUP(Assumptions!$B$2,Assumptions!$F$4:$H$4,Assumptions!$F$5:$H$5)</f>
        <v>1200</v>
      </c>
      <c r="J1891" s="18">
        <f>_xlfn.XLOOKUP(Assumptions!$B$2,Assumptions!$F$4:$H$4,Assumptions!$F$6:$H$6)</f>
        <v>17</v>
      </c>
      <c r="K1891" s="12">
        <f>_xlfn.XLOOKUP(Assumptions!$B$2,Assumptions!$F$4:$H$4,Assumptions!$F$8:$H$8)</f>
        <v>0.1</v>
      </c>
      <c r="L1891" s="12">
        <f>_xlfn.XLOOKUP(Assumptions!$B$2,Assumptions!$F$4:$H$4,Assumptions!$F$9:$H$9)</f>
        <v>0.18</v>
      </c>
      <c r="M1891" s="18">
        <f>_xlfn.XLOOKUP(Assumptions!$B$2,Assumptions!$F$4:$H$4,Assumptions!$F$10:$H$10)</f>
        <v>18000</v>
      </c>
      <c r="N1891" s="12">
        <f>_xlfn.XLOOKUP(Assumptions!$B$2,Assumptions!$F$4:$H$4,Assumptions!$F$11:$H$11)</f>
        <v>0.3</v>
      </c>
      <c r="O1891" s="14">
        <f>Final_Table[[#This Row],[Units Sold]]*Final_Table[[#This Row],[Sale Price]]</f>
        <v>20400</v>
      </c>
      <c r="P1891" s="14">
        <f>Final_Table[[#This Row],[Gross Revenue]]*(1-Final_Table[[#This Row],[Discount %]])</f>
        <v>18360</v>
      </c>
      <c r="Q1891">
        <f>Final_Table[[#This Row],[Net Revenue]]*Final_Table[[#This Row],[Variable Cost %]]</f>
        <v>3304.7999999999997</v>
      </c>
      <c r="R1891">
        <f>Final_Table[[#This Row],[Variable Cost]]+Final_Table[[#This Row],[Fixed Monthly Cost]]</f>
        <v>21304.799999999999</v>
      </c>
      <c r="S1891" s="5">
        <f>Final_Table[[#This Row],[Net Revenue]]-Final_Table[[#This Row],[Total Cost (COGS)]]</f>
        <v>-2944.7999999999993</v>
      </c>
      <c r="T1891">
        <f>Final_Table[[#This Row],[Gross Profit]]*Final_Table[[#This Row],[Tax Rate]]</f>
        <v>-883.43999999999971</v>
      </c>
      <c r="U1891" s="5">
        <f>Final_Table[[#This Row],[Gross Profit]]-Final_Table[[#This Row],[Tax]]</f>
        <v>-2061.3599999999997</v>
      </c>
      <c r="V1891" s="12">
        <f>Final_Table[[#This Row],[Net Profit]]/Final_Table[[#This Row],[Gross Revenue]]</f>
        <v>-0.10104705882352939</v>
      </c>
    </row>
    <row r="1892" spans="1:22">
      <c r="A1892" s="18" t="s">
        <v>69</v>
      </c>
      <c r="B1892">
        <v>2014</v>
      </c>
      <c r="C1892" t="s">
        <v>133</v>
      </c>
      <c r="D1892">
        <v>1</v>
      </c>
      <c r="E1892" s="18" t="s">
        <v>30</v>
      </c>
      <c r="F1892" s="18" t="s">
        <v>113</v>
      </c>
      <c r="G1892" s="18" t="s">
        <v>36</v>
      </c>
      <c r="H1892" s="18" t="str">
        <f>Assumptions!$B$2</f>
        <v>Worst</v>
      </c>
      <c r="I1892" s="18">
        <f>_xlfn.XLOOKUP(Assumptions!$B$2,Assumptions!$F$4:$H$4,Assumptions!$F$5:$H$5)</f>
        <v>1200</v>
      </c>
      <c r="J1892" s="18">
        <f>_xlfn.XLOOKUP(Assumptions!$B$2,Assumptions!$F$4:$H$4,Assumptions!$F$6:$H$6)</f>
        <v>17</v>
      </c>
      <c r="K1892" s="12">
        <f>_xlfn.XLOOKUP(Assumptions!$B$2,Assumptions!$F$4:$H$4,Assumptions!$F$8:$H$8)</f>
        <v>0.1</v>
      </c>
      <c r="L1892" s="12">
        <f>_xlfn.XLOOKUP(Assumptions!$B$2,Assumptions!$F$4:$H$4,Assumptions!$F$9:$H$9)</f>
        <v>0.18</v>
      </c>
      <c r="M1892" s="18">
        <f>_xlfn.XLOOKUP(Assumptions!$B$2,Assumptions!$F$4:$H$4,Assumptions!$F$10:$H$10)</f>
        <v>18000</v>
      </c>
      <c r="N1892" s="12">
        <f>_xlfn.XLOOKUP(Assumptions!$B$2,Assumptions!$F$4:$H$4,Assumptions!$F$11:$H$11)</f>
        <v>0.3</v>
      </c>
      <c r="O1892" s="14">
        <f>Final_Table[[#This Row],[Units Sold]]*Final_Table[[#This Row],[Sale Price]]</f>
        <v>20400</v>
      </c>
      <c r="P1892" s="14">
        <f>Final_Table[[#This Row],[Gross Revenue]]*(1-Final_Table[[#This Row],[Discount %]])</f>
        <v>18360</v>
      </c>
      <c r="Q1892">
        <f>Final_Table[[#This Row],[Net Revenue]]*Final_Table[[#This Row],[Variable Cost %]]</f>
        <v>3304.7999999999997</v>
      </c>
      <c r="R1892">
        <f>Final_Table[[#This Row],[Variable Cost]]+Final_Table[[#This Row],[Fixed Monthly Cost]]</f>
        <v>21304.799999999999</v>
      </c>
      <c r="S1892" s="5">
        <f>Final_Table[[#This Row],[Net Revenue]]-Final_Table[[#This Row],[Total Cost (COGS)]]</f>
        <v>-2944.7999999999993</v>
      </c>
      <c r="T1892">
        <f>Final_Table[[#This Row],[Gross Profit]]*Final_Table[[#This Row],[Tax Rate]]</f>
        <v>-883.43999999999971</v>
      </c>
      <c r="U1892" s="5">
        <f>Final_Table[[#This Row],[Gross Profit]]-Final_Table[[#This Row],[Tax]]</f>
        <v>-2061.3599999999997</v>
      </c>
      <c r="V1892" s="12">
        <f>Final_Table[[#This Row],[Net Profit]]/Final_Table[[#This Row],[Gross Revenue]]</f>
        <v>-0.10104705882352939</v>
      </c>
    </row>
    <row r="1893" spans="1:22">
      <c r="A1893" s="18" t="s">
        <v>69</v>
      </c>
      <c r="B1893">
        <v>2014</v>
      </c>
      <c r="C1893" t="s">
        <v>133</v>
      </c>
      <c r="D1893">
        <v>1</v>
      </c>
      <c r="E1893" s="18" t="s">
        <v>30</v>
      </c>
      <c r="F1893" s="18" t="s">
        <v>113</v>
      </c>
      <c r="G1893" s="18" t="s">
        <v>23</v>
      </c>
      <c r="H1893" s="18" t="str">
        <f>Assumptions!$B$2</f>
        <v>Worst</v>
      </c>
      <c r="I1893" s="18">
        <f>_xlfn.XLOOKUP(Assumptions!$B$2,Assumptions!$F$4:$H$4,Assumptions!$F$5:$H$5)</f>
        <v>1200</v>
      </c>
      <c r="J1893" s="18">
        <f>_xlfn.XLOOKUP(Assumptions!$B$2,Assumptions!$F$4:$H$4,Assumptions!$F$6:$H$6)</f>
        <v>17</v>
      </c>
      <c r="K1893" s="12">
        <f>_xlfn.XLOOKUP(Assumptions!$B$2,Assumptions!$F$4:$H$4,Assumptions!$F$8:$H$8)</f>
        <v>0.1</v>
      </c>
      <c r="L1893" s="12">
        <f>_xlfn.XLOOKUP(Assumptions!$B$2,Assumptions!$F$4:$H$4,Assumptions!$F$9:$H$9)</f>
        <v>0.18</v>
      </c>
      <c r="M1893" s="18">
        <f>_xlfn.XLOOKUP(Assumptions!$B$2,Assumptions!$F$4:$H$4,Assumptions!$F$10:$H$10)</f>
        <v>18000</v>
      </c>
      <c r="N1893" s="12">
        <f>_xlfn.XLOOKUP(Assumptions!$B$2,Assumptions!$F$4:$H$4,Assumptions!$F$11:$H$11)</f>
        <v>0.3</v>
      </c>
      <c r="O1893" s="14">
        <f>Final_Table[[#This Row],[Units Sold]]*Final_Table[[#This Row],[Sale Price]]</f>
        <v>20400</v>
      </c>
      <c r="P1893" s="14">
        <f>Final_Table[[#This Row],[Gross Revenue]]*(1-Final_Table[[#This Row],[Discount %]])</f>
        <v>18360</v>
      </c>
      <c r="Q1893">
        <f>Final_Table[[#This Row],[Net Revenue]]*Final_Table[[#This Row],[Variable Cost %]]</f>
        <v>3304.7999999999997</v>
      </c>
      <c r="R1893">
        <f>Final_Table[[#This Row],[Variable Cost]]+Final_Table[[#This Row],[Fixed Monthly Cost]]</f>
        <v>21304.799999999999</v>
      </c>
      <c r="S1893" s="5">
        <f>Final_Table[[#This Row],[Net Revenue]]-Final_Table[[#This Row],[Total Cost (COGS)]]</f>
        <v>-2944.7999999999993</v>
      </c>
      <c r="T1893">
        <f>Final_Table[[#This Row],[Gross Profit]]*Final_Table[[#This Row],[Tax Rate]]</f>
        <v>-883.43999999999971</v>
      </c>
      <c r="U1893" s="5">
        <f>Final_Table[[#This Row],[Gross Profit]]-Final_Table[[#This Row],[Tax]]</f>
        <v>-2061.3599999999997</v>
      </c>
      <c r="V1893" s="12">
        <f>Final_Table[[#This Row],[Net Profit]]/Final_Table[[#This Row],[Gross Revenue]]</f>
        <v>-0.10104705882352939</v>
      </c>
    </row>
    <row r="1894" spans="1:22">
      <c r="A1894" s="18" t="s">
        <v>69</v>
      </c>
      <c r="B1894">
        <v>2014</v>
      </c>
      <c r="C1894" t="s">
        <v>133</v>
      </c>
      <c r="D1894">
        <v>1</v>
      </c>
      <c r="E1894" s="18" t="s">
        <v>30</v>
      </c>
      <c r="F1894" s="18" t="s">
        <v>113</v>
      </c>
      <c r="G1894" s="18" t="s">
        <v>21</v>
      </c>
      <c r="H1894" s="18" t="str">
        <f>Assumptions!$B$2</f>
        <v>Worst</v>
      </c>
      <c r="I1894" s="18">
        <f>_xlfn.XLOOKUP(Assumptions!$B$2,Assumptions!$F$4:$H$4,Assumptions!$F$5:$H$5)</f>
        <v>1200</v>
      </c>
      <c r="J1894" s="18">
        <f>_xlfn.XLOOKUP(Assumptions!$B$2,Assumptions!$F$4:$H$4,Assumptions!$F$6:$H$6)</f>
        <v>17</v>
      </c>
      <c r="K1894" s="12">
        <f>_xlfn.XLOOKUP(Assumptions!$B$2,Assumptions!$F$4:$H$4,Assumptions!$F$8:$H$8)</f>
        <v>0.1</v>
      </c>
      <c r="L1894" s="12">
        <f>_xlfn.XLOOKUP(Assumptions!$B$2,Assumptions!$F$4:$H$4,Assumptions!$F$9:$H$9)</f>
        <v>0.18</v>
      </c>
      <c r="M1894" s="18">
        <f>_xlfn.XLOOKUP(Assumptions!$B$2,Assumptions!$F$4:$H$4,Assumptions!$F$10:$H$10)</f>
        <v>18000</v>
      </c>
      <c r="N1894" s="12">
        <f>_xlfn.XLOOKUP(Assumptions!$B$2,Assumptions!$F$4:$H$4,Assumptions!$F$11:$H$11)</f>
        <v>0.3</v>
      </c>
      <c r="O1894" s="14">
        <f>Final_Table[[#This Row],[Units Sold]]*Final_Table[[#This Row],[Sale Price]]</f>
        <v>20400</v>
      </c>
      <c r="P1894" s="14">
        <f>Final_Table[[#This Row],[Gross Revenue]]*(1-Final_Table[[#This Row],[Discount %]])</f>
        <v>18360</v>
      </c>
      <c r="Q1894">
        <f>Final_Table[[#This Row],[Net Revenue]]*Final_Table[[#This Row],[Variable Cost %]]</f>
        <v>3304.7999999999997</v>
      </c>
      <c r="R1894">
        <f>Final_Table[[#This Row],[Variable Cost]]+Final_Table[[#This Row],[Fixed Monthly Cost]]</f>
        <v>21304.799999999999</v>
      </c>
      <c r="S1894" s="5">
        <f>Final_Table[[#This Row],[Net Revenue]]-Final_Table[[#This Row],[Total Cost (COGS)]]</f>
        <v>-2944.7999999999993</v>
      </c>
      <c r="T1894">
        <f>Final_Table[[#This Row],[Gross Profit]]*Final_Table[[#This Row],[Tax Rate]]</f>
        <v>-883.43999999999971</v>
      </c>
      <c r="U1894" s="5">
        <f>Final_Table[[#This Row],[Gross Profit]]-Final_Table[[#This Row],[Tax]]</f>
        <v>-2061.3599999999997</v>
      </c>
      <c r="V1894" s="12">
        <f>Final_Table[[#This Row],[Net Profit]]/Final_Table[[#This Row],[Gross Revenue]]</f>
        <v>-0.10104705882352939</v>
      </c>
    </row>
    <row r="1895" spans="1:22">
      <c r="A1895" s="18" t="s">
        <v>69</v>
      </c>
      <c r="B1895">
        <v>2014</v>
      </c>
      <c r="C1895" t="s">
        <v>133</v>
      </c>
      <c r="D1895">
        <v>1</v>
      </c>
      <c r="E1895" s="18" t="s">
        <v>30</v>
      </c>
      <c r="F1895" s="18" t="s">
        <v>113</v>
      </c>
      <c r="G1895" s="18" t="s">
        <v>25</v>
      </c>
      <c r="H1895" s="18" t="str">
        <f>Assumptions!$B$2</f>
        <v>Worst</v>
      </c>
      <c r="I1895" s="18">
        <f>_xlfn.XLOOKUP(Assumptions!$B$2,Assumptions!$F$4:$H$4,Assumptions!$F$5:$H$5)</f>
        <v>1200</v>
      </c>
      <c r="J1895" s="18">
        <f>_xlfn.XLOOKUP(Assumptions!$B$2,Assumptions!$F$4:$H$4,Assumptions!$F$6:$H$6)</f>
        <v>17</v>
      </c>
      <c r="K1895" s="12">
        <f>_xlfn.XLOOKUP(Assumptions!$B$2,Assumptions!$F$4:$H$4,Assumptions!$F$8:$H$8)</f>
        <v>0.1</v>
      </c>
      <c r="L1895" s="12">
        <f>_xlfn.XLOOKUP(Assumptions!$B$2,Assumptions!$F$4:$H$4,Assumptions!$F$9:$H$9)</f>
        <v>0.18</v>
      </c>
      <c r="M1895" s="18">
        <f>_xlfn.XLOOKUP(Assumptions!$B$2,Assumptions!$F$4:$H$4,Assumptions!$F$10:$H$10)</f>
        <v>18000</v>
      </c>
      <c r="N1895" s="12">
        <f>_xlfn.XLOOKUP(Assumptions!$B$2,Assumptions!$F$4:$H$4,Assumptions!$F$11:$H$11)</f>
        <v>0.3</v>
      </c>
      <c r="O1895" s="14">
        <f>Final_Table[[#This Row],[Units Sold]]*Final_Table[[#This Row],[Sale Price]]</f>
        <v>20400</v>
      </c>
      <c r="P1895" s="14">
        <f>Final_Table[[#This Row],[Gross Revenue]]*(1-Final_Table[[#This Row],[Discount %]])</f>
        <v>18360</v>
      </c>
      <c r="Q1895">
        <f>Final_Table[[#This Row],[Net Revenue]]*Final_Table[[#This Row],[Variable Cost %]]</f>
        <v>3304.7999999999997</v>
      </c>
      <c r="R1895">
        <f>Final_Table[[#This Row],[Variable Cost]]+Final_Table[[#This Row],[Fixed Monthly Cost]]</f>
        <v>21304.799999999999</v>
      </c>
      <c r="S1895" s="5">
        <f>Final_Table[[#This Row],[Net Revenue]]-Final_Table[[#This Row],[Total Cost (COGS)]]</f>
        <v>-2944.7999999999993</v>
      </c>
      <c r="T1895">
        <f>Final_Table[[#This Row],[Gross Profit]]*Final_Table[[#This Row],[Tax Rate]]</f>
        <v>-883.43999999999971</v>
      </c>
      <c r="U1895" s="5">
        <f>Final_Table[[#This Row],[Gross Profit]]-Final_Table[[#This Row],[Tax]]</f>
        <v>-2061.3599999999997</v>
      </c>
      <c r="V1895" s="12">
        <f>Final_Table[[#This Row],[Net Profit]]/Final_Table[[#This Row],[Gross Revenue]]</f>
        <v>-0.10104705882352939</v>
      </c>
    </row>
    <row r="1896" spans="1:22">
      <c r="A1896" s="18" t="s">
        <v>69</v>
      </c>
      <c r="B1896">
        <v>2014</v>
      </c>
      <c r="C1896" t="s">
        <v>133</v>
      </c>
      <c r="D1896">
        <v>1</v>
      </c>
      <c r="E1896" s="18" t="s">
        <v>30</v>
      </c>
      <c r="F1896" s="18" t="s">
        <v>113</v>
      </c>
      <c r="G1896" s="18" t="s">
        <v>17</v>
      </c>
      <c r="H1896" s="18" t="str">
        <f>Assumptions!$B$2</f>
        <v>Worst</v>
      </c>
      <c r="I1896" s="18">
        <f>_xlfn.XLOOKUP(Assumptions!$B$2,Assumptions!$F$4:$H$4,Assumptions!$F$5:$H$5)</f>
        <v>1200</v>
      </c>
      <c r="J1896" s="18">
        <f>_xlfn.XLOOKUP(Assumptions!$B$2,Assumptions!$F$4:$H$4,Assumptions!$F$6:$H$6)</f>
        <v>17</v>
      </c>
      <c r="K1896" s="12">
        <f>_xlfn.XLOOKUP(Assumptions!$B$2,Assumptions!$F$4:$H$4,Assumptions!$F$8:$H$8)</f>
        <v>0.1</v>
      </c>
      <c r="L1896" s="12">
        <f>_xlfn.XLOOKUP(Assumptions!$B$2,Assumptions!$F$4:$H$4,Assumptions!$F$9:$H$9)</f>
        <v>0.18</v>
      </c>
      <c r="M1896" s="18">
        <f>_xlfn.XLOOKUP(Assumptions!$B$2,Assumptions!$F$4:$H$4,Assumptions!$F$10:$H$10)</f>
        <v>18000</v>
      </c>
      <c r="N1896" s="12">
        <f>_xlfn.XLOOKUP(Assumptions!$B$2,Assumptions!$F$4:$H$4,Assumptions!$F$11:$H$11)</f>
        <v>0.3</v>
      </c>
      <c r="O1896" s="14">
        <f>Final_Table[[#This Row],[Units Sold]]*Final_Table[[#This Row],[Sale Price]]</f>
        <v>20400</v>
      </c>
      <c r="P1896" s="14">
        <f>Final_Table[[#This Row],[Gross Revenue]]*(1-Final_Table[[#This Row],[Discount %]])</f>
        <v>18360</v>
      </c>
      <c r="Q1896">
        <f>Final_Table[[#This Row],[Net Revenue]]*Final_Table[[#This Row],[Variable Cost %]]</f>
        <v>3304.7999999999997</v>
      </c>
      <c r="R1896">
        <f>Final_Table[[#This Row],[Variable Cost]]+Final_Table[[#This Row],[Fixed Monthly Cost]]</f>
        <v>21304.799999999999</v>
      </c>
      <c r="S1896" s="5">
        <f>Final_Table[[#This Row],[Net Revenue]]-Final_Table[[#This Row],[Total Cost (COGS)]]</f>
        <v>-2944.7999999999993</v>
      </c>
      <c r="T1896">
        <f>Final_Table[[#This Row],[Gross Profit]]*Final_Table[[#This Row],[Tax Rate]]</f>
        <v>-883.43999999999971</v>
      </c>
      <c r="U1896" s="5">
        <f>Final_Table[[#This Row],[Gross Profit]]-Final_Table[[#This Row],[Tax]]</f>
        <v>-2061.3599999999997</v>
      </c>
      <c r="V1896" s="12">
        <f>Final_Table[[#This Row],[Net Profit]]/Final_Table[[#This Row],[Gross Revenue]]</f>
        <v>-0.10104705882352939</v>
      </c>
    </row>
    <row r="1897" spans="1:22">
      <c r="A1897" s="18" t="s">
        <v>69</v>
      </c>
      <c r="B1897">
        <v>2014</v>
      </c>
      <c r="C1897" t="s">
        <v>133</v>
      </c>
      <c r="D1897">
        <v>1</v>
      </c>
      <c r="E1897" s="18" t="s">
        <v>30</v>
      </c>
      <c r="F1897" s="18" t="s">
        <v>114</v>
      </c>
      <c r="G1897" s="18" t="s">
        <v>36</v>
      </c>
      <c r="H1897" s="18" t="str">
        <f>Assumptions!$B$2</f>
        <v>Worst</v>
      </c>
      <c r="I1897" s="18">
        <f>_xlfn.XLOOKUP(Assumptions!$B$2,Assumptions!$F$4:$H$4,Assumptions!$F$5:$H$5)</f>
        <v>1200</v>
      </c>
      <c r="J1897" s="18">
        <f>_xlfn.XLOOKUP(Assumptions!$B$2,Assumptions!$F$4:$H$4,Assumptions!$F$6:$H$6)</f>
        <v>17</v>
      </c>
      <c r="K1897" s="12">
        <f>_xlfn.XLOOKUP(Assumptions!$B$2,Assumptions!$F$4:$H$4,Assumptions!$F$8:$H$8)</f>
        <v>0.1</v>
      </c>
      <c r="L1897" s="12">
        <f>_xlfn.XLOOKUP(Assumptions!$B$2,Assumptions!$F$4:$H$4,Assumptions!$F$9:$H$9)</f>
        <v>0.18</v>
      </c>
      <c r="M1897" s="18">
        <f>_xlfn.XLOOKUP(Assumptions!$B$2,Assumptions!$F$4:$H$4,Assumptions!$F$10:$H$10)</f>
        <v>18000</v>
      </c>
      <c r="N1897" s="12">
        <f>_xlfn.XLOOKUP(Assumptions!$B$2,Assumptions!$F$4:$H$4,Assumptions!$F$11:$H$11)</f>
        <v>0.3</v>
      </c>
      <c r="O1897" s="14">
        <f>Final_Table[[#This Row],[Units Sold]]*Final_Table[[#This Row],[Sale Price]]</f>
        <v>20400</v>
      </c>
      <c r="P1897" s="14">
        <f>Final_Table[[#This Row],[Gross Revenue]]*(1-Final_Table[[#This Row],[Discount %]])</f>
        <v>18360</v>
      </c>
      <c r="Q1897">
        <f>Final_Table[[#This Row],[Net Revenue]]*Final_Table[[#This Row],[Variable Cost %]]</f>
        <v>3304.7999999999997</v>
      </c>
      <c r="R1897">
        <f>Final_Table[[#This Row],[Variable Cost]]+Final_Table[[#This Row],[Fixed Monthly Cost]]</f>
        <v>21304.799999999999</v>
      </c>
      <c r="S1897" s="5">
        <f>Final_Table[[#This Row],[Net Revenue]]-Final_Table[[#This Row],[Total Cost (COGS)]]</f>
        <v>-2944.7999999999993</v>
      </c>
      <c r="T1897">
        <f>Final_Table[[#This Row],[Gross Profit]]*Final_Table[[#This Row],[Tax Rate]]</f>
        <v>-883.43999999999971</v>
      </c>
      <c r="U1897" s="5">
        <f>Final_Table[[#This Row],[Gross Profit]]-Final_Table[[#This Row],[Tax]]</f>
        <v>-2061.3599999999997</v>
      </c>
      <c r="V1897" s="12">
        <f>Final_Table[[#This Row],[Net Profit]]/Final_Table[[#This Row],[Gross Revenue]]</f>
        <v>-0.10104705882352939</v>
      </c>
    </row>
    <row r="1898" spans="1:22">
      <c r="A1898" s="18" t="s">
        <v>69</v>
      </c>
      <c r="B1898">
        <v>2014</v>
      </c>
      <c r="C1898" t="s">
        <v>133</v>
      </c>
      <c r="D1898">
        <v>1</v>
      </c>
      <c r="E1898" s="18" t="s">
        <v>30</v>
      </c>
      <c r="F1898" s="18" t="s">
        <v>114</v>
      </c>
      <c r="G1898" s="18" t="s">
        <v>23</v>
      </c>
      <c r="H1898" s="18" t="str">
        <f>Assumptions!$B$2</f>
        <v>Worst</v>
      </c>
      <c r="I1898" s="18">
        <f>_xlfn.XLOOKUP(Assumptions!$B$2,Assumptions!$F$4:$H$4,Assumptions!$F$5:$H$5)</f>
        <v>1200</v>
      </c>
      <c r="J1898" s="18">
        <f>_xlfn.XLOOKUP(Assumptions!$B$2,Assumptions!$F$4:$H$4,Assumptions!$F$6:$H$6)</f>
        <v>17</v>
      </c>
      <c r="K1898" s="12">
        <f>_xlfn.XLOOKUP(Assumptions!$B$2,Assumptions!$F$4:$H$4,Assumptions!$F$8:$H$8)</f>
        <v>0.1</v>
      </c>
      <c r="L1898" s="12">
        <f>_xlfn.XLOOKUP(Assumptions!$B$2,Assumptions!$F$4:$H$4,Assumptions!$F$9:$H$9)</f>
        <v>0.18</v>
      </c>
      <c r="M1898" s="18">
        <f>_xlfn.XLOOKUP(Assumptions!$B$2,Assumptions!$F$4:$H$4,Assumptions!$F$10:$H$10)</f>
        <v>18000</v>
      </c>
      <c r="N1898" s="12">
        <f>_xlfn.XLOOKUP(Assumptions!$B$2,Assumptions!$F$4:$H$4,Assumptions!$F$11:$H$11)</f>
        <v>0.3</v>
      </c>
      <c r="O1898" s="14">
        <f>Final_Table[[#This Row],[Units Sold]]*Final_Table[[#This Row],[Sale Price]]</f>
        <v>20400</v>
      </c>
      <c r="P1898" s="14">
        <f>Final_Table[[#This Row],[Gross Revenue]]*(1-Final_Table[[#This Row],[Discount %]])</f>
        <v>18360</v>
      </c>
      <c r="Q1898">
        <f>Final_Table[[#This Row],[Net Revenue]]*Final_Table[[#This Row],[Variable Cost %]]</f>
        <v>3304.7999999999997</v>
      </c>
      <c r="R1898">
        <f>Final_Table[[#This Row],[Variable Cost]]+Final_Table[[#This Row],[Fixed Monthly Cost]]</f>
        <v>21304.799999999999</v>
      </c>
      <c r="S1898" s="5">
        <f>Final_Table[[#This Row],[Net Revenue]]-Final_Table[[#This Row],[Total Cost (COGS)]]</f>
        <v>-2944.7999999999993</v>
      </c>
      <c r="T1898">
        <f>Final_Table[[#This Row],[Gross Profit]]*Final_Table[[#This Row],[Tax Rate]]</f>
        <v>-883.43999999999971</v>
      </c>
      <c r="U1898" s="5">
        <f>Final_Table[[#This Row],[Gross Profit]]-Final_Table[[#This Row],[Tax]]</f>
        <v>-2061.3599999999997</v>
      </c>
      <c r="V1898" s="12">
        <f>Final_Table[[#This Row],[Net Profit]]/Final_Table[[#This Row],[Gross Revenue]]</f>
        <v>-0.10104705882352939</v>
      </c>
    </row>
    <row r="1899" spans="1:22">
      <c r="A1899" s="18" t="s">
        <v>69</v>
      </c>
      <c r="B1899">
        <v>2014</v>
      </c>
      <c r="C1899" t="s">
        <v>133</v>
      </c>
      <c r="D1899">
        <v>1</v>
      </c>
      <c r="E1899" s="18" t="s">
        <v>30</v>
      </c>
      <c r="F1899" s="18" t="s">
        <v>114</v>
      </c>
      <c r="G1899" s="18" t="s">
        <v>21</v>
      </c>
      <c r="H1899" s="18" t="str">
        <f>Assumptions!$B$2</f>
        <v>Worst</v>
      </c>
      <c r="I1899" s="18">
        <f>_xlfn.XLOOKUP(Assumptions!$B$2,Assumptions!$F$4:$H$4,Assumptions!$F$5:$H$5)</f>
        <v>1200</v>
      </c>
      <c r="J1899" s="18">
        <f>_xlfn.XLOOKUP(Assumptions!$B$2,Assumptions!$F$4:$H$4,Assumptions!$F$6:$H$6)</f>
        <v>17</v>
      </c>
      <c r="K1899" s="12">
        <f>_xlfn.XLOOKUP(Assumptions!$B$2,Assumptions!$F$4:$H$4,Assumptions!$F$8:$H$8)</f>
        <v>0.1</v>
      </c>
      <c r="L1899" s="12">
        <f>_xlfn.XLOOKUP(Assumptions!$B$2,Assumptions!$F$4:$H$4,Assumptions!$F$9:$H$9)</f>
        <v>0.18</v>
      </c>
      <c r="M1899" s="18">
        <f>_xlfn.XLOOKUP(Assumptions!$B$2,Assumptions!$F$4:$H$4,Assumptions!$F$10:$H$10)</f>
        <v>18000</v>
      </c>
      <c r="N1899" s="12">
        <f>_xlfn.XLOOKUP(Assumptions!$B$2,Assumptions!$F$4:$H$4,Assumptions!$F$11:$H$11)</f>
        <v>0.3</v>
      </c>
      <c r="O1899" s="14">
        <f>Final_Table[[#This Row],[Units Sold]]*Final_Table[[#This Row],[Sale Price]]</f>
        <v>20400</v>
      </c>
      <c r="P1899" s="14">
        <f>Final_Table[[#This Row],[Gross Revenue]]*(1-Final_Table[[#This Row],[Discount %]])</f>
        <v>18360</v>
      </c>
      <c r="Q1899">
        <f>Final_Table[[#This Row],[Net Revenue]]*Final_Table[[#This Row],[Variable Cost %]]</f>
        <v>3304.7999999999997</v>
      </c>
      <c r="R1899">
        <f>Final_Table[[#This Row],[Variable Cost]]+Final_Table[[#This Row],[Fixed Monthly Cost]]</f>
        <v>21304.799999999999</v>
      </c>
      <c r="S1899" s="5">
        <f>Final_Table[[#This Row],[Net Revenue]]-Final_Table[[#This Row],[Total Cost (COGS)]]</f>
        <v>-2944.7999999999993</v>
      </c>
      <c r="T1899">
        <f>Final_Table[[#This Row],[Gross Profit]]*Final_Table[[#This Row],[Tax Rate]]</f>
        <v>-883.43999999999971</v>
      </c>
      <c r="U1899" s="5">
        <f>Final_Table[[#This Row],[Gross Profit]]-Final_Table[[#This Row],[Tax]]</f>
        <v>-2061.3599999999997</v>
      </c>
      <c r="V1899" s="12">
        <f>Final_Table[[#This Row],[Net Profit]]/Final_Table[[#This Row],[Gross Revenue]]</f>
        <v>-0.10104705882352939</v>
      </c>
    </row>
    <row r="1900" spans="1:22">
      <c r="A1900" s="18" t="s">
        <v>69</v>
      </c>
      <c r="B1900">
        <v>2014</v>
      </c>
      <c r="C1900" t="s">
        <v>133</v>
      </c>
      <c r="D1900">
        <v>1</v>
      </c>
      <c r="E1900" s="18" t="s">
        <v>30</v>
      </c>
      <c r="F1900" s="18" t="s">
        <v>114</v>
      </c>
      <c r="G1900" s="18" t="s">
        <v>25</v>
      </c>
      <c r="H1900" s="18" t="str">
        <f>Assumptions!$B$2</f>
        <v>Worst</v>
      </c>
      <c r="I1900" s="18">
        <f>_xlfn.XLOOKUP(Assumptions!$B$2,Assumptions!$F$4:$H$4,Assumptions!$F$5:$H$5)</f>
        <v>1200</v>
      </c>
      <c r="J1900" s="18">
        <f>_xlfn.XLOOKUP(Assumptions!$B$2,Assumptions!$F$4:$H$4,Assumptions!$F$6:$H$6)</f>
        <v>17</v>
      </c>
      <c r="K1900" s="12">
        <f>_xlfn.XLOOKUP(Assumptions!$B$2,Assumptions!$F$4:$H$4,Assumptions!$F$8:$H$8)</f>
        <v>0.1</v>
      </c>
      <c r="L1900" s="12">
        <f>_xlfn.XLOOKUP(Assumptions!$B$2,Assumptions!$F$4:$H$4,Assumptions!$F$9:$H$9)</f>
        <v>0.18</v>
      </c>
      <c r="M1900" s="18">
        <f>_xlfn.XLOOKUP(Assumptions!$B$2,Assumptions!$F$4:$H$4,Assumptions!$F$10:$H$10)</f>
        <v>18000</v>
      </c>
      <c r="N1900" s="12">
        <f>_xlfn.XLOOKUP(Assumptions!$B$2,Assumptions!$F$4:$H$4,Assumptions!$F$11:$H$11)</f>
        <v>0.3</v>
      </c>
      <c r="O1900" s="14">
        <f>Final_Table[[#This Row],[Units Sold]]*Final_Table[[#This Row],[Sale Price]]</f>
        <v>20400</v>
      </c>
      <c r="P1900" s="14">
        <f>Final_Table[[#This Row],[Gross Revenue]]*(1-Final_Table[[#This Row],[Discount %]])</f>
        <v>18360</v>
      </c>
      <c r="Q1900">
        <f>Final_Table[[#This Row],[Net Revenue]]*Final_Table[[#This Row],[Variable Cost %]]</f>
        <v>3304.7999999999997</v>
      </c>
      <c r="R1900">
        <f>Final_Table[[#This Row],[Variable Cost]]+Final_Table[[#This Row],[Fixed Monthly Cost]]</f>
        <v>21304.799999999999</v>
      </c>
      <c r="S1900" s="5">
        <f>Final_Table[[#This Row],[Net Revenue]]-Final_Table[[#This Row],[Total Cost (COGS)]]</f>
        <v>-2944.7999999999993</v>
      </c>
      <c r="T1900">
        <f>Final_Table[[#This Row],[Gross Profit]]*Final_Table[[#This Row],[Tax Rate]]</f>
        <v>-883.43999999999971</v>
      </c>
      <c r="U1900" s="5">
        <f>Final_Table[[#This Row],[Gross Profit]]-Final_Table[[#This Row],[Tax]]</f>
        <v>-2061.3599999999997</v>
      </c>
      <c r="V1900" s="12">
        <f>Final_Table[[#This Row],[Net Profit]]/Final_Table[[#This Row],[Gross Revenue]]</f>
        <v>-0.10104705882352939</v>
      </c>
    </row>
    <row r="1901" spans="1:22">
      <c r="A1901" s="18" t="s">
        <v>69</v>
      </c>
      <c r="B1901">
        <v>2014</v>
      </c>
      <c r="C1901" t="s">
        <v>133</v>
      </c>
      <c r="D1901">
        <v>1</v>
      </c>
      <c r="E1901" s="18" t="s">
        <v>30</v>
      </c>
      <c r="F1901" s="18" t="s">
        <v>114</v>
      </c>
      <c r="G1901" s="18" t="s">
        <v>17</v>
      </c>
      <c r="H1901" s="18" t="str">
        <f>Assumptions!$B$2</f>
        <v>Worst</v>
      </c>
      <c r="I1901" s="18">
        <f>_xlfn.XLOOKUP(Assumptions!$B$2,Assumptions!$F$4:$H$4,Assumptions!$F$5:$H$5)</f>
        <v>1200</v>
      </c>
      <c r="J1901" s="18">
        <f>_xlfn.XLOOKUP(Assumptions!$B$2,Assumptions!$F$4:$H$4,Assumptions!$F$6:$H$6)</f>
        <v>17</v>
      </c>
      <c r="K1901" s="12">
        <f>_xlfn.XLOOKUP(Assumptions!$B$2,Assumptions!$F$4:$H$4,Assumptions!$F$8:$H$8)</f>
        <v>0.1</v>
      </c>
      <c r="L1901" s="12">
        <f>_xlfn.XLOOKUP(Assumptions!$B$2,Assumptions!$F$4:$H$4,Assumptions!$F$9:$H$9)</f>
        <v>0.18</v>
      </c>
      <c r="M1901" s="18">
        <f>_xlfn.XLOOKUP(Assumptions!$B$2,Assumptions!$F$4:$H$4,Assumptions!$F$10:$H$10)</f>
        <v>18000</v>
      </c>
      <c r="N1901" s="12">
        <f>_xlfn.XLOOKUP(Assumptions!$B$2,Assumptions!$F$4:$H$4,Assumptions!$F$11:$H$11)</f>
        <v>0.3</v>
      </c>
      <c r="O1901" s="14">
        <f>Final_Table[[#This Row],[Units Sold]]*Final_Table[[#This Row],[Sale Price]]</f>
        <v>20400</v>
      </c>
      <c r="P1901" s="14">
        <f>Final_Table[[#This Row],[Gross Revenue]]*(1-Final_Table[[#This Row],[Discount %]])</f>
        <v>18360</v>
      </c>
      <c r="Q1901">
        <f>Final_Table[[#This Row],[Net Revenue]]*Final_Table[[#This Row],[Variable Cost %]]</f>
        <v>3304.7999999999997</v>
      </c>
      <c r="R1901">
        <f>Final_Table[[#This Row],[Variable Cost]]+Final_Table[[#This Row],[Fixed Monthly Cost]]</f>
        <v>21304.799999999999</v>
      </c>
      <c r="S1901" s="5">
        <f>Final_Table[[#This Row],[Net Revenue]]-Final_Table[[#This Row],[Total Cost (COGS)]]</f>
        <v>-2944.7999999999993</v>
      </c>
      <c r="T1901">
        <f>Final_Table[[#This Row],[Gross Profit]]*Final_Table[[#This Row],[Tax Rate]]</f>
        <v>-883.43999999999971</v>
      </c>
      <c r="U1901" s="5">
        <f>Final_Table[[#This Row],[Gross Profit]]-Final_Table[[#This Row],[Tax]]</f>
        <v>-2061.3599999999997</v>
      </c>
      <c r="V1901" s="12">
        <f>Final_Table[[#This Row],[Net Profit]]/Final_Table[[#This Row],[Gross Revenue]]</f>
        <v>-0.10104705882352939</v>
      </c>
    </row>
    <row r="1902" spans="1:22">
      <c r="A1902" s="18" t="s">
        <v>69</v>
      </c>
      <c r="B1902">
        <v>2014</v>
      </c>
      <c r="C1902" t="s">
        <v>133</v>
      </c>
      <c r="D1902">
        <v>1</v>
      </c>
      <c r="E1902" s="18" t="s">
        <v>29</v>
      </c>
      <c r="F1902" s="18" t="s">
        <v>80</v>
      </c>
      <c r="G1902" s="18" t="s">
        <v>36</v>
      </c>
      <c r="H1902" s="18" t="str">
        <f>Assumptions!$B$2</f>
        <v>Worst</v>
      </c>
      <c r="I1902" s="18">
        <f>_xlfn.XLOOKUP(Assumptions!$B$2,Assumptions!$F$4:$H$4,Assumptions!$F$5:$H$5)</f>
        <v>1200</v>
      </c>
      <c r="J1902" s="18">
        <f>_xlfn.XLOOKUP(Assumptions!$B$2,Assumptions!$F$4:$H$4,Assumptions!$F$6:$H$6)</f>
        <v>17</v>
      </c>
      <c r="K1902" s="12">
        <f>_xlfn.XLOOKUP(Assumptions!$B$2,Assumptions!$F$4:$H$4,Assumptions!$F$8:$H$8)</f>
        <v>0.1</v>
      </c>
      <c r="L1902" s="12">
        <f>_xlfn.XLOOKUP(Assumptions!$B$2,Assumptions!$F$4:$H$4,Assumptions!$F$9:$H$9)</f>
        <v>0.18</v>
      </c>
      <c r="M1902" s="18">
        <f>_xlfn.XLOOKUP(Assumptions!$B$2,Assumptions!$F$4:$H$4,Assumptions!$F$10:$H$10)</f>
        <v>18000</v>
      </c>
      <c r="N1902" s="12">
        <f>_xlfn.XLOOKUP(Assumptions!$B$2,Assumptions!$F$4:$H$4,Assumptions!$F$11:$H$11)</f>
        <v>0.3</v>
      </c>
      <c r="O1902" s="14">
        <f>Final_Table[[#This Row],[Units Sold]]*Final_Table[[#This Row],[Sale Price]]</f>
        <v>20400</v>
      </c>
      <c r="P1902" s="14">
        <f>Final_Table[[#This Row],[Gross Revenue]]*(1-Final_Table[[#This Row],[Discount %]])</f>
        <v>18360</v>
      </c>
      <c r="Q1902">
        <f>Final_Table[[#This Row],[Net Revenue]]*Final_Table[[#This Row],[Variable Cost %]]</f>
        <v>3304.7999999999997</v>
      </c>
      <c r="R1902">
        <f>Final_Table[[#This Row],[Variable Cost]]+Final_Table[[#This Row],[Fixed Monthly Cost]]</f>
        <v>21304.799999999999</v>
      </c>
      <c r="S1902" s="5">
        <f>Final_Table[[#This Row],[Net Revenue]]-Final_Table[[#This Row],[Total Cost (COGS)]]</f>
        <v>-2944.7999999999993</v>
      </c>
      <c r="T1902">
        <f>Final_Table[[#This Row],[Gross Profit]]*Final_Table[[#This Row],[Tax Rate]]</f>
        <v>-883.43999999999971</v>
      </c>
      <c r="U1902" s="5">
        <f>Final_Table[[#This Row],[Gross Profit]]-Final_Table[[#This Row],[Tax]]</f>
        <v>-2061.3599999999997</v>
      </c>
      <c r="V1902" s="12">
        <f>Final_Table[[#This Row],[Net Profit]]/Final_Table[[#This Row],[Gross Revenue]]</f>
        <v>-0.10104705882352939</v>
      </c>
    </row>
    <row r="1903" spans="1:22">
      <c r="A1903" s="18" t="s">
        <v>69</v>
      </c>
      <c r="B1903">
        <v>2014</v>
      </c>
      <c r="C1903" t="s">
        <v>133</v>
      </c>
      <c r="D1903">
        <v>1</v>
      </c>
      <c r="E1903" s="18" t="s">
        <v>29</v>
      </c>
      <c r="F1903" s="18" t="s">
        <v>80</v>
      </c>
      <c r="G1903" s="18" t="s">
        <v>23</v>
      </c>
      <c r="H1903" s="18" t="str">
        <f>Assumptions!$B$2</f>
        <v>Worst</v>
      </c>
      <c r="I1903" s="18">
        <f>_xlfn.XLOOKUP(Assumptions!$B$2,Assumptions!$F$4:$H$4,Assumptions!$F$5:$H$5)</f>
        <v>1200</v>
      </c>
      <c r="J1903" s="18">
        <f>_xlfn.XLOOKUP(Assumptions!$B$2,Assumptions!$F$4:$H$4,Assumptions!$F$6:$H$6)</f>
        <v>17</v>
      </c>
      <c r="K1903" s="12">
        <f>_xlfn.XLOOKUP(Assumptions!$B$2,Assumptions!$F$4:$H$4,Assumptions!$F$8:$H$8)</f>
        <v>0.1</v>
      </c>
      <c r="L1903" s="12">
        <f>_xlfn.XLOOKUP(Assumptions!$B$2,Assumptions!$F$4:$H$4,Assumptions!$F$9:$H$9)</f>
        <v>0.18</v>
      </c>
      <c r="M1903" s="18">
        <f>_xlfn.XLOOKUP(Assumptions!$B$2,Assumptions!$F$4:$H$4,Assumptions!$F$10:$H$10)</f>
        <v>18000</v>
      </c>
      <c r="N1903" s="12">
        <f>_xlfn.XLOOKUP(Assumptions!$B$2,Assumptions!$F$4:$H$4,Assumptions!$F$11:$H$11)</f>
        <v>0.3</v>
      </c>
      <c r="O1903" s="14">
        <f>Final_Table[[#This Row],[Units Sold]]*Final_Table[[#This Row],[Sale Price]]</f>
        <v>20400</v>
      </c>
      <c r="P1903" s="14">
        <f>Final_Table[[#This Row],[Gross Revenue]]*(1-Final_Table[[#This Row],[Discount %]])</f>
        <v>18360</v>
      </c>
      <c r="Q1903">
        <f>Final_Table[[#This Row],[Net Revenue]]*Final_Table[[#This Row],[Variable Cost %]]</f>
        <v>3304.7999999999997</v>
      </c>
      <c r="R1903">
        <f>Final_Table[[#This Row],[Variable Cost]]+Final_Table[[#This Row],[Fixed Monthly Cost]]</f>
        <v>21304.799999999999</v>
      </c>
      <c r="S1903" s="5">
        <f>Final_Table[[#This Row],[Net Revenue]]-Final_Table[[#This Row],[Total Cost (COGS)]]</f>
        <v>-2944.7999999999993</v>
      </c>
      <c r="T1903">
        <f>Final_Table[[#This Row],[Gross Profit]]*Final_Table[[#This Row],[Tax Rate]]</f>
        <v>-883.43999999999971</v>
      </c>
      <c r="U1903" s="5">
        <f>Final_Table[[#This Row],[Gross Profit]]-Final_Table[[#This Row],[Tax]]</f>
        <v>-2061.3599999999997</v>
      </c>
      <c r="V1903" s="12">
        <f>Final_Table[[#This Row],[Net Profit]]/Final_Table[[#This Row],[Gross Revenue]]</f>
        <v>-0.10104705882352939</v>
      </c>
    </row>
    <row r="1904" spans="1:22">
      <c r="A1904" s="18" t="s">
        <v>69</v>
      </c>
      <c r="B1904">
        <v>2014</v>
      </c>
      <c r="C1904" t="s">
        <v>133</v>
      </c>
      <c r="D1904">
        <v>1</v>
      </c>
      <c r="E1904" s="18" t="s">
        <v>29</v>
      </c>
      <c r="F1904" s="18" t="s">
        <v>80</v>
      </c>
      <c r="G1904" s="18" t="s">
        <v>21</v>
      </c>
      <c r="H1904" s="18" t="str">
        <f>Assumptions!$B$2</f>
        <v>Worst</v>
      </c>
      <c r="I1904" s="18">
        <f>_xlfn.XLOOKUP(Assumptions!$B$2,Assumptions!$F$4:$H$4,Assumptions!$F$5:$H$5)</f>
        <v>1200</v>
      </c>
      <c r="J1904" s="18">
        <f>_xlfn.XLOOKUP(Assumptions!$B$2,Assumptions!$F$4:$H$4,Assumptions!$F$6:$H$6)</f>
        <v>17</v>
      </c>
      <c r="K1904" s="12">
        <f>_xlfn.XLOOKUP(Assumptions!$B$2,Assumptions!$F$4:$H$4,Assumptions!$F$8:$H$8)</f>
        <v>0.1</v>
      </c>
      <c r="L1904" s="12">
        <f>_xlfn.XLOOKUP(Assumptions!$B$2,Assumptions!$F$4:$H$4,Assumptions!$F$9:$H$9)</f>
        <v>0.18</v>
      </c>
      <c r="M1904" s="18">
        <f>_xlfn.XLOOKUP(Assumptions!$B$2,Assumptions!$F$4:$H$4,Assumptions!$F$10:$H$10)</f>
        <v>18000</v>
      </c>
      <c r="N1904" s="12">
        <f>_xlfn.XLOOKUP(Assumptions!$B$2,Assumptions!$F$4:$H$4,Assumptions!$F$11:$H$11)</f>
        <v>0.3</v>
      </c>
      <c r="O1904" s="14">
        <f>Final_Table[[#This Row],[Units Sold]]*Final_Table[[#This Row],[Sale Price]]</f>
        <v>20400</v>
      </c>
      <c r="P1904" s="14">
        <f>Final_Table[[#This Row],[Gross Revenue]]*(1-Final_Table[[#This Row],[Discount %]])</f>
        <v>18360</v>
      </c>
      <c r="Q1904">
        <f>Final_Table[[#This Row],[Net Revenue]]*Final_Table[[#This Row],[Variable Cost %]]</f>
        <v>3304.7999999999997</v>
      </c>
      <c r="R1904">
        <f>Final_Table[[#This Row],[Variable Cost]]+Final_Table[[#This Row],[Fixed Monthly Cost]]</f>
        <v>21304.799999999999</v>
      </c>
      <c r="S1904" s="5">
        <f>Final_Table[[#This Row],[Net Revenue]]-Final_Table[[#This Row],[Total Cost (COGS)]]</f>
        <v>-2944.7999999999993</v>
      </c>
      <c r="T1904">
        <f>Final_Table[[#This Row],[Gross Profit]]*Final_Table[[#This Row],[Tax Rate]]</f>
        <v>-883.43999999999971</v>
      </c>
      <c r="U1904" s="5">
        <f>Final_Table[[#This Row],[Gross Profit]]-Final_Table[[#This Row],[Tax]]</f>
        <v>-2061.3599999999997</v>
      </c>
      <c r="V1904" s="12">
        <f>Final_Table[[#This Row],[Net Profit]]/Final_Table[[#This Row],[Gross Revenue]]</f>
        <v>-0.10104705882352939</v>
      </c>
    </row>
    <row r="1905" spans="1:22">
      <c r="A1905" s="18" t="s">
        <v>69</v>
      </c>
      <c r="B1905">
        <v>2014</v>
      </c>
      <c r="C1905" t="s">
        <v>133</v>
      </c>
      <c r="D1905">
        <v>1</v>
      </c>
      <c r="E1905" s="18" t="s">
        <v>29</v>
      </c>
      <c r="F1905" s="18" t="s">
        <v>80</v>
      </c>
      <c r="G1905" s="18" t="s">
        <v>25</v>
      </c>
      <c r="H1905" s="18" t="str">
        <f>Assumptions!$B$2</f>
        <v>Worst</v>
      </c>
      <c r="I1905" s="18">
        <f>_xlfn.XLOOKUP(Assumptions!$B$2,Assumptions!$F$4:$H$4,Assumptions!$F$5:$H$5)</f>
        <v>1200</v>
      </c>
      <c r="J1905" s="18">
        <f>_xlfn.XLOOKUP(Assumptions!$B$2,Assumptions!$F$4:$H$4,Assumptions!$F$6:$H$6)</f>
        <v>17</v>
      </c>
      <c r="K1905" s="12">
        <f>_xlfn.XLOOKUP(Assumptions!$B$2,Assumptions!$F$4:$H$4,Assumptions!$F$8:$H$8)</f>
        <v>0.1</v>
      </c>
      <c r="L1905" s="12">
        <f>_xlfn.XLOOKUP(Assumptions!$B$2,Assumptions!$F$4:$H$4,Assumptions!$F$9:$H$9)</f>
        <v>0.18</v>
      </c>
      <c r="M1905" s="18">
        <f>_xlfn.XLOOKUP(Assumptions!$B$2,Assumptions!$F$4:$H$4,Assumptions!$F$10:$H$10)</f>
        <v>18000</v>
      </c>
      <c r="N1905" s="12">
        <f>_xlfn.XLOOKUP(Assumptions!$B$2,Assumptions!$F$4:$H$4,Assumptions!$F$11:$H$11)</f>
        <v>0.3</v>
      </c>
      <c r="O1905" s="14">
        <f>Final_Table[[#This Row],[Units Sold]]*Final_Table[[#This Row],[Sale Price]]</f>
        <v>20400</v>
      </c>
      <c r="P1905" s="14">
        <f>Final_Table[[#This Row],[Gross Revenue]]*(1-Final_Table[[#This Row],[Discount %]])</f>
        <v>18360</v>
      </c>
      <c r="Q1905">
        <f>Final_Table[[#This Row],[Net Revenue]]*Final_Table[[#This Row],[Variable Cost %]]</f>
        <v>3304.7999999999997</v>
      </c>
      <c r="R1905">
        <f>Final_Table[[#This Row],[Variable Cost]]+Final_Table[[#This Row],[Fixed Monthly Cost]]</f>
        <v>21304.799999999999</v>
      </c>
      <c r="S1905" s="5">
        <f>Final_Table[[#This Row],[Net Revenue]]-Final_Table[[#This Row],[Total Cost (COGS)]]</f>
        <v>-2944.7999999999993</v>
      </c>
      <c r="T1905">
        <f>Final_Table[[#This Row],[Gross Profit]]*Final_Table[[#This Row],[Tax Rate]]</f>
        <v>-883.43999999999971</v>
      </c>
      <c r="U1905" s="5">
        <f>Final_Table[[#This Row],[Gross Profit]]-Final_Table[[#This Row],[Tax]]</f>
        <v>-2061.3599999999997</v>
      </c>
      <c r="V1905" s="12">
        <f>Final_Table[[#This Row],[Net Profit]]/Final_Table[[#This Row],[Gross Revenue]]</f>
        <v>-0.10104705882352939</v>
      </c>
    </row>
    <row r="1906" spans="1:22">
      <c r="A1906" s="18" t="s">
        <v>69</v>
      </c>
      <c r="B1906">
        <v>2014</v>
      </c>
      <c r="C1906" t="s">
        <v>133</v>
      </c>
      <c r="D1906">
        <v>1</v>
      </c>
      <c r="E1906" s="18" t="s">
        <v>29</v>
      </c>
      <c r="F1906" s="18" t="s">
        <v>80</v>
      </c>
      <c r="G1906" s="18" t="s">
        <v>17</v>
      </c>
      <c r="H1906" s="18" t="str">
        <f>Assumptions!$B$2</f>
        <v>Worst</v>
      </c>
      <c r="I1906" s="18">
        <f>_xlfn.XLOOKUP(Assumptions!$B$2,Assumptions!$F$4:$H$4,Assumptions!$F$5:$H$5)</f>
        <v>1200</v>
      </c>
      <c r="J1906" s="18">
        <f>_xlfn.XLOOKUP(Assumptions!$B$2,Assumptions!$F$4:$H$4,Assumptions!$F$6:$H$6)</f>
        <v>17</v>
      </c>
      <c r="K1906" s="12">
        <f>_xlfn.XLOOKUP(Assumptions!$B$2,Assumptions!$F$4:$H$4,Assumptions!$F$8:$H$8)</f>
        <v>0.1</v>
      </c>
      <c r="L1906" s="12">
        <f>_xlfn.XLOOKUP(Assumptions!$B$2,Assumptions!$F$4:$H$4,Assumptions!$F$9:$H$9)</f>
        <v>0.18</v>
      </c>
      <c r="M1906" s="18">
        <f>_xlfn.XLOOKUP(Assumptions!$B$2,Assumptions!$F$4:$H$4,Assumptions!$F$10:$H$10)</f>
        <v>18000</v>
      </c>
      <c r="N1906" s="12">
        <f>_xlfn.XLOOKUP(Assumptions!$B$2,Assumptions!$F$4:$H$4,Assumptions!$F$11:$H$11)</f>
        <v>0.3</v>
      </c>
      <c r="O1906" s="14">
        <f>Final_Table[[#This Row],[Units Sold]]*Final_Table[[#This Row],[Sale Price]]</f>
        <v>20400</v>
      </c>
      <c r="P1906" s="14">
        <f>Final_Table[[#This Row],[Gross Revenue]]*(1-Final_Table[[#This Row],[Discount %]])</f>
        <v>18360</v>
      </c>
      <c r="Q1906">
        <f>Final_Table[[#This Row],[Net Revenue]]*Final_Table[[#This Row],[Variable Cost %]]</f>
        <v>3304.7999999999997</v>
      </c>
      <c r="R1906">
        <f>Final_Table[[#This Row],[Variable Cost]]+Final_Table[[#This Row],[Fixed Monthly Cost]]</f>
        <v>21304.799999999999</v>
      </c>
      <c r="S1906" s="5">
        <f>Final_Table[[#This Row],[Net Revenue]]-Final_Table[[#This Row],[Total Cost (COGS)]]</f>
        <v>-2944.7999999999993</v>
      </c>
      <c r="T1906">
        <f>Final_Table[[#This Row],[Gross Profit]]*Final_Table[[#This Row],[Tax Rate]]</f>
        <v>-883.43999999999971</v>
      </c>
      <c r="U1906" s="5">
        <f>Final_Table[[#This Row],[Gross Profit]]-Final_Table[[#This Row],[Tax]]</f>
        <v>-2061.3599999999997</v>
      </c>
      <c r="V1906" s="12">
        <f>Final_Table[[#This Row],[Net Profit]]/Final_Table[[#This Row],[Gross Revenue]]</f>
        <v>-0.10104705882352939</v>
      </c>
    </row>
    <row r="1907" spans="1:22">
      <c r="A1907" s="18" t="s">
        <v>69</v>
      </c>
      <c r="B1907">
        <v>2014</v>
      </c>
      <c r="C1907" t="s">
        <v>133</v>
      </c>
      <c r="D1907">
        <v>1</v>
      </c>
      <c r="E1907" s="18" t="s">
        <v>29</v>
      </c>
      <c r="F1907" s="18" t="s">
        <v>108</v>
      </c>
      <c r="G1907" s="18" t="s">
        <v>36</v>
      </c>
      <c r="H1907" s="18" t="str">
        <f>Assumptions!$B$2</f>
        <v>Worst</v>
      </c>
      <c r="I1907" s="18">
        <f>_xlfn.XLOOKUP(Assumptions!$B$2,Assumptions!$F$4:$H$4,Assumptions!$F$5:$H$5)</f>
        <v>1200</v>
      </c>
      <c r="J1907" s="18">
        <f>_xlfn.XLOOKUP(Assumptions!$B$2,Assumptions!$F$4:$H$4,Assumptions!$F$6:$H$6)</f>
        <v>17</v>
      </c>
      <c r="K1907" s="12">
        <f>_xlfn.XLOOKUP(Assumptions!$B$2,Assumptions!$F$4:$H$4,Assumptions!$F$8:$H$8)</f>
        <v>0.1</v>
      </c>
      <c r="L1907" s="12">
        <f>_xlfn.XLOOKUP(Assumptions!$B$2,Assumptions!$F$4:$H$4,Assumptions!$F$9:$H$9)</f>
        <v>0.18</v>
      </c>
      <c r="M1907" s="18">
        <f>_xlfn.XLOOKUP(Assumptions!$B$2,Assumptions!$F$4:$H$4,Assumptions!$F$10:$H$10)</f>
        <v>18000</v>
      </c>
      <c r="N1907" s="12">
        <f>_xlfn.XLOOKUP(Assumptions!$B$2,Assumptions!$F$4:$H$4,Assumptions!$F$11:$H$11)</f>
        <v>0.3</v>
      </c>
      <c r="O1907" s="14">
        <f>Final_Table[[#This Row],[Units Sold]]*Final_Table[[#This Row],[Sale Price]]</f>
        <v>20400</v>
      </c>
      <c r="P1907" s="14">
        <f>Final_Table[[#This Row],[Gross Revenue]]*(1-Final_Table[[#This Row],[Discount %]])</f>
        <v>18360</v>
      </c>
      <c r="Q1907">
        <f>Final_Table[[#This Row],[Net Revenue]]*Final_Table[[#This Row],[Variable Cost %]]</f>
        <v>3304.7999999999997</v>
      </c>
      <c r="R1907">
        <f>Final_Table[[#This Row],[Variable Cost]]+Final_Table[[#This Row],[Fixed Monthly Cost]]</f>
        <v>21304.799999999999</v>
      </c>
      <c r="S1907" s="5">
        <f>Final_Table[[#This Row],[Net Revenue]]-Final_Table[[#This Row],[Total Cost (COGS)]]</f>
        <v>-2944.7999999999993</v>
      </c>
      <c r="T1907">
        <f>Final_Table[[#This Row],[Gross Profit]]*Final_Table[[#This Row],[Tax Rate]]</f>
        <v>-883.43999999999971</v>
      </c>
      <c r="U1907" s="5">
        <f>Final_Table[[#This Row],[Gross Profit]]-Final_Table[[#This Row],[Tax]]</f>
        <v>-2061.3599999999997</v>
      </c>
      <c r="V1907" s="12">
        <f>Final_Table[[#This Row],[Net Profit]]/Final_Table[[#This Row],[Gross Revenue]]</f>
        <v>-0.10104705882352939</v>
      </c>
    </row>
    <row r="1908" spans="1:22">
      <c r="A1908" s="18" t="s">
        <v>69</v>
      </c>
      <c r="B1908">
        <v>2014</v>
      </c>
      <c r="C1908" t="s">
        <v>133</v>
      </c>
      <c r="D1908">
        <v>1</v>
      </c>
      <c r="E1908" s="18" t="s">
        <v>29</v>
      </c>
      <c r="F1908" s="18" t="s">
        <v>108</v>
      </c>
      <c r="G1908" s="18" t="s">
        <v>23</v>
      </c>
      <c r="H1908" s="18" t="str">
        <f>Assumptions!$B$2</f>
        <v>Worst</v>
      </c>
      <c r="I1908" s="18">
        <f>_xlfn.XLOOKUP(Assumptions!$B$2,Assumptions!$F$4:$H$4,Assumptions!$F$5:$H$5)</f>
        <v>1200</v>
      </c>
      <c r="J1908" s="18">
        <f>_xlfn.XLOOKUP(Assumptions!$B$2,Assumptions!$F$4:$H$4,Assumptions!$F$6:$H$6)</f>
        <v>17</v>
      </c>
      <c r="K1908" s="12">
        <f>_xlfn.XLOOKUP(Assumptions!$B$2,Assumptions!$F$4:$H$4,Assumptions!$F$8:$H$8)</f>
        <v>0.1</v>
      </c>
      <c r="L1908" s="12">
        <f>_xlfn.XLOOKUP(Assumptions!$B$2,Assumptions!$F$4:$H$4,Assumptions!$F$9:$H$9)</f>
        <v>0.18</v>
      </c>
      <c r="M1908" s="18">
        <f>_xlfn.XLOOKUP(Assumptions!$B$2,Assumptions!$F$4:$H$4,Assumptions!$F$10:$H$10)</f>
        <v>18000</v>
      </c>
      <c r="N1908" s="12">
        <f>_xlfn.XLOOKUP(Assumptions!$B$2,Assumptions!$F$4:$H$4,Assumptions!$F$11:$H$11)</f>
        <v>0.3</v>
      </c>
      <c r="O1908" s="14">
        <f>Final_Table[[#This Row],[Units Sold]]*Final_Table[[#This Row],[Sale Price]]</f>
        <v>20400</v>
      </c>
      <c r="P1908" s="14">
        <f>Final_Table[[#This Row],[Gross Revenue]]*(1-Final_Table[[#This Row],[Discount %]])</f>
        <v>18360</v>
      </c>
      <c r="Q1908">
        <f>Final_Table[[#This Row],[Net Revenue]]*Final_Table[[#This Row],[Variable Cost %]]</f>
        <v>3304.7999999999997</v>
      </c>
      <c r="R1908">
        <f>Final_Table[[#This Row],[Variable Cost]]+Final_Table[[#This Row],[Fixed Monthly Cost]]</f>
        <v>21304.799999999999</v>
      </c>
      <c r="S1908" s="5">
        <f>Final_Table[[#This Row],[Net Revenue]]-Final_Table[[#This Row],[Total Cost (COGS)]]</f>
        <v>-2944.7999999999993</v>
      </c>
      <c r="T1908">
        <f>Final_Table[[#This Row],[Gross Profit]]*Final_Table[[#This Row],[Tax Rate]]</f>
        <v>-883.43999999999971</v>
      </c>
      <c r="U1908" s="5">
        <f>Final_Table[[#This Row],[Gross Profit]]-Final_Table[[#This Row],[Tax]]</f>
        <v>-2061.3599999999997</v>
      </c>
      <c r="V1908" s="12">
        <f>Final_Table[[#This Row],[Net Profit]]/Final_Table[[#This Row],[Gross Revenue]]</f>
        <v>-0.10104705882352939</v>
      </c>
    </row>
    <row r="1909" spans="1:22">
      <c r="A1909" s="18" t="s">
        <v>69</v>
      </c>
      <c r="B1909">
        <v>2014</v>
      </c>
      <c r="C1909" t="s">
        <v>133</v>
      </c>
      <c r="D1909">
        <v>1</v>
      </c>
      <c r="E1909" s="18" t="s">
        <v>29</v>
      </c>
      <c r="F1909" s="18" t="s">
        <v>108</v>
      </c>
      <c r="G1909" s="18" t="s">
        <v>21</v>
      </c>
      <c r="H1909" s="18" t="str">
        <f>Assumptions!$B$2</f>
        <v>Worst</v>
      </c>
      <c r="I1909" s="18">
        <f>_xlfn.XLOOKUP(Assumptions!$B$2,Assumptions!$F$4:$H$4,Assumptions!$F$5:$H$5)</f>
        <v>1200</v>
      </c>
      <c r="J1909" s="18">
        <f>_xlfn.XLOOKUP(Assumptions!$B$2,Assumptions!$F$4:$H$4,Assumptions!$F$6:$H$6)</f>
        <v>17</v>
      </c>
      <c r="K1909" s="12">
        <f>_xlfn.XLOOKUP(Assumptions!$B$2,Assumptions!$F$4:$H$4,Assumptions!$F$8:$H$8)</f>
        <v>0.1</v>
      </c>
      <c r="L1909" s="12">
        <f>_xlfn.XLOOKUP(Assumptions!$B$2,Assumptions!$F$4:$H$4,Assumptions!$F$9:$H$9)</f>
        <v>0.18</v>
      </c>
      <c r="M1909" s="18">
        <f>_xlfn.XLOOKUP(Assumptions!$B$2,Assumptions!$F$4:$H$4,Assumptions!$F$10:$H$10)</f>
        <v>18000</v>
      </c>
      <c r="N1909" s="12">
        <f>_xlfn.XLOOKUP(Assumptions!$B$2,Assumptions!$F$4:$H$4,Assumptions!$F$11:$H$11)</f>
        <v>0.3</v>
      </c>
      <c r="O1909" s="14">
        <f>Final_Table[[#This Row],[Units Sold]]*Final_Table[[#This Row],[Sale Price]]</f>
        <v>20400</v>
      </c>
      <c r="P1909" s="14">
        <f>Final_Table[[#This Row],[Gross Revenue]]*(1-Final_Table[[#This Row],[Discount %]])</f>
        <v>18360</v>
      </c>
      <c r="Q1909">
        <f>Final_Table[[#This Row],[Net Revenue]]*Final_Table[[#This Row],[Variable Cost %]]</f>
        <v>3304.7999999999997</v>
      </c>
      <c r="R1909">
        <f>Final_Table[[#This Row],[Variable Cost]]+Final_Table[[#This Row],[Fixed Monthly Cost]]</f>
        <v>21304.799999999999</v>
      </c>
      <c r="S1909" s="5">
        <f>Final_Table[[#This Row],[Net Revenue]]-Final_Table[[#This Row],[Total Cost (COGS)]]</f>
        <v>-2944.7999999999993</v>
      </c>
      <c r="T1909">
        <f>Final_Table[[#This Row],[Gross Profit]]*Final_Table[[#This Row],[Tax Rate]]</f>
        <v>-883.43999999999971</v>
      </c>
      <c r="U1909" s="5">
        <f>Final_Table[[#This Row],[Gross Profit]]-Final_Table[[#This Row],[Tax]]</f>
        <v>-2061.3599999999997</v>
      </c>
      <c r="V1909" s="12">
        <f>Final_Table[[#This Row],[Net Profit]]/Final_Table[[#This Row],[Gross Revenue]]</f>
        <v>-0.10104705882352939</v>
      </c>
    </row>
    <row r="1910" spans="1:22">
      <c r="A1910" s="18" t="s">
        <v>69</v>
      </c>
      <c r="B1910">
        <v>2014</v>
      </c>
      <c r="C1910" t="s">
        <v>133</v>
      </c>
      <c r="D1910">
        <v>1</v>
      </c>
      <c r="E1910" s="18" t="s">
        <v>29</v>
      </c>
      <c r="F1910" s="18" t="s">
        <v>108</v>
      </c>
      <c r="G1910" s="18" t="s">
        <v>25</v>
      </c>
      <c r="H1910" s="18" t="str">
        <f>Assumptions!$B$2</f>
        <v>Worst</v>
      </c>
      <c r="I1910" s="18">
        <f>_xlfn.XLOOKUP(Assumptions!$B$2,Assumptions!$F$4:$H$4,Assumptions!$F$5:$H$5)</f>
        <v>1200</v>
      </c>
      <c r="J1910" s="18">
        <f>_xlfn.XLOOKUP(Assumptions!$B$2,Assumptions!$F$4:$H$4,Assumptions!$F$6:$H$6)</f>
        <v>17</v>
      </c>
      <c r="K1910" s="12">
        <f>_xlfn.XLOOKUP(Assumptions!$B$2,Assumptions!$F$4:$H$4,Assumptions!$F$8:$H$8)</f>
        <v>0.1</v>
      </c>
      <c r="L1910" s="12">
        <f>_xlfn.XLOOKUP(Assumptions!$B$2,Assumptions!$F$4:$H$4,Assumptions!$F$9:$H$9)</f>
        <v>0.18</v>
      </c>
      <c r="M1910" s="18">
        <f>_xlfn.XLOOKUP(Assumptions!$B$2,Assumptions!$F$4:$H$4,Assumptions!$F$10:$H$10)</f>
        <v>18000</v>
      </c>
      <c r="N1910" s="12">
        <f>_xlfn.XLOOKUP(Assumptions!$B$2,Assumptions!$F$4:$H$4,Assumptions!$F$11:$H$11)</f>
        <v>0.3</v>
      </c>
      <c r="O1910" s="14">
        <f>Final_Table[[#This Row],[Units Sold]]*Final_Table[[#This Row],[Sale Price]]</f>
        <v>20400</v>
      </c>
      <c r="P1910" s="14">
        <f>Final_Table[[#This Row],[Gross Revenue]]*(1-Final_Table[[#This Row],[Discount %]])</f>
        <v>18360</v>
      </c>
      <c r="Q1910">
        <f>Final_Table[[#This Row],[Net Revenue]]*Final_Table[[#This Row],[Variable Cost %]]</f>
        <v>3304.7999999999997</v>
      </c>
      <c r="R1910">
        <f>Final_Table[[#This Row],[Variable Cost]]+Final_Table[[#This Row],[Fixed Monthly Cost]]</f>
        <v>21304.799999999999</v>
      </c>
      <c r="S1910" s="5">
        <f>Final_Table[[#This Row],[Net Revenue]]-Final_Table[[#This Row],[Total Cost (COGS)]]</f>
        <v>-2944.7999999999993</v>
      </c>
      <c r="T1910">
        <f>Final_Table[[#This Row],[Gross Profit]]*Final_Table[[#This Row],[Tax Rate]]</f>
        <v>-883.43999999999971</v>
      </c>
      <c r="U1910" s="5">
        <f>Final_Table[[#This Row],[Gross Profit]]-Final_Table[[#This Row],[Tax]]</f>
        <v>-2061.3599999999997</v>
      </c>
      <c r="V1910" s="12">
        <f>Final_Table[[#This Row],[Net Profit]]/Final_Table[[#This Row],[Gross Revenue]]</f>
        <v>-0.10104705882352939</v>
      </c>
    </row>
    <row r="1911" spans="1:22">
      <c r="A1911" s="18" t="s">
        <v>69</v>
      </c>
      <c r="B1911">
        <v>2014</v>
      </c>
      <c r="C1911" t="s">
        <v>133</v>
      </c>
      <c r="D1911">
        <v>1</v>
      </c>
      <c r="E1911" s="18" t="s">
        <v>29</v>
      </c>
      <c r="F1911" s="18" t="s">
        <v>108</v>
      </c>
      <c r="G1911" s="18" t="s">
        <v>17</v>
      </c>
      <c r="H1911" s="18" t="str">
        <f>Assumptions!$B$2</f>
        <v>Worst</v>
      </c>
      <c r="I1911" s="18">
        <f>_xlfn.XLOOKUP(Assumptions!$B$2,Assumptions!$F$4:$H$4,Assumptions!$F$5:$H$5)</f>
        <v>1200</v>
      </c>
      <c r="J1911" s="18">
        <f>_xlfn.XLOOKUP(Assumptions!$B$2,Assumptions!$F$4:$H$4,Assumptions!$F$6:$H$6)</f>
        <v>17</v>
      </c>
      <c r="K1911" s="12">
        <f>_xlfn.XLOOKUP(Assumptions!$B$2,Assumptions!$F$4:$H$4,Assumptions!$F$8:$H$8)</f>
        <v>0.1</v>
      </c>
      <c r="L1911" s="12">
        <f>_xlfn.XLOOKUP(Assumptions!$B$2,Assumptions!$F$4:$H$4,Assumptions!$F$9:$H$9)</f>
        <v>0.18</v>
      </c>
      <c r="M1911" s="18">
        <f>_xlfn.XLOOKUP(Assumptions!$B$2,Assumptions!$F$4:$H$4,Assumptions!$F$10:$H$10)</f>
        <v>18000</v>
      </c>
      <c r="N1911" s="12">
        <f>_xlfn.XLOOKUP(Assumptions!$B$2,Assumptions!$F$4:$H$4,Assumptions!$F$11:$H$11)</f>
        <v>0.3</v>
      </c>
      <c r="O1911" s="14">
        <f>Final_Table[[#This Row],[Units Sold]]*Final_Table[[#This Row],[Sale Price]]</f>
        <v>20400</v>
      </c>
      <c r="P1911" s="14">
        <f>Final_Table[[#This Row],[Gross Revenue]]*(1-Final_Table[[#This Row],[Discount %]])</f>
        <v>18360</v>
      </c>
      <c r="Q1911">
        <f>Final_Table[[#This Row],[Net Revenue]]*Final_Table[[#This Row],[Variable Cost %]]</f>
        <v>3304.7999999999997</v>
      </c>
      <c r="R1911">
        <f>Final_Table[[#This Row],[Variable Cost]]+Final_Table[[#This Row],[Fixed Monthly Cost]]</f>
        <v>21304.799999999999</v>
      </c>
      <c r="S1911" s="5">
        <f>Final_Table[[#This Row],[Net Revenue]]-Final_Table[[#This Row],[Total Cost (COGS)]]</f>
        <v>-2944.7999999999993</v>
      </c>
      <c r="T1911">
        <f>Final_Table[[#This Row],[Gross Profit]]*Final_Table[[#This Row],[Tax Rate]]</f>
        <v>-883.43999999999971</v>
      </c>
      <c r="U1911" s="5">
        <f>Final_Table[[#This Row],[Gross Profit]]-Final_Table[[#This Row],[Tax]]</f>
        <v>-2061.3599999999997</v>
      </c>
      <c r="V1911" s="12">
        <f>Final_Table[[#This Row],[Net Profit]]/Final_Table[[#This Row],[Gross Revenue]]</f>
        <v>-0.10104705882352939</v>
      </c>
    </row>
    <row r="1912" spans="1:22">
      <c r="A1912" s="18" t="s">
        <v>69</v>
      </c>
      <c r="B1912">
        <v>2014</v>
      </c>
      <c r="C1912" t="s">
        <v>133</v>
      </c>
      <c r="D1912">
        <v>1</v>
      </c>
      <c r="E1912" s="18" t="s">
        <v>29</v>
      </c>
      <c r="F1912" s="18" t="s">
        <v>112</v>
      </c>
      <c r="G1912" s="18" t="s">
        <v>36</v>
      </c>
      <c r="H1912" s="18" t="str">
        <f>Assumptions!$B$2</f>
        <v>Worst</v>
      </c>
      <c r="I1912" s="18">
        <f>_xlfn.XLOOKUP(Assumptions!$B$2,Assumptions!$F$4:$H$4,Assumptions!$F$5:$H$5)</f>
        <v>1200</v>
      </c>
      <c r="J1912" s="18">
        <f>_xlfn.XLOOKUP(Assumptions!$B$2,Assumptions!$F$4:$H$4,Assumptions!$F$6:$H$6)</f>
        <v>17</v>
      </c>
      <c r="K1912" s="12">
        <f>_xlfn.XLOOKUP(Assumptions!$B$2,Assumptions!$F$4:$H$4,Assumptions!$F$8:$H$8)</f>
        <v>0.1</v>
      </c>
      <c r="L1912" s="12">
        <f>_xlfn.XLOOKUP(Assumptions!$B$2,Assumptions!$F$4:$H$4,Assumptions!$F$9:$H$9)</f>
        <v>0.18</v>
      </c>
      <c r="M1912" s="18">
        <f>_xlfn.XLOOKUP(Assumptions!$B$2,Assumptions!$F$4:$H$4,Assumptions!$F$10:$H$10)</f>
        <v>18000</v>
      </c>
      <c r="N1912" s="12">
        <f>_xlfn.XLOOKUP(Assumptions!$B$2,Assumptions!$F$4:$H$4,Assumptions!$F$11:$H$11)</f>
        <v>0.3</v>
      </c>
      <c r="O1912" s="14">
        <f>Final_Table[[#This Row],[Units Sold]]*Final_Table[[#This Row],[Sale Price]]</f>
        <v>20400</v>
      </c>
      <c r="P1912" s="14">
        <f>Final_Table[[#This Row],[Gross Revenue]]*(1-Final_Table[[#This Row],[Discount %]])</f>
        <v>18360</v>
      </c>
      <c r="Q1912">
        <f>Final_Table[[#This Row],[Net Revenue]]*Final_Table[[#This Row],[Variable Cost %]]</f>
        <v>3304.7999999999997</v>
      </c>
      <c r="R1912">
        <f>Final_Table[[#This Row],[Variable Cost]]+Final_Table[[#This Row],[Fixed Monthly Cost]]</f>
        <v>21304.799999999999</v>
      </c>
      <c r="S1912" s="5">
        <f>Final_Table[[#This Row],[Net Revenue]]-Final_Table[[#This Row],[Total Cost (COGS)]]</f>
        <v>-2944.7999999999993</v>
      </c>
      <c r="T1912">
        <f>Final_Table[[#This Row],[Gross Profit]]*Final_Table[[#This Row],[Tax Rate]]</f>
        <v>-883.43999999999971</v>
      </c>
      <c r="U1912" s="5">
        <f>Final_Table[[#This Row],[Gross Profit]]-Final_Table[[#This Row],[Tax]]</f>
        <v>-2061.3599999999997</v>
      </c>
      <c r="V1912" s="12">
        <f>Final_Table[[#This Row],[Net Profit]]/Final_Table[[#This Row],[Gross Revenue]]</f>
        <v>-0.10104705882352939</v>
      </c>
    </row>
    <row r="1913" spans="1:22">
      <c r="A1913" s="18" t="s">
        <v>69</v>
      </c>
      <c r="B1913">
        <v>2014</v>
      </c>
      <c r="C1913" t="s">
        <v>133</v>
      </c>
      <c r="D1913">
        <v>1</v>
      </c>
      <c r="E1913" s="18" t="s">
        <v>29</v>
      </c>
      <c r="F1913" s="18" t="s">
        <v>112</v>
      </c>
      <c r="G1913" s="18" t="s">
        <v>23</v>
      </c>
      <c r="H1913" s="18" t="str">
        <f>Assumptions!$B$2</f>
        <v>Worst</v>
      </c>
      <c r="I1913" s="18">
        <f>_xlfn.XLOOKUP(Assumptions!$B$2,Assumptions!$F$4:$H$4,Assumptions!$F$5:$H$5)</f>
        <v>1200</v>
      </c>
      <c r="J1913" s="18">
        <f>_xlfn.XLOOKUP(Assumptions!$B$2,Assumptions!$F$4:$H$4,Assumptions!$F$6:$H$6)</f>
        <v>17</v>
      </c>
      <c r="K1913" s="12">
        <f>_xlfn.XLOOKUP(Assumptions!$B$2,Assumptions!$F$4:$H$4,Assumptions!$F$8:$H$8)</f>
        <v>0.1</v>
      </c>
      <c r="L1913" s="12">
        <f>_xlfn.XLOOKUP(Assumptions!$B$2,Assumptions!$F$4:$H$4,Assumptions!$F$9:$H$9)</f>
        <v>0.18</v>
      </c>
      <c r="M1913" s="18">
        <f>_xlfn.XLOOKUP(Assumptions!$B$2,Assumptions!$F$4:$H$4,Assumptions!$F$10:$H$10)</f>
        <v>18000</v>
      </c>
      <c r="N1913" s="12">
        <f>_xlfn.XLOOKUP(Assumptions!$B$2,Assumptions!$F$4:$H$4,Assumptions!$F$11:$H$11)</f>
        <v>0.3</v>
      </c>
      <c r="O1913" s="14">
        <f>Final_Table[[#This Row],[Units Sold]]*Final_Table[[#This Row],[Sale Price]]</f>
        <v>20400</v>
      </c>
      <c r="P1913" s="14">
        <f>Final_Table[[#This Row],[Gross Revenue]]*(1-Final_Table[[#This Row],[Discount %]])</f>
        <v>18360</v>
      </c>
      <c r="Q1913">
        <f>Final_Table[[#This Row],[Net Revenue]]*Final_Table[[#This Row],[Variable Cost %]]</f>
        <v>3304.7999999999997</v>
      </c>
      <c r="R1913">
        <f>Final_Table[[#This Row],[Variable Cost]]+Final_Table[[#This Row],[Fixed Monthly Cost]]</f>
        <v>21304.799999999999</v>
      </c>
      <c r="S1913" s="5">
        <f>Final_Table[[#This Row],[Net Revenue]]-Final_Table[[#This Row],[Total Cost (COGS)]]</f>
        <v>-2944.7999999999993</v>
      </c>
      <c r="T1913">
        <f>Final_Table[[#This Row],[Gross Profit]]*Final_Table[[#This Row],[Tax Rate]]</f>
        <v>-883.43999999999971</v>
      </c>
      <c r="U1913" s="5">
        <f>Final_Table[[#This Row],[Gross Profit]]-Final_Table[[#This Row],[Tax]]</f>
        <v>-2061.3599999999997</v>
      </c>
      <c r="V1913" s="12">
        <f>Final_Table[[#This Row],[Net Profit]]/Final_Table[[#This Row],[Gross Revenue]]</f>
        <v>-0.10104705882352939</v>
      </c>
    </row>
    <row r="1914" spans="1:22">
      <c r="A1914" s="18" t="s">
        <v>69</v>
      </c>
      <c r="B1914">
        <v>2014</v>
      </c>
      <c r="C1914" t="s">
        <v>133</v>
      </c>
      <c r="D1914">
        <v>1</v>
      </c>
      <c r="E1914" s="18" t="s">
        <v>29</v>
      </c>
      <c r="F1914" s="18" t="s">
        <v>112</v>
      </c>
      <c r="G1914" s="18" t="s">
        <v>21</v>
      </c>
      <c r="H1914" s="18" t="str">
        <f>Assumptions!$B$2</f>
        <v>Worst</v>
      </c>
      <c r="I1914" s="18">
        <f>_xlfn.XLOOKUP(Assumptions!$B$2,Assumptions!$F$4:$H$4,Assumptions!$F$5:$H$5)</f>
        <v>1200</v>
      </c>
      <c r="J1914" s="18">
        <f>_xlfn.XLOOKUP(Assumptions!$B$2,Assumptions!$F$4:$H$4,Assumptions!$F$6:$H$6)</f>
        <v>17</v>
      </c>
      <c r="K1914" s="12">
        <f>_xlfn.XLOOKUP(Assumptions!$B$2,Assumptions!$F$4:$H$4,Assumptions!$F$8:$H$8)</f>
        <v>0.1</v>
      </c>
      <c r="L1914" s="12">
        <f>_xlfn.XLOOKUP(Assumptions!$B$2,Assumptions!$F$4:$H$4,Assumptions!$F$9:$H$9)</f>
        <v>0.18</v>
      </c>
      <c r="M1914" s="18">
        <f>_xlfn.XLOOKUP(Assumptions!$B$2,Assumptions!$F$4:$H$4,Assumptions!$F$10:$H$10)</f>
        <v>18000</v>
      </c>
      <c r="N1914" s="12">
        <f>_xlfn.XLOOKUP(Assumptions!$B$2,Assumptions!$F$4:$H$4,Assumptions!$F$11:$H$11)</f>
        <v>0.3</v>
      </c>
      <c r="O1914" s="14">
        <f>Final_Table[[#This Row],[Units Sold]]*Final_Table[[#This Row],[Sale Price]]</f>
        <v>20400</v>
      </c>
      <c r="P1914" s="14">
        <f>Final_Table[[#This Row],[Gross Revenue]]*(1-Final_Table[[#This Row],[Discount %]])</f>
        <v>18360</v>
      </c>
      <c r="Q1914">
        <f>Final_Table[[#This Row],[Net Revenue]]*Final_Table[[#This Row],[Variable Cost %]]</f>
        <v>3304.7999999999997</v>
      </c>
      <c r="R1914">
        <f>Final_Table[[#This Row],[Variable Cost]]+Final_Table[[#This Row],[Fixed Monthly Cost]]</f>
        <v>21304.799999999999</v>
      </c>
      <c r="S1914" s="5">
        <f>Final_Table[[#This Row],[Net Revenue]]-Final_Table[[#This Row],[Total Cost (COGS)]]</f>
        <v>-2944.7999999999993</v>
      </c>
      <c r="T1914">
        <f>Final_Table[[#This Row],[Gross Profit]]*Final_Table[[#This Row],[Tax Rate]]</f>
        <v>-883.43999999999971</v>
      </c>
      <c r="U1914" s="5">
        <f>Final_Table[[#This Row],[Gross Profit]]-Final_Table[[#This Row],[Tax]]</f>
        <v>-2061.3599999999997</v>
      </c>
      <c r="V1914" s="12">
        <f>Final_Table[[#This Row],[Net Profit]]/Final_Table[[#This Row],[Gross Revenue]]</f>
        <v>-0.10104705882352939</v>
      </c>
    </row>
    <row r="1915" spans="1:22">
      <c r="A1915" s="18" t="s">
        <v>69</v>
      </c>
      <c r="B1915">
        <v>2014</v>
      </c>
      <c r="C1915" t="s">
        <v>133</v>
      </c>
      <c r="D1915">
        <v>1</v>
      </c>
      <c r="E1915" s="18" t="s">
        <v>29</v>
      </c>
      <c r="F1915" s="18" t="s">
        <v>112</v>
      </c>
      <c r="G1915" s="18" t="s">
        <v>25</v>
      </c>
      <c r="H1915" s="18" t="str">
        <f>Assumptions!$B$2</f>
        <v>Worst</v>
      </c>
      <c r="I1915" s="18">
        <f>_xlfn.XLOOKUP(Assumptions!$B$2,Assumptions!$F$4:$H$4,Assumptions!$F$5:$H$5)</f>
        <v>1200</v>
      </c>
      <c r="J1915" s="18">
        <f>_xlfn.XLOOKUP(Assumptions!$B$2,Assumptions!$F$4:$H$4,Assumptions!$F$6:$H$6)</f>
        <v>17</v>
      </c>
      <c r="K1915" s="12">
        <f>_xlfn.XLOOKUP(Assumptions!$B$2,Assumptions!$F$4:$H$4,Assumptions!$F$8:$H$8)</f>
        <v>0.1</v>
      </c>
      <c r="L1915" s="12">
        <f>_xlfn.XLOOKUP(Assumptions!$B$2,Assumptions!$F$4:$H$4,Assumptions!$F$9:$H$9)</f>
        <v>0.18</v>
      </c>
      <c r="M1915" s="18">
        <f>_xlfn.XLOOKUP(Assumptions!$B$2,Assumptions!$F$4:$H$4,Assumptions!$F$10:$H$10)</f>
        <v>18000</v>
      </c>
      <c r="N1915" s="12">
        <f>_xlfn.XLOOKUP(Assumptions!$B$2,Assumptions!$F$4:$H$4,Assumptions!$F$11:$H$11)</f>
        <v>0.3</v>
      </c>
      <c r="O1915" s="14">
        <f>Final_Table[[#This Row],[Units Sold]]*Final_Table[[#This Row],[Sale Price]]</f>
        <v>20400</v>
      </c>
      <c r="P1915" s="14">
        <f>Final_Table[[#This Row],[Gross Revenue]]*(1-Final_Table[[#This Row],[Discount %]])</f>
        <v>18360</v>
      </c>
      <c r="Q1915">
        <f>Final_Table[[#This Row],[Net Revenue]]*Final_Table[[#This Row],[Variable Cost %]]</f>
        <v>3304.7999999999997</v>
      </c>
      <c r="R1915">
        <f>Final_Table[[#This Row],[Variable Cost]]+Final_Table[[#This Row],[Fixed Monthly Cost]]</f>
        <v>21304.799999999999</v>
      </c>
      <c r="S1915" s="5">
        <f>Final_Table[[#This Row],[Net Revenue]]-Final_Table[[#This Row],[Total Cost (COGS)]]</f>
        <v>-2944.7999999999993</v>
      </c>
      <c r="T1915">
        <f>Final_Table[[#This Row],[Gross Profit]]*Final_Table[[#This Row],[Tax Rate]]</f>
        <v>-883.43999999999971</v>
      </c>
      <c r="U1915" s="5">
        <f>Final_Table[[#This Row],[Gross Profit]]-Final_Table[[#This Row],[Tax]]</f>
        <v>-2061.3599999999997</v>
      </c>
      <c r="V1915" s="12">
        <f>Final_Table[[#This Row],[Net Profit]]/Final_Table[[#This Row],[Gross Revenue]]</f>
        <v>-0.10104705882352939</v>
      </c>
    </row>
    <row r="1916" spans="1:22">
      <c r="A1916" s="18" t="s">
        <v>69</v>
      </c>
      <c r="B1916">
        <v>2014</v>
      </c>
      <c r="C1916" t="s">
        <v>133</v>
      </c>
      <c r="D1916">
        <v>1</v>
      </c>
      <c r="E1916" s="18" t="s">
        <v>29</v>
      </c>
      <c r="F1916" s="18" t="s">
        <v>112</v>
      </c>
      <c r="G1916" s="18" t="s">
        <v>17</v>
      </c>
      <c r="H1916" s="18" t="str">
        <f>Assumptions!$B$2</f>
        <v>Worst</v>
      </c>
      <c r="I1916" s="18">
        <f>_xlfn.XLOOKUP(Assumptions!$B$2,Assumptions!$F$4:$H$4,Assumptions!$F$5:$H$5)</f>
        <v>1200</v>
      </c>
      <c r="J1916" s="18">
        <f>_xlfn.XLOOKUP(Assumptions!$B$2,Assumptions!$F$4:$H$4,Assumptions!$F$6:$H$6)</f>
        <v>17</v>
      </c>
      <c r="K1916" s="12">
        <f>_xlfn.XLOOKUP(Assumptions!$B$2,Assumptions!$F$4:$H$4,Assumptions!$F$8:$H$8)</f>
        <v>0.1</v>
      </c>
      <c r="L1916" s="12">
        <f>_xlfn.XLOOKUP(Assumptions!$B$2,Assumptions!$F$4:$H$4,Assumptions!$F$9:$H$9)</f>
        <v>0.18</v>
      </c>
      <c r="M1916" s="18">
        <f>_xlfn.XLOOKUP(Assumptions!$B$2,Assumptions!$F$4:$H$4,Assumptions!$F$10:$H$10)</f>
        <v>18000</v>
      </c>
      <c r="N1916" s="12">
        <f>_xlfn.XLOOKUP(Assumptions!$B$2,Assumptions!$F$4:$H$4,Assumptions!$F$11:$H$11)</f>
        <v>0.3</v>
      </c>
      <c r="O1916" s="14">
        <f>Final_Table[[#This Row],[Units Sold]]*Final_Table[[#This Row],[Sale Price]]</f>
        <v>20400</v>
      </c>
      <c r="P1916" s="14">
        <f>Final_Table[[#This Row],[Gross Revenue]]*(1-Final_Table[[#This Row],[Discount %]])</f>
        <v>18360</v>
      </c>
      <c r="Q1916">
        <f>Final_Table[[#This Row],[Net Revenue]]*Final_Table[[#This Row],[Variable Cost %]]</f>
        <v>3304.7999999999997</v>
      </c>
      <c r="R1916">
        <f>Final_Table[[#This Row],[Variable Cost]]+Final_Table[[#This Row],[Fixed Monthly Cost]]</f>
        <v>21304.799999999999</v>
      </c>
      <c r="S1916" s="5">
        <f>Final_Table[[#This Row],[Net Revenue]]-Final_Table[[#This Row],[Total Cost (COGS)]]</f>
        <v>-2944.7999999999993</v>
      </c>
      <c r="T1916">
        <f>Final_Table[[#This Row],[Gross Profit]]*Final_Table[[#This Row],[Tax Rate]]</f>
        <v>-883.43999999999971</v>
      </c>
      <c r="U1916" s="5">
        <f>Final_Table[[#This Row],[Gross Profit]]-Final_Table[[#This Row],[Tax]]</f>
        <v>-2061.3599999999997</v>
      </c>
      <c r="V1916" s="12">
        <f>Final_Table[[#This Row],[Net Profit]]/Final_Table[[#This Row],[Gross Revenue]]</f>
        <v>-0.10104705882352939</v>
      </c>
    </row>
    <row r="1917" spans="1:22">
      <c r="A1917" s="18" t="s">
        <v>69</v>
      </c>
      <c r="B1917">
        <v>2014</v>
      </c>
      <c r="C1917" t="s">
        <v>133</v>
      </c>
      <c r="D1917">
        <v>1</v>
      </c>
      <c r="E1917" s="18" t="s">
        <v>29</v>
      </c>
      <c r="F1917" s="18" t="s">
        <v>113</v>
      </c>
      <c r="G1917" s="18" t="s">
        <v>36</v>
      </c>
      <c r="H1917" s="18" t="str">
        <f>Assumptions!$B$2</f>
        <v>Worst</v>
      </c>
      <c r="I1917" s="18">
        <f>_xlfn.XLOOKUP(Assumptions!$B$2,Assumptions!$F$4:$H$4,Assumptions!$F$5:$H$5)</f>
        <v>1200</v>
      </c>
      <c r="J1917" s="18">
        <f>_xlfn.XLOOKUP(Assumptions!$B$2,Assumptions!$F$4:$H$4,Assumptions!$F$6:$H$6)</f>
        <v>17</v>
      </c>
      <c r="K1917" s="12">
        <f>_xlfn.XLOOKUP(Assumptions!$B$2,Assumptions!$F$4:$H$4,Assumptions!$F$8:$H$8)</f>
        <v>0.1</v>
      </c>
      <c r="L1917" s="12">
        <f>_xlfn.XLOOKUP(Assumptions!$B$2,Assumptions!$F$4:$H$4,Assumptions!$F$9:$H$9)</f>
        <v>0.18</v>
      </c>
      <c r="M1917" s="18">
        <f>_xlfn.XLOOKUP(Assumptions!$B$2,Assumptions!$F$4:$H$4,Assumptions!$F$10:$H$10)</f>
        <v>18000</v>
      </c>
      <c r="N1917" s="12">
        <f>_xlfn.XLOOKUP(Assumptions!$B$2,Assumptions!$F$4:$H$4,Assumptions!$F$11:$H$11)</f>
        <v>0.3</v>
      </c>
      <c r="O1917" s="14">
        <f>Final_Table[[#This Row],[Units Sold]]*Final_Table[[#This Row],[Sale Price]]</f>
        <v>20400</v>
      </c>
      <c r="P1917" s="14">
        <f>Final_Table[[#This Row],[Gross Revenue]]*(1-Final_Table[[#This Row],[Discount %]])</f>
        <v>18360</v>
      </c>
      <c r="Q1917">
        <f>Final_Table[[#This Row],[Net Revenue]]*Final_Table[[#This Row],[Variable Cost %]]</f>
        <v>3304.7999999999997</v>
      </c>
      <c r="R1917">
        <f>Final_Table[[#This Row],[Variable Cost]]+Final_Table[[#This Row],[Fixed Monthly Cost]]</f>
        <v>21304.799999999999</v>
      </c>
      <c r="S1917" s="5">
        <f>Final_Table[[#This Row],[Net Revenue]]-Final_Table[[#This Row],[Total Cost (COGS)]]</f>
        <v>-2944.7999999999993</v>
      </c>
      <c r="T1917">
        <f>Final_Table[[#This Row],[Gross Profit]]*Final_Table[[#This Row],[Tax Rate]]</f>
        <v>-883.43999999999971</v>
      </c>
      <c r="U1917" s="5">
        <f>Final_Table[[#This Row],[Gross Profit]]-Final_Table[[#This Row],[Tax]]</f>
        <v>-2061.3599999999997</v>
      </c>
      <c r="V1917" s="12">
        <f>Final_Table[[#This Row],[Net Profit]]/Final_Table[[#This Row],[Gross Revenue]]</f>
        <v>-0.10104705882352939</v>
      </c>
    </row>
    <row r="1918" spans="1:22">
      <c r="A1918" s="18" t="s">
        <v>69</v>
      </c>
      <c r="B1918">
        <v>2014</v>
      </c>
      <c r="C1918" t="s">
        <v>133</v>
      </c>
      <c r="D1918">
        <v>1</v>
      </c>
      <c r="E1918" s="18" t="s">
        <v>29</v>
      </c>
      <c r="F1918" s="18" t="s">
        <v>113</v>
      </c>
      <c r="G1918" s="18" t="s">
        <v>23</v>
      </c>
      <c r="H1918" s="18" t="str">
        <f>Assumptions!$B$2</f>
        <v>Worst</v>
      </c>
      <c r="I1918" s="18">
        <f>_xlfn.XLOOKUP(Assumptions!$B$2,Assumptions!$F$4:$H$4,Assumptions!$F$5:$H$5)</f>
        <v>1200</v>
      </c>
      <c r="J1918" s="18">
        <f>_xlfn.XLOOKUP(Assumptions!$B$2,Assumptions!$F$4:$H$4,Assumptions!$F$6:$H$6)</f>
        <v>17</v>
      </c>
      <c r="K1918" s="12">
        <f>_xlfn.XLOOKUP(Assumptions!$B$2,Assumptions!$F$4:$H$4,Assumptions!$F$8:$H$8)</f>
        <v>0.1</v>
      </c>
      <c r="L1918" s="12">
        <f>_xlfn.XLOOKUP(Assumptions!$B$2,Assumptions!$F$4:$H$4,Assumptions!$F$9:$H$9)</f>
        <v>0.18</v>
      </c>
      <c r="M1918" s="18">
        <f>_xlfn.XLOOKUP(Assumptions!$B$2,Assumptions!$F$4:$H$4,Assumptions!$F$10:$H$10)</f>
        <v>18000</v>
      </c>
      <c r="N1918" s="12">
        <f>_xlfn.XLOOKUP(Assumptions!$B$2,Assumptions!$F$4:$H$4,Assumptions!$F$11:$H$11)</f>
        <v>0.3</v>
      </c>
      <c r="O1918" s="14">
        <f>Final_Table[[#This Row],[Units Sold]]*Final_Table[[#This Row],[Sale Price]]</f>
        <v>20400</v>
      </c>
      <c r="P1918" s="14">
        <f>Final_Table[[#This Row],[Gross Revenue]]*(1-Final_Table[[#This Row],[Discount %]])</f>
        <v>18360</v>
      </c>
      <c r="Q1918">
        <f>Final_Table[[#This Row],[Net Revenue]]*Final_Table[[#This Row],[Variable Cost %]]</f>
        <v>3304.7999999999997</v>
      </c>
      <c r="R1918">
        <f>Final_Table[[#This Row],[Variable Cost]]+Final_Table[[#This Row],[Fixed Monthly Cost]]</f>
        <v>21304.799999999999</v>
      </c>
      <c r="S1918" s="5">
        <f>Final_Table[[#This Row],[Net Revenue]]-Final_Table[[#This Row],[Total Cost (COGS)]]</f>
        <v>-2944.7999999999993</v>
      </c>
      <c r="T1918">
        <f>Final_Table[[#This Row],[Gross Profit]]*Final_Table[[#This Row],[Tax Rate]]</f>
        <v>-883.43999999999971</v>
      </c>
      <c r="U1918" s="5">
        <f>Final_Table[[#This Row],[Gross Profit]]-Final_Table[[#This Row],[Tax]]</f>
        <v>-2061.3599999999997</v>
      </c>
      <c r="V1918" s="12">
        <f>Final_Table[[#This Row],[Net Profit]]/Final_Table[[#This Row],[Gross Revenue]]</f>
        <v>-0.10104705882352939</v>
      </c>
    </row>
    <row r="1919" spans="1:22">
      <c r="A1919" s="18" t="s">
        <v>69</v>
      </c>
      <c r="B1919">
        <v>2014</v>
      </c>
      <c r="C1919" t="s">
        <v>133</v>
      </c>
      <c r="D1919">
        <v>1</v>
      </c>
      <c r="E1919" s="18" t="s">
        <v>29</v>
      </c>
      <c r="F1919" s="18" t="s">
        <v>113</v>
      </c>
      <c r="G1919" s="18" t="s">
        <v>21</v>
      </c>
      <c r="H1919" s="18" t="str">
        <f>Assumptions!$B$2</f>
        <v>Worst</v>
      </c>
      <c r="I1919" s="18">
        <f>_xlfn.XLOOKUP(Assumptions!$B$2,Assumptions!$F$4:$H$4,Assumptions!$F$5:$H$5)</f>
        <v>1200</v>
      </c>
      <c r="J1919" s="18">
        <f>_xlfn.XLOOKUP(Assumptions!$B$2,Assumptions!$F$4:$H$4,Assumptions!$F$6:$H$6)</f>
        <v>17</v>
      </c>
      <c r="K1919" s="12">
        <f>_xlfn.XLOOKUP(Assumptions!$B$2,Assumptions!$F$4:$H$4,Assumptions!$F$8:$H$8)</f>
        <v>0.1</v>
      </c>
      <c r="L1919" s="12">
        <f>_xlfn.XLOOKUP(Assumptions!$B$2,Assumptions!$F$4:$H$4,Assumptions!$F$9:$H$9)</f>
        <v>0.18</v>
      </c>
      <c r="M1919" s="18">
        <f>_xlfn.XLOOKUP(Assumptions!$B$2,Assumptions!$F$4:$H$4,Assumptions!$F$10:$H$10)</f>
        <v>18000</v>
      </c>
      <c r="N1919" s="12">
        <f>_xlfn.XLOOKUP(Assumptions!$B$2,Assumptions!$F$4:$H$4,Assumptions!$F$11:$H$11)</f>
        <v>0.3</v>
      </c>
      <c r="O1919" s="14">
        <f>Final_Table[[#This Row],[Units Sold]]*Final_Table[[#This Row],[Sale Price]]</f>
        <v>20400</v>
      </c>
      <c r="P1919" s="14">
        <f>Final_Table[[#This Row],[Gross Revenue]]*(1-Final_Table[[#This Row],[Discount %]])</f>
        <v>18360</v>
      </c>
      <c r="Q1919">
        <f>Final_Table[[#This Row],[Net Revenue]]*Final_Table[[#This Row],[Variable Cost %]]</f>
        <v>3304.7999999999997</v>
      </c>
      <c r="R1919">
        <f>Final_Table[[#This Row],[Variable Cost]]+Final_Table[[#This Row],[Fixed Monthly Cost]]</f>
        <v>21304.799999999999</v>
      </c>
      <c r="S1919" s="5">
        <f>Final_Table[[#This Row],[Net Revenue]]-Final_Table[[#This Row],[Total Cost (COGS)]]</f>
        <v>-2944.7999999999993</v>
      </c>
      <c r="T1919">
        <f>Final_Table[[#This Row],[Gross Profit]]*Final_Table[[#This Row],[Tax Rate]]</f>
        <v>-883.43999999999971</v>
      </c>
      <c r="U1919" s="5">
        <f>Final_Table[[#This Row],[Gross Profit]]-Final_Table[[#This Row],[Tax]]</f>
        <v>-2061.3599999999997</v>
      </c>
      <c r="V1919" s="12">
        <f>Final_Table[[#This Row],[Net Profit]]/Final_Table[[#This Row],[Gross Revenue]]</f>
        <v>-0.10104705882352939</v>
      </c>
    </row>
    <row r="1920" spans="1:22">
      <c r="A1920" s="18" t="s">
        <v>69</v>
      </c>
      <c r="B1920">
        <v>2014</v>
      </c>
      <c r="C1920" t="s">
        <v>133</v>
      </c>
      <c r="D1920">
        <v>1</v>
      </c>
      <c r="E1920" s="18" t="s">
        <v>29</v>
      </c>
      <c r="F1920" s="18" t="s">
        <v>113</v>
      </c>
      <c r="G1920" s="18" t="s">
        <v>25</v>
      </c>
      <c r="H1920" s="18" t="str">
        <f>Assumptions!$B$2</f>
        <v>Worst</v>
      </c>
      <c r="I1920" s="18">
        <f>_xlfn.XLOOKUP(Assumptions!$B$2,Assumptions!$F$4:$H$4,Assumptions!$F$5:$H$5)</f>
        <v>1200</v>
      </c>
      <c r="J1920" s="18">
        <f>_xlfn.XLOOKUP(Assumptions!$B$2,Assumptions!$F$4:$H$4,Assumptions!$F$6:$H$6)</f>
        <v>17</v>
      </c>
      <c r="K1920" s="12">
        <f>_xlfn.XLOOKUP(Assumptions!$B$2,Assumptions!$F$4:$H$4,Assumptions!$F$8:$H$8)</f>
        <v>0.1</v>
      </c>
      <c r="L1920" s="12">
        <f>_xlfn.XLOOKUP(Assumptions!$B$2,Assumptions!$F$4:$H$4,Assumptions!$F$9:$H$9)</f>
        <v>0.18</v>
      </c>
      <c r="M1920" s="18">
        <f>_xlfn.XLOOKUP(Assumptions!$B$2,Assumptions!$F$4:$H$4,Assumptions!$F$10:$H$10)</f>
        <v>18000</v>
      </c>
      <c r="N1920" s="12">
        <f>_xlfn.XLOOKUP(Assumptions!$B$2,Assumptions!$F$4:$H$4,Assumptions!$F$11:$H$11)</f>
        <v>0.3</v>
      </c>
      <c r="O1920" s="14">
        <f>Final_Table[[#This Row],[Units Sold]]*Final_Table[[#This Row],[Sale Price]]</f>
        <v>20400</v>
      </c>
      <c r="P1920" s="14">
        <f>Final_Table[[#This Row],[Gross Revenue]]*(1-Final_Table[[#This Row],[Discount %]])</f>
        <v>18360</v>
      </c>
      <c r="Q1920">
        <f>Final_Table[[#This Row],[Net Revenue]]*Final_Table[[#This Row],[Variable Cost %]]</f>
        <v>3304.7999999999997</v>
      </c>
      <c r="R1920">
        <f>Final_Table[[#This Row],[Variable Cost]]+Final_Table[[#This Row],[Fixed Monthly Cost]]</f>
        <v>21304.799999999999</v>
      </c>
      <c r="S1920" s="5">
        <f>Final_Table[[#This Row],[Net Revenue]]-Final_Table[[#This Row],[Total Cost (COGS)]]</f>
        <v>-2944.7999999999993</v>
      </c>
      <c r="T1920">
        <f>Final_Table[[#This Row],[Gross Profit]]*Final_Table[[#This Row],[Tax Rate]]</f>
        <v>-883.43999999999971</v>
      </c>
      <c r="U1920" s="5">
        <f>Final_Table[[#This Row],[Gross Profit]]-Final_Table[[#This Row],[Tax]]</f>
        <v>-2061.3599999999997</v>
      </c>
      <c r="V1920" s="12">
        <f>Final_Table[[#This Row],[Net Profit]]/Final_Table[[#This Row],[Gross Revenue]]</f>
        <v>-0.10104705882352939</v>
      </c>
    </row>
    <row r="1921" spans="1:22">
      <c r="A1921" s="18" t="s">
        <v>69</v>
      </c>
      <c r="B1921">
        <v>2014</v>
      </c>
      <c r="C1921" t="s">
        <v>133</v>
      </c>
      <c r="D1921">
        <v>1</v>
      </c>
      <c r="E1921" s="18" t="s">
        <v>29</v>
      </c>
      <c r="F1921" s="18" t="s">
        <v>113</v>
      </c>
      <c r="G1921" s="18" t="s">
        <v>17</v>
      </c>
      <c r="H1921" s="18" t="str">
        <f>Assumptions!$B$2</f>
        <v>Worst</v>
      </c>
      <c r="I1921" s="18">
        <f>_xlfn.XLOOKUP(Assumptions!$B$2,Assumptions!$F$4:$H$4,Assumptions!$F$5:$H$5)</f>
        <v>1200</v>
      </c>
      <c r="J1921" s="18">
        <f>_xlfn.XLOOKUP(Assumptions!$B$2,Assumptions!$F$4:$H$4,Assumptions!$F$6:$H$6)</f>
        <v>17</v>
      </c>
      <c r="K1921" s="12">
        <f>_xlfn.XLOOKUP(Assumptions!$B$2,Assumptions!$F$4:$H$4,Assumptions!$F$8:$H$8)</f>
        <v>0.1</v>
      </c>
      <c r="L1921" s="12">
        <f>_xlfn.XLOOKUP(Assumptions!$B$2,Assumptions!$F$4:$H$4,Assumptions!$F$9:$H$9)</f>
        <v>0.18</v>
      </c>
      <c r="M1921" s="18">
        <f>_xlfn.XLOOKUP(Assumptions!$B$2,Assumptions!$F$4:$H$4,Assumptions!$F$10:$H$10)</f>
        <v>18000</v>
      </c>
      <c r="N1921" s="12">
        <f>_xlfn.XLOOKUP(Assumptions!$B$2,Assumptions!$F$4:$H$4,Assumptions!$F$11:$H$11)</f>
        <v>0.3</v>
      </c>
      <c r="O1921" s="14">
        <f>Final_Table[[#This Row],[Units Sold]]*Final_Table[[#This Row],[Sale Price]]</f>
        <v>20400</v>
      </c>
      <c r="P1921" s="14">
        <f>Final_Table[[#This Row],[Gross Revenue]]*(1-Final_Table[[#This Row],[Discount %]])</f>
        <v>18360</v>
      </c>
      <c r="Q1921">
        <f>Final_Table[[#This Row],[Net Revenue]]*Final_Table[[#This Row],[Variable Cost %]]</f>
        <v>3304.7999999999997</v>
      </c>
      <c r="R1921">
        <f>Final_Table[[#This Row],[Variable Cost]]+Final_Table[[#This Row],[Fixed Monthly Cost]]</f>
        <v>21304.799999999999</v>
      </c>
      <c r="S1921" s="5">
        <f>Final_Table[[#This Row],[Net Revenue]]-Final_Table[[#This Row],[Total Cost (COGS)]]</f>
        <v>-2944.7999999999993</v>
      </c>
      <c r="T1921">
        <f>Final_Table[[#This Row],[Gross Profit]]*Final_Table[[#This Row],[Tax Rate]]</f>
        <v>-883.43999999999971</v>
      </c>
      <c r="U1921" s="5">
        <f>Final_Table[[#This Row],[Gross Profit]]-Final_Table[[#This Row],[Tax]]</f>
        <v>-2061.3599999999997</v>
      </c>
      <c r="V1921" s="12">
        <f>Final_Table[[#This Row],[Net Profit]]/Final_Table[[#This Row],[Gross Revenue]]</f>
        <v>-0.10104705882352939</v>
      </c>
    </row>
    <row r="1922" spans="1:22">
      <c r="A1922" s="18" t="s">
        <v>69</v>
      </c>
      <c r="B1922">
        <v>2014</v>
      </c>
      <c r="C1922" t="s">
        <v>133</v>
      </c>
      <c r="D1922">
        <v>1</v>
      </c>
      <c r="E1922" s="18" t="s">
        <v>29</v>
      </c>
      <c r="F1922" s="18" t="s">
        <v>114</v>
      </c>
      <c r="G1922" s="18" t="s">
        <v>36</v>
      </c>
      <c r="H1922" s="18" t="str">
        <f>Assumptions!$B$2</f>
        <v>Worst</v>
      </c>
      <c r="I1922" s="18">
        <f>_xlfn.XLOOKUP(Assumptions!$B$2,Assumptions!$F$4:$H$4,Assumptions!$F$5:$H$5)</f>
        <v>1200</v>
      </c>
      <c r="J1922" s="18">
        <f>_xlfn.XLOOKUP(Assumptions!$B$2,Assumptions!$F$4:$H$4,Assumptions!$F$6:$H$6)</f>
        <v>17</v>
      </c>
      <c r="K1922" s="12">
        <f>_xlfn.XLOOKUP(Assumptions!$B$2,Assumptions!$F$4:$H$4,Assumptions!$F$8:$H$8)</f>
        <v>0.1</v>
      </c>
      <c r="L1922" s="12">
        <f>_xlfn.XLOOKUP(Assumptions!$B$2,Assumptions!$F$4:$H$4,Assumptions!$F$9:$H$9)</f>
        <v>0.18</v>
      </c>
      <c r="M1922" s="18">
        <f>_xlfn.XLOOKUP(Assumptions!$B$2,Assumptions!$F$4:$H$4,Assumptions!$F$10:$H$10)</f>
        <v>18000</v>
      </c>
      <c r="N1922" s="12">
        <f>_xlfn.XLOOKUP(Assumptions!$B$2,Assumptions!$F$4:$H$4,Assumptions!$F$11:$H$11)</f>
        <v>0.3</v>
      </c>
      <c r="O1922" s="14">
        <f>Final_Table[[#This Row],[Units Sold]]*Final_Table[[#This Row],[Sale Price]]</f>
        <v>20400</v>
      </c>
      <c r="P1922" s="14">
        <f>Final_Table[[#This Row],[Gross Revenue]]*(1-Final_Table[[#This Row],[Discount %]])</f>
        <v>18360</v>
      </c>
      <c r="Q1922">
        <f>Final_Table[[#This Row],[Net Revenue]]*Final_Table[[#This Row],[Variable Cost %]]</f>
        <v>3304.7999999999997</v>
      </c>
      <c r="R1922">
        <f>Final_Table[[#This Row],[Variable Cost]]+Final_Table[[#This Row],[Fixed Monthly Cost]]</f>
        <v>21304.799999999999</v>
      </c>
      <c r="S1922" s="5">
        <f>Final_Table[[#This Row],[Net Revenue]]-Final_Table[[#This Row],[Total Cost (COGS)]]</f>
        <v>-2944.7999999999993</v>
      </c>
      <c r="T1922">
        <f>Final_Table[[#This Row],[Gross Profit]]*Final_Table[[#This Row],[Tax Rate]]</f>
        <v>-883.43999999999971</v>
      </c>
      <c r="U1922" s="5">
        <f>Final_Table[[#This Row],[Gross Profit]]-Final_Table[[#This Row],[Tax]]</f>
        <v>-2061.3599999999997</v>
      </c>
      <c r="V1922" s="12">
        <f>Final_Table[[#This Row],[Net Profit]]/Final_Table[[#This Row],[Gross Revenue]]</f>
        <v>-0.10104705882352939</v>
      </c>
    </row>
    <row r="1923" spans="1:22">
      <c r="A1923" s="18" t="s">
        <v>69</v>
      </c>
      <c r="B1923">
        <v>2014</v>
      </c>
      <c r="C1923" t="s">
        <v>133</v>
      </c>
      <c r="D1923">
        <v>1</v>
      </c>
      <c r="E1923" s="18" t="s">
        <v>29</v>
      </c>
      <c r="F1923" s="18" t="s">
        <v>114</v>
      </c>
      <c r="G1923" s="18" t="s">
        <v>23</v>
      </c>
      <c r="H1923" s="18" t="str">
        <f>Assumptions!$B$2</f>
        <v>Worst</v>
      </c>
      <c r="I1923" s="18">
        <f>_xlfn.XLOOKUP(Assumptions!$B$2,Assumptions!$F$4:$H$4,Assumptions!$F$5:$H$5)</f>
        <v>1200</v>
      </c>
      <c r="J1923" s="18">
        <f>_xlfn.XLOOKUP(Assumptions!$B$2,Assumptions!$F$4:$H$4,Assumptions!$F$6:$H$6)</f>
        <v>17</v>
      </c>
      <c r="K1923" s="12">
        <f>_xlfn.XLOOKUP(Assumptions!$B$2,Assumptions!$F$4:$H$4,Assumptions!$F$8:$H$8)</f>
        <v>0.1</v>
      </c>
      <c r="L1923" s="12">
        <f>_xlfn.XLOOKUP(Assumptions!$B$2,Assumptions!$F$4:$H$4,Assumptions!$F$9:$H$9)</f>
        <v>0.18</v>
      </c>
      <c r="M1923" s="18">
        <f>_xlfn.XLOOKUP(Assumptions!$B$2,Assumptions!$F$4:$H$4,Assumptions!$F$10:$H$10)</f>
        <v>18000</v>
      </c>
      <c r="N1923" s="12">
        <f>_xlfn.XLOOKUP(Assumptions!$B$2,Assumptions!$F$4:$H$4,Assumptions!$F$11:$H$11)</f>
        <v>0.3</v>
      </c>
      <c r="O1923" s="14">
        <f>Final_Table[[#This Row],[Units Sold]]*Final_Table[[#This Row],[Sale Price]]</f>
        <v>20400</v>
      </c>
      <c r="P1923" s="14">
        <f>Final_Table[[#This Row],[Gross Revenue]]*(1-Final_Table[[#This Row],[Discount %]])</f>
        <v>18360</v>
      </c>
      <c r="Q1923">
        <f>Final_Table[[#This Row],[Net Revenue]]*Final_Table[[#This Row],[Variable Cost %]]</f>
        <v>3304.7999999999997</v>
      </c>
      <c r="R1923">
        <f>Final_Table[[#This Row],[Variable Cost]]+Final_Table[[#This Row],[Fixed Monthly Cost]]</f>
        <v>21304.799999999999</v>
      </c>
      <c r="S1923" s="5">
        <f>Final_Table[[#This Row],[Net Revenue]]-Final_Table[[#This Row],[Total Cost (COGS)]]</f>
        <v>-2944.7999999999993</v>
      </c>
      <c r="T1923">
        <f>Final_Table[[#This Row],[Gross Profit]]*Final_Table[[#This Row],[Tax Rate]]</f>
        <v>-883.43999999999971</v>
      </c>
      <c r="U1923" s="5">
        <f>Final_Table[[#This Row],[Gross Profit]]-Final_Table[[#This Row],[Tax]]</f>
        <v>-2061.3599999999997</v>
      </c>
      <c r="V1923" s="12">
        <f>Final_Table[[#This Row],[Net Profit]]/Final_Table[[#This Row],[Gross Revenue]]</f>
        <v>-0.10104705882352939</v>
      </c>
    </row>
    <row r="1924" spans="1:22">
      <c r="A1924" s="18" t="s">
        <v>69</v>
      </c>
      <c r="B1924">
        <v>2014</v>
      </c>
      <c r="C1924" t="s">
        <v>133</v>
      </c>
      <c r="D1924">
        <v>1</v>
      </c>
      <c r="E1924" s="18" t="s">
        <v>29</v>
      </c>
      <c r="F1924" s="18" t="s">
        <v>114</v>
      </c>
      <c r="G1924" s="18" t="s">
        <v>21</v>
      </c>
      <c r="H1924" s="18" t="str">
        <f>Assumptions!$B$2</f>
        <v>Worst</v>
      </c>
      <c r="I1924" s="18">
        <f>_xlfn.XLOOKUP(Assumptions!$B$2,Assumptions!$F$4:$H$4,Assumptions!$F$5:$H$5)</f>
        <v>1200</v>
      </c>
      <c r="J1924" s="18">
        <f>_xlfn.XLOOKUP(Assumptions!$B$2,Assumptions!$F$4:$H$4,Assumptions!$F$6:$H$6)</f>
        <v>17</v>
      </c>
      <c r="K1924" s="12">
        <f>_xlfn.XLOOKUP(Assumptions!$B$2,Assumptions!$F$4:$H$4,Assumptions!$F$8:$H$8)</f>
        <v>0.1</v>
      </c>
      <c r="L1924" s="12">
        <f>_xlfn.XLOOKUP(Assumptions!$B$2,Assumptions!$F$4:$H$4,Assumptions!$F$9:$H$9)</f>
        <v>0.18</v>
      </c>
      <c r="M1924" s="18">
        <f>_xlfn.XLOOKUP(Assumptions!$B$2,Assumptions!$F$4:$H$4,Assumptions!$F$10:$H$10)</f>
        <v>18000</v>
      </c>
      <c r="N1924" s="12">
        <f>_xlfn.XLOOKUP(Assumptions!$B$2,Assumptions!$F$4:$H$4,Assumptions!$F$11:$H$11)</f>
        <v>0.3</v>
      </c>
      <c r="O1924" s="14">
        <f>Final_Table[[#This Row],[Units Sold]]*Final_Table[[#This Row],[Sale Price]]</f>
        <v>20400</v>
      </c>
      <c r="P1924" s="14">
        <f>Final_Table[[#This Row],[Gross Revenue]]*(1-Final_Table[[#This Row],[Discount %]])</f>
        <v>18360</v>
      </c>
      <c r="Q1924">
        <f>Final_Table[[#This Row],[Net Revenue]]*Final_Table[[#This Row],[Variable Cost %]]</f>
        <v>3304.7999999999997</v>
      </c>
      <c r="R1924">
        <f>Final_Table[[#This Row],[Variable Cost]]+Final_Table[[#This Row],[Fixed Monthly Cost]]</f>
        <v>21304.799999999999</v>
      </c>
      <c r="S1924" s="5">
        <f>Final_Table[[#This Row],[Net Revenue]]-Final_Table[[#This Row],[Total Cost (COGS)]]</f>
        <v>-2944.7999999999993</v>
      </c>
      <c r="T1924">
        <f>Final_Table[[#This Row],[Gross Profit]]*Final_Table[[#This Row],[Tax Rate]]</f>
        <v>-883.43999999999971</v>
      </c>
      <c r="U1924" s="5">
        <f>Final_Table[[#This Row],[Gross Profit]]-Final_Table[[#This Row],[Tax]]</f>
        <v>-2061.3599999999997</v>
      </c>
      <c r="V1924" s="12">
        <f>Final_Table[[#This Row],[Net Profit]]/Final_Table[[#This Row],[Gross Revenue]]</f>
        <v>-0.10104705882352939</v>
      </c>
    </row>
    <row r="1925" spans="1:22">
      <c r="A1925" s="18" t="s">
        <v>69</v>
      </c>
      <c r="B1925">
        <v>2014</v>
      </c>
      <c r="C1925" t="s">
        <v>133</v>
      </c>
      <c r="D1925">
        <v>1</v>
      </c>
      <c r="E1925" s="18" t="s">
        <v>29</v>
      </c>
      <c r="F1925" s="18" t="s">
        <v>114</v>
      </c>
      <c r="G1925" s="18" t="s">
        <v>25</v>
      </c>
      <c r="H1925" s="18" t="str">
        <f>Assumptions!$B$2</f>
        <v>Worst</v>
      </c>
      <c r="I1925" s="18">
        <f>_xlfn.XLOOKUP(Assumptions!$B$2,Assumptions!$F$4:$H$4,Assumptions!$F$5:$H$5)</f>
        <v>1200</v>
      </c>
      <c r="J1925" s="18">
        <f>_xlfn.XLOOKUP(Assumptions!$B$2,Assumptions!$F$4:$H$4,Assumptions!$F$6:$H$6)</f>
        <v>17</v>
      </c>
      <c r="K1925" s="12">
        <f>_xlfn.XLOOKUP(Assumptions!$B$2,Assumptions!$F$4:$H$4,Assumptions!$F$8:$H$8)</f>
        <v>0.1</v>
      </c>
      <c r="L1925" s="12">
        <f>_xlfn.XLOOKUP(Assumptions!$B$2,Assumptions!$F$4:$H$4,Assumptions!$F$9:$H$9)</f>
        <v>0.18</v>
      </c>
      <c r="M1925" s="18">
        <f>_xlfn.XLOOKUP(Assumptions!$B$2,Assumptions!$F$4:$H$4,Assumptions!$F$10:$H$10)</f>
        <v>18000</v>
      </c>
      <c r="N1925" s="12">
        <f>_xlfn.XLOOKUP(Assumptions!$B$2,Assumptions!$F$4:$H$4,Assumptions!$F$11:$H$11)</f>
        <v>0.3</v>
      </c>
      <c r="O1925" s="14">
        <f>Final_Table[[#This Row],[Units Sold]]*Final_Table[[#This Row],[Sale Price]]</f>
        <v>20400</v>
      </c>
      <c r="P1925" s="14">
        <f>Final_Table[[#This Row],[Gross Revenue]]*(1-Final_Table[[#This Row],[Discount %]])</f>
        <v>18360</v>
      </c>
      <c r="Q1925">
        <f>Final_Table[[#This Row],[Net Revenue]]*Final_Table[[#This Row],[Variable Cost %]]</f>
        <v>3304.7999999999997</v>
      </c>
      <c r="R1925">
        <f>Final_Table[[#This Row],[Variable Cost]]+Final_Table[[#This Row],[Fixed Monthly Cost]]</f>
        <v>21304.799999999999</v>
      </c>
      <c r="S1925" s="5">
        <f>Final_Table[[#This Row],[Net Revenue]]-Final_Table[[#This Row],[Total Cost (COGS)]]</f>
        <v>-2944.7999999999993</v>
      </c>
      <c r="T1925">
        <f>Final_Table[[#This Row],[Gross Profit]]*Final_Table[[#This Row],[Tax Rate]]</f>
        <v>-883.43999999999971</v>
      </c>
      <c r="U1925" s="5">
        <f>Final_Table[[#This Row],[Gross Profit]]-Final_Table[[#This Row],[Tax]]</f>
        <v>-2061.3599999999997</v>
      </c>
      <c r="V1925" s="12">
        <f>Final_Table[[#This Row],[Net Profit]]/Final_Table[[#This Row],[Gross Revenue]]</f>
        <v>-0.10104705882352939</v>
      </c>
    </row>
    <row r="1926" spans="1:22">
      <c r="A1926" s="18" t="s">
        <v>69</v>
      </c>
      <c r="B1926">
        <v>2014</v>
      </c>
      <c r="C1926" t="s">
        <v>133</v>
      </c>
      <c r="D1926">
        <v>1</v>
      </c>
      <c r="E1926" s="18" t="s">
        <v>29</v>
      </c>
      <c r="F1926" s="18" t="s">
        <v>114</v>
      </c>
      <c r="G1926" s="18" t="s">
        <v>17</v>
      </c>
      <c r="H1926" s="18" t="str">
        <f>Assumptions!$B$2</f>
        <v>Worst</v>
      </c>
      <c r="I1926" s="18">
        <f>_xlfn.XLOOKUP(Assumptions!$B$2,Assumptions!$F$4:$H$4,Assumptions!$F$5:$H$5)</f>
        <v>1200</v>
      </c>
      <c r="J1926" s="18">
        <f>_xlfn.XLOOKUP(Assumptions!$B$2,Assumptions!$F$4:$H$4,Assumptions!$F$6:$H$6)</f>
        <v>17</v>
      </c>
      <c r="K1926" s="12">
        <f>_xlfn.XLOOKUP(Assumptions!$B$2,Assumptions!$F$4:$H$4,Assumptions!$F$8:$H$8)</f>
        <v>0.1</v>
      </c>
      <c r="L1926" s="12">
        <f>_xlfn.XLOOKUP(Assumptions!$B$2,Assumptions!$F$4:$H$4,Assumptions!$F$9:$H$9)</f>
        <v>0.18</v>
      </c>
      <c r="M1926" s="18">
        <f>_xlfn.XLOOKUP(Assumptions!$B$2,Assumptions!$F$4:$H$4,Assumptions!$F$10:$H$10)</f>
        <v>18000</v>
      </c>
      <c r="N1926" s="12">
        <f>_xlfn.XLOOKUP(Assumptions!$B$2,Assumptions!$F$4:$H$4,Assumptions!$F$11:$H$11)</f>
        <v>0.3</v>
      </c>
      <c r="O1926" s="14">
        <f>Final_Table[[#This Row],[Units Sold]]*Final_Table[[#This Row],[Sale Price]]</f>
        <v>20400</v>
      </c>
      <c r="P1926" s="14">
        <f>Final_Table[[#This Row],[Gross Revenue]]*(1-Final_Table[[#This Row],[Discount %]])</f>
        <v>18360</v>
      </c>
      <c r="Q1926">
        <f>Final_Table[[#This Row],[Net Revenue]]*Final_Table[[#This Row],[Variable Cost %]]</f>
        <v>3304.7999999999997</v>
      </c>
      <c r="R1926">
        <f>Final_Table[[#This Row],[Variable Cost]]+Final_Table[[#This Row],[Fixed Monthly Cost]]</f>
        <v>21304.799999999999</v>
      </c>
      <c r="S1926" s="5">
        <f>Final_Table[[#This Row],[Net Revenue]]-Final_Table[[#This Row],[Total Cost (COGS)]]</f>
        <v>-2944.7999999999993</v>
      </c>
      <c r="T1926">
        <f>Final_Table[[#This Row],[Gross Profit]]*Final_Table[[#This Row],[Tax Rate]]</f>
        <v>-883.43999999999971</v>
      </c>
      <c r="U1926" s="5">
        <f>Final_Table[[#This Row],[Gross Profit]]-Final_Table[[#This Row],[Tax]]</f>
        <v>-2061.3599999999997</v>
      </c>
      <c r="V1926" s="12">
        <f>Final_Table[[#This Row],[Net Profit]]/Final_Table[[#This Row],[Gross Revenue]]</f>
        <v>-0.10104705882352939</v>
      </c>
    </row>
    <row r="1927" spans="1:22">
      <c r="A1927" s="18" t="s">
        <v>69</v>
      </c>
      <c r="B1927">
        <v>2014</v>
      </c>
      <c r="C1927" t="s">
        <v>133</v>
      </c>
      <c r="D1927">
        <v>1</v>
      </c>
      <c r="E1927" s="18" t="s">
        <v>22</v>
      </c>
      <c r="F1927" s="18" t="s">
        <v>80</v>
      </c>
      <c r="G1927" s="18" t="s">
        <v>36</v>
      </c>
      <c r="H1927" s="18" t="str">
        <f>Assumptions!$B$2</f>
        <v>Worst</v>
      </c>
      <c r="I1927" s="18">
        <f>_xlfn.XLOOKUP(Assumptions!$B$2,Assumptions!$F$4:$H$4,Assumptions!$F$5:$H$5)</f>
        <v>1200</v>
      </c>
      <c r="J1927" s="18">
        <f>_xlfn.XLOOKUP(Assumptions!$B$2,Assumptions!$F$4:$H$4,Assumptions!$F$6:$H$6)</f>
        <v>17</v>
      </c>
      <c r="K1927" s="12">
        <f>_xlfn.XLOOKUP(Assumptions!$B$2,Assumptions!$F$4:$H$4,Assumptions!$F$8:$H$8)</f>
        <v>0.1</v>
      </c>
      <c r="L1927" s="12">
        <f>_xlfn.XLOOKUP(Assumptions!$B$2,Assumptions!$F$4:$H$4,Assumptions!$F$9:$H$9)</f>
        <v>0.18</v>
      </c>
      <c r="M1927" s="18">
        <f>_xlfn.XLOOKUP(Assumptions!$B$2,Assumptions!$F$4:$H$4,Assumptions!$F$10:$H$10)</f>
        <v>18000</v>
      </c>
      <c r="N1927" s="12">
        <f>_xlfn.XLOOKUP(Assumptions!$B$2,Assumptions!$F$4:$H$4,Assumptions!$F$11:$H$11)</f>
        <v>0.3</v>
      </c>
      <c r="O1927" s="14">
        <f>Final_Table[[#This Row],[Units Sold]]*Final_Table[[#This Row],[Sale Price]]</f>
        <v>20400</v>
      </c>
      <c r="P1927" s="14">
        <f>Final_Table[[#This Row],[Gross Revenue]]*(1-Final_Table[[#This Row],[Discount %]])</f>
        <v>18360</v>
      </c>
      <c r="Q1927">
        <f>Final_Table[[#This Row],[Net Revenue]]*Final_Table[[#This Row],[Variable Cost %]]</f>
        <v>3304.7999999999997</v>
      </c>
      <c r="R1927">
        <f>Final_Table[[#This Row],[Variable Cost]]+Final_Table[[#This Row],[Fixed Monthly Cost]]</f>
        <v>21304.799999999999</v>
      </c>
      <c r="S1927" s="5">
        <f>Final_Table[[#This Row],[Net Revenue]]-Final_Table[[#This Row],[Total Cost (COGS)]]</f>
        <v>-2944.7999999999993</v>
      </c>
      <c r="T1927">
        <f>Final_Table[[#This Row],[Gross Profit]]*Final_Table[[#This Row],[Tax Rate]]</f>
        <v>-883.43999999999971</v>
      </c>
      <c r="U1927" s="5">
        <f>Final_Table[[#This Row],[Gross Profit]]-Final_Table[[#This Row],[Tax]]</f>
        <v>-2061.3599999999997</v>
      </c>
      <c r="V1927" s="12">
        <f>Final_Table[[#This Row],[Net Profit]]/Final_Table[[#This Row],[Gross Revenue]]</f>
        <v>-0.10104705882352939</v>
      </c>
    </row>
    <row r="1928" spans="1:22">
      <c r="A1928" s="18" t="s">
        <v>69</v>
      </c>
      <c r="B1928">
        <v>2014</v>
      </c>
      <c r="C1928" t="s">
        <v>133</v>
      </c>
      <c r="D1928">
        <v>1</v>
      </c>
      <c r="E1928" s="18" t="s">
        <v>22</v>
      </c>
      <c r="F1928" s="18" t="s">
        <v>80</v>
      </c>
      <c r="G1928" s="18" t="s">
        <v>23</v>
      </c>
      <c r="H1928" s="18" t="str">
        <f>Assumptions!$B$2</f>
        <v>Worst</v>
      </c>
      <c r="I1928" s="18">
        <f>_xlfn.XLOOKUP(Assumptions!$B$2,Assumptions!$F$4:$H$4,Assumptions!$F$5:$H$5)</f>
        <v>1200</v>
      </c>
      <c r="J1928" s="18">
        <f>_xlfn.XLOOKUP(Assumptions!$B$2,Assumptions!$F$4:$H$4,Assumptions!$F$6:$H$6)</f>
        <v>17</v>
      </c>
      <c r="K1928" s="12">
        <f>_xlfn.XLOOKUP(Assumptions!$B$2,Assumptions!$F$4:$H$4,Assumptions!$F$8:$H$8)</f>
        <v>0.1</v>
      </c>
      <c r="L1928" s="12">
        <f>_xlfn.XLOOKUP(Assumptions!$B$2,Assumptions!$F$4:$H$4,Assumptions!$F$9:$H$9)</f>
        <v>0.18</v>
      </c>
      <c r="M1928" s="18">
        <f>_xlfn.XLOOKUP(Assumptions!$B$2,Assumptions!$F$4:$H$4,Assumptions!$F$10:$H$10)</f>
        <v>18000</v>
      </c>
      <c r="N1928" s="12">
        <f>_xlfn.XLOOKUP(Assumptions!$B$2,Assumptions!$F$4:$H$4,Assumptions!$F$11:$H$11)</f>
        <v>0.3</v>
      </c>
      <c r="O1928" s="14">
        <f>Final_Table[[#This Row],[Units Sold]]*Final_Table[[#This Row],[Sale Price]]</f>
        <v>20400</v>
      </c>
      <c r="P1928" s="14">
        <f>Final_Table[[#This Row],[Gross Revenue]]*(1-Final_Table[[#This Row],[Discount %]])</f>
        <v>18360</v>
      </c>
      <c r="Q1928">
        <f>Final_Table[[#This Row],[Net Revenue]]*Final_Table[[#This Row],[Variable Cost %]]</f>
        <v>3304.7999999999997</v>
      </c>
      <c r="R1928">
        <f>Final_Table[[#This Row],[Variable Cost]]+Final_Table[[#This Row],[Fixed Monthly Cost]]</f>
        <v>21304.799999999999</v>
      </c>
      <c r="S1928" s="5">
        <f>Final_Table[[#This Row],[Net Revenue]]-Final_Table[[#This Row],[Total Cost (COGS)]]</f>
        <v>-2944.7999999999993</v>
      </c>
      <c r="T1928">
        <f>Final_Table[[#This Row],[Gross Profit]]*Final_Table[[#This Row],[Tax Rate]]</f>
        <v>-883.43999999999971</v>
      </c>
      <c r="U1928" s="5">
        <f>Final_Table[[#This Row],[Gross Profit]]-Final_Table[[#This Row],[Tax]]</f>
        <v>-2061.3599999999997</v>
      </c>
      <c r="V1928" s="12">
        <f>Final_Table[[#This Row],[Net Profit]]/Final_Table[[#This Row],[Gross Revenue]]</f>
        <v>-0.10104705882352939</v>
      </c>
    </row>
    <row r="1929" spans="1:22">
      <c r="A1929" s="18" t="s">
        <v>69</v>
      </c>
      <c r="B1929">
        <v>2014</v>
      </c>
      <c r="C1929" t="s">
        <v>133</v>
      </c>
      <c r="D1929">
        <v>1</v>
      </c>
      <c r="E1929" s="18" t="s">
        <v>22</v>
      </c>
      <c r="F1929" s="18" t="s">
        <v>80</v>
      </c>
      <c r="G1929" s="18" t="s">
        <v>21</v>
      </c>
      <c r="H1929" s="18" t="str">
        <f>Assumptions!$B$2</f>
        <v>Worst</v>
      </c>
      <c r="I1929" s="18">
        <f>_xlfn.XLOOKUP(Assumptions!$B$2,Assumptions!$F$4:$H$4,Assumptions!$F$5:$H$5)</f>
        <v>1200</v>
      </c>
      <c r="J1929" s="18">
        <f>_xlfn.XLOOKUP(Assumptions!$B$2,Assumptions!$F$4:$H$4,Assumptions!$F$6:$H$6)</f>
        <v>17</v>
      </c>
      <c r="K1929" s="12">
        <f>_xlfn.XLOOKUP(Assumptions!$B$2,Assumptions!$F$4:$H$4,Assumptions!$F$8:$H$8)</f>
        <v>0.1</v>
      </c>
      <c r="L1929" s="12">
        <f>_xlfn.XLOOKUP(Assumptions!$B$2,Assumptions!$F$4:$H$4,Assumptions!$F$9:$H$9)</f>
        <v>0.18</v>
      </c>
      <c r="M1929" s="18">
        <f>_xlfn.XLOOKUP(Assumptions!$B$2,Assumptions!$F$4:$H$4,Assumptions!$F$10:$H$10)</f>
        <v>18000</v>
      </c>
      <c r="N1929" s="12">
        <f>_xlfn.XLOOKUP(Assumptions!$B$2,Assumptions!$F$4:$H$4,Assumptions!$F$11:$H$11)</f>
        <v>0.3</v>
      </c>
      <c r="O1929" s="14">
        <f>Final_Table[[#This Row],[Units Sold]]*Final_Table[[#This Row],[Sale Price]]</f>
        <v>20400</v>
      </c>
      <c r="P1929" s="14">
        <f>Final_Table[[#This Row],[Gross Revenue]]*(1-Final_Table[[#This Row],[Discount %]])</f>
        <v>18360</v>
      </c>
      <c r="Q1929">
        <f>Final_Table[[#This Row],[Net Revenue]]*Final_Table[[#This Row],[Variable Cost %]]</f>
        <v>3304.7999999999997</v>
      </c>
      <c r="R1929">
        <f>Final_Table[[#This Row],[Variable Cost]]+Final_Table[[#This Row],[Fixed Monthly Cost]]</f>
        <v>21304.799999999999</v>
      </c>
      <c r="S1929" s="5">
        <f>Final_Table[[#This Row],[Net Revenue]]-Final_Table[[#This Row],[Total Cost (COGS)]]</f>
        <v>-2944.7999999999993</v>
      </c>
      <c r="T1929">
        <f>Final_Table[[#This Row],[Gross Profit]]*Final_Table[[#This Row],[Tax Rate]]</f>
        <v>-883.43999999999971</v>
      </c>
      <c r="U1929" s="5">
        <f>Final_Table[[#This Row],[Gross Profit]]-Final_Table[[#This Row],[Tax]]</f>
        <v>-2061.3599999999997</v>
      </c>
      <c r="V1929" s="12">
        <f>Final_Table[[#This Row],[Net Profit]]/Final_Table[[#This Row],[Gross Revenue]]</f>
        <v>-0.10104705882352939</v>
      </c>
    </row>
    <row r="1930" spans="1:22">
      <c r="A1930" s="18" t="s">
        <v>69</v>
      </c>
      <c r="B1930">
        <v>2014</v>
      </c>
      <c r="C1930" t="s">
        <v>133</v>
      </c>
      <c r="D1930">
        <v>1</v>
      </c>
      <c r="E1930" s="18" t="s">
        <v>22</v>
      </c>
      <c r="F1930" s="18" t="s">
        <v>80</v>
      </c>
      <c r="G1930" s="18" t="s">
        <v>25</v>
      </c>
      <c r="H1930" s="18" t="str">
        <f>Assumptions!$B$2</f>
        <v>Worst</v>
      </c>
      <c r="I1930" s="18">
        <f>_xlfn.XLOOKUP(Assumptions!$B$2,Assumptions!$F$4:$H$4,Assumptions!$F$5:$H$5)</f>
        <v>1200</v>
      </c>
      <c r="J1930" s="18">
        <f>_xlfn.XLOOKUP(Assumptions!$B$2,Assumptions!$F$4:$H$4,Assumptions!$F$6:$H$6)</f>
        <v>17</v>
      </c>
      <c r="K1930" s="12">
        <f>_xlfn.XLOOKUP(Assumptions!$B$2,Assumptions!$F$4:$H$4,Assumptions!$F$8:$H$8)</f>
        <v>0.1</v>
      </c>
      <c r="L1930" s="12">
        <f>_xlfn.XLOOKUP(Assumptions!$B$2,Assumptions!$F$4:$H$4,Assumptions!$F$9:$H$9)</f>
        <v>0.18</v>
      </c>
      <c r="M1930" s="18">
        <f>_xlfn.XLOOKUP(Assumptions!$B$2,Assumptions!$F$4:$H$4,Assumptions!$F$10:$H$10)</f>
        <v>18000</v>
      </c>
      <c r="N1930" s="12">
        <f>_xlfn.XLOOKUP(Assumptions!$B$2,Assumptions!$F$4:$H$4,Assumptions!$F$11:$H$11)</f>
        <v>0.3</v>
      </c>
      <c r="O1930" s="14">
        <f>Final_Table[[#This Row],[Units Sold]]*Final_Table[[#This Row],[Sale Price]]</f>
        <v>20400</v>
      </c>
      <c r="P1930" s="14">
        <f>Final_Table[[#This Row],[Gross Revenue]]*(1-Final_Table[[#This Row],[Discount %]])</f>
        <v>18360</v>
      </c>
      <c r="Q1930">
        <f>Final_Table[[#This Row],[Net Revenue]]*Final_Table[[#This Row],[Variable Cost %]]</f>
        <v>3304.7999999999997</v>
      </c>
      <c r="R1930">
        <f>Final_Table[[#This Row],[Variable Cost]]+Final_Table[[#This Row],[Fixed Monthly Cost]]</f>
        <v>21304.799999999999</v>
      </c>
      <c r="S1930" s="5">
        <f>Final_Table[[#This Row],[Net Revenue]]-Final_Table[[#This Row],[Total Cost (COGS)]]</f>
        <v>-2944.7999999999993</v>
      </c>
      <c r="T1930">
        <f>Final_Table[[#This Row],[Gross Profit]]*Final_Table[[#This Row],[Tax Rate]]</f>
        <v>-883.43999999999971</v>
      </c>
      <c r="U1930" s="5">
        <f>Final_Table[[#This Row],[Gross Profit]]-Final_Table[[#This Row],[Tax]]</f>
        <v>-2061.3599999999997</v>
      </c>
      <c r="V1930" s="12">
        <f>Final_Table[[#This Row],[Net Profit]]/Final_Table[[#This Row],[Gross Revenue]]</f>
        <v>-0.10104705882352939</v>
      </c>
    </row>
    <row r="1931" spans="1:22">
      <c r="A1931" s="18" t="s">
        <v>69</v>
      </c>
      <c r="B1931">
        <v>2014</v>
      </c>
      <c r="C1931" t="s">
        <v>133</v>
      </c>
      <c r="D1931">
        <v>1</v>
      </c>
      <c r="E1931" s="18" t="s">
        <v>22</v>
      </c>
      <c r="F1931" s="18" t="s">
        <v>80</v>
      </c>
      <c r="G1931" s="18" t="s">
        <v>17</v>
      </c>
      <c r="H1931" s="18" t="str">
        <f>Assumptions!$B$2</f>
        <v>Worst</v>
      </c>
      <c r="I1931" s="18">
        <f>_xlfn.XLOOKUP(Assumptions!$B$2,Assumptions!$F$4:$H$4,Assumptions!$F$5:$H$5)</f>
        <v>1200</v>
      </c>
      <c r="J1931" s="18">
        <f>_xlfn.XLOOKUP(Assumptions!$B$2,Assumptions!$F$4:$H$4,Assumptions!$F$6:$H$6)</f>
        <v>17</v>
      </c>
      <c r="K1931" s="12">
        <f>_xlfn.XLOOKUP(Assumptions!$B$2,Assumptions!$F$4:$H$4,Assumptions!$F$8:$H$8)</f>
        <v>0.1</v>
      </c>
      <c r="L1931" s="12">
        <f>_xlfn.XLOOKUP(Assumptions!$B$2,Assumptions!$F$4:$H$4,Assumptions!$F$9:$H$9)</f>
        <v>0.18</v>
      </c>
      <c r="M1931" s="18">
        <f>_xlfn.XLOOKUP(Assumptions!$B$2,Assumptions!$F$4:$H$4,Assumptions!$F$10:$H$10)</f>
        <v>18000</v>
      </c>
      <c r="N1931" s="12">
        <f>_xlfn.XLOOKUP(Assumptions!$B$2,Assumptions!$F$4:$H$4,Assumptions!$F$11:$H$11)</f>
        <v>0.3</v>
      </c>
      <c r="O1931" s="14">
        <f>Final_Table[[#This Row],[Units Sold]]*Final_Table[[#This Row],[Sale Price]]</f>
        <v>20400</v>
      </c>
      <c r="P1931" s="14">
        <f>Final_Table[[#This Row],[Gross Revenue]]*(1-Final_Table[[#This Row],[Discount %]])</f>
        <v>18360</v>
      </c>
      <c r="Q1931">
        <f>Final_Table[[#This Row],[Net Revenue]]*Final_Table[[#This Row],[Variable Cost %]]</f>
        <v>3304.7999999999997</v>
      </c>
      <c r="R1931">
        <f>Final_Table[[#This Row],[Variable Cost]]+Final_Table[[#This Row],[Fixed Monthly Cost]]</f>
        <v>21304.799999999999</v>
      </c>
      <c r="S1931" s="5">
        <f>Final_Table[[#This Row],[Net Revenue]]-Final_Table[[#This Row],[Total Cost (COGS)]]</f>
        <v>-2944.7999999999993</v>
      </c>
      <c r="T1931">
        <f>Final_Table[[#This Row],[Gross Profit]]*Final_Table[[#This Row],[Tax Rate]]</f>
        <v>-883.43999999999971</v>
      </c>
      <c r="U1931" s="5">
        <f>Final_Table[[#This Row],[Gross Profit]]-Final_Table[[#This Row],[Tax]]</f>
        <v>-2061.3599999999997</v>
      </c>
      <c r="V1931" s="12">
        <f>Final_Table[[#This Row],[Net Profit]]/Final_Table[[#This Row],[Gross Revenue]]</f>
        <v>-0.10104705882352939</v>
      </c>
    </row>
    <row r="1932" spans="1:22">
      <c r="A1932" s="18" t="s">
        <v>69</v>
      </c>
      <c r="B1932">
        <v>2014</v>
      </c>
      <c r="C1932" t="s">
        <v>133</v>
      </c>
      <c r="D1932">
        <v>1</v>
      </c>
      <c r="E1932" s="18" t="s">
        <v>22</v>
      </c>
      <c r="F1932" s="18" t="s">
        <v>108</v>
      </c>
      <c r="G1932" s="18" t="s">
        <v>36</v>
      </c>
      <c r="H1932" s="18" t="str">
        <f>Assumptions!$B$2</f>
        <v>Worst</v>
      </c>
      <c r="I1932" s="18">
        <f>_xlfn.XLOOKUP(Assumptions!$B$2,Assumptions!$F$4:$H$4,Assumptions!$F$5:$H$5)</f>
        <v>1200</v>
      </c>
      <c r="J1932" s="18">
        <f>_xlfn.XLOOKUP(Assumptions!$B$2,Assumptions!$F$4:$H$4,Assumptions!$F$6:$H$6)</f>
        <v>17</v>
      </c>
      <c r="K1932" s="12">
        <f>_xlfn.XLOOKUP(Assumptions!$B$2,Assumptions!$F$4:$H$4,Assumptions!$F$8:$H$8)</f>
        <v>0.1</v>
      </c>
      <c r="L1932" s="12">
        <f>_xlfn.XLOOKUP(Assumptions!$B$2,Assumptions!$F$4:$H$4,Assumptions!$F$9:$H$9)</f>
        <v>0.18</v>
      </c>
      <c r="M1932" s="18">
        <f>_xlfn.XLOOKUP(Assumptions!$B$2,Assumptions!$F$4:$H$4,Assumptions!$F$10:$H$10)</f>
        <v>18000</v>
      </c>
      <c r="N1932" s="12">
        <f>_xlfn.XLOOKUP(Assumptions!$B$2,Assumptions!$F$4:$H$4,Assumptions!$F$11:$H$11)</f>
        <v>0.3</v>
      </c>
      <c r="O1932" s="14">
        <f>Final_Table[[#This Row],[Units Sold]]*Final_Table[[#This Row],[Sale Price]]</f>
        <v>20400</v>
      </c>
      <c r="P1932" s="14">
        <f>Final_Table[[#This Row],[Gross Revenue]]*(1-Final_Table[[#This Row],[Discount %]])</f>
        <v>18360</v>
      </c>
      <c r="Q1932">
        <f>Final_Table[[#This Row],[Net Revenue]]*Final_Table[[#This Row],[Variable Cost %]]</f>
        <v>3304.7999999999997</v>
      </c>
      <c r="R1932">
        <f>Final_Table[[#This Row],[Variable Cost]]+Final_Table[[#This Row],[Fixed Monthly Cost]]</f>
        <v>21304.799999999999</v>
      </c>
      <c r="S1932" s="5">
        <f>Final_Table[[#This Row],[Net Revenue]]-Final_Table[[#This Row],[Total Cost (COGS)]]</f>
        <v>-2944.7999999999993</v>
      </c>
      <c r="T1932">
        <f>Final_Table[[#This Row],[Gross Profit]]*Final_Table[[#This Row],[Tax Rate]]</f>
        <v>-883.43999999999971</v>
      </c>
      <c r="U1932" s="5">
        <f>Final_Table[[#This Row],[Gross Profit]]-Final_Table[[#This Row],[Tax]]</f>
        <v>-2061.3599999999997</v>
      </c>
      <c r="V1932" s="12">
        <f>Final_Table[[#This Row],[Net Profit]]/Final_Table[[#This Row],[Gross Revenue]]</f>
        <v>-0.10104705882352939</v>
      </c>
    </row>
    <row r="1933" spans="1:22">
      <c r="A1933" s="18" t="s">
        <v>69</v>
      </c>
      <c r="B1933">
        <v>2014</v>
      </c>
      <c r="C1933" t="s">
        <v>133</v>
      </c>
      <c r="D1933">
        <v>1</v>
      </c>
      <c r="E1933" s="18" t="s">
        <v>22</v>
      </c>
      <c r="F1933" s="18" t="s">
        <v>108</v>
      </c>
      <c r="G1933" s="18" t="s">
        <v>23</v>
      </c>
      <c r="H1933" s="18" t="str">
        <f>Assumptions!$B$2</f>
        <v>Worst</v>
      </c>
      <c r="I1933" s="18">
        <f>_xlfn.XLOOKUP(Assumptions!$B$2,Assumptions!$F$4:$H$4,Assumptions!$F$5:$H$5)</f>
        <v>1200</v>
      </c>
      <c r="J1933" s="18">
        <f>_xlfn.XLOOKUP(Assumptions!$B$2,Assumptions!$F$4:$H$4,Assumptions!$F$6:$H$6)</f>
        <v>17</v>
      </c>
      <c r="K1933" s="12">
        <f>_xlfn.XLOOKUP(Assumptions!$B$2,Assumptions!$F$4:$H$4,Assumptions!$F$8:$H$8)</f>
        <v>0.1</v>
      </c>
      <c r="L1933" s="12">
        <f>_xlfn.XLOOKUP(Assumptions!$B$2,Assumptions!$F$4:$H$4,Assumptions!$F$9:$H$9)</f>
        <v>0.18</v>
      </c>
      <c r="M1933" s="18">
        <f>_xlfn.XLOOKUP(Assumptions!$B$2,Assumptions!$F$4:$H$4,Assumptions!$F$10:$H$10)</f>
        <v>18000</v>
      </c>
      <c r="N1933" s="12">
        <f>_xlfn.XLOOKUP(Assumptions!$B$2,Assumptions!$F$4:$H$4,Assumptions!$F$11:$H$11)</f>
        <v>0.3</v>
      </c>
      <c r="O1933" s="14">
        <f>Final_Table[[#This Row],[Units Sold]]*Final_Table[[#This Row],[Sale Price]]</f>
        <v>20400</v>
      </c>
      <c r="P1933" s="14">
        <f>Final_Table[[#This Row],[Gross Revenue]]*(1-Final_Table[[#This Row],[Discount %]])</f>
        <v>18360</v>
      </c>
      <c r="Q1933">
        <f>Final_Table[[#This Row],[Net Revenue]]*Final_Table[[#This Row],[Variable Cost %]]</f>
        <v>3304.7999999999997</v>
      </c>
      <c r="R1933">
        <f>Final_Table[[#This Row],[Variable Cost]]+Final_Table[[#This Row],[Fixed Monthly Cost]]</f>
        <v>21304.799999999999</v>
      </c>
      <c r="S1933" s="5">
        <f>Final_Table[[#This Row],[Net Revenue]]-Final_Table[[#This Row],[Total Cost (COGS)]]</f>
        <v>-2944.7999999999993</v>
      </c>
      <c r="T1933">
        <f>Final_Table[[#This Row],[Gross Profit]]*Final_Table[[#This Row],[Tax Rate]]</f>
        <v>-883.43999999999971</v>
      </c>
      <c r="U1933" s="5">
        <f>Final_Table[[#This Row],[Gross Profit]]-Final_Table[[#This Row],[Tax]]</f>
        <v>-2061.3599999999997</v>
      </c>
      <c r="V1933" s="12">
        <f>Final_Table[[#This Row],[Net Profit]]/Final_Table[[#This Row],[Gross Revenue]]</f>
        <v>-0.10104705882352939</v>
      </c>
    </row>
    <row r="1934" spans="1:22">
      <c r="A1934" s="18" t="s">
        <v>69</v>
      </c>
      <c r="B1934">
        <v>2014</v>
      </c>
      <c r="C1934" t="s">
        <v>133</v>
      </c>
      <c r="D1934">
        <v>1</v>
      </c>
      <c r="E1934" s="18" t="s">
        <v>22</v>
      </c>
      <c r="F1934" s="18" t="s">
        <v>108</v>
      </c>
      <c r="G1934" s="18" t="s">
        <v>21</v>
      </c>
      <c r="H1934" s="18" t="str">
        <f>Assumptions!$B$2</f>
        <v>Worst</v>
      </c>
      <c r="I1934" s="18">
        <f>_xlfn.XLOOKUP(Assumptions!$B$2,Assumptions!$F$4:$H$4,Assumptions!$F$5:$H$5)</f>
        <v>1200</v>
      </c>
      <c r="J1934" s="18">
        <f>_xlfn.XLOOKUP(Assumptions!$B$2,Assumptions!$F$4:$H$4,Assumptions!$F$6:$H$6)</f>
        <v>17</v>
      </c>
      <c r="K1934" s="12">
        <f>_xlfn.XLOOKUP(Assumptions!$B$2,Assumptions!$F$4:$H$4,Assumptions!$F$8:$H$8)</f>
        <v>0.1</v>
      </c>
      <c r="L1934" s="12">
        <f>_xlfn.XLOOKUP(Assumptions!$B$2,Assumptions!$F$4:$H$4,Assumptions!$F$9:$H$9)</f>
        <v>0.18</v>
      </c>
      <c r="M1934" s="18">
        <f>_xlfn.XLOOKUP(Assumptions!$B$2,Assumptions!$F$4:$H$4,Assumptions!$F$10:$H$10)</f>
        <v>18000</v>
      </c>
      <c r="N1934" s="12">
        <f>_xlfn.XLOOKUP(Assumptions!$B$2,Assumptions!$F$4:$H$4,Assumptions!$F$11:$H$11)</f>
        <v>0.3</v>
      </c>
      <c r="O1934" s="14">
        <f>Final_Table[[#This Row],[Units Sold]]*Final_Table[[#This Row],[Sale Price]]</f>
        <v>20400</v>
      </c>
      <c r="P1934" s="14">
        <f>Final_Table[[#This Row],[Gross Revenue]]*(1-Final_Table[[#This Row],[Discount %]])</f>
        <v>18360</v>
      </c>
      <c r="Q1934">
        <f>Final_Table[[#This Row],[Net Revenue]]*Final_Table[[#This Row],[Variable Cost %]]</f>
        <v>3304.7999999999997</v>
      </c>
      <c r="R1934">
        <f>Final_Table[[#This Row],[Variable Cost]]+Final_Table[[#This Row],[Fixed Monthly Cost]]</f>
        <v>21304.799999999999</v>
      </c>
      <c r="S1934" s="5">
        <f>Final_Table[[#This Row],[Net Revenue]]-Final_Table[[#This Row],[Total Cost (COGS)]]</f>
        <v>-2944.7999999999993</v>
      </c>
      <c r="T1934">
        <f>Final_Table[[#This Row],[Gross Profit]]*Final_Table[[#This Row],[Tax Rate]]</f>
        <v>-883.43999999999971</v>
      </c>
      <c r="U1934" s="5">
        <f>Final_Table[[#This Row],[Gross Profit]]-Final_Table[[#This Row],[Tax]]</f>
        <v>-2061.3599999999997</v>
      </c>
      <c r="V1934" s="12">
        <f>Final_Table[[#This Row],[Net Profit]]/Final_Table[[#This Row],[Gross Revenue]]</f>
        <v>-0.10104705882352939</v>
      </c>
    </row>
    <row r="1935" spans="1:22">
      <c r="A1935" s="18" t="s">
        <v>69</v>
      </c>
      <c r="B1935">
        <v>2014</v>
      </c>
      <c r="C1935" t="s">
        <v>133</v>
      </c>
      <c r="D1935">
        <v>1</v>
      </c>
      <c r="E1935" s="18" t="s">
        <v>22</v>
      </c>
      <c r="F1935" s="18" t="s">
        <v>108</v>
      </c>
      <c r="G1935" s="18" t="s">
        <v>25</v>
      </c>
      <c r="H1935" s="18" t="str">
        <f>Assumptions!$B$2</f>
        <v>Worst</v>
      </c>
      <c r="I1935" s="18">
        <f>_xlfn.XLOOKUP(Assumptions!$B$2,Assumptions!$F$4:$H$4,Assumptions!$F$5:$H$5)</f>
        <v>1200</v>
      </c>
      <c r="J1935" s="18">
        <f>_xlfn.XLOOKUP(Assumptions!$B$2,Assumptions!$F$4:$H$4,Assumptions!$F$6:$H$6)</f>
        <v>17</v>
      </c>
      <c r="K1935" s="12">
        <f>_xlfn.XLOOKUP(Assumptions!$B$2,Assumptions!$F$4:$H$4,Assumptions!$F$8:$H$8)</f>
        <v>0.1</v>
      </c>
      <c r="L1935" s="12">
        <f>_xlfn.XLOOKUP(Assumptions!$B$2,Assumptions!$F$4:$H$4,Assumptions!$F$9:$H$9)</f>
        <v>0.18</v>
      </c>
      <c r="M1935" s="18">
        <f>_xlfn.XLOOKUP(Assumptions!$B$2,Assumptions!$F$4:$H$4,Assumptions!$F$10:$H$10)</f>
        <v>18000</v>
      </c>
      <c r="N1935" s="12">
        <f>_xlfn.XLOOKUP(Assumptions!$B$2,Assumptions!$F$4:$H$4,Assumptions!$F$11:$H$11)</f>
        <v>0.3</v>
      </c>
      <c r="O1935" s="14">
        <f>Final_Table[[#This Row],[Units Sold]]*Final_Table[[#This Row],[Sale Price]]</f>
        <v>20400</v>
      </c>
      <c r="P1935" s="14">
        <f>Final_Table[[#This Row],[Gross Revenue]]*(1-Final_Table[[#This Row],[Discount %]])</f>
        <v>18360</v>
      </c>
      <c r="Q1935">
        <f>Final_Table[[#This Row],[Net Revenue]]*Final_Table[[#This Row],[Variable Cost %]]</f>
        <v>3304.7999999999997</v>
      </c>
      <c r="R1935">
        <f>Final_Table[[#This Row],[Variable Cost]]+Final_Table[[#This Row],[Fixed Monthly Cost]]</f>
        <v>21304.799999999999</v>
      </c>
      <c r="S1935" s="5">
        <f>Final_Table[[#This Row],[Net Revenue]]-Final_Table[[#This Row],[Total Cost (COGS)]]</f>
        <v>-2944.7999999999993</v>
      </c>
      <c r="T1935">
        <f>Final_Table[[#This Row],[Gross Profit]]*Final_Table[[#This Row],[Tax Rate]]</f>
        <v>-883.43999999999971</v>
      </c>
      <c r="U1935" s="5">
        <f>Final_Table[[#This Row],[Gross Profit]]-Final_Table[[#This Row],[Tax]]</f>
        <v>-2061.3599999999997</v>
      </c>
      <c r="V1935" s="12">
        <f>Final_Table[[#This Row],[Net Profit]]/Final_Table[[#This Row],[Gross Revenue]]</f>
        <v>-0.10104705882352939</v>
      </c>
    </row>
    <row r="1936" spans="1:22">
      <c r="A1936" s="18" t="s">
        <v>69</v>
      </c>
      <c r="B1936">
        <v>2014</v>
      </c>
      <c r="C1936" t="s">
        <v>133</v>
      </c>
      <c r="D1936">
        <v>1</v>
      </c>
      <c r="E1936" s="18" t="s">
        <v>22</v>
      </c>
      <c r="F1936" s="18" t="s">
        <v>108</v>
      </c>
      <c r="G1936" s="18" t="s">
        <v>17</v>
      </c>
      <c r="H1936" s="18" t="str">
        <f>Assumptions!$B$2</f>
        <v>Worst</v>
      </c>
      <c r="I1936" s="18">
        <f>_xlfn.XLOOKUP(Assumptions!$B$2,Assumptions!$F$4:$H$4,Assumptions!$F$5:$H$5)</f>
        <v>1200</v>
      </c>
      <c r="J1936" s="18">
        <f>_xlfn.XLOOKUP(Assumptions!$B$2,Assumptions!$F$4:$H$4,Assumptions!$F$6:$H$6)</f>
        <v>17</v>
      </c>
      <c r="K1936" s="12">
        <f>_xlfn.XLOOKUP(Assumptions!$B$2,Assumptions!$F$4:$H$4,Assumptions!$F$8:$H$8)</f>
        <v>0.1</v>
      </c>
      <c r="L1936" s="12">
        <f>_xlfn.XLOOKUP(Assumptions!$B$2,Assumptions!$F$4:$H$4,Assumptions!$F$9:$H$9)</f>
        <v>0.18</v>
      </c>
      <c r="M1936" s="18">
        <f>_xlfn.XLOOKUP(Assumptions!$B$2,Assumptions!$F$4:$H$4,Assumptions!$F$10:$H$10)</f>
        <v>18000</v>
      </c>
      <c r="N1936" s="12">
        <f>_xlfn.XLOOKUP(Assumptions!$B$2,Assumptions!$F$4:$H$4,Assumptions!$F$11:$H$11)</f>
        <v>0.3</v>
      </c>
      <c r="O1936" s="14">
        <f>Final_Table[[#This Row],[Units Sold]]*Final_Table[[#This Row],[Sale Price]]</f>
        <v>20400</v>
      </c>
      <c r="P1936" s="14">
        <f>Final_Table[[#This Row],[Gross Revenue]]*(1-Final_Table[[#This Row],[Discount %]])</f>
        <v>18360</v>
      </c>
      <c r="Q1936">
        <f>Final_Table[[#This Row],[Net Revenue]]*Final_Table[[#This Row],[Variable Cost %]]</f>
        <v>3304.7999999999997</v>
      </c>
      <c r="R1936">
        <f>Final_Table[[#This Row],[Variable Cost]]+Final_Table[[#This Row],[Fixed Monthly Cost]]</f>
        <v>21304.799999999999</v>
      </c>
      <c r="S1936" s="5">
        <f>Final_Table[[#This Row],[Net Revenue]]-Final_Table[[#This Row],[Total Cost (COGS)]]</f>
        <v>-2944.7999999999993</v>
      </c>
      <c r="T1936">
        <f>Final_Table[[#This Row],[Gross Profit]]*Final_Table[[#This Row],[Tax Rate]]</f>
        <v>-883.43999999999971</v>
      </c>
      <c r="U1936" s="5">
        <f>Final_Table[[#This Row],[Gross Profit]]-Final_Table[[#This Row],[Tax]]</f>
        <v>-2061.3599999999997</v>
      </c>
      <c r="V1936" s="12">
        <f>Final_Table[[#This Row],[Net Profit]]/Final_Table[[#This Row],[Gross Revenue]]</f>
        <v>-0.10104705882352939</v>
      </c>
    </row>
    <row r="1937" spans="1:22">
      <c r="A1937" s="18" t="s">
        <v>69</v>
      </c>
      <c r="B1937">
        <v>2014</v>
      </c>
      <c r="C1937" t="s">
        <v>133</v>
      </c>
      <c r="D1937">
        <v>1</v>
      </c>
      <c r="E1937" s="18" t="s">
        <v>22</v>
      </c>
      <c r="F1937" s="18" t="s">
        <v>112</v>
      </c>
      <c r="G1937" s="18" t="s">
        <v>36</v>
      </c>
      <c r="H1937" s="18" t="str">
        <f>Assumptions!$B$2</f>
        <v>Worst</v>
      </c>
      <c r="I1937" s="18">
        <f>_xlfn.XLOOKUP(Assumptions!$B$2,Assumptions!$F$4:$H$4,Assumptions!$F$5:$H$5)</f>
        <v>1200</v>
      </c>
      <c r="J1937" s="18">
        <f>_xlfn.XLOOKUP(Assumptions!$B$2,Assumptions!$F$4:$H$4,Assumptions!$F$6:$H$6)</f>
        <v>17</v>
      </c>
      <c r="K1937" s="12">
        <f>_xlfn.XLOOKUP(Assumptions!$B$2,Assumptions!$F$4:$H$4,Assumptions!$F$8:$H$8)</f>
        <v>0.1</v>
      </c>
      <c r="L1937" s="12">
        <f>_xlfn.XLOOKUP(Assumptions!$B$2,Assumptions!$F$4:$H$4,Assumptions!$F$9:$H$9)</f>
        <v>0.18</v>
      </c>
      <c r="M1937" s="18">
        <f>_xlfn.XLOOKUP(Assumptions!$B$2,Assumptions!$F$4:$H$4,Assumptions!$F$10:$H$10)</f>
        <v>18000</v>
      </c>
      <c r="N1937" s="12">
        <f>_xlfn.XLOOKUP(Assumptions!$B$2,Assumptions!$F$4:$H$4,Assumptions!$F$11:$H$11)</f>
        <v>0.3</v>
      </c>
      <c r="O1937" s="14">
        <f>Final_Table[[#This Row],[Units Sold]]*Final_Table[[#This Row],[Sale Price]]</f>
        <v>20400</v>
      </c>
      <c r="P1937" s="14">
        <f>Final_Table[[#This Row],[Gross Revenue]]*(1-Final_Table[[#This Row],[Discount %]])</f>
        <v>18360</v>
      </c>
      <c r="Q1937">
        <f>Final_Table[[#This Row],[Net Revenue]]*Final_Table[[#This Row],[Variable Cost %]]</f>
        <v>3304.7999999999997</v>
      </c>
      <c r="R1937">
        <f>Final_Table[[#This Row],[Variable Cost]]+Final_Table[[#This Row],[Fixed Monthly Cost]]</f>
        <v>21304.799999999999</v>
      </c>
      <c r="S1937" s="5">
        <f>Final_Table[[#This Row],[Net Revenue]]-Final_Table[[#This Row],[Total Cost (COGS)]]</f>
        <v>-2944.7999999999993</v>
      </c>
      <c r="T1937">
        <f>Final_Table[[#This Row],[Gross Profit]]*Final_Table[[#This Row],[Tax Rate]]</f>
        <v>-883.43999999999971</v>
      </c>
      <c r="U1937" s="5">
        <f>Final_Table[[#This Row],[Gross Profit]]-Final_Table[[#This Row],[Tax]]</f>
        <v>-2061.3599999999997</v>
      </c>
      <c r="V1937" s="12">
        <f>Final_Table[[#This Row],[Net Profit]]/Final_Table[[#This Row],[Gross Revenue]]</f>
        <v>-0.10104705882352939</v>
      </c>
    </row>
    <row r="1938" spans="1:22">
      <c r="A1938" s="18" t="s">
        <v>69</v>
      </c>
      <c r="B1938">
        <v>2014</v>
      </c>
      <c r="C1938" t="s">
        <v>133</v>
      </c>
      <c r="D1938">
        <v>1</v>
      </c>
      <c r="E1938" s="18" t="s">
        <v>22</v>
      </c>
      <c r="F1938" s="18" t="s">
        <v>112</v>
      </c>
      <c r="G1938" s="18" t="s">
        <v>23</v>
      </c>
      <c r="H1938" s="18" t="str">
        <f>Assumptions!$B$2</f>
        <v>Worst</v>
      </c>
      <c r="I1938" s="18">
        <f>_xlfn.XLOOKUP(Assumptions!$B$2,Assumptions!$F$4:$H$4,Assumptions!$F$5:$H$5)</f>
        <v>1200</v>
      </c>
      <c r="J1938" s="18">
        <f>_xlfn.XLOOKUP(Assumptions!$B$2,Assumptions!$F$4:$H$4,Assumptions!$F$6:$H$6)</f>
        <v>17</v>
      </c>
      <c r="K1938" s="12">
        <f>_xlfn.XLOOKUP(Assumptions!$B$2,Assumptions!$F$4:$H$4,Assumptions!$F$8:$H$8)</f>
        <v>0.1</v>
      </c>
      <c r="L1938" s="12">
        <f>_xlfn.XLOOKUP(Assumptions!$B$2,Assumptions!$F$4:$H$4,Assumptions!$F$9:$H$9)</f>
        <v>0.18</v>
      </c>
      <c r="M1938" s="18">
        <f>_xlfn.XLOOKUP(Assumptions!$B$2,Assumptions!$F$4:$H$4,Assumptions!$F$10:$H$10)</f>
        <v>18000</v>
      </c>
      <c r="N1938" s="12">
        <f>_xlfn.XLOOKUP(Assumptions!$B$2,Assumptions!$F$4:$H$4,Assumptions!$F$11:$H$11)</f>
        <v>0.3</v>
      </c>
      <c r="O1938" s="14">
        <f>Final_Table[[#This Row],[Units Sold]]*Final_Table[[#This Row],[Sale Price]]</f>
        <v>20400</v>
      </c>
      <c r="P1938" s="14">
        <f>Final_Table[[#This Row],[Gross Revenue]]*(1-Final_Table[[#This Row],[Discount %]])</f>
        <v>18360</v>
      </c>
      <c r="Q1938">
        <f>Final_Table[[#This Row],[Net Revenue]]*Final_Table[[#This Row],[Variable Cost %]]</f>
        <v>3304.7999999999997</v>
      </c>
      <c r="R1938">
        <f>Final_Table[[#This Row],[Variable Cost]]+Final_Table[[#This Row],[Fixed Monthly Cost]]</f>
        <v>21304.799999999999</v>
      </c>
      <c r="S1938" s="5">
        <f>Final_Table[[#This Row],[Net Revenue]]-Final_Table[[#This Row],[Total Cost (COGS)]]</f>
        <v>-2944.7999999999993</v>
      </c>
      <c r="T1938">
        <f>Final_Table[[#This Row],[Gross Profit]]*Final_Table[[#This Row],[Tax Rate]]</f>
        <v>-883.43999999999971</v>
      </c>
      <c r="U1938" s="5">
        <f>Final_Table[[#This Row],[Gross Profit]]-Final_Table[[#This Row],[Tax]]</f>
        <v>-2061.3599999999997</v>
      </c>
      <c r="V1938" s="12">
        <f>Final_Table[[#This Row],[Net Profit]]/Final_Table[[#This Row],[Gross Revenue]]</f>
        <v>-0.10104705882352939</v>
      </c>
    </row>
    <row r="1939" spans="1:22">
      <c r="A1939" s="18" t="s">
        <v>69</v>
      </c>
      <c r="B1939">
        <v>2014</v>
      </c>
      <c r="C1939" t="s">
        <v>133</v>
      </c>
      <c r="D1939">
        <v>1</v>
      </c>
      <c r="E1939" s="18" t="s">
        <v>22</v>
      </c>
      <c r="F1939" s="18" t="s">
        <v>112</v>
      </c>
      <c r="G1939" s="18" t="s">
        <v>21</v>
      </c>
      <c r="H1939" s="18" t="str">
        <f>Assumptions!$B$2</f>
        <v>Worst</v>
      </c>
      <c r="I1939" s="18">
        <f>_xlfn.XLOOKUP(Assumptions!$B$2,Assumptions!$F$4:$H$4,Assumptions!$F$5:$H$5)</f>
        <v>1200</v>
      </c>
      <c r="J1939" s="18">
        <f>_xlfn.XLOOKUP(Assumptions!$B$2,Assumptions!$F$4:$H$4,Assumptions!$F$6:$H$6)</f>
        <v>17</v>
      </c>
      <c r="K1939" s="12">
        <f>_xlfn.XLOOKUP(Assumptions!$B$2,Assumptions!$F$4:$H$4,Assumptions!$F$8:$H$8)</f>
        <v>0.1</v>
      </c>
      <c r="L1939" s="12">
        <f>_xlfn.XLOOKUP(Assumptions!$B$2,Assumptions!$F$4:$H$4,Assumptions!$F$9:$H$9)</f>
        <v>0.18</v>
      </c>
      <c r="M1939" s="18">
        <f>_xlfn.XLOOKUP(Assumptions!$B$2,Assumptions!$F$4:$H$4,Assumptions!$F$10:$H$10)</f>
        <v>18000</v>
      </c>
      <c r="N1939" s="12">
        <f>_xlfn.XLOOKUP(Assumptions!$B$2,Assumptions!$F$4:$H$4,Assumptions!$F$11:$H$11)</f>
        <v>0.3</v>
      </c>
      <c r="O1939" s="14">
        <f>Final_Table[[#This Row],[Units Sold]]*Final_Table[[#This Row],[Sale Price]]</f>
        <v>20400</v>
      </c>
      <c r="P1939" s="14">
        <f>Final_Table[[#This Row],[Gross Revenue]]*(1-Final_Table[[#This Row],[Discount %]])</f>
        <v>18360</v>
      </c>
      <c r="Q1939">
        <f>Final_Table[[#This Row],[Net Revenue]]*Final_Table[[#This Row],[Variable Cost %]]</f>
        <v>3304.7999999999997</v>
      </c>
      <c r="R1939">
        <f>Final_Table[[#This Row],[Variable Cost]]+Final_Table[[#This Row],[Fixed Monthly Cost]]</f>
        <v>21304.799999999999</v>
      </c>
      <c r="S1939" s="5">
        <f>Final_Table[[#This Row],[Net Revenue]]-Final_Table[[#This Row],[Total Cost (COGS)]]</f>
        <v>-2944.7999999999993</v>
      </c>
      <c r="T1939">
        <f>Final_Table[[#This Row],[Gross Profit]]*Final_Table[[#This Row],[Tax Rate]]</f>
        <v>-883.43999999999971</v>
      </c>
      <c r="U1939" s="5">
        <f>Final_Table[[#This Row],[Gross Profit]]-Final_Table[[#This Row],[Tax]]</f>
        <v>-2061.3599999999997</v>
      </c>
      <c r="V1939" s="12">
        <f>Final_Table[[#This Row],[Net Profit]]/Final_Table[[#This Row],[Gross Revenue]]</f>
        <v>-0.10104705882352939</v>
      </c>
    </row>
    <row r="1940" spans="1:22">
      <c r="A1940" s="18" t="s">
        <v>69</v>
      </c>
      <c r="B1940">
        <v>2014</v>
      </c>
      <c r="C1940" t="s">
        <v>133</v>
      </c>
      <c r="D1940">
        <v>1</v>
      </c>
      <c r="E1940" s="18" t="s">
        <v>22</v>
      </c>
      <c r="F1940" s="18" t="s">
        <v>112</v>
      </c>
      <c r="G1940" s="18" t="s">
        <v>25</v>
      </c>
      <c r="H1940" s="18" t="str">
        <f>Assumptions!$B$2</f>
        <v>Worst</v>
      </c>
      <c r="I1940" s="18">
        <f>_xlfn.XLOOKUP(Assumptions!$B$2,Assumptions!$F$4:$H$4,Assumptions!$F$5:$H$5)</f>
        <v>1200</v>
      </c>
      <c r="J1940" s="18">
        <f>_xlfn.XLOOKUP(Assumptions!$B$2,Assumptions!$F$4:$H$4,Assumptions!$F$6:$H$6)</f>
        <v>17</v>
      </c>
      <c r="K1940" s="12">
        <f>_xlfn.XLOOKUP(Assumptions!$B$2,Assumptions!$F$4:$H$4,Assumptions!$F$8:$H$8)</f>
        <v>0.1</v>
      </c>
      <c r="L1940" s="12">
        <f>_xlfn.XLOOKUP(Assumptions!$B$2,Assumptions!$F$4:$H$4,Assumptions!$F$9:$H$9)</f>
        <v>0.18</v>
      </c>
      <c r="M1940" s="18">
        <f>_xlfn.XLOOKUP(Assumptions!$B$2,Assumptions!$F$4:$H$4,Assumptions!$F$10:$H$10)</f>
        <v>18000</v>
      </c>
      <c r="N1940" s="12">
        <f>_xlfn.XLOOKUP(Assumptions!$B$2,Assumptions!$F$4:$H$4,Assumptions!$F$11:$H$11)</f>
        <v>0.3</v>
      </c>
      <c r="O1940" s="14">
        <f>Final_Table[[#This Row],[Units Sold]]*Final_Table[[#This Row],[Sale Price]]</f>
        <v>20400</v>
      </c>
      <c r="P1940" s="14">
        <f>Final_Table[[#This Row],[Gross Revenue]]*(1-Final_Table[[#This Row],[Discount %]])</f>
        <v>18360</v>
      </c>
      <c r="Q1940">
        <f>Final_Table[[#This Row],[Net Revenue]]*Final_Table[[#This Row],[Variable Cost %]]</f>
        <v>3304.7999999999997</v>
      </c>
      <c r="R1940">
        <f>Final_Table[[#This Row],[Variable Cost]]+Final_Table[[#This Row],[Fixed Monthly Cost]]</f>
        <v>21304.799999999999</v>
      </c>
      <c r="S1940" s="5">
        <f>Final_Table[[#This Row],[Net Revenue]]-Final_Table[[#This Row],[Total Cost (COGS)]]</f>
        <v>-2944.7999999999993</v>
      </c>
      <c r="T1940">
        <f>Final_Table[[#This Row],[Gross Profit]]*Final_Table[[#This Row],[Tax Rate]]</f>
        <v>-883.43999999999971</v>
      </c>
      <c r="U1940" s="5">
        <f>Final_Table[[#This Row],[Gross Profit]]-Final_Table[[#This Row],[Tax]]</f>
        <v>-2061.3599999999997</v>
      </c>
      <c r="V1940" s="12">
        <f>Final_Table[[#This Row],[Net Profit]]/Final_Table[[#This Row],[Gross Revenue]]</f>
        <v>-0.10104705882352939</v>
      </c>
    </row>
    <row r="1941" spans="1:22">
      <c r="A1941" s="18" t="s">
        <v>69</v>
      </c>
      <c r="B1941">
        <v>2014</v>
      </c>
      <c r="C1941" t="s">
        <v>133</v>
      </c>
      <c r="D1941">
        <v>1</v>
      </c>
      <c r="E1941" s="18" t="s">
        <v>22</v>
      </c>
      <c r="F1941" s="18" t="s">
        <v>112</v>
      </c>
      <c r="G1941" s="18" t="s">
        <v>17</v>
      </c>
      <c r="H1941" s="18" t="str">
        <f>Assumptions!$B$2</f>
        <v>Worst</v>
      </c>
      <c r="I1941" s="18">
        <f>_xlfn.XLOOKUP(Assumptions!$B$2,Assumptions!$F$4:$H$4,Assumptions!$F$5:$H$5)</f>
        <v>1200</v>
      </c>
      <c r="J1941" s="18">
        <f>_xlfn.XLOOKUP(Assumptions!$B$2,Assumptions!$F$4:$H$4,Assumptions!$F$6:$H$6)</f>
        <v>17</v>
      </c>
      <c r="K1941" s="12">
        <f>_xlfn.XLOOKUP(Assumptions!$B$2,Assumptions!$F$4:$H$4,Assumptions!$F$8:$H$8)</f>
        <v>0.1</v>
      </c>
      <c r="L1941" s="12">
        <f>_xlfn.XLOOKUP(Assumptions!$B$2,Assumptions!$F$4:$H$4,Assumptions!$F$9:$H$9)</f>
        <v>0.18</v>
      </c>
      <c r="M1941" s="18">
        <f>_xlfn.XLOOKUP(Assumptions!$B$2,Assumptions!$F$4:$H$4,Assumptions!$F$10:$H$10)</f>
        <v>18000</v>
      </c>
      <c r="N1941" s="12">
        <f>_xlfn.XLOOKUP(Assumptions!$B$2,Assumptions!$F$4:$H$4,Assumptions!$F$11:$H$11)</f>
        <v>0.3</v>
      </c>
      <c r="O1941" s="14">
        <f>Final_Table[[#This Row],[Units Sold]]*Final_Table[[#This Row],[Sale Price]]</f>
        <v>20400</v>
      </c>
      <c r="P1941" s="14">
        <f>Final_Table[[#This Row],[Gross Revenue]]*(1-Final_Table[[#This Row],[Discount %]])</f>
        <v>18360</v>
      </c>
      <c r="Q1941">
        <f>Final_Table[[#This Row],[Net Revenue]]*Final_Table[[#This Row],[Variable Cost %]]</f>
        <v>3304.7999999999997</v>
      </c>
      <c r="R1941">
        <f>Final_Table[[#This Row],[Variable Cost]]+Final_Table[[#This Row],[Fixed Monthly Cost]]</f>
        <v>21304.799999999999</v>
      </c>
      <c r="S1941" s="5">
        <f>Final_Table[[#This Row],[Net Revenue]]-Final_Table[[#This Row],[Total Cost (COGS)]]</f>
        <v>-2944.7999999999993</v>
      </c>
      <c r="T1941">
        <f>Final_Table[[#This Row],[Gross Profit]]*Final_Table[[#This Row],[Tax Rate]]</f>
        <v>-883.43999999999971</v>
      </c>
      <c r="U1941" s="5">
        <f>Final_Table[[#This Row],[Gross Profit]]-Final_Table[[#This Row],[Tax]]</f>
        <v>-2061.3599999999997</v>
      </c>
      <c r="V1941" s="12">
        <f>Final_Table[[#This Row],[Net Profit]]/Final_Table[[#This Row],[Gross Revenue]]</f>
        <v>-0.10104705882352939</v>
      </c>
    </row>
    <row r="1942" spans="1:22">
      <c r="A1942" s="18" t="s">
        <v>69</v>
      </c>
      <c r="B1942">
        <v>2014</v>
      </c>
      <c r="C1942" t="s">
        <v>133</v>
      </c>
      <c r="D1942">
        <v>1</v>
      </c>
      <c r="E1942" s="18" t="s">
        <v>22</v>
      </c>
      <c r="F1942" s="18" t="s">
        <v>113</v>
      </c>
      <c r="G1942" s="18" t="s">
        <v>36</v>
      </c>
      <c r="H1942" s="18" t="str">
        <f>Assumptions!$B$2</f>
        <v>Worst</v>
      </c>
      <c r="I1942" s="18">
        <f>_xlfn.XLOOKUP(Assumptions!$B$2,Assumptions!$F$4:$H$4,Assumptions!$F$5:$H$5)</f>
        <v>1200</v>
      </c>
      <c r="J1942" s="18">
        <f>_xlfn.XLOOKUP(Assumptions!$B$2,Assumptions!$F$4:$H$4,Assumptions!$F$6:$H$6)</f>
        <v>17</v>
      </c>
      <c r="K1942" s="12">
        <f>_xlfn.XLOOKUP(Assumptions!$B$2,Assumptions!$F$4:$H$4,Assumptions!$F$8:$H$8)</f>
        <v>0.1</v>
      </c>
      <c r="L1942" s="12">
        <f>_xlfn.XLOOKUP(Assumptions!$B$2,Assumptions!$F$4:$H$4,Assumptions!$F$9:$H$9)</f>
        <v>0.18</v>
      </c>
      <c r="M1942" s="18">
        <f>_xlfn.XLOOKUP(Assumptions!$B$2,Assumptions!$F$4:$H$4,Assumptions!$F$10:$H$10)</f>
        <v>18000</v>
      </c>
      <c r="N1942" s="12">
        <f>_xlfn.XLOOKUP(Assumptions!$B$2,Assumptions!$F$4:$H$4,Assumptions!$F$11:$H$11)</f>
        <v>0.3</v>
      </c>
      <c r="O1942" s="14">
        <f>Final_Table[[#This Row],[Units Sold]]*Final_Table[[#This Row],[Sale Price]]</f>
        <v>20400</v>
      </c>
      <c r="P1942" s="14">
        <f>Final_Table[[#This Row],[Gross Revenue]]*(1-Final_Table[[#This Row],[Discount %]])</f>
        <v>18360</v>
      </c>
      <c r="Q1942">
        <f>Final_Table[[#This Row],[Net Revenue]]*Final_Table[[#This Row],[Variable Cost %]]</f>
        <v>3304.7999999999997</v>
      </c>
      <c r="R1942">
        <f>Final_Table[[#This Row],[Variable Cost]]+Final_Table[[#This Row],[Fixed Monthly Cost]]</f>
        <v>21304.799999999999</v>
      </c>
      <c r="S1942" s="5">
        <f>Final_Table[[#This Row],[Net Revenue]]-Final_Table[[#This Row],[Total Cost (COGS)]]</f>
        <v>-2944.7999999999993</v>
      </c>
      <c r="T1942">
        <f>Final_Table[[#This Row],[Gross Profit]]*Final_Table[[#This Row],[Tax Rate]]</f>
        <v>-883.43999999999971</v>
      </c>
      <c r="U1942" s="5">
        <f>Final_Table[[#This Row],[Gross Profit]]-Final_Table[[#This Row],[Tax]]</f>
        <v>-2061.3599999999997</v>
      </c>
      <c r="V1942" s="12">
        <f>Final_Table[[#This Row],[Net Profit]]/Final_Table[[#This Row],[Gross Revenue]]</f>
        <v>-0.10104705882352939</v>
      </c>
    </row>
    <row r="1943" spans="1:22">
      <c r="A1943" s="18" t="s">
        <v>69</v>
      </c>
      <c r="B1943">
        <v>2014</v>
      </c>
      <c r="C1943" t="s">
        <v>133</v>
      </c>
      <c r="D1943">
        <v>1</v>
      </c>
      <c r="E1943" s="18" t="s">
        <v>22</v>
      </c>
      <c r="F1943" s="18" t="s">
        <v>113</v>
      </c>
      <c r="G1943" s="18" t="s">
        <v>23</v>
      </c>
      <c r="H1943" s="18" t="str">
        <f>Assumptions!$B$2</f>
        <v>Worst</v>
      </c>
      <c r="I1943" s="18">
        <f>_xlfn.XLOOKUP(Assumptions!$B$2,Assumptions!$F$4:$H$4,Assumptions!$F$5:$H$5)</f>
        <v>1200</v>
      </c>
      <c r="J1943" s="18">
        <f>_xlfn.XLOOKUP(Assumptions!$B$2,Assumptions!$F$4:$H$4,Assumptions!$F$6:$H$6)</f>
        <v>17</v>
      </c>
      <c r="K1943" s="12">
        <f>_xlfn.XLOOKUP(Assumptions!$B$2,Assumptions!$F$4:$H$4,Assumptions!$F$8:$H$8)</f>
        <v>0.1</v>
      </c>
      <c r="L1943" s="12">
        <f>_xlfn.XLOOKUP(Assumptions!$B$2,Assumptions!$F$4:$H$4,Assumptions!$F$9:$H$9)</f>
        <v>0.18</v>
      </c>
      <c r="M1943" s="18">
        <f>_xlfn.XLOOKUP(Assumptions!$B$2,Assumptions!$F$4:$H$4,Assumptions!$F$10:$H$10)</f>
        <v>18000</v>
      </c>
      <c r="N1943" s="12">
        <f>_xlfn.XLOOKUP(Assumptions!$B$2,Assumptions!$F$4:$H$4,Assumptions!$F$11:$H$11)</f>
        <v>0.3</v>
      </c>
      <c r="O1943" s="14">
        <f>Final_Table[[#This Row],[Units Sold]]*Final_Table[[#This Row],[Sale Price]]</f>
        <v>20400</v>
      </c>
      <c r="P1943" s="14">
        <f>Final_Table[[#This Row],[Gross Revenue]]*(1-Final_Table[[#This Row],[Discount %]])</f>
        <v>18360</v>
      </c>
      <c r="Q1943">
        <f>Final_Table[[#This Row],[Net Revenue]]*Final_Table[[#This Row],[Variable Cost %]]</f>
        <v>3304.7999999999997</v>
      </c>
      <c r="R1943">
        <f>Final_Table[[#This Row],[Variable Cost]]+Final_Table[[#This Row],[Fixed Monthly Cost]]</f>
        <v>21304.799999999999</v>
      </c>
      <c r="S1943" s="5">
        <f>Final_Table[[#This Row],[Net Revenue]]-Final_Table[[#This Row],[Total Cost (COGS)]]</f>
        <v>-2944.7999999999993</v>
      </c>
      <c r="T1943">
        <f>Final_Table[[#This Row],[Gross Profit]]*Final_Table[[#This Row],[Tax Rate]]</f>
        <v>-883.43999999999971</v>
      </c>
      <c r="U1943" s="5">
        <f>Final_Table[[#This Row],[Gross Profit]]-Final_Table[[#This Row],[Tax]]</f>
        <v>-2061.3599999999997</v>
      </c>
      <c r="V1943" s="12">
        <f>Final_Table[[#This Row],[Net Profit]]/Final_Table[[#This Row],[Gross Revenue]]</f>
        <v>-0.10104705882352939</v>
      </c>
    </row>
    <row r="1944" spans="1:22">
      <c r="A1944" s="18" t="s">
        <v>69</v>
      </c>
      <c r="B1944">
        <v>2014</v>
      </c>
      <c r="C1944" t="s">
        <v>133</v>
      </c>
      <c r="D1944">
        <v>1</v>
      </c>
      <c r="E1944" s="18" t="s">
        <v>22</v>
      </c>
      <c r="F1944" s="18" t="s">
        <v>113</v>
      </c>
      <c r="G1944" s="18" t="s">
        <v>21</v>
      </c>
      <c r="H1944" s="18" t="str">
        <f>Assumptions!$B$2</f>
        <v>Worst</v>
      </c>
      <c r="I1944" s="18">
        <f>_xlfn.XLOOKUP(Assumptions!$B$2,Assumptions!$F$4:$H$4,Assumptions!$F$5:$H$5)</f>
        <v>1200</v>
      </c>
      <c r="J1944" s="18">
        <f>_xlfn.XLOOKUP(Assumptions!$B$2,Assumptions!$F$4:$H$4,Assumptions!$F$6:$H$6)</f>
        <v>17</v>
      </c>
      <c r="K1944" s="12">
        <f>_xlfn.XLOOKUP(Assumptions!$B$2,Assumptions!$F$4:$H$4,Assumptions!$F$8:$H$8)</f>
        <v>0.1</v>
      </c>
      <c r="L1944" s="12">
        <f>_xlfn.XLOOKUP(Assumptions!$B$2,Assumptions!$F$4:$H$4,Assumptions!$F$9:$H$9)</f>
        <v>0.18</v>
      </c>
      <c r="M1944" s="18">
        <f>_xlfn.XLOOKUP(Assumptions!$B$2,Assumptions!$F$4:$H$4,Assumptions!$F$10:$H$10)</f>
        <v>18000</v>
      </c>
      <c r="N1944" s="12">
        <f>_xlfn.XLOOKUP(Assumptions!$B$2,Assumptions!$F$4:$H$4,Assumptions!$F$11:$H$11)</f>
        <v>0.3</v>
      </c>
      <c r="O1944" s="14">
        <f>Final_Table[[#This Row],[Units Sold]]*Final_Table[[#This Row],[Sale Price]]</f>
        <v>20400</v>
      </c>
      <c r="P1944" s="14">
        <f>Final_Table[[#This Row],[Gross Revenue]]*(1-Final_Table[[#This Row],[Discount %]])</f>
        <v>18360</v>
      </c>
      <c r="Q1944">
        <f>Final_Table[[#This Row],[Net Revenue]]*Final_Table[[#This Row],[Variable Cost %]]</f>
        <v>3304.7999999999997</v>
      </c>
      <c r="R1944">
        <f>Final_Table[[#This Row],[Variable Cost]]+Final_Table[[#This Row],[Fixed Monthly Cost]]</f>
        <v>21304.799999999999</v>
      </c>
      <c r="S1944" s="5">
        <f>Final_Table[[#This Row],[Net Revenue]]-Final_Table[[#This Row],[Total Cost (COGS)]]</f>
        <v>-2944.7999999999993</v>
      </c>
      <c r="T1944">
        <f>Final_Table[[#This Row],[Gross Profit]]*Final_Table[[#This Row],[Tax Rate]]</f>
        <v>-883.43999999999971</v>
      </c>
      <c r="U1944" s="5">
        <f>Final_Table[[#This Row],[Gross Profit]]-Final_Table[[#This Row],[Tax]]</f>
        <v>-2061.3599999999997</v>
      </c>
      <c r="V1944" s="12">
        <f>Final_Table[[#This Row],[Net Profit]]/Final_Table[[#This Row],[Gross Revenue]]</f>
        <v>-0.10104705882352939</v>
      </c>
    </row>
    <row r="1945" spans="1:22">
      <c r="A1945" s="18" t="s">
        <v>69</v>
      </c>
      <c r="B1945">
        <v>2014</v>
      </c>
      <c r="C1945" t="s">
        <v>133</v>
      </c>
      <c r="D1945">
        <v>1</v>
      </c>
      <c r="E1945" s="18" t="s">
        <v>22</v>
      </c>
      <c r="F1945" s="18" t="s">
        <v>113</v>
      </c>
      <c r="G1945" s="18" t="s">
        <v>25</v>
      </c>
      <c r="H1945" s="18" t="str">
        <f>Assumptions!$B$2</f>
        <v>Worst</v>
      </c>
      <c r="I1945" s="18">
        <f>_xlfn.XLOOKUP(Assumptions!$B$2,Assumptions!$F$4:$H$4,Assumptions!$F$5:$H$5)</f>
        <v>1200</v>
      </c>
      <c r="J1945" s="18">
        <f>_xlfn.XLOOKUP(Assumptions!$B$2,Assumptions!$F$4:$H$4,Assumptions!$F$6:$H$6)</f>
        <v>17</v>
      </c>
      <c r="K1945" s="12">
        <f>_xlfn.XLOOKUP(Assumptions!$B$2,Assumptions!$F$4:$H$4,Assumptions!$F$8:$H$8)</f>
        <v>0.1</v>
      </c>
      <c r="L1945" s="12">
        <f>_xlfn.XLOOKUP(Assumptions!$B$2,Assumptions!$F$4:$H$4,Assumptions!$F$9:$H$9)</f>
        <v>0.18</v>
      </c>
      <c r="M1945" s="18">
        <f>_xlfn.XLOOKUP(Assumptions!$B$2,Assumptions!$F$4:$H$4,Assumptions!$F$10:$H$10)</f>
        <v>18000</v>
      </c>
      <c r="N1945" s="12">
        <f>_xlfn.XLOOKUP(Assumptions!$B$2,Assumptions!$F$4:$H$4,Assumptions!$F$11:$H$11)</f>
        <v>0.3</v>
      </c>
      <c r="O1945" s="14">
        <f>Final_Table[[#This Row],[Units Sold]]*Final_Table[[#This Row],[Sale Price]]</f>
        <v>20400</v>
      </c>
      <c r="P1945" s="14">
        <f>Final_Table[[#This Row],[Gross Revenue]]*(1-Final_Table[[#This Row],[Discount %]])</f>
        <v>18360</v>
      </c>
      <c r="Q1945">
        <f>Final_Table[[#This Row],[Net Revenue]]*Final_Table[[#This Row],[Variable Cost %]]</f>
        <v>3304.7999999999997</v>
      </c>
      <c r="R1945">
        <f>Final_Table[[#This Row],[Variable Cost]]+Final_Table[[#This Row],[Fixed Monthly Cost]]</f>
        <v>21304.799999999999</v>
      </c>
      <c r="S1945" s="5">
        <f>Final_Table[[#This Row],[Net Revenue]]-Final_Table[[#This Row],[Total Cost (COGS)]]</f>
        <v>-2944.7999999999993</v>
      </c>
      <c r="T1945">
        <f>Final_Table[[#This Row],[Gross Profit]]*Final_Table[[#This Row],[Tax Rate]]</f>
        <v>-883.43999999999971</v>
      </c>
      <c r="U1945" s="5">
        <f>Final_Table[[#This Row],[Gross Profit]]-Final_Table[[#This Row],[Tax]]</f>
        <v>-2061.3599999999997</v>
      </c>
      <c r="V1945" s="12">
        <f>Final_Table[[#This Row],[Net Profit]]/Final_Table[[#This Row],[Gross Revenue]]</f>
        <v>-0.10104705882352939</v>
      </c>
    </row>
    <row r="1946" spans="1:22">
      <c r="A1946" s="18" t="s">
        <v>69</v>
      </c>
      <c r="B1946">
        <v>2014</v>
      </c>
      <c r="C1946" t="s">
        <v>133</v>
      </c>
      <c r="D1946">
        <v>1</v>
      </c>
      <c r="E1946" s="18" t="s">
        <v>22</v>
      </c>
      <c r="F1946" s="18" t="s">
        <v>113</v>
      </c>
      <c r="G1946" s="18" t="s">
        <v>17</v>
      </c>
      <c r="H1946" s="18" t="str">
        <f>Assumptions!$B$2</f>
        <v>Worst</v>
      </c>
      <c r="I1946" s="18">
        <f>_xlfn.XLOOKUP(Assumptions!$B$2,Assumptions!$F$4:$H$4,Assumptions!$F$5:$H$5)</f>
        <v>1200</v>
      </c>
      <c r="J1946" s="18">
        <f>_xlfn.XLOOKUP(Assumptions!$B$2,Assumptions!$F$4:$H$4,Assumptions!$F$6:$H$6)</f>
        <v>17</v>
      </c>
      <c r="K1946" s="12">
        <f>_xlfn.XLOOKUP(Assumptions!$B$2,Assumptions!$F$4:$H$4,Assumptions!$F$8:$H$8)</f>
        <v>0.1</v>
      </c>
      <c r="L1946" s="12">
        <f>_xlfn.XLOOKUP(Assumptions!$B$2,Assumptions!$F$4:$H$4,Assumptions!$F$9:$H$9)</f>
        <v>0.18</v>
      </c>
      <c r="M1946" s="18">
        <f>_xlfn.XLOOKUP(Assumptions!$B$2,Assumptions!$F$4:$H$4,Assumptions!$F$10:$H$10)</f>
        <v>18000</v>
      </c>
      <c r="N1946" s="12">
        <f>_xlfn.XLOOKUP(Assumptions!$B$2,Assumptions!$F$4:$H$4,Assumptions!$F$11:$H$11)</f>
        <v>0.3</v>
      </c>
      <c r="O1946" s="14">
        <f>Final_Table[[#This Row],[Units Sold]]*Final_Table[[#This Row],[Sale Price]]</f>
        <v>20400</v>
      </c>
      <c r="P1946" s="14">
        <f>Final_Table[[#This Row],[Gross Revenue]]*(1-Final_Table[[#This Row],[Discount %]])</f>
        <v>18360</v>
      </c>
      <c r="Q1946">
        <f>Final_Table[[#This Row],[Net Revenue]]*Final_Table[[#This Row],[Variable Cost %]]</f>
        <v>3304.7999999999997</v>
      </c>
      <c r="R1946">
        <f>Final_Table[[#This Row],[Variable Cost]]+Final_Table[[#This Row],[Fixed Monthly Cost]]</f>
        <v>21304.799999999999</v>
      </c>
      <c r="S1946" s="5">
        <f>Final_Table[[#This Row],[Net Revenue]]-Final_Table[[#This Row],[Total Cost (COGS)]]</f>
        <v>-2944.7999999999993</v>
      </c>
      <c r="T1946">
        <f>Final_Table[[#This Row],[Gross Profit]]*Final_Table[[#This Row],[Tax Rate]]</f>
        <v>-883.43999999999971</v>
      </c>
      <c r="U1946" s="5">
        <f>Final_Table[[#This Row],[Gross Profit]]-Final_Table[[#This Row],[Tax]]</f>
        <v>-2061.3599999999997</v>
      </c>
      <c r="V1946" s="12">
        <f>Final_Table[[#This Row],[Net Profit]]/Final_Table[[#This Row],[Gross Revenue]]</f>
        <v>-0.10104705882352939</v>
      </c>
    </row>
    <row r="1947" spans="1:22">
      <c r="A1947" s="18" t="s">
        <v>69</v>
      </c>
      <c r="B1947">
        <v>2014</v>
      </c>
      <c r="C1947" t="s">
        <v>133</v>
      </c>
      <c r="D1947">
        <v>1</v>
      </c>
      <c r="E1947" s="18" t="s">
        <v>22</v>
      </c>
      <c r="F1947" s="18" t="s">
        <v>114</v>
      </c>
      <c r="G1947" s="18" t="s">
        <v>36</v>
      </c>
      <c r="H1947" s="18" t="str">
        <f>Assumptions!$B$2</f>
        <v>Worst</v>
      </c>
      <c r="I1947" s="18">
        <f>_xlfn.XLOOKUP(Assumptions!$B$2,Assumptions!$F$4:$H$4,Assumptions!$F$5:$H$5)</f>
        <v>1200</v>
      </c>
      <c r="J1947" s="18">
        <f>_xlfn.XLOOKUP(Assumptions!$B$2,Assumptions!$F$4:$H$4,Assumptions!$F$6:$H$6)</f>
        <v>17</v>
      </c>
      <c r="K1947" s="12">
        <f>_xlfn.XLOOKUP(Assumptions!$B$2,Assumptions!$F$4:$H$4,Assumptions!$F$8:$H$8)</f>
        <v>0.1</v>
      </c>
      <c r="L1947" s="12">
        <f>_xlfn.XLOOKUP(Assumptions!$B$2,Assumptions!$F$4:$H$4,Assumptions!$F$9:$H$9)</f>
        <v>0.18</v>
      </c>
      <c r="M1947" s="18">
        <f>_xlfn.XLOOKUP(Assumptions!$B$2,Assumptions!$F$4:$H$4,Assumptions!$F$10:$H$10)</f>
        <v>18000</v>
      </c>
      <c r="N1947" s="12">
        <f>_xlfn.XLOOKUP(Assumptions!$B$2,Assumptions!$F$4:$H$4,Assumptions!$F$11:$H$11)</f>
        <v>0.3</v>
      </c>
      <c r="O1947" s="14">
        <f>Final_Table[[#This Row],[Units Sold]]*Final_Table[[#This Row],[Sale Price]]</f>
        <v>20400</v>
      </c>
      <c r="P1947" s="14">
        <f>Final_Table[[#This Row],[Gross Revenue]]*(1-Final_Table[[#This Row],[Discount %]])</f>
        <v>18360</v>
      </c>
      <c r="Q1947">
        <f>Final_Table[[#This Row],[Net Revenue]]*Final_Table[[#This Row],[Variable Cost %]]</f>
        <v>3304.7999999999997</v>
      </c>
      <c r="R1947">
        <f>Final_Table[[#This Row],[Variable Cost]]+Final_Table[[#This Row],[Fixed Monthly Cost]]</f>
        <v>21304.799999999999</v>
      </c>
      <c r="S1947" s="5">
        <f>Final_Table[[#This Row],[Net Revenue]]-Final_Table[[#This Row],[Total Cost (COGS)]]</f>
        <v>-2944.7999999999993</v>
      </c>
      <c r="T1947">
        <f>Final_Table[[#This Row],[Gross Profit]]*Final_Table[[#This Row],[Tax Rate]]</f>
        <v>-883.43999999999971</v>
      </c>
      <c r="U1947" s="5">
        <f>Final_Table[[#This Row],[Gross Profit]]-Final_Table[[#This Row],[Tax]]</f>
        <v>-2061.3599999999997</v>
      </c>
      <c r="V1947" s="12">
        <f>Final_Table[[#This Row],[Net Profit]]/Final_Table[[#This Row],[Gross Revenue]]</f>
        <v>-0.10104705882352939</v>
      </c>
    </row>
    <row r="1948" spans="1:22">
      <c r="A1948" s="18" t="s">
        <v>69</v>
      </c>
      <c r="B1948">
        <v>2014</v>
      </c>
      <c r="C1948" t="s">
        <v>133</v>
      </c>
      <c r="D1948">
        <v>1</v>
      </c>
      <c r="E1948" s="18" t="s">
        <v>22</v>
      </c>
      <c r="F1948" s="18" t="s">
        <v>114</v>
      </c>
      <c r="G1948" s="18" t="s">
        <v>23</v>
      </c>
      <c r="H1948" s="18" t="str">
        <f>Assumptions!$B$2</f>
        <v>Worst</v>
      </c>
      <c r="I1948" s="18">
        <f>_xlfn.XLOOKUP(Assumptions!$B$2,Assumptions!$F$4:$H$4,Assumptions!$F$5:$H$5)</f>
        <v>1200</v>
      </c>
      <c r="J1948" s="18">
        <f>_xlfn.XLOOKUP(Assumptions!$B$2,Assumptions!$F$4:$H$4,Assumptions!$F$6:$H$6)</f>
        <v>17</v>
      </c>
      <c r="K1948" s="12">
        <f>_xlfn.XLOOKUP(Assumptions!$B$2,Assumptions!$F$4:$H$4,Assumptions!$F$8:$H$8)</f>
        <v>0.1</v>
      </c>
      <c r="L1948" s="12">
        <f>_xlfn.XLOOKUP(Assumptions!$B$2,Assumptions!$F$4:$H$4,Assumptions!$F$9:$H$9)</f>
        <v>0.18</v>
      </c>
      <c r="M1948" s="18">
        <f>_xlfn.XLOOKUP(Assumptions!$B$2,Assumptions!$F$4:$H$4,Assumptions!$F$10:$H$10)</f>
        <v>18000</v>
      </c>
      <c r="N1948" s="12">
        <f>_xlfn.XLOOKUP(Assumptions!$B$2,Assumptions!$F$4:$H$4,Assumptions!$F$11:$H$11)</f>
        <v>0.3</v>
      </c>
      <c r="O1948" s="14">
        <f>Final_Table[[#This Row],[Units Sold]]*Final_Table[[#This Row],[Sale Price]]</f>
        <v>20400</v>
      </c>
      <c r="P1948" s="14">
        <f>Final_Table[[#This Row],[Gross Revenue]]*(1-Final_Table[[#This Row],[Discount %]])</f>
        <v>18360</v>
      </c>
      <c r="Q1948">
        <f>Final_Table[[#This Row],[Net Revenue]]*Final_Table[[#This Row],[Variable Cost %]]</f>
        <v>3304.7999999999997</v>
      </c>
      <c r="R1948">
        <f>Final_Table[[#This Row],[Variable Cost]]+Final_Table[[#This Row],[Fixed Monthly Cost]]</f>
        <v>21304.799999999999</v>
      </c>
      <c r="S1948" s="5">
        <f>Final_Table[[#This Row],[Net Revenue]]-Final_Table[[#This Row],[Total Cost (COGS)]]</f>
        <v>-2944.7999999999993</v>
      </c>
      <c r="T1948">
        <f>Final_Table[[#This Row],[Gross Profit]]*Final_Table[[#This Row],[Tax Rate]]</f>
        <v>-883.43999999999971</v>
      </c>
      <c r="U1948" s="5">
        <f>Final_Table[[#This Row],[Gross Profit]]-Final_Table[[#This Row],[Tax]]</f>
        <v>-2061.3599999999997</v>
      </c>
      <c r="V1948" s="12">
        <f>Final_Table[[#This Row],[Net Profit]]/Final_Table[[#This Row],[Gross Revenue]]</f>
        <v>-0.10104705882352939</v>
      </c>
    </row>
    <row r="1949" spans="1:22">
      <c r="A1949" s="18" t="s">
        <v>69</v>
      </c>
      <c r="B1949">
        <v>2014</v>
      </c>
      <c r="C1949" t="s">
        <v>133</v>
      </c>
      <c r="D1949">
        <v>1</v>
      </c>
      <c r="E1949" s="18" t="s">
        <v>22</v>
      </c>
      <c r="F1949" s="18" t="s">
        <v>114</v>
      </c>
      <c r="G1949" s="18" t="s">
        <v>21</v>
      </c>
      <c r="H1949" s="18" t="str">
        <f>Assumptions!$B$2</f>
        <v>Worst</v>
      </c>
      <c r="I1949" s="18">
        <f>_xlfn.XLOOKUP(Assumptions!$B$2,Assumptions!$F$4:$H$4,Assumptions!$F$5:$H$5)</f>
        <v>1200</v>
      </c>
      <c r="J1949" s="18">
        <f>_xlfn.XLOOKUP(Assumptions!$B$2,Assumptions!$F$4:$H$4,Assumptions!$F$6:$H$6)</f>
        <v>17</v>
      </c>
      <c r="K1949" s="12">
        <f>_xlfn.XLOOKUP(Assumptions!$B$2,Assumptions!$F$4:$H$4,Assumptions!$F$8:$H$8)</f>
        <v>0.1</v>
      </c>
      <c r="L1949" s="12">
        <f>_xlfn.XLOOKUP(Assumptions!$B$2,Assumptions!$F$4:$H$4,Assumptions!$F$9:$H$9)</f>
        <v>0.18</v>
      </c>
      <c r="M1949" s="18">
        <f>_xlfn.XLOOKUP(Assumptions!$B$2,Assumptions!$F$4:$H$4,Assumptions!$F$10:$H$10)</f>
        <v>18000</v>
      </c>
      <c r="N1949" s="12">
        <f>_xlfn.XLOOKUP(Assumptions!$B$2,Assumptions!$F$4:$H$4,Assumptions!$F$11:$H$11)</f>
        <v>0.3</v>
      </c>
      <c r="O1949" s="14">
        <f>Final_Table[[#This Row],[Units Sold]]*Final_Table[[#This Row],[Sale Price]]</f>
        <v>20400</v>
      </c>
      <c r="P1949" s="14">
        <f>Final_Table[[#This Row],[Gross Revenue]]*(1-Final_Table[[#This Row],[Discount %]])</f>
        <v>18360</v>
      </c>
      <c r="Q1949">
        <f>Final_Table[[#This Row],[Net Revenue]]*Final_Table[[#This Row],[Variable Cost %]]</f>
        <v>3304.7999999999997</v>
      </c>
      <c r="R1949">
        <f>Final_Table[[#This Row],[Variable Cost]]+Final_Table[[#This Row],[Fixed Monthly Cost]]</f>
        <v>21304.799999999999</v>
      </c>
      <c r="S1949" s="5">
        <f>Final_Table[[#This Row],[Net Revenue]]-Final_Table[[#This Row],[Total Cost (COGS)]]</f>
        <v>-2944.7999999999993</v>
      </c>
      <c r="T1949">
        <f>Final_Table[[#This Row],[Gross Profit]]*Final_Table[[#This Row],[Tax Rate]]</f>
        <v>-883.43999999999971</v>
      </c>
      <c r="U1949" s="5">
        <f>Final_Table[[#This Row],[Gross Profit]]-Final_Table[[#This Row],[Tax]]</f>
        <v>-2061.3599999999997</v>
      </c>
      <c r="V1949" s="12">
        <f>Final_Table[[#This Row],[Net Profit]]/Final_Table[[#This Row],[Gross Revenue]]</f>
        <v>-0.10104705882352939</v>
      </c>
    </row>
    <row r="1950" spans="1:22">
      <c r="A1950" s="18" t="s">
        <v>69</v>
      </c>
      <c r="B1950">
        <v>2014</v>
      </c>
      <c r="C1950" t="s">
        <v>133</v>
      </c>
      <c r="D1950">
        <v>1</v>
      </c>
      <c r="E1950" s="18" t="s">
        <v>22</v>
      </c>
      <c r="F1950" s="18" t="s">
        <v>114</v>
      </c>
      <c r="G1950" s="18" t="s">
        <v>25</v>
      </c>
      <c r="H1950" s="18" t="str">
        <f>Assumptions!$B$2</f>
        <v>Worst</v>
      </c>
      <c r="I1950" s="18">
        <f>_xlfn.XLOOKUP(Assumptions!$B$2,Assumptions!$F$4:$H$4,Assumptions!$F$5:$H$5)</f>
        <v>1200</v>
      </c>
      <c r="J1950" s="18">
        <f>_xlfn.XLOOKUP(Assumptions!$B$2,Assumptions!$F$4:$H$4,Assumptions!$F$6:$H$6)</f>
        <v>17</v>
      </c>
      <c r="K1950" s="12">
        <f>_xlfn.XLOOKUP(Assumptions!$B$2,Assumptions!$F$4:$H$4,Assumptions!$F$8:$H$8)</f>
        <v>0.1</v>
      </c>
      <c r="L1950" s="12">
        <f>_xlfn.XLOOKUP(Assumptions!$B$2,Assumptions!$F$4:$H$4,Assumptions!$F$9:$H$9)</f>
        <v>0.18</v>
      </c>
      <c r="M1950" s="18">
        <f>_xlfn.XLOOKUP(Assumptions!$B$2,Assumptions!$F$4:$H$4,Assumptions!$F$10:$H$10)</f>
        <v>18000</v>
      </c>
      <c r="N1950" s="12">
        <f>_xlfn.XLOOKUP(Assumptions!$B$2,Assumptions!$F$4:$H$4,Assumptions!$F$11:$H$11)</f>
        <v>0.3</v>
      </c>
      <c r="O1950" s="14">
        <f>Final_Table[[#This Row],[Units Sold]]*Final_Table[[#This Row],[Sale Price]]</f>
        <v>20400</v>
      </c>
      <c r="P1950" s="14">
        <f>Final_Table[[#This Row],[Gross Revenue]]*(1-Final_Table[[#This Row],[Discount %]])</f>
        <v>18360</v>
      </c>
      <c r="Q1950">
        <f>Final_Table[[#This Row],[Net Revenue]]*Final_Table[[#This Row],[Variable Cost %]]</f>
        <v>3304.7999999999997</v>
      </c>
      <c r="R1950">
        <f>Final_Table[[#This Row],[Variable Cost]]+Final_Table[[#This Row],[Fixed Monthly Cost]]</f>
        <v>21304.799999999999</v>
      </c>
      <c r="S1950" s="5">
        <f>Final_Table[[#This Row],[Net Revenue]]-Final_Table[[#This Row],[Total Cost (COGS)]]</f>
        <v>-2944.7999999999993</v>
      </c>
      <c r="T1950">
        <f>Final_Table[[#This Row],[Gross Profit]]*Final_Table[[#This Row],[Tax Rate]]</f>
        <v>-883.43999999999971</v>
      </c>
      <c r="U1950" s="5">
        <f>Final_Table[[#This Row],[Gross Profit]]-Final_Table[[#This Row],[Tax]]</f>
        <v>-2061.3599999999997</v>
      </c>
      <c r="V1950" s="12">
        <f>Final_Table[[#This Row],[Net Profit]]/Final_Table[[#This Row],[Gross Revenue]]</f>
        <v>-0.10104705882352939</v>
      </c>
    </row>
    <row r="1951" spans="1:22">
      <c r="A1951" s="18" t="s">
        <v>69</v>
      </c>
      <c r="B1951">
        <v>2014</v>
      </c>
      <c r="C1951" t="s">
        <v>133</v>
      </c>
      <c r="D1951">
        <v>1</v>
      </c>
      <c r="E1951" s="18" t="s">
        <v>22</v>
      </c>
      <c r="F1951" s="18" t="s">
        <v>114</v>
      </c>
      <c r="G1951" s="18" t="s">
        <v>17</v>
      </c>
      <c r="H1951" s="18" t="str">
        <f>Assumptions!$B$2</f>
        <v>Worst</v>
      </c>
      <c r="I1951" s="18">
        <f>_xlfn.XLOOKUP(Assumptions!$B$2,Assumptions!$F$4:$H$4,Assumptions!$F$5:$H$5)</f>
        <v>1200</v>
      </c>
      <c r="J1951" s="18">
        <f>_xlfn.XLOOKUP(Assumptions!$B$2,Assumptions!$F$4:$H$4,Assumptions!$F$6:$H$6)</f>
        <v>17</v>
      </c>
      <c r="K1951" s="12">
        <f>_xlfn.XLOOKUP(Assumptions!$B$2,Assumptions!$F$4:$H$4,Assumptions!$F$8:$H$8)</f>
        <v>0.1</v>
      </c>
      <c r="L1951" s="12">
        <f>_xlfn.XLOOKUP(Assumptions!$B$2,Assumptions!$F$4:$H$4,Assumptions!$F$9:$H$9)</f>
        <v>0.18</v>
      </c>
      <c r="M1951" s="18">
        <f>_xlfn.XLOOKUP(Assumptions!$B$2,Assumptions!$F$4:$H$4,Assumptions!$F$10:$H$10)</f>
        <v>18000</v>
      </c>
      <c r="N1951" s="12">
        <f>_xlfn.XLOOKUP(Assumptions!$B$2,Assumptions!$F$4:$H$4,Assumptions!$F$11:$H$11)</f>
        <v>0.3</v>
      </c>
      <c r="O1951" s="14">
        <f>Final_Table[[#This Row],[Units Sold]]*Final_Table[[#This Row],[Sale Price]]</f>
        <v>20400</v>
      </c>
      <c r="P1951" s="14">
        <f>Final_Table[[#This Row],[Gross Revenue]]*(1-Final_Table[[#This Row],[Discount %]])</f>
        <v>18360</v>
      </c>
      <c r="Q1951">
        <f>Final_Table[[#This Row],[Net Revenue]]*Final_Table[[#This Row],[Variable Cost %]]</f>
        <v>3304.7999999999997</v>
      </c>
      <c r="R1951">
        <f>Final_Table[[#This Row],[Variable Cost]]+Final_Table[[#This Row],[Fixed Monthly Cost]]</f>
        <v>21304.799999999999</v>
      </c>
      <c r="S1951" s="5">
        <f>Final_Table[[#This Row],[Net Revenue]]-Final_Table[[#This Row],[Total Cost (COGS)]]</f>
        <v>-2944.7999999999993</v>
      </c>
      <c r="T1951">
        <f>Final_Table[[#This Row],[Gross Profit]]*Final_Table[[#This Row],[Tax Rate]]</f>
        <v>-883.43999999999971</v>
      </c>
      <c r="U1951" s="5">
        <f>Final_Table[[#This Row],[Gross Profit]]-Final_Table[[#This Row],[Tax]]</f>
        <v>-2061.3599999999997</v>
      </c>
      <c r="V1951" s="12">
        <f>Final_Table[[#This Row],[Net Profit]]/Final_Table[[#This Row],[Gross Revenue]]</f>
        <v>-0.10104705882352939</v>
      </c>
    </row>
    <row r="1952" spans="1:22">
      <c r="A1952" s="18" t="s">
        <v>69</v>
      </c>
      <c r="B1952">
        <v>2014</v>
      </c>
      <c r="C1952" t="s">
        <v>133</v>
      </c>
      <c r="D1952">
        <v>1</v>
      </c>
      <c r="E1952" s="18" t="s">
        <v>16</v>
      </c>
      <c r="F1952" s="18" t="s">
        <v>80</v>
      </c>
      <c r="G1952" s="18" t="s">
        <v>36</v>
      </c>
      <c r="H1952" s="18" t="str">
        <f>Assumptions!$B$2</f>
        <v>Worst</v>
      </c>
      <c r="I1952" s="18">
        <f>_xlfn.XLOOKUP(Assumptions!$B$2,Assumptions!$F$4:$H$4,Assumptions!$F$5:$H$5)</f>
        <v>1200</v>
      </c>
      <c r="J1952" s="18">
        <f>_xlfn.XLOOKUP(Assumptions!$B$2,Assumptions!$F$4:$H$4,Assumptions!$F$6:$H$6)</f>
        <v>17</v>
      </c>
      <c r="K1952" s="12">
        <f>_xlfn.XLOOKUP(Assumptions!$B$2,Assumptions!$F$4:$H$4,Assumptions!$F$8:$H$8)</f>
        <v>0.1</v>
      </c>
      <c r="L1952" s="12">
        <f>_xlfn.XLOOKUP(Assumptions!$B$2,Assumptions!$F$4:$H$4,Assumptions!$F$9:$H$9)</f>
        <v>0.18</v>
      </c>
      <c r="M1952" s="18">
        <f>_xlfn.XLOOKUP(Assumptions!$B$2,Assumptions!$F$4:$H$4,Assumptions!$F$10:$H$10)</f>
        <v>18000</v>
      </c>
      <c r="N1952" s="12">
        <f>_xlfn.XLOOKUP(Assumptions!$B$2,Assumptions!$F$4:$H$4,Assumptions!$F$11:$H$11)</f>
        <v>0.3</v>
      </c>
      <c r="O1952" s="14">
        <f>Final_Table[[#This Row],[Units Sold]]*Final_Table[[#This Row],[Sale Price]]</f>
        <v>20400</v>
      </c>
      <c r="P1952" s="14">
        <f>Final_Table[[#This Row],[Gross Revenue]]*(1-Final_Table[[#This Row],[Discount %]])</f>
        <v>18360</v>
      </c>
      <c r="Q1952">
        <f>Final_Table[[#This Row],[Net Revenue]]*Final_Table[[#This Row],[Variable Cost %]]</f>
        <v>3304.7999999999997</v>
      </c>
      <c r="R1952">
        <f>Final_Table[[#This Row],[Variable Cost]]+Final_Table[[#This Row],[Fixed Monthly Cost]]</f>
        <v>21304.799999999999</v>
      </c>
      <c r="S1952" s="5">
        <f>Final_Table[[#This Row],[Net Revenue]]-Final_Table[[#This Row],[Total Cost (COGS)]]</f>
        <v>-2944.7999999999993</v>
      </c>
      <c r="T1952">
        <f>Final_Table[[#This Row],[Gross Profit]]*Final_Table[[#This Row],[Tax Rate]]</f>
        <v>-883.43999999999971</v>
      </c>
      <c r="U1952" s="5">
        <f>Final_Table[[#This Row],[Gross Profit]]-Final_Table[[#This Row],[Tax]]</f>
        <v>-2061.3599999999997</v>
      </c>
      <c r="V1952" s="12">
        <f>Final_Table[[#This Row],[Net Profit]]/Final_Table[[#This Row],[Gross Revenue]]</f>
        <v>-0.10104705882352939</v>
      </c>
    </row>
    <row r="1953" spans="1:22">
      <c r="A1953" s="18" t="s">
        <v>69</v>
      </c>
      <c r="B1953">
        <v>2014</v>
      </c>
      <c r="C1953" t="s">
        <v>133</v>
      </c>
      <c r="D1953">
        <v>1</v>
      </c>
      <c r="E1953" s="18" t="s">
        <v>16</v>
      </c>
      <c r="F1953" s="18" t="s">
        <v>80</v>
      </c>
      <c r="G1953" s="18" t="s">
        <v>23</v>
      </c>
      <c r="H1953" s="18" t="str">
        <f>Assumptions!$B$2</f>
        <v>Worst</v>
      </c>
      <c r="I1953" s="18">
        <f>_xlfn.XLOOKUP(Assumptions!$B$2,Assumptions!$F$4:$H$4,Assumptions!$F$5:$H$5)</f>
        <v>1200</v>
      </c>
      <c r="J1953" s="18">
        <f>_xlfn.XLOOKUP(Assumptions!$B$2,Assumptions!$F$4:$H$4,Assumptions!$F$6:$H$6)</f>
        <v>17</v>
      </c>
      <c r="K1953" s="12">
        <f>_xlfn.XLOOKUP(Assumptions!$B$2,Assumptions!$F$4:$H$4,Assumptions!$F$8:$H$8)</f>
        <v>0.1</v>
      </c>
      <c r="L1953" s="12">
        <f>_xlfn.XLOOKUP(Assumptions!$B$2,Assumptions!$F$4:$H$4,Assumptions!$F$9:$H$9)</f>
        <v>0.18</v>
      </c>
      <c r="M1953" s="18">
        <f>_xlfn.XLOOKUP(Assumptions!$B$2,Assumptions!$F$4:$H$4,Assumptions!$F$10:$H$10)</f>
        <v>18000</v>
      </c>
      <c r="N1953" s="12">
        <f>_xlfn.XLOOKUP(Assumptions!$B$2,Assumptions!$F$4:$H$4,Assumptions!$F$11:$H$11)</f>
        <v>0.3</v>
      </c>
      <c r="O1953" s="14">
        <f>Final_Table[[#This Row],[Units Sold]]*Final_Table[[#This Row],[Sale Price]]</f>
        <v>20400</v>
      </c>
      <c r="P1953" s="14">
        <f>Final_Table[[#This Row],[Gross Revenue]]*(1-Final_Table[[#This Row],[Discount %]])</f>
        <v>18360</v>
      </c>
      <c r="Q1953">
        <f>Final_Table[[#This Row],[Net Revenue]]*Final_Table[[#This Row],[Variable Cost %]]</f>
        <v>3304.7999999999997</v>
      </c>
      <c r="R1953">
        <f>Final_Table[[#This Row],[Variable Cost]]+Final_Table[[#This Row],[Fixed Monthly Cost]]</f>
        <v>21304.799999999999</v>
      </c>
      <c r="S1953" s="5">
        <f>Final_Table[[#This Row],[Net Revenue]]-Final_Table[[#This Row],[Total Cost (COGS)]]</f>
        <v>-2944.7999999999993</v>
      </c>
      <c r="T1953">
        <f>Final_Table[[#This Row],[Gross Profit]]*Final_Table[[#This Row],[Tax Rate]]</f>
        <v>-883.43999999999971</v>
      </c>
      <c r="U1953" s="5">
        <f>Final_Table[[#This Row],[Gross Profit]]-Final_Table[[#This Row],[Tax]]</f>
        <v>-2061.3599999999997</v>
      </c>
      <c r="V1953" s="12">
        <f>Final_Table[[#This Row],[Net Profit]]/Final_Table[[#This Row],[Gross Revenue]]</f>
        <v>-0.10104705882352939</v>
      </c>
    </row>
    <row r="1954" spans="1:22">
      <c r="A1954" s="18" t="s">
        <v>69</v>
      </c>
      <c r="B1954">
        <v>2014</v>
      </c>
      <c r="C1954" t="s">
        <v>133</v>
      </c>
      <c r="D1954">
        <v>1</v>
      </c>
      <c r="E1954" s="18" t="s">
        <v>16</v>
      </c>
      <c r="F1954" s="18" t="s">
        <v>80</v>
      </c>
      <c r="G1954" s="18" t="s">
        <v>21</v>
      </c>
      <c r="H1954" s="18" t="str">
        <f>Assumptions!$B$2</f>
        <v>Worst</v>
      </c>
      <c r="I1954" s="18">
        <f>_xlfn.XLOOKUP(Assumptions!$B$2,Assumptions!$F$4:$H$4,Assumptions!$F$5:$H$5)</f>
        <v>1200</v>
      </c>
      <c r="J1954" s="18">
        <f>_xlfn.XLOOKUP(Assumptions!$B$2,Assumptions!$F$4:$H$4,Assumptions!$F$6:$H$6)</f>
        <v>17</v>
      </c>
      <c r="K1954" s="12">
        <f>_xlfn.XLOOKUP(Assumptions!$B$2,Assumptions!$F$4:$H$4,Assumptions!$F$8:$H$8)</f>
        <v>0.1</v>
      </c>
      <c r="L1954" s="12">
        <f>_xlfn.XLOOKUP(Assumptions!$B$2,Assumptions!$F$4:$H$4,Assumptions!$F$9:$H$9)</f>
        <v>0.18</v>
      </c>
      <c r="M1954" s="18">
        <f>_xlfn.XLOOKUP(Assumptions!$B$2,Assumptions!$F$4:$H$4,Assumptions!$F$10:$H$10)</f>
        <v>18000</v>
      </c>
      <c r="N1954" s="12">
        <f>_xlfn.XLOOKUP(Assumptions!$B$2,Assumptions!$F$4:$H$4,Assumptions!$F$11:$H$11)</f>
        <v>0.3</v>
      </c>
      <c r="O1954" s="14">
        <f>Final_Table[[#This Row],[Units Sold]]*Final_Table[[#This Row],[Sale Price]]</f>
        <v>20400</v>
      </c>
      <c r="P1954" s="14">
        <f>Final_Table[[#This Row],[Gross Revenue]]*(1-Final_Table[[#This Row],[Discount %]])</f>
        <v>18360</v>
      </c>
      <c r="Q1954">
        <f>Final_Table[[#This Row],[Net Revenue]]*Final_Table[[#This Row],[Variable Cost %]]</f>
        <v>3304.7999999999997</v>
      </c>
      <c r="R1954">
        <f>Final_Table[[#This Row],[Variable Cost]]+Final_Table[[#This Row],[Fixed Monthly Cost]]</f>
        <v>21304.799999999999</v>
      </c>
      <c r="S1954" s="5">
        <f>Final_Table[[#This Row],[Net Revenue]]-Final_Table[[#This Row],[Total Cost (COGS)]]</f>
        <v>-2944.7999999999993</v>
      </c>
      <c r="T1954">
        <f>Final_Table[[#This Row],[Gross Profit]]*Final_Table[[#This Row],[Tax Rate]]</f>
        <v>-883.43999999999971</v>
      </c>
      <c r="U1954" s="5">
        <f>Final_Table[[#This Row],[Gross Profit]]-Final_Table[[#This Row],[Tax]]</f>
        <v>-2061.3599999999997</v>
      </c>
      <c r="V1954" s="12">
        <f>Final_Table[[#This Row],[Net Profit]]/Final_Table[[#This Row],[Gross Revenue]]</f>
        <v>-0.10104705882352939</v>
      </c>
    </row>
    <row r="1955" spans="1:22">
      <c r="A1955" s="18" t="s">
        <v>69</v>
      </c>
      <c r="B1955">
        <v>2014</v>
      </c>
      <c r="C1955" t="s">
        <v>133</v>
      </c>
      <c r="D1955">
        <v>1</v>
      </c>
      <c r="E1955" s="18" t="s">
        <v>16</v>
      </c>
      <c r="F1955" s="18" t="s">
        <v>80</v>
      </c>
      <c r="G1955" s="18" t="s">
        <v>25</v>
      </c>
      <c r="H1955" s="18" t="str">
        <f>Assumptions!$B$2</f>
        <v>Worst</v>
      </c>
      <c r="I1955" s="18">
        <f>_xlfn.XLOOKUP(Assumptions!$B$2,Assumptions!$F$4:$H$4,Assumptions!$F$5:$H$5)</f>
        <v>1200</v>
      </c>
      <c r="J1955" s="18">
        <f>_xlfn.XLOOKUP(Assumptions!$B$2,Assumptions!$F$4:$H$4,Assumptions!$F$6:$H$6)</f>
        <v>17</v>
      </c>
      <c r="K1955" s="12">
        <f>_xlfn.XLOOKUP(Assumptions!$B$2,Assumptions!$F$4:$H$4,Assumptions!$F$8:$H$8)</f>
        <v>0.1</v>
      </c>
      <c r="L1955" s="12">
        <f>_xlfn.XLOOKUP(Assumptions!$B$2,Assumptions!$F$4:$H$4,Assumptions!$F$9:$H$9)</f>
        <v>0.18</v>
      </c>
      <c r="M1955" s="18">
        <f>_xlfn.XLOOKUP(Assumptions!$B$2,Assumptions!$F$4:$H$4,Assumptions!$F$10:$H$10)</f>
        <v>18000</v>
      </c>
      <c r="N1955" s="12">
        <f>_xlfn.XLOOKUP(Assumptions!$B$2,Assumptions!$F$4:$H$4,Assumptions!$F$11:$H$11)</f>
        <v>0.3</v>
      </c>
      <c r="O1955" s="14">
        <f>Final_Table[[#This Row],[Units Sold]]*Final_Table[[#This Row],[Sale Price]]</f>
        <v>20400</v>
      </c>
      <c r="P1955" s="14">
        <f>Final_Table[[#This Row],[Gross Revenue]]*(1-Final_Table[[#This Row],[Discount %]])</f>
        <v>18360</v>
      </c>
      <c r="Q1955">
        <f>Final_Table[[#This Row],[Net Revenue]]*Final_Table[[#This Row],[Variable Cost %]]</f>
        <v>3304.7999999999997</v>
      </c>
      <c r="R1955">
        <f>Final_Table[[#This Row],[Variable Cost]]+Final_Table[[#This Row],[Fixed Monthly Cost]]</f>
        <v>21304.799999999999</v>
      </c>
      <c r="S1955" s="5">
        <f>Final_Table[[#This Row],[Net Revenue]]-Final_Table[[#This Row],[Total Cost (COGS)]]</f>
        <v>-2944.7999999999993</v>
      </c>
      <c r="T1955">
        <f>Final_Table[[#This Row],[Gross Profit]]*Final_Table[[#This Row],[Tax Rate]]</f>
        <v>-883.43999999999971</v>
      </c>
      <c r="U1955" s="5">
        <f>Final_Table[[#This Row],[Gross Profit]]-Final_Table[[#This Row],[Tax]]</f>
        <v>-2061.3599999999997</v>
      </c>
      <c r="V1955" s="12">
        <f>Final_Table[[#This Row],[Net Profit]]/Final_Table[[#This Row],[Gross Revenue]]</f>
        <v>-0.10104705882352939</v>
      </c>
    </row>
    <row r="1956" spans="1:22">
      <c r="A1956" s="18" t="s">
        <v>69</v>
      </c>
      <c r="B1956">
        <v>2014</v>
      </c>
      <c r="C1956" t="s">
        <v>133</v>
      </c>
      <c r="D1956">
        <v>1</v>
      </c>
      <c r="E1956" s="18" t="s">
        <v>16</v>
      </c>
      <c r="F1956" s="18" t="s">
        <v>80</v>
      </c>
      <c r="G1956" s="18" t="s">
        <v>17</v>
      </c>
      <c r="H1956" s="18" t="str">
        <f>Assumptions!$B$2</f>
        <v>Worst</v>
      </c>
      <c r="I1956" s="18">
        <f>_xlfn.XLOOKUP(Assumptions!$B$2,Assumptions!$F$4:$H$4,Assumptions!$F$5:$H$5)</f>
        <v>1200</v>
      </c>
      <c r="J1956" s="18">
        <f>_xlfn.XLOOKUP(Assumptions!$B$2,Assumptions!$F$4:$H$4,Assumptions!$F$6:$H$6)</f>
        <v>17</v>
      </c>
      <c r="K1956" s="12">
        <f>_xlfn.XLOOKUP(Assumptions!$B$2,Assumptions!$F$4:$H$4,Assumptions!$F$8:$H$8)</f>
        <v>0.1</v>
      </c>
      <c r="L1956" s="12">
        <f>_xlfn.XLOOKUP(Assumptions!$B$2,Assumptions!$F$4:$H$4,Assumptions!$F$9:$H$9)</f>
        <v>0.18</v>
      </c>
      <c r="M1956" s="18">
        <f>_xlfn.XLOOKUP(Assumptions!$B$2,Assumptions!$F$4:$H$4,Assumptions!$F$10:$H$10)</f>
        <v>18000</v>
      </c>
      <c r="N1956" s="12">
        <f>_xlfn.XLOOKUP(Assumptions!$B$2,Assumptions!$F$4:$H$4,Assumptions!$F$11:$H$11)</f>
        <v>0.3</v>
      </c>
      <c r="O1956" s="14">
        <f>Final_Table[[#This Row],[Units Sold]]*Final_Table[[#This Row],[Sale Price]]</f>
        <v>20400</v>
      </c>
      <c r="P1956" s="14">
        <f>Final_Table[[#This Row],[Gross Revenue]]*(1-Final_Table[[#This Row],[Discount %]])</f>
        <v>18360</v>
      </c>
      <c r="Q1956">
        <f>Final_Table[[#This Row],[Net Revenue]]*Final_Table[[#This Row],[Variable Cost %]]</f>
        <v>3304.7999999999997</v>
      </c>
      <c r="R1956">
        <f>Final_Table[[#This Row],[Variable Cost]]+Final_Table[[#This Row],[Fixed Monthly Cost]]</f>
        <v>21304.799999999999</v>
      </c>
      <c r="S1956" s="5">
        <f>Final_Table[[#This Row],[Net Revenue]]-Final_Table[[#This Row],[Total Cost (COGS)]]</f>
        <v>-2944.7999999999993</v>
      </c>
      <c r="T1956">
        <f>Final_Table[[#This Row],[Gross Profit]]*Final_Table[[#This Row],[Tax Rate]]</f>
        <v>-883.43999999999971</v>
      </c>
      <c r="U1956" s="5">
        <f>Final_Table[[#This Row],[Gross Profit]]-Final_Table[[#This Row],[Tax]]</f>
        <v>-2061.3599999999997</v>
      </c>
      <c r="V1956" s="12">
        <f>Final_Table[[#This Row],[Net Profit]]/Final_Table[[#This Row],[Gross Revenue]]</f>
        <v>-0.10104705882352939</v>
      </c>
    </row>
    <row r="1957" spans="1:22">
      <c r="A1957" s="18" t="s">
        <v>69</v>
      </c>
      <c r="B1957">
        <v>2014</v>
      </c>
      <c r="C1957" t="s">
        <v>133</v>
      </c>
      <c r="D1957">
        <v>1</v>
      </c>
      <c r="E1957" s="18" t="s">
        <v>16</v>
      </c>
      <c r="F1957" s="18" t="s">
        <v>108</v>
      </c>
      <c r="G1957" s="18" t="s">
        <v>36</v>
      </c>
      <c r="H1957" s="18" t="str">
        <f>Assumptions!$B$2</f>
        <v>Worst</v>
      </c>
      <c r="I1957" s="18">
        <f>_xlfn.XLOOKUP(Assumptions!$B$2,Assumptions!$F$4:$H$4,Assumptions!$F$5:$H$5)</f>
        <v>1200</v>
      </c>
      <c r="J1957" s="18">
        <f>_xlfn.XLOOKUP(Assumptions!$B$2,Assumptions!$F$4:$H$4,Assumptions!$F$6:$H$6)</f>
        <v>17</v>
      </c>
      <c r="K1957" s="12">
        <f>_xlfn.XLOOKUP(Assumptions!$B$2,Assumptions!$F$4:$H$4,Assumptions!$F$8:$H$8)</f>
        <v>0.1</v>
      </c>
      <c r="L1957" s="12">
        <f>_xlfn.XLOOKUP(Assumptions!$B$2,Assumptions!$F$4:$H$4,Assumptions!$F$9:$H$9)</f>
        <v>0.18</v>
      </c>
      <c r="M1957" s="18">
        <f>_xlfn.XLOOKUP(Assumptions!$B$2,Assumptions!$F$4:$H$4,Assumptions!$F$10:$H$10)</f>
        <v>18000</v>
      </c>
      <c r="N1957" s="12">
        <f>_xlfn.XLOOKUP(Assumptions!$B$2,Assumptions!$F$4:$H$4,Assumptions!$F$11:$H$11)</f>
        <v>0.3</v>
      </c>
      <c r="O1957" s="14">
        <f>Final_Table[[#This Row],[Units Sold]]*Final_Table[[#This Row],[Sale Price]]</f>
        <v>20400</v>
      </c>
      <c r="P1957" s="14">
        <f>Final_Table[[#This Row],[Gross Revenue]]*(1-Final_Table[[#This Row],[Discount %]])</f>
        <v>18360</v>
      </c>
      <c r="Q1957">
        <f>Final_Table[[#This Row],[Net Revenue]]*Final_Table[[#This Row],[Variable Cost %]]</f>
        <v>3304.7999999999997</v>
      </c>
      <c r="R1957">
        <f>Final_Table[[#This Row],[Variable Cost]]+Final_Table[[#This Row],[Fixed Monthly Cost]]</f>
        <v>21304.799999999999</v>
      </c>
      <c r="S1957" s="5">
        <f>Final_Table[[#This Row],[Net Revenue]]-Final_Table[[#This Row],[Total Cost (COGS)]]</f>
        <v>-2944.7999999999993</v>
      </c>
      <c r="T1957">
        <f>Final_Table[[#This Row],[Gross Profit]]*Final_Table[[#This Row],[Tax Rate]]</f>
        <v>-883.43999999999971</v>
      </c>
      <c r="U1957" s="5">
        <f>Final_Table[[#This Row],[Gross Profit]]-Final_Table[[#This Row],[Tax]]</f>
        <v>-2061.3599999999997</v>
      </c>
      <c r="V1957" s="12">
        <f>Final_Table[[#This Row],[Net Profit]]/Final_Table[[#This Row],[Gross Revenue]]</f>
        <v>-0.10104705882352939</v>
      </c>
    </row>
    <row r="1958" spans="1:22">
      <c r="A1958" s="18" t="s">
        <v>69</v>
      </c>
      <c r="B1958">
        <v>2014</v>
      </c>
      <c r="C1958" t="s">
        <v>133</v>
      </c>
      <c r="D1958">
        <v>1</v>
      </c>
      <c r="E1958" s="18" t="s">
        <v>16</v>
      </c>
      <c r="F1958" s="18" t="s">
        <v>108</v>
      </c>
      <c r="G1958" s="18" t="s">
        <v>23</v>
      </c>
      <c r="H1958" s="18" t="str">
        <f>Assumptions!$B$2</f>
        <v>Worst</v>
      </c>
      <c r="I1958" s="18">
        <f>_xlfn.XLOOKUP(Assumptions!$B$2,Assumptions!$F$4:$H$4,Assumptions!$F$5:$H$5)</f>
        <v>1200</v>
      </c>
      <c r="J1958" s="18">
        <f>_xlfn.XLOOKUP(Assumptions!$B$2,Assumptions!$F$4:$H$4,Assumptions!$F$6:$H$6)</f>
        <v>17</v>
      </c>
      <c r="K1958" s="12">
        <f>_xlfn.XLOOKUP(Assumptions!$B$2,Assumptions!$F$4:$H$4,Assumptions!$F$8:$H$8)</f>
        <v>0.1</v>
      </c>
      <c r="L1958" s="12">
        <f>_xlfn.XLOOKUP(Assumptions!$B$2,Assumptions!$F$4:$H$4,Assumptions!$F$9:$H$9)</f>
        <v>0.18</v>
      </c>
      <c r="M1958" s="18">
        <f>_xlfn.XLOOKUP(Assumptions!$B$2,Assumptions!$F$4:$H$4,Assumptions!$F$10:$H$10)</f>
        <v>18000</v>
      </c>
      <c r="N1958" s="12">
        <f>_xlfn.XLOOKUP(Assumptions!$B$2,Assumptions!$F$4:$H$4,Assumptions!$F$11:$H$11)</f>
        <v>0.3</v>
      </c>
      <c r="O1958" s="14">
        <f>Final_Table[[#This Row],[Units Sold]]*Final_Table[[#This Row],[Sale Price]]</f>
        <v>20400</v>
      </c>
      <c r="P1958" s="14">
        <f>Final_Table[[#This Row],[Gross Revenue]]*(1-Final_Table[[#This Row],[Discount %]])</f>
        <v>18360</v>
      </c>
      <c r="Q1958">
        <f>Final_Table[[#This Row],[Net Revenue]]*Final_Table[[#This Row],[Variable Cost %]]</f>
        <v>3304.7999999999997</v>
      </c>
      <c r="R1958">
        <f>Final_Table[[#This Row],[Variable Cost]]+Final_Table[[#This Row],[Fixed Monthly Cost]]</f>
        <v>21304.799999999999</v>
      </c>
      <c r="S1958" s="5">
        <f>Final_Table[[#This Row],[Net Revenue]]-Final_Table[[#This Row],[Total Cost (COGS)]]</f>
        <v>-2944.7999999999993</v>
      </c>
      <c r="T1958">
        <f>Final_Table[[#This Row],[Gross Profit]]*Final_Table[[#This Row],[Tax Rate]]</f>
        <v>-883.43999999999971</v>
      </c>
      <c r="U1958" s="5">
        <f>Final_Table[[#This Row],[Gross Profit]]-Final_Table[[#This Row],[Tax]]</f>
        <v>-2061.3599999999997</v>
      </c>
      <c r="V1958" s="12">
        <f>Final_Table[[#This Row],[Net Profit]]/Final_Table[[#This Row],[Gross Revenue]]</f>
        <v>-0.10104705882352939</v>
      </c>
    </row>
    <row r="1959" spans="1:22">
      <c r="A1959" s="18" t="s">
        <v>69</v>
      </c>
      <c r="B1959">
        <v>2014</v>
      </c>
      <c r="C1959" t="s">
        <v>133</v>
      </c>
      <c r="D1959">
        <v>1</v>
      </c>
      <c r="E1959" s="18" t="s">
        <v>16</v>
      </c>
      <c r="F1959" s="18" t="s">
        <v>108</v>
      </c>
      <c r="G1959" s="18" t="s">
        <v>21</v>
      </c>
      <c r="H1959" s="18" t="str">
        <f>Assumptions!$B$2</f>
        <v>Worst</v>
      </c>
      <c r="I1959" s="18">
        <f>_xlfn.XLOOKUP(Assumptions!$B$2,Assumptions!$F$4:$H$4,Assumptions!$F$5:$H$5)</f>
        <v>1200</v>
      </c>
      <c r="J1959" s="18">
        <f>_xlfn.XLOOKUP(Assumptions!$B$2,Assumptions!$F$4:$H$4,Assumptions!$F$6:$H$6)</f>
        <v>17</v>
      </c>
      <c r="K1959" s="12">
        <f>_xlfn.XLOOKUP(Assumptions!$B$2,Assumptions!$F$4:$H$4,Assumptions!$F$8:$H$8)</f>
        <v>0.1</v>
      </c>
      <c r="L1959" s="12">
        <f>_xlfn.XLOOKUP(Assumptions!$B$2,Assumptions!$F$4:$H$4,Assumptions!$F$9:$H$9)</f>
        <v>0.18</v>
      </c>
      <c r="M1959" s="18">
        <f>_xlfn.XLOOKUP(Assumptions!$B$2,Assumptions!$F$4:$H$4,Assumptions!$F$10:$H$10)</f>
        <v>18000</v>
      </c>
      <c r="N1959" s="12">
        <f>_xlfn.XLOOKUP(Assumptions!$B$2,Assumptions!$F$4:$H$4,Assumptions!$F$11:$H$11)</f>
        <v>0.3</v>
      </c>
      <c r="O1959" s="14">
        <f>Final_Table[[#This Row],[Units Sold]]*Final_Table[[#This Row],[Sale Price]]</f>
        <v>20400</v>
      </c>
      <c r="P1959" s="14">
        <f>Final_Table[[#This Row],[Gross Revenue]]*(1-Final_Table[[#This Row],[Discount %]])</f>
        <v>18360</v>
      </c>
      <c r="Q1959">
        <f>Final_Table[[#This Row],[Net Revenue]]*Final_Table[[#This Row],[Variable Cost %]]</f>
        <v>3304.7999999999997</v>
      </c>
      <c r="R1959">
        <f>Final_Table[[#This Row],[Variable Cost]]+Final_Table[[#This Row],[Fixed Monthly Cost]]</f>
        <v>21304.799999999999</v>
      </c>
      <c r="S1959" s="5">
        <f>Final_Table[[#This Row],[Net Revenue]]-Final_Table[[#This Row],[Total Cost (COGS)]]</f>
        <v>-2944.7999999999993</v>
      </c>
      <c r="T1959">
        <f>Final_Table[[#This Row],[Gross Profit]]*Final_Table[[#This Row],[Tax Rate]]</f>
        <v>-883.43999999999971</v>
      </c>
      <c r="U1959" s="5">
        <f>Final_Table[[#This Row],[Gross Profit]]-Final_Table[[#This Row],[Tax]]</f>
        <v>-2061.3599999999997</v>
      </c>
      <c r="V1959" s="12">
        <f>Final_Table[[#This Row],[Net Profit]]/Final_Table[[#This Row],[Gross Revenue]]</f>
        <v>-0.10104705882352939</v>
      </c>
    </row>
    <row r="1960" spans="1:22">
      <c r="A1960" s="18" t="s">
        <v>69</v>
      </c>
      <c r="B1960">
        <v>2014</v>
      </c>
      <c r="C1960" t="s">
        <v>133</v>
      </c>
      <c r="D1960">
        <v>1</v>
      </c>
      <c r="E1960" s="18" t="s">
        <v>16</v>
      </c>
      <c r="F1960" s="18" t="s">
        <v>108</v>
      </c>
      <c r="G1960" s="18" t="s">
        <v>25</v>
      </c>
      <c r="H1960" s="18" t="str">
        <f>Assumptions!$B$2</f>
        <v>Worst</v>
      </c>
      <c r="I1960" s="18">
        <f>_xlfn.XLOOKUP(Assumptions!$B$2,Assumptions!$F$4:$H$4,Assumptions!$F$5:$H$5)</f>
        <v>1200</v>
      </c>
      <c r="J1960" s="18">
        <f>_xlfn.XLOOKUP(Assumptions!$B$2,Assumptions!$F$4:$H$4,Assumptions!$F$6:$H$6)</f>
        <v>17</v>
      </c>
      <c r="K1960" s="12">
        <f>_xlfn.XLOOKUP(Assumptions!$B$2,Assumptions!$F$4:$H$4,Assumptions!$F$8:$H$8)</f>
        <v>0.1</v>
      </c>
      <c r="L1960" s="12">
        <f>_xlfn.XLOOKUP(Assumptions!$B$2,Assumptions!$F$4:$H$4,Assumptions!$F$9:$H$9)</f>
        <v>0.18</v>
      </c>
      <c r="M1960" s="18">
        <f>_xlfn.XLOOKUP(Assumptions!$B$2,Assumptions!$F$4:$H$4,Assumptions!$F$10:$H$10)</f>
        <v>18000</v>
      </c>
      <c r="N1960" s="12">
        <f>_xlfn.XLOOKUP(Assumptions!$B$2,Assumptions!$F$4:$H$4,Assumptions!$F$11:$H$11)</f>
        <v>0.3</v>
      </c>
      <c r="O1960" s="14">
        <f>Final_Table[[#This Row],[Units Sold]]*Final_Table[[#This Row],[Sale Price]]</f>
        <v>20400</v>
      </c>
      <c r="P1960" s="14">
        <f>Final_Table[[#This Row],[Gross Revenue]]*(1-Final_Table[[#This Row],[Discount %]])</f>
        <v>18360</v>
      </c>
      <c r="Q1960">
        <f>Final_Table[[#This Row],[Net Revenue]]*Final_Table[[#This Row],[Variable Cost %]]</f>
        <v>3304.7999999999997</v>
      </c>
      <c r="R1960">
        <f>Final_Table[[#This Row],[Variable Cost]]+Final_Table[[#This Row],[Fixed Monthly Cost]]</f>
        <v>21304.799999999999</v>
      </c>
      <c r="S1960" s="5">
        <f>Final_Table[[#This Row],[Net Revenue]]-Final_Table[[#This Row],[Total Cost (COGS)]]</f>
        <v>-2944.7999999999993</v>
      </c>
      <c r="T1960">
        <f>Final_Table[[#This Row],[Gross Profit]]*Final_Table[[#This Row],[Tax Rate]]</f>
        <v>-883.43999999999971</v>
      </c>
      <c r="U1960" s="5">
        <f>Final_Table[[#This Row],[Gross Profit]]-Final_Table[[#This Row],[Tax]]</f>
        <v>-2061.3599999999997</v>
      </c>
      <c r="V1960" s="12">
        <f>Final_Table[[#This Row],[Net Profit]]/Final_Table[[#This Row],[Gross Revenue]]</f>
        <v>-0.10104705882352939</v>
      </c>
    </row>
    <row r="1961" spans="1:22">
      <c r="A1961" s="18" t="s">
        <v>69</v>
      </c>
      <c r="B1961">
        <v>2014</v>
      </c>
      <c r="C1961" t="s">
        <v>133</v>
      </c>
      <c r="D1961">
        <v>1</v>
      </c>
      <c r="E1961" s="18" t="s">
        <v>16</v>
      </c>
      <c r="F1961" s="18" t="s">
        <v>108</v>
      </c>
      <c r="G1961" s="18" t="s">
        <v>17</v>
      </c>
      <c r="H1961" s="18" t="str">
        <f>Assumptions!$B$2</f>
        <v>Worst</v>
      </c>
      <c r="I1961" s="18">
        <f>_xlfn.XLOOKUP(Assumptions!$B$2,Assumptions!$F$4:$H$4,Assumptions!$F$5:$H$5)</f>
        <v>1200</v>
      </c>
      <c r="J1961" s="18">
        <f>_xlfn.XLOOKUP(Assumptions!$B$2,Assumptions!$F$4:$H$4,Assumptions!$F$6:$H$6)</f>
        <v>17</v>
      </c>
      <c r="K1961" s="12">
        <f>_xlfn.XLOOKUP(Assumptions!$B$2,Assumptions!$F$4:$H$4,Assumptions!$F$8:$H$8)</f>
        <v>0.1</v>
      </c>
      <c r="L1961" s="12">
        <f>_xlfn.XLOOKUP(Assumptions!$B$2,Assumptions!$F$4:$H$4,Assumptions!$F$9:$H$9)</f>
        <v>0.18</v>
      </c>
      <c r="M1961" s="18">
        <f>_xlfn.XLOOKUP(Assumptions!$B$2,Assumptions!$F$4:$H$4,Assumptions!$F$10:$H$10)</f>
        <v>18000</v>
      </c>
      <c r="N1961" s="12">
        <f>_xlfn.XLOOKUP(Assumptions!$B$2,Assumptions!$F$4:$H$4,Assumptions!$F$11:$H$11)</f>
        <v>0.3</v>
      </c>
      <c r="O1961" s="14">
        <f>Final_Table[[#This Row],[Units Sold]]*Final_Table[[#This Row],[Sale Price]]</f>
        <v>20400</v>
      </c>
      <c r="P1961" s="14">
        <f>Final_Table[[#This Row],[Gross Revenue]]*(1-Final_Table[[#This Row],[Discount %]])</f>
        <v>18360</v>
      </c>
      <c r="Q1961">
        <f>Final_Table[[#This Row],[Net Revenue]]*Final_Table[[#This Row],[Variable Cost %]]</f>
        <v>3304.7999999999997</v>
      </c>
      <c r="R1961">
        <f>Final_Table[[#This Row],[Variable Cost]]+Final_Table[[#This Row],[Fixed Monthly Cost]]</f>
        <v>21304.799999999999</v>
      </c>
      <c r="S1961" s="5">
        <f>Final_Table[[#This Row],[Net Revenue]]-Final_Table[[#This Row],[Total Cost (COGS)]]</f>
        <v>-2944.7999999999993</v>
      </c>
      <c r="T1961">
        <f>Final_Table[[#This Row],[Gross Profit]]*Final_Table[[#This Row],[Tax Rate]]</f>
        <v>-883.43999999999971</v>
      </c>
      <c r="U1961" s="5">
        <f>Final_Table[[#This Row],[Gross Profit]]-Final_Table[[#This Row],[Tax]]</f>
        <v>-2061.3599999999997</v>
      </c>
      <c r="V1961" s="12">
        <f>Final_Table[[#This Row],[Net Profit]]/Final_Table[[#This Row],[Gross Revenue]]</f>
        <v>-0.10104705882352939</v>
      </c>
    </row>
    <row r="1962" spans="1:22">
      <c r="A1962" s="18" t="s">
        <v>69</v>
      </c>
      <c r="B1962">
        <v>2014</v>
      </c>
      <c r="C1962" t="s">
        <v>133</v>
      </c>
      <c r="D1962">
        <v>1</v>
      </c>
      <c r="E1962" s="18" t="s">
        <v>16</v>
      </c>
      <c r="F1962" s="18" t="s">
        <v>112</v>
      </c>
      <c r="G1962" s="18" t="s">
        <v>36</v>
      </c>
      <c r="H1962" s="18" t="str">
        <f>Assumptions!$B$2</f>
        <v>Worst</v>
      </c>
      <c r="I1962" s="18">
        <f>_xlfn.XLOOKUP(Assumptions!$B$2,Assumptions!$F$4:$H$4,Assumptions!$F$5:$H$5)</f>
        <v>1200</v>
      </c>
      <c r="J1962" s="18">
        <f>_xlfn.XLOOKUP(Assumptions!$B$2,Assumptions!$F$4:$H$4,Assumptions!$F$6:$H$6)</f>
        <v>17</v>
      </c>
      <c r="K1962" s="12">
        <f>_xlfn.XLOOKUP(Assumptions!$B$2,Assumptions!$F$4:$H$4,Assumptions!$F$8:$H$8)</f>
        <v>0.1</v>
      </c>
      <c r="L1962" s="12">
        <f>_xlfn.XLOOKUP(Assumptions!$B$2,Assumptions!$F$4:$H$4,Assumptions!$F$9:$H$9)</f>
        <v>0.18</v>
      </c>
      <c r="M1962" s="18">
        <f>_xlfn.XLOOKUP(Assumptions!$B$2,Assumptions!$F$4:$H$4,Assumptions!$F$10:$H$10)</f>
        <v>18000</v>
      </c>
      <c r="N1962" s="12">
        <f>_xlfn.XLOOKUP(Assumptions!$B$2,Assumptions!$F$4:$H$4,Assumptions!$F$11:$H$11)</f>
        <v>0.3</v>
      </c>
      <c r="O1962" s="14">
        <f>Final_Table[[#This Row],[Units Sold]]*Final_Table[[#This Row],[Sale Price]]</f>
        <v>20400</v>
      </c>
      <c r="P1962" s="14">
        <f>Final_Table[[#This Row],[Gross Revenue]]*(1-Final_Table[[#This Row],[Discount %]])</f>
        <v>18360</v>
      </c>
      <c r="Q1962">
        <f>Final_Table[[#This Row],[Net Revenue]]*Final_Table[[#This Row],[Variable Cost %]]</f>
        <v>3304.7999999999997</v>
      </c>
      <c r="R1962">
        <f>Final_Table[[#This Row],[Variable Cost]]+Final_Table[[#This Row],[Fixed Monthly Cost]]</f>
        <v>21304.799999999999</v>
      </c>
      <c r="S1962" s="5">
        <f>Final_Table[[#This Row],[Net Revenue]]-Final_Table[[#This Row],[Total Cost (COGS)]]</f>
        <v>-2944.7999999999993</v>
      </c>
      <c r="T1962">
        <f>Final_Table[[#This Row],[Gross Profit]]*Final_Table[[#This Row],[Tax Rate]]</f>
        <v>-883.43999999999971</v>
      </c>
      <c r="U1962" s="5">
        <f>Final_Table[[#This Row],[Gross Profit]]-Final_Table[[#This Row],[Tax]]</f>
        <v>-2061.3599999999997</v>
      </c>
      <c r="V1962" s="12">
        <f>Final_Table[[#This Row],[Net Profit]]/Final_Table[[#This Row],[Gross Revenue]]</f>
        <v>-0.10104705882352939</v>
      </c>
    </row>
    <row r="1963" spans="1:22">
      <c r="A1963" s="18" t="s">
        <v>69</v>
      </c>
      <c r="B1963">
        <v>2014</v>
      </c>
      <c r="C1963" t="s">
        <v>133</v>
      </c>
      <c r="D1963">
        <v>1</v>
      </c>
      <c r="E1963" s="18" t="s">
        <v>16</v>
      </c>
      <c r="F1963" s="18" t="s">
        <v>112</v>
      </c>
      <c r="G1963" s="18" t="s">
        <v>23</v>
      </c>
      <c r="H1963" s="18" t="str">
        <f>Assumptions!$B$2</f>
        <v>Worst</v>
      </c>
      <c r="I1963" s="18">
        <f>_xlfn.XLOOKUP(Assumptions!$B$2,Assumptions!$F$4:$H$4,Assumptions!$F$5:$H$5)</f>
        <v>1200</v>
      </c>
      <c r="J1963" s="18">
        <f>_xlfn.XLOOKUP(Assumptions!$B$2,Assumptions!$F$4:$H$4,Assumptions!$F$6:$H$6)</f>
        <v>17</v>
      </c>
      <c r="K1963" s="12">
        <f>_xlfn.XLOOKUP(Assumptions!$B$2,Assumptions!$F$4:$H$4,Assumptions!$F$8:$H$8)</f>
        <v>0.1</v>
      </c>
      <c r="L1963" s="12">
        <f>_xlfn.XLOOKUP(Assumptions!$B$2,Assumptions!$F$4:$H$4,Assumptions!$F$9:$H$9)</f>
        <v>0.18</v>
      </c>
      <c r="M1963" s="18">
        <f>_xlfn.XLOOKUP(Assumptions!$B$2,Assumptions!$F$4:$H$4,Assumptions!$F$10:$H$10)</f>
        <v>18000</v>
      </c>
      <c r="N1963" s="12">
        <f>_xlfn.XLOOKUP(Assumptions!$B$2,Assumptions!$F$4:$H$4,Assumptions!$F$11:$H$11)</f>
        <v>0.3</v>
      </c>
      <c r="O1963" s="14">
        <f>Final_Table[[#This Row],[Units Sold]]*Final_Table[[#This Row],[Sale Price]]</f>
        <v>20400</v>
      </c>
      <c r="P1963" s="14">
        <f>Final_Table[[#This Row],[Gross Revenue]]*(1-Final_Table[[#This Row],[Discount %]])</f>
        <v>18360</v>
      </c>
      <c r="Q1963">
        <f>Final_Table[[#This Row],[Net Revenue]]*Final_Table[[#This Row],[Variable Cost %]]</f>
        <v>3304.7999999999997</v>
      </c>
      <c r="R1963">
        <f>Final_Table[[#This Row],[Variable Cost]]+Final_Table[[#This Row],[Fixed Monthly Cost]]</f>
        <v>21304.799999999999</v>
      </c>
      <c r="S1963" s="5">
        <f>Final_Table[[#This Row],[Net Revenue]]-Final_Table[[#This Row],[Total Cost (COGS)]]</f>
        <v>-2944.7999999999993</v>
      </c>
      <c r="T1963">
        <f>Final_Table[[#This Row],[Gross Profit]]*Final_Table[[#This Row],[Tax Rate]]</f>
        <v>-883.43999999999971</v>
      </c>
      <c r="U1963" s="5">
        <f>Final_Table[[#This Row],[Gross Profit]]-Final_Table[[#This Row],[Tax]]</f>
        <v>-2061.3599999999997</v>
      </c>
      <c r="V1963" s="12">
        <f>Final_Table[[#This Row],[Net Profit]]/Final_Table[[#This Row],[Gross Revenue]]</f>
        <v>-0.10104705882352939</v>
      </c>
    </row>
    <row r="1964" spans="1:22">
      <c r="A1964" s="18" t="s">
        <v>69</v>
      </c>
      <c r="B1964">
        <v>2014</v>
      </c>
      <c r="C1964" t="s">
        <v>133</v>
      </c>
      <c r="D1964">
        <v>1</v>
      </c>
      <c r="E1964" s="18" t="s">
        <v>16</v>
      </c>
      <c r="F1964" s="18" t="s">
        <v>112</v>
      </c>
      <c r="G1964" s="18" t="s">
        <v>21</v>
      </c>
      <c r="H1964" s="18" t="str">
        <f>Assumptions!$B$2</f>
        <v>Worst</v>
      </c>
      <c r="I1964" s="18">
        <f>_xlfn.XLOOKUP(Assumptions!$B$2,Assumptions!$F$4:$H$4,Assumptions!$F$5:$H$5)</f>
        <v>1200</v>
      </c>
      <c r="J1964" s="18">
        <f>_xlfn.XLOOKUP(Assumptions!$B$2,Assumptions!$F$4:$H$4,Assumptions!$F$6:$H$6)</f>
        <v>17</v>
      </c>
      <c r="K1964" s="12">
        <f>_xlfn.XLOOKUP(Assumptions!$B$2,Assumptions!$F$4:$H$4,Assumptions!$F$8:$H$8)</f>
        <v>0.1</v>
      </c>
      <c r="L1964" s="12">
        <f>_xlfn.XLOOKUP(Assumptions!$B$2,Assumptions!$F$4:$H$4,Assumptions!$F$9:$H$9)</f>
        <v>0.18</v>
      </c>
      <c r="M1964" s="18">
        <f>_xlfn.XLOOKUP(Assumptions!$B$2,Assumptions!$F$4:$H$4,Assumptions!$F$10:$H$10)</f>
        <v>18000</v>
      </c>
      <c r="N1964" s="12">
        <f>_xlfn.XLOOKUP(Assumptions!$B$2,Assumptions!$F$4:$H$4,Assumptions!$F$11:$H$11)</f>
        <v>0.3</v>
      </c>
      <c r="O1964" s="14">
        <f>Final_Table[[#This Row],[Units Sold]]*Final_Table[[#This Row],[Sale Price]]</f>
        <v>20400</v>
      </c>
      <c r="P1964" s="14">
        <f>Final_Table[[#This Row],[Gross Revenue]]*(1-Final_Table[[#This Row],[Discount %]])</f>
        <v>18360</v>
      </c>
      <c r="Q1964">
        <f>Final_Table[[#This Row],[Net Revenue]]*Final_Table[[#This Row],[Variable Cost %]]</f>
        <v>3304.7999999999997</v>
      </c>
      <c r="R1964">
        <f>Final_Table[[#This Row],[Variable Cost]]+Final_Table[[#This Row],[Fixed Monthly Cost]]</f>
        <v>21304.799999999999</v>
      </c>
      <c r="S1964" s="5">
        <f>Final_Table[[#This Row],[Net Revenue]]-Final_Table[[#This Row],[Total Cost (COGS)]]</f>
        <v>-2944.7999999999993</v>
      </c>
      <c r="T1964">
        <f>Final_Table[[#This Row],[Gross Profit]]*Final_Table[[#This Row],[Tax Rate]]</f>
        <v>-883.43999999999971</v>
      </c>
      <c r="U1964" s="5">
        <f>Final_Table[[#This Row],[Gross Profit]]-Final_Table[[#This Row],[Tax]]</f>
        <v>-2061.3599999999997</v>
      </c>
      <c r="V1964" s="12">
        <f>Final_Table[[#This Row],[Net Profit]]/Final_Table[[#This Row],[Gross Revenue]]</f>
        <v>-0.10104705882352939</v>
      </c>
    </row>
    <row r="1965" spans="1:22">
      <c r="A1965" s="18" t="s">
        <v>69</v>
      </c>
      <c r="B1965">
        <v>2014</v>
      </c>
      <c r="C1965" t="s">
        <v>133</v>
      </c>
      <c r="D1965">
        <v>1</v>
      </c>
      <c r="E1965" s="18" t="s">
        <v>16</v>
      </c>
      <c r="F1965" s="18" t="s">
        <v>112</v>
      </c>
      <c r="G1965" s="18" t="s">
        <v>25</v>
      </c>
      <c r="H1965" s="18" t="str">
        <f>Assumptions!$B$2</f>
        <v>Worst</v>
      </c>
      <c r="I1965" s="18">
        <f>_xlfn.XLOOKUP(Assumptions!$B$2,Assumptions!$F$4:$H$4,Assumptions!$F$5:$H$5)</f>
        <v>1200</v>
      </c>
      <c r="J1965" s="18">
        <f>_xlfn.XLOOKUP(Assumptions!$B$2,Assumptions!$F$4:$H$4,Assumptions!$F$6:$H$6)</f>
        <v>17</v>
      </c>
      <c r="K1965" s="12">
        <f>_xlfn.XLOOKUP(Assumptions!$B$2,Assumptions!$F$4:$H$4,Assumptions!$F$8:$H$8)</f>
        <v>0.1</v>
      </c>
      <c r="L1965" s="12">
        <f>_xlfn.XLOOKUP(Assumptions!$B$2,Assumptions!$F$4:$H$4,Assumptions!$F$9:$H$9)</f>
        <v>0.18</v>
      </c>
      <c r="M1965" s="18">
        <f>_xlfn.XLOOKUP(Assumptions!$B$2,Assumptions!$F$4:$H$4,Assumptions!$F$10:$H$10)</f>
        <v>18000</v>
      </c>
      <c r="N1965" s="12">
        <f>_xlfn.XLOOKUP(Assumptions!$B$2,Assumptions!$F$4:$H$4,Assumptions!$F$11:$H$11)</f>
        <v>0.3</v>
      </c>
      <c r="O1965" s="14">
        <f>Final_Table[[#This Row],[Units Sold]]*Final_Table[[#This Row],[Sale Price]]</f>
        <v>20400</v>
      </c>
      <c r="P1965" s="14">
        <f>Final_Table[[#This Row],[Gross Revenue]]*(1-Final_Table[[#This Row],[Discount %]])</f>
        <v>18360</v>
      </c>
      <c r="Q1965">
        <f>Final_Table[[#This Row],[Net Revenue]]*Final_Table[[#This Row],[Variable Cost %]]</f>
        <v>3304.7999999999997</v>
      </c>
      <c r="R1965">
        <f>Final_Table[[#This Row],[Variable Cost]]+Final_Table[[#This Row],[Fixed Monthly Cost]]</f>
        <v>21304.799999999999</v>
      </c>
      <c r="S1965" s="5">
        <f>Final_Table[[#This Row],[Net Revenue]]-Final_Table[[#This Row],[Total Cost (COGS)]]</f>
        <v>-2944.7999999999993</v>
      </c>
      <c r="T1965">
        <f>Final_Table[[#This Row],[Gross Profit]]*Final_Table[[#This Row],[Tax Rate]]</f>
        <v>-883.43999999999971</v>
      </c>
      <c r="U1965" s="5">
        <f>Final_Table[[#This Row],[Gross Profit]]-Final_Table[[#This Row],[Tax]]</f>
        <v>-2061.3599999999997</v>
      </c>
      <c r="V1965" s="12">
        <f>Final_Table[[#This Row],[Net Profit]]/Final_Table[[#This Row],[Gross Revenue]]</f>
        <v>-0.10104705882352939</v>
      </c>
    </row>
    <row r="1966" spans="1:22">
      <c r="A1966" s="18" t="s">
        <v>69</v>
      </c>
      <c r="B1966">
        <v>2014</v>
      </c>
      <c r="C1966" t="s">
        <v>133</v>
      </c>
      <c r="D1966">
        <v>1</v>
      </c>
      <c r="E1966" s="18" t="s">
        <v>16</v>
      </c>
      <c r="F1966" s="18" t="s">
        <v>112</v>
      </c>
      <c r="G1966" s="18" t="s">
        <v>17</v>
      </c>
      <c r="H1966" s="18" t="str">
        <f>Assumptions!$B$2</f>
        <v>Worst</v>
      </c>
      <c r="I1966" s="18">
        <f>_xlfn.XLOOKUP(Assumptions!$B$2,Assumptions!$F$4:$H$4,Assumptions!$F$5:$H$5)</f>
        <v>1200</v>
      </c>
      <c r="J1966" s="18">
        <f>_xlfn.XLOOKUP(Assumptions!$B$2,Assumptions!$F$4:$H$4,Assumptions!$F$6:$H$6)</f>
        <v>17</v>
      </c>
      <c r="K1966" s="12">
        <f>_xlfn.XLOOKUP(Assumptions!$B$2,Assumptions!$F$4:$H$4,Assumptions!$F$8:$H$8)</f>
        <v>0.1</v>
      </c>
      <c r="L1966" s="12">
        <f>_xlfn.XLOOKUP(Assumptions!$B$2,Assumptions!$F$4:$H$4,Assumptions!$F$9:$H$9)</f>
        <v>0.18</v>
      </c>
      <c r="M1966" s="18">
        <f>_xlfn.XLOOKUP(Assumptions!$B$2,Assumptions!$F$4:$H$4,Assumptions!$F$10:$H$10)</f>
        <v>18000</v>
      </c>
      <c r="N1966" s="12">
        <f>_xlfn.XLOOKUP(Assumptions!$B$2,Assumptions!$F$4:$H$4,Assumptions!$F$11:$H$11)</f>
        <v>0.3</v>
      </c>
      <c r="O1966" s="14">
        <f>Final_Table[[#This Row],[Units Sold]]*Final_Table[[#This Row],[Sale Price]]</f>
        <v>20400</v>
      </c>
      <c r="P1966" s="14">
        <f>Final_Table[[#This Row],[Gross Revenue]]*(1-Final_Table[[#This Row],[Discount %]])</f>
        <v>18360</v>
      </c>
      <c r="Q1966">
        <f>Final_Table[[#This Row],[Net Revenue]]*Final_Table[[#This Row],[Variable Cost %]]</f>
        <v>3304.7999999999997</v>
      </c>
      <c r="R1966">
        <f>Final_Table[[#This Row],[Variable Cost]]+Final_Table[[#This Row],[Fixed Monthly Cost]]</f>
        <v>21304.799999999999</v>
      </c>
      <c r="S1966" s="5">
        <f>Final_Table[[#This Row],[Net Revenue]]-Final_Table[[#This Row],[Total Cost (COGS)]]</f>
        <v>-2944.7999999999993</v>
      </c>
      <c r="T1966">
        <f>Final_Table[[#This Row],[Gross Profit]]*Final_Table[[#This Row],[Tax Rate]]</f>
        <v>-883.43999999999971</v>
      </c>
      <c r="U1966" s="5">
        <f>Final_Table[[#This Row],[Gross Profit]]-Final_Table[[#This Row],[Tax]]</f>
        <v>-2061.3599999999997</v>
      </c>
      <c r="V1966" s="12">
        <f>Final_Table[[#This Row],[Net Profit]]/Final_Table[[#This Row],[Gross Revenue]]</f>
        <v>-0.10104705882352939</v>
      </c>
    </row>
    <row r="1967" spans="1:22">
      <c r="A1967" s="18" t="s">
        <v>69</v>
      </c>
      <c r="B1967">
        <v>2014</v>
      </c>
      <c r="C1967" t="s">
        <v>133</v>
      </c>
      <c r="D1967">
        <v>1</v>
      </c>
      <c r="E1967" s="18" t="s">
        <v>16</v>
      </c>
      <c r="F1967" s="18" t="s">
        <v>113</v>
      </c>
      <c r="G1967" s="18" t="s">
        <v>36</v>
      </c>
      <c r="H1967" s="18" t="str">
        <f>Assumptions!$B$2</f>
        <v>Worst</v>
      </c>
      <c r="I1967" s="18">
        <f>_xlfn.XLOOKUP(Assumptions!$B$2,Assumptions!$F$4:$H$4,Assumptions!$F$5:$H$5)</f>
        <v>1200</v>
      </c>
      <c r="J1967" s="18">
        <f>_xlfn.XLOOKUP(Assumptions!$B$2,Assumptions!$F$4:$H$4,Assumptions!$F$6:$H$6)</f>
        <v>17</v>
      </c>
      <c r="K1967" s="12">
        <f>_xlfn.XLOOKUP(Assumptions!$B$2,Assumptions!$F$4:$H$4,Assumptions!$F$8:$H$8)</f>
        <v>0.1</v>
      </c>
      <c r="L1967" s="12">
        <f>_xlfn.XLOOKUP(Assumptions!$B$2,Assumptions!$F$4:$H$4,Assumptions!$F$9:$H$9)</f>
        <v>0.18</v>
      </c>
      <c r="M1967" s="18">
        <f>_xlfn.XLOOKUP(Assumptions!$B$2,Assumptions!$F$4:$H$4,Assumptions!$F$10:$H$10)</f>
        <v>18000</v>
      </c>
      <c r="N1967" s="12">
        <f>_xlfn.XLOOKUP(Assumptions!$B$2,Assumptions!$F$4:$H$4,Assumptions!$F$11:$H$11)</f>
        <v>0.3</v>
      </c>
      <c r="O1967" s="14">
        <f>Final_Table[[#This Row],[Units Sold]]*Final_Table[[#This Row],[Sale Price]]</f>
        <v>20400</v>
      </c>
      <c r="P1967" s="14">
        <f>Final_Table[[#This Row],[Gross Revenue]]*(1-Final_Table[[#This Row],[Discount %]])</f>
        <v>18360</v>
      </c>
      <c r="Q1967">
        <f>Final_Table[[#This Row],[Net Revenue]]*Final_Table[[#This Row],[Variable Cost %]]</f>
        <v>3304.7999999999997</v>
      </c>
      <c r="R1967">
        <f>Final_Table[[#This Row],[Variable Cost]]+Final_Table[[#This Row],[Fixed Monthly Cost]]</f>
        <v>21304.799999999999</v>
      </c>
      <c r="S1967" s="5">
        <f>Final_Table[[#This Row],[Net Revenue]]-Final_Table[[#This Row],[Total Cost (COGS)]]</f>
        <v>-2944.7999999999993</v>
      </c>
      <c r="T1967">
        <f>Final_Table[[#This Row],[Gross Profit]]*Final_Table[[#This Row],[Tax Rate]]</f>
        <v>-883.43999999999971</v>
      </c>
      <c r="U1967" s="5">
        <f>Final_Table[[#This Row],[Gross Profit]]-Final_Table[[#This Row],[Tax]]</f>
        <v>-2061.3599999999997</v>
      </c>
      <c r="V1967" s="12">
        <f>Final_Table[[#This Row],[Net Profit]]/Final_Table[[#This Row],[Gross Revenue]]</f>
        <v>-0.10104705882352939</v>
      </c>
    </row>
    <row r="1968" spans="1:22">
      <c r="A1968" s="18" t="s">
        <v>69</v>
      </c>
      <c r="B1968">
        <v>2014</v>
      </c>
      <c r="C1968" t="s">
        <v>133</v>
      </c>
      <c r="D1968">
        <v>1</v>
      </c>
      <c r="E1968" s="18" t="s">
        <v>16</v>
      </c>
      <c r="F1968" s="18" t="s">
        <v>113</v>
      </c>
      <c r="G1968" s="18" t="s">
        <v>23</v>
      </c>
      <c r="H1968" s="18" t="str">
        <f>Assumptions!$B$2</f>
        <v>Worst</v>
      </c>
      <c r="I1968" s="18">
        <f>_xlfn.XLOOKUP(Assumptions!$B$2,Assumptions!$F$4:$H$4,Assumptions!$F$5:$H$5)</f>
        <v>1200</v>
      </c>
      <c r="J1968" s="18">
        <f>_xlfn.XLOOKUP(Assumptions!$B$2,Assumptions!$F$4:$H$4,Assumptions!$F$6:$H$6)</f>
        <v>17</v>
      </c>
      <c r="K1968" s="12">
        <f>_xlfn.XLOOKUP(Assumptions!$B$2,Assumptions!$F$4:$H$4,Assumptions!$F$8:$H$8)</f>
        <v>0.1</v>
      </c>
      <c r="L1968" s="12">
        <f>_xlfn.XLOOKUP(Assumptions!$B$2,Assumptions!$F$4:$H$4,Assumptions!$F$9:$H$9)</f>
        <v>0.18</v>
      </c>
      <c r="M1968" s="18">
        <f>_xlfn.XLOOKUP(Assumptions!$B$2,Assumptions!$F$4:$H$4,Assumptions!$F$10:$H$10)</f>
        <v>18000</v>
      </c>
      <c r="N1968" s="12">
        <f>_xlfn.XLOOKUP(Assumptions!$B$2,Assumptions!$F$4:$H$4,Assumptions!$F$11:$H$11)</f>
        <v>0.3</v>
      </c>
      <c r="O1968" s="14">
        <f>Final_Table[[#This Row],[Units Sold]]*Final_Table[[#This Row],[Sale Price]]</f>
        <v>20400</v>
      </c>
      <c r="P1968" s="14">
        <f>Final_Table[[#This Row],[Gross Revenue]]*(1-Final_Table[[#This Row],[Discount %]])</f>
        <v>18360</v>
      </c>
      <c r="Q1968">
        <f>Final_Table[[#This Row],[Net Revenue]]*Final_Table[[#This Row],[Variable Cost %]]</f>
        <v>3304.7999999999997</v>
      </c>
      <c r="R1968">
        <f>Final_Table[[#This Row],[Variable Cost]]+Final_Table[[#This Row],[Fixed Monthly Cost]]</f>
        <v>21304.799999999999</v>
      </c>
      <c r="S1968" s="5">
        <f>Final_Table[[#This Row],[Net Revenue]]-Final_Table[[#This Row],[Total Cost (COGS)]]</f>
        <v>-2944.7999999999993</v>
      </c>
      <c r="T1968">
        <f>Final_Table[[#This Row],[Gross Profit]]*Final_Table[[#This Row],[Tax Rate]]</f>
        <v>-883.43999999999971</v>
      </c>
      <c r="U1968" s="5">
        <f>Final_Table[[#This Row],[Gross Profit]]-Final_Table[[#This Row],[Tax]]</f>
        <v>-2061.3599999999997</v>
      </c>
      <c r="V1968" s="12">
        <f>Final_Table[[#This Row],[Net Profit]]/Final_Table[[#This Row],[Gross Revenue]]</f>
        <v>-0.10104705882352939</v>
      </c>
    </row>
    <row r="1969" spans="1:22">
      <c r="A1969" s="18" t="s">
        <v>69</v>
      </c>
      <c r="B1969">
        <v>2014</v>
      </c>
      <c r="C1969" t="s">
        <v>133</v>
      </c>
      <c r="D1969">
        <v>1</v>
      </c>
      <c r="E1969" s="18" t="s">
        <v>16</v>
      </c>
      <c r="F1969" s="18" t="s">
        <v>113</v>
      </c>
      <c r="G1969" s="18" t="s">
        <v>21</v>
      </c>
      <c r="H1969" s="18" t="str">
        <f>Assumptions!$B$2</f>
        <v>Worst</v>
      </c>
      <c r="I1969" s="18">
        <f>_xlfn.XLOOKUP(Assumptions!$B$2,Assumptions!$F$4:$H$4,Assumptions!$F$5:$H$5)</f>
        <v>1200</v>
      </c>
      <c r="J1969" s="18">
        <f>_xlfn.XLOOKUP(Assumptions!$B$2,Assumptions!$F$4:$H$4,Assumptions!$F$6:$H$6)</f>
        <v>17</v>
      </c>
      <c r="K1969" s="12">
        <f>_xlfn.XLOOKUP(Assumptions!$B$2,Assumptions!$F$4:$H$4,Assumptions!$F$8:$H$8)</f>
        <v>0.1</v>
      </c>
      <c r="L1969" s="12">
        <f>_xlfn.XLOOKUP(Assumptions!$B$2,Assumptions!$F$4:$H$4,Assumptions!$F$9:$H$9)</f>
        <v>0.18</v>
      </c>
      <c r="M1969" s="18">
        <f>_xlfn.XLOOKUP(Assumptions!$B$2,Assumptions!$F$4:$H$4,Assumptions!$F$10:$H$10)</f>
        <v>18000</v>
      </c>
      <c r="N1969" s="12">
        <f>_xlfn.XLOOKUP(Assumptions!$B$2,Assumptions!$F$4:$H$4,Assumptions!$F$11:$H$11)</f>
        <v>0.3</v>
      </c>
      <c r="O1969" s="14">
        <f>Final_Table[[#This Row],[Units Sold]]*Final_Table[[#This Row],[Sale Price]]</f>
        <v>20400</v>
      </c>
      <c r="P1969" s="14">
        <f>Final_Table[[#This Row],[Gross Revenue]]*(1-Final_Table[[#This Row],[Discount %]])</f>
        <v>18360</v>
      </c>
      <c r="Q1969">
        <f>Final_Table[[#This Row],[Net Revenue]]*Final_Table[[#This Row],[Variable Cost %]]</f>
        <v>3304.7999999999997</v>
      </c>
      <c r="R1969">
        <f>Final_Table[[#This Row],[Variable Cost]]+Final_Table[[#This Row],[Fixed Monthly Cost]]</f>
        <v>21304.799999999999</v>
      </c>
      <c r="S1969" s="5">
        <f>Final_Table[[#This Row],[Net Revenue]]-Final_Table[[#This Row],[Total Cost (COGS)]]</f>
        <v>-2944.7999999999993</v>
      </c>
      <c r="T1969">
        <f>Final_Table[[#This Row],[Gross Profit]]*Final_Table[[#This Row],[Tax Rate]]</f>
        <v>-883.43999999999971</v>
      </c>
      <c r="U1969" s="5">
        <f>Final_Table[[#This Row],[Gross Profit]]-Final_Table[[#This Row],[Tax]]</f>
        <v>-2061.3599999999997</v>
      </c>
      <c r="V1969" s="12">
        <f>Final_Table[[#This Row],[Net Profit]]/Final_Table[[#This Row],[Gross Revenue]]</f>
        <v>-0.10104705882352939</v>
      </c>
    </row>
    <row r="1970" spans="1:22">
      <c r="A1970" s="18" t="s">
        <v>69</v>
      </c>
      <c r="B1970">
        <v>2014</v>
      </c>
      <c r="C1970" t="s">
        <v>133</v>
      </c>
      <c r="D1970">
        <v>1</v>
      </c>
      <c r="E1970" s="18" t="s">
        <v>16</v>
      </c>
      <c r="F1970" s="18" t="s">
        <v>113</v>
      </c>
      <c r="G1970" s="18" t="s">
        <v>25</v>
      </c>
      <c r="H1970" s="18" t="str">
        <f>Assumptions!$B$2</f>
        <v>Worst</v>
      </c>
      <c r="I1970" s="18">
        <f>_xlfn.XLOOKUP(Assumptions!$B$2,Assumptions!$F$4:$H$4,Assumptions!$F$5:$H$5)</f>
        <v>1200</v>
      </c>
      <c r="J1970" s="18">
        <f>_xlfn.XLOOKUP(Assumptions!$B$2,Assumptions!$F$4:$H$4,Assumptions!$F$6:$H$6)</f>
        <v>17</v>
      </c>
      <c r="K1970" s="12">
        <f>_xlfn.XLOOKUP(Assumptions!$B$2,Assumptions!$F$4:$H$4,Assumptions!$F$8:$H$8)</f>
        <v>0.1</v>
      </c>
      <c r="L1970" s="12">
        <f>_xlfn.XLOOKUP(Assumptions!$B$2,Assumptions!$F$4:$H$4,Assumptions!$F$9:$H$9)</f>
        <v>0.18</v>
      </c>
      <c r="M1970" s="18">
        <f>_xlfn.XLOOKUP(Assumptions!$B$2,Assumptions!$F$4:$H$4,Assumptions!$F$10:$H$10)</f>
        <v>18000</v>
      </c>
      <c r="N1970" s="12">
        <f>_xlfn.XLOOKUP(Assumptions!$B$2,Assumptions!$F$4:$H$4,Assumptions!$F$11:$H$11)</f>
        <v>0.3</v>
      </c>
      <c r="O1970" s="14">
        <f>Final_Table[[#This Row],[Units Sold]]*Final_Table[[#This Row],[Sale Price]]</f>
        <v>20400</v>
      </c>
      <c r="P1970" s="14">
        <f>Final_Table[[#This Row],[Gross Revenue]]*(1-Final_Table[[#This Row],[Discount %]])</f>
        <v>18360</v>
      </c>
      <c r="Q1970">
        <f>Final_Table[[#This Row],[Net Revenue]]*Final_Table[[#This Row],[Variable Cost %]]</f>
        <v>3304.7999999999997</v>
      </c>
      <c r="R1970">
        <f>Final_Table[[#This Row],[Variable Cost]]+Final_Table[[#This Row],[Fixed Monthly Cost]]</f>
        <v>21304.799999999999</v>
      </c>
      <c r="S1970" s="5">
        <f>Final_Table[[#This Row],[Net Revenue]]-Final_Table[[#This Row],[Total Cost (COGS)]]</f>
        <v>-2944.7999999999993</v>
      </c>
      <c r="T1970">
        <f>Final_Table[[#This Row],[Gross Profit]]*Final_Table[[#This Row],[Tax Rate]]</f>
        <v>-883.43999999999971</v>
      </c>
      <c r="U1970" s="5">
        <f>Final_Table[[#This Row],[Gross Profit]]-Final_Table[[#This Row],[Tax]]</f>
        <v>-2061.3599999999997</v>
      </c>
      <c r="V1970" s="12">
        <f>Final_Table[[#This Row],[Net Profit]]/Final_Table[[#This Row],[Gross Revenue]]</f>
        <v>-0.10104705882352939</v>
      </c>
    </row>
    <row r="1971" spans="1:22">
      <c r="A1971" s="18" t="s">
        <v>69</v>
      </c>
      <c r="B1971">
        <v>2014</v>
      </c>
      <c r="C1971" t="s">
        <v>133</v>
      </c>
      <c r="D1971">
        <v>1</v>
      </c>
      <c r="E1971" s="18" t="s">
        <v>16</v>
      </c>
      <c r="F1971" s="18" t="s">
        <v>113</v>
      </c>
      <c r="G1971" s="18" t="s">
        <v>17</v>
      </c>
      <c r="H1971" s="18" t="str">
        <f>Assumptions!$B$2</f>
        <v>Worst</v>
      </c>
      <c r="I1971" s="18">
        <f>_xlfn.XLOOKUP(Assumptions!$B$2,Assumptions!$F$4:$H$4,Assumptions!$F$5:$H$5)</f>
        <v>1200</v>
      </c>
      <c r="J1971" s="18">
        <f>_xlfn.XLOOKUP(Assumptions!$B$2,Assumptions!$F$4:$H$4,Assumptions!$F$6:$H$6)</f>
        <v>17</v>
      </c>
      <c r="K1971" s="12">
        <f>_xlfn.XLOOKUP(Assumptions!$B$2,Assumptions!$F$4:$H$4,Assumptions!$F$8:$H$8)</f>
        <v>0.1</v>
      </c>
      <c r="L1971" s="12">
        <f>_xlfn.XLOOKUP(Assumptions!$B$2,Assumptions!$F$4:$H$4,Assumptions!$F$9:$H$9)</f>
        <v>0.18</v>
      </c>
      <c r="M1971" s="18">
        <f>_xlfn.XLOOKUP(Assumptions!$B$2,Assumptions!$F$4:$H$4,Assumptions!$F$10:$H$10)</f>
        <v>18000</v>
      </c>
      <c r="N1971" s="12">
        <f>_xlfn.XLOOKUP(Assumptions!$B$2,Assumptions!$F$4:$H$4,Assumptions!$F$11:$H$11)</f>
        <v>0.3</v>
      </c>
      <c r="O1971" s="14">
        <f>Final_Table[[#This Row],[Units Sold]]*Final_Table[[#This Row],[Sale Price]]</f>
        <v>20400</v>
      </c>
      <c r="P1971" s="14">
        <f>Final_Table[[#This Row],[Gross Revenue]]*(1-Final_Table[[#This Row],[Discount %]])</f>
        <v>18360</v>
      </c>
      <c r="Q1971">
        <f>Final_Table[[#This Row],[Net Revenue]]*Final_Table[[#This Row],[Variable Cost %]]</f>
        <v>3304.7999999999997</v>
      </c>
      <c r="R1971">
        <f>Final_Table[[#This Row],[Variable Cost]]+Final_Table[[#This Row],[Fixed Monthly Cost]]</f>
        <v>21304.799999999999</v>
      </c>
      <c r="S1971" s="5">
        <f>Final_Table[[#This Row],[Net Revenue]]-Final_Table[[#This Row],[Total Cost (COGS)]]</f>
        <v>-2944.7999999999993</v>
      </c>
      <c r="T1971">
        <f>Final_Table[[#This Row],[Gross Profit]]*Final_Table[[#This Row],[Tax Rate]]</f>
        <v>-883.43999999999971</v>
      </c>
      <c r="U1971" s="5">
        <f>Final_Table[[#This Row],[Gross Profit]]-Final_Table[[#This Row],[Tax]]</f>
        <v>-2061.3599999999997</v>
      </c>
      <c r="V1971" s="12">
        <f>Final_Table[[#This Row],[Net Profit]]/Final_Table[[#This Row],[Gross Revenue]]</f>
        <v>-0.10104705882352939</v>
      </c>
    </row>
    <row r="1972" spans="1:22">
      <c r="A1972" s="18" t="s">
        <v>69</v>
      </c>
      <c r="B1972">
        <v>2014</v>
      </c>
      <c r="C1972" t="s">
        <v>133</v>
      </c>
      <c r="D1972">
        <v>1</v>
      </c>
      <c r="E1972" s="18" t="s">
        <v>16</v>
      </c>
      <c r="F1972" s="18" t="s">
        <v>114</v>
      </c>
      <c r="G1972" s="18" t="s">
        <v>36</v>
      </c>
      <c r="H1972" s="18" t="str">
        <f>Assumptions!$B$2</f>
        <v>Worst</v>
      </c>
      <c r="I1972" s="18">
        <f>_xlfn.XLOOKUP(Assumptions!$B$2,Assumptions!$F$4:$H$4,Assumptions!$F$5:$H$5)</f>
        <v>1200</v>
      </c>
      <c r="J1972" s="18">
        <f>_xlfn.XLOOKUP(Assumptions!$B$2,Assumptions!$F$4:$H$4,Assumptions!$F$6:$H$6)</f>
        <v>17</v>
      </c>
      <c r="K1972" s="12">
        <f>_xlfn.XLOOKUP(Assumptions!$B$2,Assumptions!$F$4:$H$4,Assumptions!$F$8:$H$8)</f>
        <v>0.1</v>
      </c>
      <c r="L1972" s="12">
        <f>_xlfn.XLOOKUP(Assumptions!$B$2,Assumptions!$F$4:$H$4,Assumptions!$F$9:$H$9)</f>
        <v>0.18</v>
      </c>
      <c r="M1972" s="18">
        <f>_xlfn.XLOOKUP(Assumptions!$B$2,Assumptions!$F$4:$H$4,Assumptions!$F$10:$H$10)</f>
        <v>18000</v>
      </c>
      <c r="N1972" s="12">
        <f>_xlfn.XLOOKUP(Assumptions!$B$2,Assumptions!$F$4:$H$4,Assumptions!$F$11:$H$11)</f>
        <v>0.3</v>
      </c>
      <c r="O1972" s="14">
        <f>Final_Table[[#This Row],[Units Sold]]*Final_Table[[#This Row],[Sale Price]]</f>
        <v>20400</v>
      </c>
      <c r="P1972" s="14">
        <f>Final_Table[[#This Row],[Gross Revenue]]*(1-Final_Table[[#This Row],[Discount %]])</f>
        <v>18360</v>
      </c>
      <c r="Q1972">
        <f>Final_Table[[#This Row],[Net Revenue]]*Final_Table[[#This Row],[Variable Cost %]]</f>
        <v>3304.7999999999997</v>
      </c>
      <c r="R1972">
        <f>Final_Table[[#This Row],[Variable Cost]]+Final_Table[[#This Row],[Fixed Monthly Cost]]</f>
        <v>21304.799999999999</v>
      </c>
      <c r="S1972" s="5">
        <f>Final_Table[[#This Row],[Net Revenue]]-Final_Table[[#This Row],[Total Cost (COGS)]]</f>
        <v>-2944.7999999999993</v>
      </c>
      <c r="T1972">
        <f>Final_Table[[#This Row],[Gross Profit]]*Final_Table[[#This Row],[Tax Rate]]</f>
        <v>-883.43999999999971</v>
      </c>
      <c r="U1972" s="5">
        <f>Final_Table[[#This Row],[Gross Profit]]-Final_Table[[#This Row],[Tax]]</f>
        <v>-2061.3599999999997</v>
      </c>
      <c r="V1972" s="12">
        <f>Final_Table[[#This Row],[Net Profit]]/Final_Table[[#This Row],[Gross Revenue]]</f>
        <v>-0.10104705882352939</v>
      </c>
    </row>
    <row r="1973" spans="1:22">
      <c r="A1973" s="18" t="s">
        <v>69</v>
      </c>
      <c r="B1973">
        <v>2014</v>
      </c>
      <c r="C1973" t="s">
        <v>133</v>
      </c>
      <c r="D1973">
        <v>1</v>
      </c>
      <c r="E1973" s="18" t="s">
        <v>16</v>
      </c>
      <c r="F1973" s="18" t="s">
        <v>114</v>
      </c>
      <c r="G1973" s="18" t="s">
        <v>23</v>
      </c>
      <c r="H1973" s="18" t="str">
        <f>Assumptions!$B$2</f>
        <v>Worst</v>
      </c>
      <c r="I1973" s="18">
        <f>_xlfn.XLOOKUP(Assumptions!$B$2,Assumptions!$F$4:$H$4,Assumptions!$F$5:$H$5)</f>
        <v>1200</v>
      </c>
      <c r="J1973" s="18">
        <f>_xlfn.XLOOKUP(Assumptions!$B$2,Assumptions!$F$4:$H$4,Assumptions!$F$6:$H$6)</f>
        <v>17</v>
      </c>
      <c r="K1973" s="12">
        <f>_xlfn.XLOOKUP(Assumptions!$B$2,Assumptions!$F$4:$H$4,Assumptions!$F$8:$H$8)</f>
        <v>0.1</v>
      </c>
      <c r="L1973" s="12">
        <f>_xlfn.XLOOKUP(Assumptions!$B$2,Assumptions!$F$4:$H$4,Assumptions!$F$9:$H$9)</f>
        <v>0.18</v>
      </c>
      <c r="M1973" s="18">
        <f>_xlfn.XLOOKUP(Assumptions!$B$2,Assumptions!$F$4:$H$4,Assumptions!$F$10:$H$10)</f>
        <v>18000</v>
      </c>
      <c r="N1973" s="12">
        <f>_xlfn.XLOOKUP(Assumptions!$B$2,Assumptions!$F$4:$H$4,Assumptions!$F$11:$H$11)</f>
        <v>0.3</v>
      </c>
      <c r="O1973" s="14">
        <f>Final_Table[[#This Row],[Units Sold]]*Final_Table[[#This Row],[Sale Price]]</f>
        <v>20400</v>
      </c>
      <c r="P1973" s="14">
        <f>Final_Table[[#This Row],[Gross Revenue]]*(1-Final_Table[[#This Row],[Discount %]])</f>
        <v>18360</v>
      </c>
      <c r="Q1973">
        <f>Final_Table[[#This Row],[Net Revenue]]*Final_Table[[#This Row],[Variable Cost %]]</f>
        <v>3304.7999999999997</v>
      </c>
      <c r="R1973">
        <f>Final_Table[[#This Row],[Variable Cost]]+Final_Table[[#This Row],[Fixed Monthly Cost]]</f>
        <v>21304.799999999999</v>
      </c>
      <c r="S1973" s="5">
        <f>Final_Table[[#This Row],[Net Revenue]]-Final_Table[[#This Row],[Total Cost (COGS)]]</f>
        <v>-2944.7999999999993</v>
      </c>
      <c r="T1973">
        <f>Final_Table[[#This Row],[Gross Profit]]*Final_Table[[#This Row],[Tax Rate]]</f>
        <v>-883.43999999999971</v>
      </c>
      <c r="U1973" s="5">
        <f>Final_Table[[#This Row],[Gross Profit]]-Final_Table[[#This Row],[Tax]]</f>
        <v>-2061.3599999999997</v>
      </c>
      <c r="V1973" s="12">
        <f>Final_Table[[#This Row],[Net Profit]]/Final_Table[[#This Row],[Gross Revenue]]</f>
        <v>-0.10104705882352939</v>
      </c>
    </row>
    <row r="1974" spans="1:22">
      <c r="A1974" s="18" t="s">
        <v>69</v>
      </c>
      <c r="B1974">
        <v>2014</v>
      </c>
      <c r="C1974" t="s">
        <v>133</v>
      </c>
      <c r="D1974">
        <v>1</v>
      </c>
      <c r="E1974" s="18" t="s">
        <v>16</v>
      </c>
      <c r="F1974" s="18" t="s">
        <v>114</v>
      </c>
      <c r="G1974" s="18" t="s">
        <v>21</v>
      </c>
      <c r="H1974" s="18" t="str">
        <f>Assumptions!$B$2</f>
        <v>Worst</v>
      </c>
      <c r="I1974" s="18">
        <f>_xlfn.XLOOKUP(Assumptions!$B$2,Assumptions!$F$4:$H$4,Assumptions!$F$5:$H$5)</f>
        <v>1200</v>
      </c>
      <c r="J1974" s="18">
        <f>_xlfn.XLOOKUP(Assumptions!$B$2,Assumptions!$F$4:$H$4,Assumptions!$F$6:$H$6)</f>
        <v>17</v>
      </c>
      <c r="K1974" s="12">
        <f>_xlfn.XLOOKUP(Assumptions!$B$2,Assumptions!$F$4:$H$4,Assumptions!$F$8:$H$8)</f>
        <v>0.1</v>
      </c>
      <c r="L1974" s="12">
        <f>_xlfn.XLOOKUP(Assumptions!$B$2,Assumptions!$F$4:$H$4,Assumptions!$F$9:$H$9)</f>
        <v>0.18</v>
      </c>
      <c r="M1974" s="18">
        <f>_xlfn.XLOOKUP(Assumptions!$B$2,Assumptions!$F$4:$H$4,Assumptions!$F$10:$H$10)</f>
        <v>18000</v>
      </c>
      <c r="N1974" s="12">
        <f>_xlfn.XLOOKUP(Assumptions!$B$2,Assumptions!$F$4:$H$4,Assumptions!$F$11:$H$11)</f>
        <v>0.3</v>
      </c>
      <c r="O1974" s="14">
        <f>Final_Table[[#This Row],[Units Sold]]*Final_Table[[#This Row],[Sale Price]]</f>
        <v>20400</v>
      </c>
      <c r="P1974" s="14">
        <f>Final_Table[[#This Row],[Gross Revenue]]*(1-Final_Table[[#This Row],[Discount %]])</f>
        <v>18360</v>
      </c>
      <c r="Q1974">
        <f>Final_Table[[#This Row],[Net Revenue]]*Final_Table[[#This Row],[Variable Cost %]]</f>
        <v>3304.7999999999997</v>
      </c>
      <c r="R1974">
        <f>Final_Table[[#This Row],[Variable Cost]]+Final_Table[[#This Row],[Fixed Monthly Cost]]</f>
        <v>21304.799999999999</v>
      </c>
      <c r="S1974" s="5">
        <f>Final_Table[[#This Row],[Net Revenue]]-Final_Table[[#This Row],[Total Cost (COGS)]]</f>
        <v>-2944.7999999999993</v>
      </c>
      <c r="T1974">
        <f>Final_Table[[#This Row],[Gross Profit]]*Final_Table[[#This Row],[Tax Rate]]</f>
        <v>-883.43999999999971</v>
      </c>
      <c r="U1974" s="5">
        <f>Final_Table[[#This Row],[Gross Profit]]-Final_Table[[#This Row],[Tax]]</f>
        <v>-2061.3599999999997</v>
      </c>
      <c r="V1974" s="12">
        <f>Final_Table[[#This Row],[Net Profit]]/Final_Table[[#This Row],[Gross Revenue]]</f>
        <v>-0.10104705882352939</v>
      </c>
    </row>
    <row r="1975" spans="1:22">
      <c r="A1975" s="18" t="s">
        <v>69</v>
      </c>
      <c r="B1975">
        <v>2014</v>
      </c>
      <c r="C1975" t="s">
        <v>133</v>
      </c>
      <c r="D1975">
        <v>1</v>
      </c>
      <c r="E1975" s="18" t="s">
        <v>16</v>
      </c>
      <c r="F1975" s="18" t="s">
        <v>114</v>
      </c>
      <c r="G1975" s="18" t="s">
        <v>25</v>
      </c>
      <c r="H1975" s="18" t="str">
        <f>Assumptions!$B$2</f>
        <v>Worst</v>
      </c>
      <c r="I1975" s="18">
        <f>_xlfn.XLOOKUP(Assumptions!$B$2,Assumptions!$F$4:$H$4,Assumptions!$F$5:$H$5)</f>
        <v>1200</v>
      </c>
      <c r="J1975" s="18">
        <f>_xlfn.XLOOKUP(Assumptions!$B$2,Assumptions!$F$4:$H$4,Assumptions!$F$6:$H$6)</f>
        <v>17</v>
      </c>
      <c r="K1975" s="12">
        <f>_xlfn.XLOOKUP(Assumptions!$B$2,Assumptions!$F$4:$H$4,Assumptions!$F$8:$H$8)</f>
        <v>0.1</v>
      </c>
      <c r="L1975" s="12">
        <f>_xlfn.XLOOKUP(Assumptions!$B$2,Assumptions!$F$4:$H$4,Assumptions!$F$9:$H$9)</f>
        <v>0.18</v>
      </c>
      <c r="M1975" s="18">
        <f>_xlfn.XLOOKUP(Assumptions!$B$2,Assumptions!$F$4:$H$4,Assumptions!$F$10:$H$10)</f>
        <v>18000</v>
      </c>
      <c r="N1975" s="12">
        <f>_xlfn.XLOOKUP(Assumptions!$B$2,Assumptions!$F$4:$H$4,Assumptions!$F$11:$H$11)</f>
        <v>0.3</v>
      </c>
      <c r="O1975" s="14">
        <f>Final_Table[[#This Row],[Units Sold]]*Final_Table[[#This Row],[Sale Price]]</f>
        <v>20400</v>
      </c>
      <c r="P1975" s="14">
        <f>Final_Table[[#This Row],[Gross Revenue]]*(1-Final_Table[[#This Row],[Discount %]])</f>
        <v>18360</v>
      </c>
      <c r="Q1975">
        <f>Final_Table[[#This Row],[Net Revenue]]*Final_Table[[#This Row],[Variable Cost %]]</f>
        <v>3304.7999999999997</v>
      </c>
      <c r="R1975">
        <f>Final_Table[[#This Row],[Variable Cost]]+Final_Table[[#This Row],[Fixed Monthly Cost]]</f>
        <v>21304.799999999999</v>
      </c>
      <c r="S1975" s="5">
        <f>Final_Table[[#This Row],[Net Revenue]]-Final_Table[[#This Row],[Total Cost (COGS)]]</f>
        <v>-2944.7999999999993</v>
      </c>
      <c r="T1975">
        <f>Final_Table[[#This Row],[Gross Profit]]*Final_Table[[#This Row],[Tax Rate]]</f>
        <v>-883.43999999999971</v>
      </c>
      <c r="U1975" s="5">
        <f>Final_Table[[#This Row],[Gross Profit]]-Final_Table[[#This Row],[Tax]]</f>
        <v>-2061.3599999999997</v>
      </c>
      <c r="V1975" s="12">
        <f>Final_Table[[#This Row],[Net Profit]]/Final_Table[[#This Row],[Gross Revenue]]</f>
        <v>-0.10104705882352939</v>
      </c>
    </row>
    <row r="1976" spans="1:22">
      <c r="A1976" s="18" t="s">
        <v>69</v>
      </c>
      <c r="B1976">
        <v>2014</v>
      </c>
      <c r="C1976" t="s">
        <v>133</v>
      </c>
      <c r="D1976">
        <v>1</v>
      </c>
      <c r="E1976" s="18" t="s">
        <v>16</v>
      </c>
      <c r="F1976" s="18" t="s">
        <v>114</v>
      </c>
      <c r="G1976" s="18" t="s">
        <v>17</v>
      </c>
      <c r="H1976" s="18" t="str">
        <f>Assumptions!$B$2</f>
        <v>Worst</v>
      </c>
      <c r="I1976" s="18">
        <f>_xlfn.XLOOKUP(Assumptions!$B$2,Assumptions!$F$4:$H$4,Assumptions!$F$5:$H$5)</f>
        <v>1200</v>
      </c>
      <c r="J1976" s="18">
        <f>_xlfn.XLOOKUP(Assumptions!$B$2,Assumptions!$F$4:$H$4,Assumptions!$F$6:$H$6)</f>
        <v>17</v>
      </c>
      <c r="K1976" s="12">
        <f>_xlfn.XLOOKUP(Assumptions!$B$2,Assumptions!$F$4:$H$4,Assumptions!$F$8:$H$8)</f>
        <v>0.1</v>
      </c>
      <c r="L1976" s="12">
        <f>_xlfn.XLOOKUP(Assumptions!$B$2,Assumptions!$F$4:$H$4,Assumptions!$F$9:$H$9)</f>
        <v>0.18</v>
      </c>
      <c r="M1976" s="18">
        <f>_xlfn.XLOOKUP(Assumptions!$B$2,Assumptions!$F$4:$H$4,Assumptions!$F$10:$H$10)</f>
        <v>18000</v>
      </c>
      <c r="N1976" s="12">
        <f>_xlfn.XLOOKUP(Assumptions!$B$2,Assumptions!$F$4:$H$4,Assumptions!$F$11:$H$11)</f>
        <v>0.3</v>
      </c>
      <c r="O1976" s="14">
        <f>Final_Table[[#This Row],[Units Sold]]*Final_Table[[#This Row],[Sale Price]]</f>
        <v>20400</v>
      </c>
      <c r="P1976" s="14">
        <f>Final_Table[[#This Row],[Gross Revenue]]*(1-Final_Table[[#This Row],[Discount %]])</f>
        <v>18360</v>
      </c>
      <c r="Q1976">
        <f>Final_Table[[#This Row],[Net Revenue]]*Final_Table[[#This Row],[Variable Cost %]]</f>
        <v>3304.7999999999997</v>
      </c>
      <c r="R1976">
        <f>Final_Table[[#This Row],[Variable Cost]]+Final_Table[[#This Row],[Fixed Monthly Cost]]</f>
        <v>21304.799999999999</v>
      </c>
      <c r="S1976" s="5">
        <f>Final_Table[[#This Row],[Net Revenue]]-Final_Table[[#This Row],[Total Cost (COGS)]]</f>
        <v>-2944.7999999999993</v>
      </c>
      <c r="T1976">
        <f>Final_Table[[#This Row],[Gross Profit]]*Final_Table[[#This Row],[Tax Rate]]</f>
        <v>-883.43999999999971</v>
      </c>
      <c r="U1976" s="5">
        <f>Final_Table[[#This Row],[Gross Profit]]-Final_Table[[#This Row],[Tax]]</f>
        <v>-2061.3599999999997</v>
      </c>
      <c r="V1976" s="12">
        <f>Final_Table[[#This Row],[Net Profit]]/Final_Table[[#This Row],[Gross Revenue]]</f>
        <v>-0.10104705882352939</v>
      </c>
    </row>
    <row r="1977" spans="1:22">
      <c r="A1977" s="18" t="s">
        <v>69</v>
      </c>
      <c r="B1977">
        <v>2014</v>
      </c>
      <c r="C1977" t="s">
        <v>133</v>
      </c>
      <c r="D1977">
        <v>1</v>
      </c>
      <c r="E1977" s="18" t="s">
        <v>32</v>
      </c>
      <c r="F1977" s="18" t="s">
        <v>80</v>
      </c>
      <c r="G1977" s="18" t="s">
        <v>36</v>
      </c>
      <c r="H1977" s="18" t="str">
        <f>Assumptions!$B$2</f>
        <v>Worst</v>
      </c>
      <c r="I1977" s="18">
        <f>_xlfn.XLOOKUP(Assumptions!$B$2,Assumptions!$F$4:$H$4,Assumptions!$F$5:$H$5)</f>
        <v>1200</v>
      </c>
      <c r="J1977" s="18">
        <f>_xlfn.XLOOKUP(Assumptions!$B$2,Assumptions!$F$4:$H$4,Assumptions!$F$6:$H$6)</f>
        <v>17</v>
      </c>
      <c r="K1977" s="12">
        <f>_xlfn.XLOOKUP(Assumptions!$B$2,Assumptions!$F$4:$H$4,Assumptions!$F$8:$H$8)</f>
        <v>0.1</v>
      </c>
      <c r="L1977" s="12">
        <f>_xlfn.XLOOKUP(Assumptions!$B$2,Assumptions!$F$4:$H$4,Assumptions!$F$9:$H$9)</f>
        <v>0.18</v>
      </c>
      <c r="M1977" s="18">
        <f>_xlfn.XLOOKUP(Assumptions!$B$2,Assumptions!$F$4:$H$4,Assumptions!$F$10:$H$10)</f>
        <v>18000</v>
      </c>
      <c r="N1977" s="12">
        <f>_xlfn.XLOOKUP(Assumptions!$B$2,Assumptions!$F$4:$H$4,Assumptions!$F$11:$H$11)</f>
        <v>0.3</v>
      </c>
      <c r="O1977" s="14">
        <f>Final_Table[[#This Row],[Units Sold]]*Final_Table[[#This Row],[Sale Price]]</f>
        <v>20400</v>
      </c>
      <c r="P1977" s="14">
        <f>Final_Table[[#This Row],[Gross Revenue]]*(1-Final_Table[[#This Row],[Discount %]])</f>
        <v>18360</v>
      </c>
      <c r="Q1977">
        <f>Final_Table[[#This Row],[Net Revenue]]*Final_Table[[#This Row],[Variable Cost %]]</f>
        <v>3304.7999999999997</v>
      </c>
      <c r="R1977">
        <f>Final_Table[[#This Row],[Variable Cost]]+Final_Table[[#This Row],[Fixed Monthly Cost]]</f>
        <v>21304.799999999999</v>
      </c>
      <c r="S1977" s="5">
        <f>Final_Table[[#This Row],[Net Revenue]]-Final_Table[[#This Row],[Total Cost (COGS)]]</f>
        <v>-2944.7999999999993</v>
      </c>
      <c r="T1977">
        <f>Final_Table[[#This Row],[Gross Profit]]*Final_Table[[#This Row],[Tax Rate]]</f>
        <v>-883.43999999999971</v>
      </c>
      <c r="U1977" s="5">
        <f>Final_Table[[#This Row],[Gross Profit]]-Final_Table[[#This Row],[Tax]]</f>
        <v>-2061.3599999999997</v>
      </c>
      <c r="V1977" s="12">
        <f>Final_Table[[#This Row],[Net Profit]]/Final_Table[[#This Row],[Gross Revenue]]</f>
        <v>-0.10104705882352939</v>
      </c>
    </row>
    <row r="1978" spans="1:22">
      <c r="A1978" s="18" t="s">
        <v>69</v>
      </c>
      <c r="B1978">
        <v>2014</v>
      </c>
      <c r="C1978" t="s">
        <v>133</v>
      </c>
      <c r="D1978">
        <v>1</v>
      </c>
      <c r="E1978" s="18" t="s">
        <v>32</v>
      </c>
      <c r="F1978" s="18" t="s">
        <v>80</v>
      </c>
      <c r="G1978" s="18" t="s">
        <v>23</v>
      </c>
      <c r="H1978" s="18" t="str">
        <f>Assumptions!$B$2</f>
        <v>Worst</v>
      </c>
      <c r="I1978" s="18">
        <f>_xlfn.XLOOKUP(Assumptions!$B$2,Assumptions!$F$4:$H$4,Assumptions!$F$5:$H$5)</f>
        <v>1200</v>
      </c>
      <c r="J1978" s="18">
        <f>_xlfn.XLOOKUP(Assumptions!$B$2,Assumptions!$F$4:$H$4,Assumptions!$F$6:$H$6)</f>
        <v>17</v>
      </c>
      <c r="K1978" s="12">
        <f>_xlfn.XLOOKUP(Assumptions!$B$2,Assumptions!$F$4:$H$4,Assumptions!$F$8:$H$8)</f>
        <v>0.1</v>
      </c>
      <c r="L1978" s="12">
        <f>_xlfn.XLOOKUP(Assumptions!$B$2,Assumptions!$F$4:$H$4,Assumptions!$F$9:$H$9)</f>
        <v>0.18</v>
      </c>
      <c r="M1978" s="18">
        <f>_xlfn.XLOOKUP(Assumptions!$B$2,Assumptions!$F$4:$H$4,Assumptions!$F$10:$H$10)</f>
        <v>18000</v>
      </c>
      <c r="N1978" s="12">
        <f>_xlfn.XLOOKUP(Assumptions!$B$2,Assumptions!$F$4:$H$4,Assumptions!$F$11:$H$11)</f>
        <v>0.3</v>
      </c>
      <c r="O1978" s="14">
        <f>Final_Table[[#This Row],[Units Sold]]*Final_Table[[#This Row],[Sale Price]]</f>
        <v>20400</v>
      </c>
      <c r="P1978" s="14">
        <f>Final_Table[[#This Row],[Gross Revenue]]*(1-Final_Table[[#This Row],[Discount %]])</f>
        <v>18360</v>
      </c>
      <c r="Q1978">
        <f>Final_Table[[#This Row],[Net Revenue]]*Final_Table[[#This Row],[Variable Cost %]]</f>
        <v>3304.7999999999997</v>
      </c>
      <c r="R1978">
        <f>Final_Table[[#This Row],[Variable Cost]]+Final_Table[[#This Row],[Fixed Monthly Cost]]</f>
        <v>21304.799999999999</v>
      </c>
      <c r="S1978" s="5">
        <f>Final_Table[[#This Row],[Net Revenue]]-Final_Table[[#This Row],[Total Cost (COGS)]]</f>
        <v>-2944.7999999999993</v>
      </c>
      <c r="T1978">
        <f>Final_Table[[#This Row],[Gross Profit]]*Final_Table[[#This Row],[Tax Rate]]</f>
        <v>-883.43999999999971</v>
      </c>
      <c r="U1978" s="5">
        <f>Final_Table[[#This Row],[Gross Profit]]-Final_Table[[#This Row],[Tax]]</f>
        <v>-2061.3599999999997</v>
      </c>
      <c r="V1978" s="12">
        <f>Final_Table[[#This Row],[Net Profit]]/Final_Table[[#This Row],[Gross Revenue]]</f>
        <v>-0.10104705882352939</v>
      </c>
    </row>
    <row r="1979" spans="1:22">
      <c r="A1979" s="18" t="s">
        <v>69</v>
      </c>
      <c r="B1979">
        <v>2014</v>
      </c>
      <c r="C1979" t="s">
        <v>133</v>
      </c>
      <c r="D1979">
        <v>1</v>
      </c>
      <c r="E1979" s="18" t="s">
        <v>32</v>
      </c>
      <c r="F1979" s="18" t="s">
        <v>80</v>
      </c>
      <c r="G1979" s="18" t="s">
        <v>21</v>
      </c>
      <c r="H1979" s="18" t="str">
        <f>Assumptions!$B$2</f>
        <v>Worst</v>
      </c>
      <c r="I1979" s="18">
        <f>_xlfn.XLOOKUP(Assumptions!$B$2,Assumptions!$F$4:$H$4,Assumptions!$F$5:$H$5)</f>
        <v>1200</v>
      </c>
      <c r="J1979" s="18">
        <f>_xlfn.XLOOKUP(Assumptions!$B$2,Assumptions!$F$4:$H$4,Assumptions!$F$6:$H$6)</f>
        <v>17</v>
      </c>
      <c r="K1979" s="12">
        <f>_xlfn.XLOOKUP(Assumptions!$B$2,Assumptions!$F$4:$H$4,Assumptions!$F$8:$H$8)</f>
        <v>0.1</v>
      </c>
      <c r="L1979" s="12">
        <f>_xlfn.XLOOKUP(Assumptions!$B$2,Assumptions!$F$4:$H$4,Assumptions!$F$9:$H$9)</f>
        <v>0.18</v>
      </c>
      <c r="M1979" s="18">
        <f>_xlfn.XLOOKUP(Assumptions!$B$2,Assumptions!$F$4:$H$4,Assumptions!$F$10:$H$10)</f>
        <v>18000</v>
      </c>
      <c r="N1979" s="12">
        <f>_xlfn.XLOOKUP(Assumptions!$B$2,Assumptions!$F$4:$H$4,Assumptions!$F$11:$H$11)</f>
        <v>0.3</v>
      </c>
      <c r="O1979" s="14">
        <f>Final_Table[[#This Row],[Units Sold]]*Final_Table[[#This Row],[Sale Price]]</f>
        <v>20400</v>
      </c>
      <c r="P1979" s="14">
        <f>Final_Table[[#This Row],[Gross Revenue]]*(1-Final_Table[[#This Row],[Discount %]])</f>
        <v>18360</v>
      </c>
      <c r="Q1979">
        <f>Final_Table[[#This Row],[Net Revenue]]*Final_Table[[#This Row],[Variable Cost %]]</f>
        <v>3304.7999999999997</v>
      </c>
      <c r="R1979">
        <f>Final_Table[[#This Row],[Variable Cost]]+Final_Table[[#This Row],[Fixed Monthly Cost]]</f>
        <v>21304.799999999999</v>
      </c>
      <c r="S1979" s="5">
        <f>Final_Table[[#This Row],[Net Revenue]]-Final_Table[[#This Row],[Total Cost (COGS)]]</f>
        <v>-2944.7999999999993</v>
      </c>
      <c r="T1979">
        <f>Final_Table[[#This Row],[Gross Profit]]*Final_Table[[#This Row],[Tax Rate]]</f>
        <v>-883.43999999999971</v>
      </c>
      <c r="U1979" s="5">
        <f>Final_Table[[#This Row],[Gross Profit]]-Final_Table[[#This Row],[Tax]]</f>
        <v>-2061.3599999999997</v>
      </c>
      <c r="V1979" s="12">
        <f>Final_Table[[#This Row],[Net Profit]]/Final_Table[[#This Row],[Gross Revenue]]</f>
        <v>-0.10104705882352939</v>
      </c>
    </row>
    <row r="1980" spans="1:22">
      <c r="A1980" s="18" t="s">
        <v>69</v>
      </c>
      <c r="B1980">
        <v>2014</v>
      </c>
      <c r="C1980" t="s">
        <v>133</v>
      </c>
      <c r="D1980">
        <v>1</v>
      </c>
      <c r="E1980" s="18" t="s">
        <v>32</v>
      </c>
      <c r="F1980" s="18" t="s">
        <v>80</v>
      </c>
      <c r="G1980" s="18" t="s">
        <v>25</v>
      </c>
      <c r="H1980" s="18" t="str">
        <f>Assumptions!$B$2</f>
        <v>Worst</v>
      </c>
      <c r="I1980" s="18">
        <f>_xlfn.XLOOKUP(Assumptions!$B$2,Assumptions!$F$4:$H$4,Assumptions!$F$5:$H$5)</f>
        <v>1200</v>
      </c>
      <c r="J1980" s="18">
        <f>_xlfn.XLOOKUP(Assumptions!$B$2,Assumptions!$F$4:$H$4,Assumptions!$F$6:$H$6)</f>
        <v>17</v>
      </c>
      <c r="K1980" s="12">
        <f>_xlfn.XLOOKUP(Assumptions!$B$2,Assumptions!$F$4:$H$4,Assumptions!$F$8:$H$8)</f>
        <v>0.1</v>
      </c>
      <c r="L1980" s="12">
        <f>_xlfn.XLOOKUP(Assumptions!$B$2,Assumptions!$F$4:$H$4,Assumptions!$F$9:$H$9)</f>
        <v>0.18</v>
      </c>
      <c r="M1980" s="18">
        <f>_xlfn.XLOOKUP(Assumptions!$B$2,Assumptions!$F$4:$H$4,Assumptions!$F$10:$H$10)</f>
        <v>18000</v>
      </c>
      <c r="N1980" s="12">
        <f>_xlfn.XLOOKUP(Assumptions!$B$2,Assumptions!$F$4:$H$4,Assumptions!$F$11:$H$11)</f>
        <v>0.3</v>
      </c>
      <c r="O1980" s="14">
        <f>Final_Table[[#This Row],[Units Sold]]*Final_Table[[#This Row],[Sale Price]]</f>
        <v>20400</v>
      </c>
      <c r="P1980" s="14">
        <f>Final_Table[[#This Row],[Gross Revenue]]*(1-Final_Table[[#This Row],[Discount %]])</f>
        <v>18360</v>
      </c>
      <c r="Q1980">
        <f>Final_Table[[#This Row],[Net Revenue]]*Final_Table[[#This Row],[Variable Cost %]]</f>
        <v>3304.7999999999997</v>
      </c>
      <c r="R1980">
        <f>Final_Table[[#This Row],[Variable Cost]]+Final_Table[[#This Row],[Fixed Monthly Cost]]</f>
        <v>21304.799999999999</v>
      </c>
      <c r="S1980" s="5">
        <f>Final_Table[[#This Row],[Net Revenue]]-Final_Table[[#This Row],[Total Cost (COGS)]]</f>
        <v>-2944.7999999999993</v>
      </c>
      <c r="T1980">
        <f>Final_Table[[#This Row],[Gross Profit]]*Final_Table[[#This Row],[Tax Rate]]</f>
        <v>-883.43999999999971</v>
      </c>
      <c r="U1980" s="5">
        <f>Final_Table[[#This Row],[Gross Profit]]-Final_Table[[#This Row],[Tax]]</f>
        <v>-2061.3599999999997</v>
      </c>
      <c r="V1980" s="12">
        <f>Final_Table[[#This Row],[Net Profit]]/Final_Table[[#This Row],[Gross Revenue]]</f>
        <v>-0.10104705882352939</v>
      </c>
    </row>
    <row r="1981" spans="1:22">
      <c r="A1981" s="18" t="s">
        <v>69</v>
      </c>
      <c r="B1981">
        <v>2014</v>
      </c>
      <c r="C1981" t="s">
        <v>133</v>
      </c>
      <c r="D1981">
        <v>1</v>
      </c>
      <c r="E1981" s="18" t="s">
        <v>32</v>
      </c>
      <c r="F1981" s="18" t="s">
        <v>80</v>
      </c>
      <c r="G1981" s="18" t="s">
        <v>17</v>
      </c>
      <c r="H1981" s="18" t="str">
        <f>Assumptions!$B$2</f>
        <v>Worst</v>
      </c>
      <c r="I1981" s="18">
        <f>_xlfn.XLOOKUP(Assumptions!$B$2,Assumptions!$F$4:$H$4,Assumptions!$F$5:$H$5)</f>
        <v>1200</v>
      </c>
      <c r="J1981" s="18">
        <f>_xlfn.XLOOKUP(Assumptions!$B$2,Assumptions!$F$4:$H$4,Assumptions!$F$6:$H$6)</f>
        <v>17</v>
      </c>
      <c r="K1981" s="12">
        <f>_xlfn.XLOOKUP(Assumptions!$B$2,Assumptions!$F$4:$H$4,Assumptions!$F$8:$H$8)</f>
        <v>0.1</v>
      </c>
      <c r="L1981" s="12">
        <f>_xlfn.XLOOKUP(Assumptions!$B$2,Assumptions!$F$4:$H$4,Assumptions!$F$9:$H$9)</f>
        <v>0.18</v>
      </c>
      <c r="M1981" s="18">
        <f>_xlfn.XLOOKUP(Assumptions!$B$2,Assumptions!$F$4:$H$4,Assumptions!$F$10:$H$10)</f>
        <v>18000</v>
      </c>
      <c r="N1981" s="12">
        <f>_xlfn.XLOOKUP(Assumptions!$B$2,Assumptions!$F$4:$H$4,Assumptions!$F$11:$H$11)</f>
        <v>0.3</v>
      </c>
      <c r="O1981" s="14">
        <f>Final_Table[[#This Row],[Units Sold]]*Final_Table[[#This Row],[Sale Price]]</f>
        <v>20400</v>
      </c>
      <c r="P1981" s="14">
        <f>Final_Table[[#This Row],[Gross Revenue]]*(1-Final_Table[[#This Row],[Discount %]])</f>
        <v>18360</v>
      </c>
      <c r="Q1981">
        <f>Final_Table[[#This Row],[Net Revenue]]*Final_Table[[#This Row],[Variable Cost %]]</f>
        <v>3304.7999999999997</v>
      </c>
      <c r="R1981">
        <f>Final_Table[[#This Row],[Variable Cost]]+Final_Table[[#This Row],[Fixed Monthly Cost]]</f>
        <v>21304.799999999999</v>
      </c>
      <c r="S1981" s="5">
        <f>Final_Table[[#This Row],[Net Revenue]]-Final_Table[[#This Row],[Total Cost (COGS)]]</f>
        <v>-2944.7999999999993</v>
      </c>
      <c r="T1981">
        <f>Final_Table[[#This Row],[Gross Profit]]*Final_Table[[#This Row],[Tax Rate]]</f>
        <v>-883.43999999999971</v>
      </c>
      <c r="U1981" s="5">
        <f>Final_Table[[#This Row],[Gross Profit]]-Final_Table[[#This Row],[Tax]]</f>
        <v>-2061.3599999999997</v>
      </c>
      <c r="V1981" s="12">
        <f>Final_Table[[#This Row],[Net Profit]]/Final_Table[[#This Row],[Gross Revenue]]</f>
        <v>-0.10104705882352939</v>
      </c>
    </row>
    <row r="1982" spans="1:22">
      <c r="A1982" s="18" t="s">
        <v>69</v>
      </c>
      <c r="B1982">
        <v>2014</v>
      </c>
      <c r="C1982" t="s">
        <v>133</v>
      </c>
      <c r="D1982">
        <v>1</v>
      </c>
      <c r="E1982" s="18" t="s">
        <v>32</v>
      </c>
      <c r="F1982" s="18" t="s">
        <v>108</v>
      </c>
      <c r="G1982" s="18" t="s">
        <v>36</v>
      </c>
      <c r="H1982" s="18" t="str">
        <f>Assumptions!$B$2</f>
        <v>Worst</v>
      </c>
      <c r="I1982" s="18">
        <f>_xlfn.XLOOKUP(Assumptions!$B$2,Assumptions!$F$4:$H$4,Assumptions!$F$5:$H$5)</f>
        <v>1200</v>
      </c>
      <c r="J1982" s="18">
        <f>_xlfn.XLOOKUP(Assumptions!$B$2,Assumptions!$F$4:$H$4,Assumptions!$F$6:$H$6)</f>
        <v>17</v>
      </c>
      <c r="K1982" s="12">
        <f>_xlfn.XLOOKUP(Assumptions!$B$2,Assumptions!$F$4:$H$4,Assumptions!$F$8:$H$8)</f>
        <v>0.1</v>
      </c>
      <c r="L1982" s="12">
        <f>_xlfn.XLOOKUP(Assumptions!$B$2,Assumptions!$F$4:$H$4,Assumptions!$F$9:$H$9)</f>
        <v>0.18</v>
      </c>
      <c r="M1982" s="18">
        <f>_xlfn.XLOOKUP(Assumptions!$B$2,Assumptions!$F$4:$H$4,Assumptions!$F$10:$H$10)</f>
        <v>18000</v>
      </c>
      <c r="N1982" s="12">
        <f>_xlfn.XLOOKUP(Assumptions!$B$2,Assumptions!$F$4:$H$4,Assumptions!$F$11:$H$11)</f>
        <v>0.3</v>
      </c>
      <c r="O1982" s="14">
        <f>Final_Table[[#This Row],[Units Sold]]*Final_Table[[#This Row],[Sale Price]]</f>
        <v>20400</v>
      </c>
      <c r="P1982" s="14">
        <f>Final_Table[[#This Row],[Gross Revenue]]*(1-Final_Table[[#This Row],[Discount %]])</f>
        <v>18360</v>
      </c>
      <c r="Q1982">
        <f>Final_Table[[#This Row],[Net Revenue]]*Final_Table[[#This Row],[Variable Cost %]]</f>
        <v>3304.7999999999997</v>
      </c>
      <c r="R1982">
        <f>Final_Table[[#This Row],[Variable Cost]]+Final_Table[[#This Row],[Fixed Monthly Cost]]</f>
        <v>21304.799999999999</v>
      </c>
      <c r="S1982" s="5">
        <f>Final_Table[[#This Row],[Net Revenue]]-Final_Table[[#This Row],[Total Cost (COGS)]]</f>
        <v>-2944.7999999999993</v>
      </c>
      <c r="T1982">
        <f>Final_Table[[#This Row],[Gross Profit]]*Final_Table[[#This Row],[Tax Rate]]</f>
        <v>-883.43999999999971</v>
      </c>
      <c r="U1982" s="5">
        <f>Final_Table[[#This Row],[Gross Profit]]-Final_Table[[#This Row],[Tax]]</f>
        <v>-2061.3599999999997</v>
      </c>
      <c r="V1982" s="12">
        <f>Final_Table[[#This Row],[Net Profit]]/Final_Table[[#This Row],[Gross Revenue]]</f>
        <v>-0.10104705882352939</v>
      </c>
    </row>
    <row r="1983" spans="1:22">
      <c r="A1983" s="18" t="s">
        <v>69</v>
      </c>
      <c r="B1983">
        <v>2014</v>
      </c>
      <c r="C1983" t="s">
        <v>133</v>
      </c>
      <c r="D1983">
        <v>1</v>
      </c>
      <c r="E1983" s="18" t="s">
        <v>32</v>
      </c>
      <c r="F1983" s="18" t="s">
        <v>108</v>
      </c>
      <c r="G1983" s="18" t="s">
        <v>23</v>
      </c>
      <c r="H1983" s="18" t="str">
        <f>Assumptions!$B$2</f>
        <v>Worst</v>
      </c>
      <c r="I1983" s="18">
        <f>_xlfn.XLOOKUP(Assumptions!$B$2,Assumptions!$F$4:$H$4,Assumptions!$F$5:$H$5)</f>
        <v>1200</v>
      </c>
      <c r="J1983" s="18">
        <f>_xlfn.XLOOKUP(Assumptions!$B$2,Assumptions!$F$4:$H$4,Assumptions!$F$6:$H$6)</f>
        <v>17</v>
      </c>
      <c r="K1983" s="12">
        <f>_xlfn.XLOOKUP(Assumptions!$B$2,Assumptions!$F$4:$H$4,Assumptions!$F$8:$H$8)</f>
        <v>0.1</v>
      </c>
      <c r="L1983" s="12">
        <f>_xlfn.XLOOKUP(Assumptions!$B$2,Assumptions!$F$4:$H$4,Assumptions!$F$9:$H$9)</f>
        <v>0.18</v>
      </c>
      <c r="M1983" s="18">
        <f>_xlfn.XLOOKUP(Assumptions!$B$2,Assumptions!$F$4:$H$4,Assumptions!$F$10:$H$10)</f>
        <v>18000</v>
      </c>
      <c r="N1983" s="12">
        <f>_xlfn.XLOOKUP(Assumptions!$B$2,Assumptions!$F$4:$H$4,Assumptions!$F$11:$H$11)</f>
        <v>0.3</v>
      </c>
      <c r="O1983" s="14">
        <f>Final_Table[[#This Row],[Units Sold]]*Final_Table[[#This Row],[Sale Price]]</f>
        <v>20400</v>
      </c>
      <c r="P1983" s="14">
        <f>Final_Table[[#This Row],[Gross Revenue]]*(1-Final_Table[[#This Row],[Discount %]])</f>
        <v>18360</v>
      </c>
      <c r="Q1983">
        <f>Final_Table[[#This Row],[Net Revenue]]*Final_Table[[#This Row],[Variable Cost %]]</f>
        <v>3304.7999999999997</v>
      </c>
      <c r="R1983">
        <f>Final_Table[[#This Row],[Variable Cost]]+Final_Table[[#This Row],[Fixed Monthly Cost]]</f>
        <v>21304.799999999999</v>
      </c>
      <c r="S1983" s="5">
        <f>Final_Table[[#This Row],[Net Revenue]]-Final_Table[[#This Row],[Total Cost (COGS)]]</f>
        <v>-2944.7999999999993</v>
      </c>
      <c r="T1983">
        <f>Final_Table[[#This Row],[Gross Profit]]*Final_Table[[#This Row],[Tax Rate]]</f>
        <v>-883.43999999999971</v>
      </c>
      <c r="U1983" s="5">
        <f>Final_Table[[#This Row],[Gross Profit]]-Final_Table[[#This Row],[Tax]]</f>
        <v>-2061.3599999999997</v>
      </c>
      <c r="V1983" s="12">
        <f>Final_Table[[#This Row],[Net Profit]]/Final_Table[[#This Row],[Gross Revenue]]</f>
        <v>-0.10104705882352939</v>
      </c>
    </row>
    <row r="1984" spans="1:22">
      <c r="A1984" s="18" t="s">
        <v>69</v>
      </c>
      <c r="B1984">
        <v>2014</v>
      </c>
      <c r="C1984" t="s">
        <v>133</v>
      </c>
      <c r="D1984">
        <v>1</v>
      </c>
      <c r="E1984" s="18" t="s">
        <v>32</v>
      </c>
      <c r="F1984" s="18" t="s">
        <v>108</v>
      </c>
      <c r="G1984" s="18" t="s">
        <v>21</v>
      </c>
      <c r="H1984" s="18" t="str">
        <f>Assumptions!$B$2</f>
        <v>Worst</v>
      </c>
      <c r="I1984" s="18">
        <f>_xlfn.XLOOKUP(Assumptions!$B$2,Assumptions!$F$4:$H$4,Assumptions!$F$5:$H$5)</f>
        <v>1200</v>
      </c>
      <c r="J1984" s="18">
        <f>_xlfn.XLOOKUP(Assumptions!$B$2,Assumptions!$F$4:$H$4,Assumptions!$F$6:$H$6)</f>
        <v>17</v>
      </c>
      <c r="K1984" s="12">
        <f>_xlfn.XLOOKUP(Assumptions!$B$2,Assumptions!$F$4:$H$4,Assumptions!$F$8:$H$8)</f>
        <v>0.1</v>
      </c>
      <c r="L1984" s="12">
        <f>_xlfn.XLOOKUP(Assumptions!$B$2,Assumptions!$F$4:$H$4,Assumptions!$F$9:$H$9)</f>
        <v>0.18</v>
      </c>
      <c r="M1984" s="18">
        <f>_xlfn.XLOOKUP(Assumptions!$B$2,Assumptions!$F$4:$H$4,Assumptions!$F$10:$H$10)</f>
        <v>18000</v>
      </c>
      <c r="N1984" s="12">
        <f>_xlfn.XLOOKUP(Assumptions!$B$2,Assumptions!$F$4:$H$4,Assumptions!$F$11:$H$11)</f>
        <v>0.3</v>
      </c>
      <c r="O1984" s="14">
        <f>Final_Table[[#This Row],[Units Sold]]*Final_Table[[#This Row],[Sale Price]]</f>
        <v>20400</v>
      </c>
      <c r="P1984" s="14">
        <f>Final_Table[[#This Row],[Gross Revenue]]*(1-Final_Table[[#This Row],[Discount %]])</f>
        <v>18360</v>
      </c>
      <c r="Q1984">
        <f>Final_Table[[#This Row],[Net Revenue]]*Final_Table[[#This Row],[Variable Cost %]]</f>
        <v>3304.7999999999997</v>
      </c>
      <c r="R1984">
        <f>Final_Table[[#This Row],[Variable Cost]]+Final_Table[[#This Row],[Fixed Monthly Cost]]</f>
        <v>21304.799999999999</v>
      </c>
      <c r="S1984" s="5">
        <f>Final_Table[[#This Row],[Net Revenue]]-Final_Table[[#This Row],[Total Cost (COGS)]]</f>
        <v>-2944.7999999999993</v>
      </c>
      <c r="T1984">
        <f>Final_Table[[#This Row],[Gross Profit]]*Final_Table[[#This Row],[Tax Rate]]</f>
        <v>-883.43999999999971</v>
      </c>
      <c r="U1984" s="5">
        <f>Final_Table[[#This Row],[Gross Profit]]-Final_Table[[#This Row],[Tax]]</f>
        <v>-2061.3599999999997</v>
      </c>
      <c r="V1984" s="12">
        <f>Final_Table[[#This Row],[Net Profit]]/Final_Table[[#This Row],[Gross Revenue]]</f>
        <v>-0.10104705882352939</v>
      </c>
    </row>
    <row r="1985" spans="1:22">
      <c r="A1985" s="18" t="s">
        <v>69</v>
      </c>
      <c r="B1985">
        <v>2014</v>
      </c>
      <c r="C1985" t="s">
        <v>133</v>
      </c>
      <c r="D1985">
        <v>1</v>
      </c>
      <c r="E1985" s="18" t="s">
        <v>32</v>
      </c>
      <c r="F1985" s="18" t="s">
        <v>108</v>
      </c>
      <c r="G1985" s="18" t="s">
        <v>25</v>
      </c>
      <c r="H1985" s="18" t="str">
        <f>Assumptions!$B$2</f>
        <v>Worst</v>
      </c>
      <c r="I1985" s="18">
        <f>_xlfn.XLOOKUP(Assumptions!$B$2,Assumptions!$F$4:$H$4,Assumptions!$F$5:$H$5)</f>
        <v>1200</v>
      </c>
      <c r="J1985" s="18">
        <f>_xlfn.XLOOKUP(Assumptions!$B$2,Assumptions!$F$4:$H$4,Assumptions!$F$6:$H$6)</f>
        <v>17</v>
      </c>
      <c r="K1985" s="12">
        <f>_xlfn.XLOOKUP(Assumptions!$B$2,Assumptions!$F$4:$H$4,Assumptions!$F$8:$H$8)</f>
        <v>0.1</v>
      </c>
      <c r="L1985" s="12">
        <f>_xlfn.XLOOKUP(Assumptions!$B$2,Assumptions!$F$4:$H$4,Assumptions!$F$9:$H$9)</f>
        <v>0.18</v>
      </c>
      <c r="M1985" s="18">
        <f>_xlfn.XLOOKUP(Assumptions!$B$2,Assumptions!$F$4:$H$4,Assumptions!$F$10:$H$10)</f>
        <v>18000</v>
      </c>
      <c r="N1985" s="12">
        <f>_xlfn.XLOOKUP(Assumptions!$B$2,Assumptions!$F$4:$H$4,Assumptions!$F$11:$H$11)</f>
        <v>0.3</v>
      </c>
      <c r="O1985" s="14">
        <f>Final_Table[[#This Row],[Units Sold]]*Final_Table[[#This Row],[Sale Price]]</f>
        <v>20400</v>
      </c>
      <c r="P1985" s="14">
        <f>Final_Table[[#This Row],[Gross Revenue]]*(1-Final_Table[[#This Row],[Discount %]])</f>
        <v>18360</v>
      </c>
      <c r="Q1985">
        <f>Final_Table[[#This Row],[Net Revenue]]*Final_Table[[#This Row],[Variable Cost %]]</f>
        <v>3304.7999999999997</v>
      </c>
      <c r="R1985">
        <f>Final_Table[[#This Row],[Variable Cost]]+Final_Table[[#This Row],[Fixed Monthly Cost]]</f>
        <v>21304.799999999999</v>
      </c>
      <c r="S1985" s="5">
        <f>Final_Table[[#This Row],[Net Revenue]]-Final_Table[[#This Row],[Total Cost (COGS)]]</f>
        <v>-2944.7999999999993</v>
      </c>
      <c r="T1985">
        <f>Final_Table[[#This Row],[Gross Profit]]*Final_Table[[#This Row],[Tax Rate]]</f>
        <v>-883.43999999999971</v>
      </c>
      <c r="U1985" s="5">
        <f>Final_Table[[#This Row],[Gross Profit]]-Final_Table[[#This Row],[Tax]]</f>
        <v>-2061.3599999999997</v>
      </c>
      <c r="V1985" s="12">
        <f>Final_Table[[#This Row],[Net Profit]]/Final_Table[[#This Row],[Gross Revenue]]</f>
        <v>-0.10104705882352939</v>
      </c>
    </row>
    <row r="1986" spans="1:22">
      <c r="A1986" s="18" t="s">
        <v>69</v>
      </c>
      <c r="B1986">
        <v>2014</v>
      </c>
      <c r="C1986" t="s">
        <v>133</v>
      </c>
      <c r="D1986">
        <v>1</v>
      </c>
      <c r="E1986" s="18" t="s">
        <v>32</v>
      </c>
      <c r="F1986" s="18" t="s">
        <v>108</v>
      </c>
      <c r="G1986" s="18" t="s">
        <v>17</v>
      </c>
      <c r="H1986" s="18" t="str">
        <f>Assumptions!$B$2</f>
        <v>Worst</v>
      </c>
      <c r="I1986" s="18">
        <f>_xlfn.XLOOKUP(Assumptions!$B$2,Assumptions!$F$4:$H$4,Assumptions!$F$5:$H$5)</f>
        <v>1200</v>
      </c>
      <c r="J1986" s="18">
        <f>_xlfn.XLOOKUP(Assumptions!$B$2,Assumptions!$F$4:$H$4,Assumptions!$F$6:$H$6)</f>
        <v>17</v>
      </c>
      <c r="K1986" s="12">
        <f>_xlfn.XLOOKUP(Assumptions!$B$2,Assumptions!$F$4:$H$4,Assumptions!$F$8:$H$8)</f>
        <v>0.1</v>
      </c>
      <c r="L1986" s="12">
        <f>_xlfn.XLOOKUP(Assumptions!$B$2,Assumptions!$F$4:$H$4,Assumptions!$F$9:$H$9)</f>
        <v>0.18</v>
      </c>
      <c r="M1986" s="18">
        <f>_xlfn.XLOOKUP(Assumptions!$B$2,Assumptions!$F$4:$H$4,Assumptions!$F$10:$H$10)</f>
        <v>18000</v>
      </c>
      <c r="N1986" s="12">
        <f>_xlfn.XLOOKUP(Assumptions!$B$2,Assumptions!$F$4:$H$4,Assumptions!$F$11:$H$11)</f>
        <v>0.3</v>
      </c>
      <c r="O1986" s="14">
        <f>Final_Table[[#This Row],[Units Sold]]*Final_Table[[#This Row],[Sale Price]]</f>
        <v>20400</v>
      </c>
      <c r="P1986" s="14">
        <f>Final_Table[[#This Row],[Gross Revenue]]*(1-Final_Table[[#This Row],[Discount %]])</f>
        <v>18360</v>
      </c>
      <c r="Q1986">
        <f>Final_Table[[#This Row],[Net Revenue]]*Final_Table[[#This Row],[Variable Cost %]]</f>
        <v>3304.7999999999997</v>
      </c>
      <c r="R1986">
        <f>Final_Table[[#This Row],[Variable Cost]]+Final_Table[[#This Row],[Fixed Monthly Cost]]</f>
        <v>21304.799999999999</v>
      </c>
      <c r="S1986" s="5">
        <f>Final_Table[[#This Row],[Net Revenue]]-Final_Table[[#This Row],[Total Cost (COGS)]]</f>
        <v>-2944.7999999999993</v>
      </c>
      <c r="T1986">
        <f>Final_Table[[#This Row],[Gross Profit]]*Final_Table[[#This Row],[Tax Rate]]</f>
        <v>-883.43999999999971</v>
      </c>
      <c r="U1986" s="5">
        <f>Final_Table[[#This Row],[Gross Profit]]-Final_Table[[#This Row],[Tax]]</f>
        <v>-2061.3599999999997</v>
      </c>
      <c r="V1986" s="12">
        <f>Final_Table[[#This Row],[Net Profit]]/Final_Table[[#This Row],[Gross Revenue]]</f>
        <v>-0.10104705882352939</v>
      </c>
    </row>
    <row r="1987" spans="1:22">
      <c r="A1987" s="18" t="s">
        <v>69</v>
      </c>
      <c r="B1987">
        <v>2014</v>
      </c>
      <c r="C1987" t="s">
        <v>133</v>
      </c>
      <c r="D1987">
        <v>1</v>
      </c>
      <c r="E1987" s="18" t="s">
        <v>32</v>
      </c>
      <c r="F1987" s="18" t="s">
        <v>112</v>
      </c>
      <c r="G1987" s="18" t="s">
        <v>36</v>
      </c>
      <c r="H1987" s="18" t="str">
        <f>Assumptions!$B$2</f>
        <v>Worst</v>
      </c>
      <c r="I1987" s="18">
        <f>_xlfn.XLOOKUP(Assumptions!$B$2,Assumptions!$F$4:$H$4,Assumptions!$F$5:$H$5)</f>
        <v>1200</v>
      </c>
      <c r="J1987" s="18">
        <f>_xlfn.XLOOKUP(Assumptions!$B$2,Assumptions!$F$4:$H$4,Assumptions!$F$6:$H$6)</f>
        <v>17</v>
      </c>
      <c r="K1987" s="12">
        <f>_xlfn.XLOOKUP(Assumptions!$B$2,Assumptions!$F$4:$H$4,Assumptions!$F$8:$H$8)</f>
        <v>0.1</v>
      </c>
      <c r="L1987" s="12">
        <f>_xlfn.XLOOKUP(Assumptions!$B$2,Assumptions!$F$4:$H$4,Assumptions!$F$9:$H$9)</f>
        <v>0.18</v>
      </c>
      <c r="M1987" s="18">
        <f>_xlfn.XLOOKUP(Assumptions!$B$2,Assumptions!$F$4:$H$4,Assumptions!$F$10:$H$10)</f>
        <v>18000</v>
      </c>
      <c r="N1987" s="12">
        <f>_xlfn.XLOOKUP(Assumptions!$B$2,Assumptions!$F$4:$H$4,Assumptions!$F$11:$H$11)</f>
        <v>0.3</v>
      </c>
      <c r="O1987" s="14">
        <f>Final_Table[[#This Row],[Units Sold]]*Final_Table[[#This Row],[Sale Price]]</f>
        <v>20400</v>
      </c>
      <c r="P1987" s="14">
        <f>Final_Table[[#This Row],[Gross Revenue]]*(1-Final_Table[[#This Row],[Discount %]])</f>
        <v>18360</v>
      </c>
      <c r="Q1987">
        <f>Final_Table[[#This Row],[Net Revenue]]*Final_Table[[#This Row],[Variable Cost %]]</f>
        <v>3304.7999999999997</v>
      </c>
      <c r="R1987">
        <f>Final_Table[[#This Row],[Variable Cost]]+Final_Table[[#This Row],[Fixed Monthly Cost]]</f>
        <v>21304.799999999999</v>
      </c>
      <c r="S1987" s="5">
        <f>Final_Table[[#This Row],[Net Revenue]]-Final_Table[[#This Row],[Total Cost (COGS)]]</f>
        <v>-2944.7999999999993</v>
      </c>
      <c r="T1987">
        <f>Final_Table[[#This Row],[Gross Profit]]*Final_Table[[#This Row],[Tax Rate]]</f>
        <v>-883.43999999999971</v>
      </c>
      <c r="U1987" s="5">
        <f>Final_Table[[#This Row],[Gross Profit]]-Final_Table[[#This Row],[Tax]]</f>
        <v>-2061.3599999999997</v>
      </c>
      <c r="V1987" s="12">
        <f>Final_Table[[#This Row],[Net Profit]]/Final_Table[[#This Row],[Gross Revenue]]</f>
        <v>-0.10104705882352939</v>
      </c>
    </row>
    <row r="1988" spans="1:22">
      <c r="A1988" s="18" t="s">
        <v>69</v>
      </c>
      <c r="B1988">
        <v>2014</v>
      </c>
      <c r="C1988" t="s">
        <v>133</v>
      </c>
      <c r="D1988">
        <v>1</v>
      </c>
      <c r="E1988" s="18" t="s">
        <v>32</v>
      </c>
      <c r="F1988" s="18" t="s">
        <v>112</v>
      </c>
      <c r="G1988" s="18" t="s">
        <v>23</v>
      </c>
      <c r="H1988" s="18" t="str">
        <f>Assumptions!$B$2</f>
        <v>Worst</v>
      </c>
      <c r="I1988" s="18">
        <f>_xlfn.XLOOKUP(Assumptions!$B$2,Assumptions!$F$4:$H$4,Assumptions!$F$5:$H$5)</f>
        <v>1200</v>
      </c>
      <c r="J1988" s="18">
        <f>_xlfn.XLOOKUP(Assumptions!$B$2,Assumptions!$F$4:$H$4,Assumptions!$F$6:$H$6)</f>
        <v>17</v>
      </c>
      <c r="K1988" s="12">
        <f>_xlfn.XLOOKUP(Assumptions!$B$2,Assumptions!$F$4:$H$4,Assumptions!$F$8:$H$8)</f>
        <v>0.1</v>
      </c>
      <c r="L1988" s="12">
        <f>_xlfn.XLOOKUP(Assumptions!$B$2,Assumptions!$F$4:$H$4,Assumptions!$F$9:$H$9)</f>
        <v>0.18</v>
      </c>
      <c r="M1988" s="18">
        <f>_xlfn.XLOOKUP(Assumptions!$B$2,Assumptions!$F$4:$H$4,Assumptions!$F$10:$H$10)</f>
        <v>18000</v>
      </c>
      <c r="N1988" s="12">
        <f>_xlfn.XLOOKUP(Assumptions!$B$2,Assumptions!$F$4:$H$4,Assumptions!$F$11:$H$11)</f>
        <v>0.3</v>
      </c>
      <c r="O1988" s="14">
        <f>Final_Table[[#This Row],[Units Sold]]*Final_Table[[#This Row],[Sale Price]]</f>
        <v>20400</v>
      </c>
      <c r="P1988" s="14">
        <f>Final_Table[[#This Row],[Gross Revenue]]*(1-Final_Table[[#This Row],[Discount %]])</f>
        <v>18360</v>
      </c>
      <c r="Q1988">
        <f>Final_Table[[#This Row],[Net Revenue]]*Final_Table[[#This Row],[Variable Cost %]]</f>
        <v>3304.7999999999997</v>
      </c>
      <c r="R1988">
        <f>Final_Table[[#This Row],[Variable Cost]]+Final_Table[[#This Row],[Fixed Monthly Cost]]</f>
        <v>21304.799999999999</v>
      </c>
      <c r="S1988" s="5">
        <f>Final_Table[[#This Row],[Net Revenue]]-Final_Table[[#This Row],[Total Cost (COGS)]]</f>
        <v>-2944.7999999999993</v>
      </c>
      <c r="T1988">
        <f>Final_Table[[#This Row],[Gross Profit]]*Final_Table[[#This Row],[Tax Rate]]</f>
        <v>-883.43999999999971</v>
      </c>
      <c r="U1988" s="5">
        <f>Final_Table[[#This Row],[Gross Profit]]-Final_Table[[#This Row],[Tax]]</f>
        <v>-2061.3599999999997</v>
      </c>
      <c r="V1988" s="12">
        <f>Final_Table[[#This Row],[Net Profit]]/Final_Table[[#This Row],[Gross Revenue]]</f>
        <v>-0.10104705882352939</v>
      </c>
    </row>
    <row r="1989" spans="1:22">
      <c r="A1989" s="18" t="s">
        <v>69</v>
      </c>
      <c r="B1989">
        <v>2014</v>
      </c>
      <c r="C1989" t="s">
        <v>133</v>
      </c>
      <c r="D1989">
        <v>1</v>
      </c>
      <c r="E1989" s="18" t="s">
        <v>32</v>
      </c>
      <c r="F1989" s="18" t="s">
        <v>112</v>
      </c>
      <c r="G1989" s="18" t="s">
        <v>21</v>
      </c>
      <c r="H1989" s="18" t="str">
        <f>Assumptions!$B$2</f>
        <v>Worst</v>
      </c>
      <c r="I1989" s="18">
        <f>_xlfn.XLOOKUP(Assumptions!$B$2,Assumptions!$F$4:$H$4,Assumptions!$F$5:$H$5)</f>
        <v>1200</v>
      </c>
      <c r="J1989" s="18">
        <f>_xlfn.XLOOKUP(Assumptions!$B$2,Assumptions!$F$4:$H$4,Assumptions!$F$6:$H$6)</f>
        <v>17</v>
      </c>
      <c r="K1989" s="12">
        <f>_xlfn.XLOOKUP(Assumptions!$B$2,Assumptions!$F$4:$H$4,Assumptions!$F$8:$H$8)</f>
        <v>0.1</v>
      </c>
      <c r="L1989" s="12">
        <f>_xlfn.XLOOKUP(Assumptions!$B$2,Assumptions!$F$4:$H$4,Assumptions!$F$9:$H$9)</f>
        <v>0.18</v>
      </c>
      <c r="M1989" s="18">
        <f>_xlfn.XLOOKUP(Assumptions!$B$2,Assumptions!$F$4:$H$4,Assumptions!$F$10:$H$10)</f>
        <v>18000</v>
      </c>
      <c r="N1989" s="12">
        <f>_xlfn.XLOOKUP(Assumptions!$B$2,Assumptions!$F$4:$H$4,Assumptions!$F$11:$H$11)</f>
        <v>0.3</v>
      </c>
      <c r="O1989" s="14">
        <f>Final_Table[[#This Row],[Units Sold]]*Final_Table[[#This Row],[Sale Price]]</f>
        <v>20400</v>
      </c>
      <c r="P1989" s="14">
        <f>Final_Table[[#This Row],[Gross Revenue]]*(1-Final_Table[[#This Row],[Discount %]])</f>
        <v>18360</v>
      </c>
      <c r="Q1989">
        <f>Final_Table[[#This Row],[Net Revenue]]*Final_Table[[#This Row],[Variable Cost %]]</f>
        <v>3304.7999999999997</v>
      </c>
      <c r="R1989">
        <f>Final_Table[[#This Row],[Variable Cost]]+Final_Table[[#This Row],[Fixed Monthly Cost]]</f>
        <v>21304.799999999999</v>
      </c>
      <c r="S1989" s="5">
        <f>Final_Table[[#This Row],[Net Revenue]]-Final_Table[[#This Row],[Total Cost (COGS)]]</f>
        <v>-2944.7999999999993</v>
      </c>
      <c r="T1989">
        <f>Final_Table[[#This Row],[Gross Profit]]*Final_Table[[#This Row],[Tax Rate]]</f>
        <v>-883.43999999999971</v>
      </c>
      <c r="U1989" s="5">
        <f>Final_Table[[#This Row],[Gross Profit]]-Final_Table[[#This Row],[Tax]]</f>
        <v>-2061.3599999999997</v>
      </c>
      <c r="V1989" s="12">
        <f>Final_Table[[#This Row],[Net Profit]]/Final_Table[[#This Row],[Gross Revenue]]</f>
        <v>-0.10104705882352939</v>
      </c>
    </row>
    <row r="1990" spans="1:22">
      <c r="A1990" s="18" t="s">
        <v>69</v>
      </c>
      <c r="B1990">
        <v>2014</v>
      </c>
      <c r="C1990" t="s">
        <v>133</v>
      </c>
      <c r="D1990">
        <v>1</v>
      </c>
      <c r="E1990" s="18" t="s">
        <v>32</v>
      </c>
      <c r="F1990" s="18" t="s">
        <v>112</v>
      </c>
      <c r="G1990" s="18" t="s">
        <v>25</v>
      </c>
      <c r="H1990" s="18" t="str">
        <f>Assumptions!$B$2</f>
        <v>Worst</v>
      </c>
      <c r="I1990" s="18">
        <f>_xlfn.XLOOKUP(Assumptions!$B$2,Assumptions!$F$4:$H$4,Assumptions!$F$5:$H$5)</f>
        <v>1200</v>
      </c>
      <c r="J1990" s="18">
        <f>_xlfn.XLOOKUP(Assumptions!$B$2,Assumptions!$F$4:$H$4,Assumptions!$F$6:$H$6)</f>
        <v>17</v>
      </c>
      <c r="K1990" s="12">
        <f>_xlfn.XLOOKUP(Assumptions!$B$2,Assumptions!$F$4:$H$4,Assumptions!$F$8:$H$8)</f>
        <v>0.1</v>
      </c>
      <c r="L1990" s="12">
        <f>_xlfn.XLOOKUP(Assumptions!$B$2,Assumptions!$F$4:$H$4,Assumptions!$F$9:$H$9)</f>
        <v>0.18</v>
      </c>
      <c r="M1990" s="18">
        <f>_xlfn.XLOOKUP(Assumptions!$B$2,Assumptions!$F$4:$H$4,Assumptions!$F$10:$H$10)</f>
        <v>18000</v>
      </c>
      <c r="N1990" s="12">
        <f>_xlfn.XLOOKUP(Assumptions!$B$2,Assumptions!$F$4:$H$4,Assumptions!$F$11:$H$11)</f>
        <v>0.3</v>
      </c>
      <c r="O1990" s="14">
        <f>Final_Table[[#This Row],[Units Sold]]*Final_Table[[#This Row],[Sale Price]]</f>
        <v>20400</v>
      </c>
      <c r="P1990" s="14">
        <f>Final_Table[[#This Row],[Gross Revenue]]*(1-Final_Table[[#This Row],[Discount %]])</f>
        <v>18360</v>
      </c>
      <c r="Q1990">
        <f>Final_Table[[#This Row],[Net Revenue]]*Final_Table[[#This Row],[Variable Cost %]]</f>
        <v>3304.7999999999997</v>
      </c>
      <c r="R1990">
        <f>Final_Table[[#This Row],[Variable Cost]]+Final_Table[[#This Row],[Fixed Monthly Cost]]</f>
        <v>21304.799999999999</v>
      </c>
      <c r="S1990" s="5">
        <f>Final_Table[[#This Row],[Net Revenue]]-Final_Table[[#This Row],[Total Cost (COGS)]]</f>
        <v>-2944.7999999999993</v>
      </c>
      <c r="T1990">
        <f>Final_Table[[#This Row],[Gross Profit]]*Final_Table[[#This Row],[Tax Rate]]</f>
        <v>-883.43999999999971</v>
      </c>
      <c r="U1990" s="5">
        <f>Final_Table[[#This Row],[Gross Profit]]-Final_Table[[#This Row],[Tax]]</f>
        <v>-2061.3599999999997</v>
      </c>
      <c r="V1990" s="12">
        <f>Final_Table[[#This Row],[Net Profit]]/Final_Table[[#This Row],[Gross Revenue]]</f>
        <v>-0.10104705882352939</v>
      </c>
    </row>
    <row r="1991" spans="1:22">
      <c r="A1991" s="18" t="s">
        <v>69</v>
      </c>
      <c r="B1991">
        <v>2014</v>
      </c>
      <c r="C1991" t="s">
        <v>133</v>
      </c>
      <c r="D1991">
        <v>1</v>
      </c>
      <c r="E1991" s="18" t="s">
        <v>32</v>
      </c>
      <c r="F1991" s="18" t="s">
        <v>112</v>
      </c>
      <c r="G1991" s="18" t="s">
        <v>17</v>
      </c>
      <c r="H1991" s="18" t="str">
        <f>Assumptions!$B$2</f>
        <v>Worst</v>
      </c>
      <c r="I1991" s="18">
        <f>_xlfn.XLOOKUP(Assumptions!$B$2,Assumptions!$F$4:$H$4,Assumptions!$F$5:$H$5)</f>
        <v>1200</v>
      </c>
      <c r="J1991" s="18">
        <f>_xlfn.XLOOKUP(Assumptions!$B$2,Assumptions!$F$4:$H$4,Assumptions!$F$6:$H$6)</f>
        <v>17</v>
      </c>
      <c r="K1991" s="12">
        <f>_xlfn.XLOOKUP(Assumptions!$B$2,Assumptions!$F$4:$H$4,Assumptions!$F$8:$H$8)</f>
        <v>0.1</v>
      </c>
      <c r="L1991" s="12">
        <f>_xlfn.XLOOKUP(Assumptions!$B$2,Assumptions!$F$4:$H$4,Assumptions!$F$9:$H$9)</f>
        <v>0.18</v>
      </c>
      <c r="M1991" s="18">
        <f>_xlfn.XLOOKUP(Assumptions!$B$2,Assumptions!$F$4:$H$4,Assumptions!$F$10:$H$10)</f>
        <v>18000</v>
      </c>
      <c r="N1991" s="12">
        <f>_xlfn.XLOOKUP(Assumptions!$B$2,Assumptions!$F$4:$H$4,Assumptions!$F$11:$H$11)</f>
        <v>0.3</v>
      </c>
      <c r="O1991" s="14">
        <f>Final_Table[[#This Row],[Units Sold]]*Final_Table[[#This Row],[Sale Price]]</f>
        <v>20400</v>
      </c>
      <c r="P1991" s="14">
        <f>Final_Table[[#This Row],[Gross Revenue]]*(1-Final_Table[[#This Row],[Discount %]])</f>
        <v>18360</v>
      </c>
      <c r="Q1991">
        <f>Final_Table[[#This Row],[Net Revenue]]*Final_Table[[#This Row],[Variable Cost %]]</f>
        <v>3304.7999999999997</v>
      </c>
      <c r="R1991">
        <f>Final_Table[[#This Row],[Variable Cost]]+Final_Table[[#This Row],[Fixed Monthly Cost]]</f>
        <v>21304.799999999999</v>
      </c>
      <c r="S1991" s="5">
        <f>Final_Table[[#This Row],[Net Revenue]]-Final_Table[[#This Row],[Total Cost (COGS)]]</f>
        <v>-2944.7999999999993</v>
      </c>
      <c r="T1991">
        <f>Final_Table[[#This Row],[Gross Profit]]*Final_Table[[#This Row],[Tax Rate]]</f>
        <v>-883.43999999999971</v>
      </c>
      <c r="U1991" s="5">
        <f>Final_Table[[#This Row],[Gross Profit]]-Final_Table[[#This Row],[Tax]]</f>
        <v>-2061.3599999999997</v>
      </c>
      <c r="V1991" s="12">
        <f>Final_Table[[#This Row],[Net Profit]]/Final_Table[[#This Row],[Gross Revenue]]</f>
        <v>-0.10104705882352939</v>
      </c>
    </row>
    <row r="1992" spans="1:22">
      <c r="A1992" s="18" t="s">
        <v>69</v>
      </c>
      <c r="B1992">
        <v>2014</v>
      </c>
      <c r="C1992" t="s">
        <v>133</v>
      </c>
      <c r="D1992">
        <v>1</v>
      </c>
      <c r="E1992" s="18" t="s">
        <v>32</v>
      </c>
      <c r="F1992" s="18" t="s">
        <v>113</v>
      </c>
      <c r="G1992" s="18" t="s">
        <v>36</v>
      </c>
      <c r="H1992" s="18" t="str">
        <f>Assumptions!$B$2</f>
        <v>Worst</v>
      </c>
      <c r="I1992" s="18">
        <f>_xlfn.XLOOKUP(Assumptions!$B$2,Assumptions!$F$4:$H$4,Assumptions!$F$5:$H$5)</f>
        <v>1200</v>
      </c>
      <c r="J1992" s="18">
        <f>_xlfn.XLOOKUP(Assumptions!$B$2,Assumptions!$F$4:$H$4,Assumptions!$F$6:$H$6)</f>
        <v>17</v>
      </c>
      <c r="K1992" s="12">
        <f>_xlfn.XLOOKUP(Assumptions!$B$2,Assumptions!$F$4:$H$4,Assumptions!$F$8:$H$8)</f>
        <v>0.1</v>
      </c>
      <c r="L1992" s="12">
        <f>_xlfn.XLOOKUP(Assumptions!$B$2,Assumptions!$F$4:$H$4,Assumptions!$F$9:$H$9)</f>
        <v>0.18</v>
      </c>
      <c r="M1992" s="18">
        <f>_xlfn.XLOOKUP(Assumptions!$B$2,Assumptions!$F$4:$H$4,Assumptions!$F$10:$H$10)</f>
        <v>18000</v>
      </c>
      <c r="N1992" s="12">
        <f>_xlfn.XLOOKUP(Assumptions!$B$2,Assumptions!$F$4:$H$4,Assumptions!$F$11:$H$11)</f>
        <v>0.3</v>
      </c>
      <c r="O1992" s="14">
        <f>Final_Table[[#This Row],[Units Sold]]*Final_Table[[#This Row],[Sale Price]]</f>
        <v>20400</v>
      </c>
      <c r="P1992" s="14">
        <f>Final_Table[[#This Row],[Gross Revenue]]*(1-Final_Table[[#This Row],[Discount %]])</f>
        <v>18360</v>
      </c>
      <c r="Q1992">
        <f>Final_Table[[#This Row],[Net Revenue]]*Final_Table[[#This Row],[Variable Cost %]]</f>
        <v>3304.7999999999997</v>
      </c>
      <c r="R1992">
        <f>Final_Table[[#This Row],[Variable Cost]]+Final_Table[[#This Row],[Fixed Monthly Cost]]</f>
        <v>21304.799999999999</v>
      </c>
      <c r="S1992" s="5">
        <f>Final_Table[[#This Row],[Net Revenue]]-Final_Table[[#This Row],[Total Cost (COGS)]]</f>
        <v>-2944.7999999999993</v>
      </c>
      <c r="T1992">
        <f>Final_Table[[#This Row],[Gross Profit]]*Final_Table[[#This Row],[Tax Rate]]</f>
        <v>-883.43999999999971</v>
      </c>
      <c r="U1992" s="5">
        <f>Final_Table[[#This Row],[Gross Profit]]-Final_Table[[#This Row],[Tax]]</f>
        <v>-2061.3599999999997</v>
      </c>
      <c r="V1992" s="12">
        <f>Final_Table[[#This Row],[Net Profit]]/Final_Table[[#This Row],[Gross Revenue]]</f>
        <v>-0.10104705882352939</v>
      </c>
    </row>
    <row r="1993" spans="1:22">
      <c r="A1993" s="18" t="s">
        <v>69</v>
      </c>
      <c r="B1993">
        <v>2014</v>
      </c>
      <c r="C1993" t="s">
        <v>133</v>
      </c>
      <c r="D1993">
        <v>1</v>
      </c>
      <c r="E1993" s="18" t="s">
        <v>32</v>
      </c>
      <c r="F1993" s="18" t="s">
        <v>113</v>
      </c>
      <c r="G1993" s="18" t="s">
        <v>23</v>
      </c>
      <c r="H1993" s="18" t="str">
        <f>Assumptions!$B$2</f>
        <v>Worst</v>
      </c>
      <c r="I1993" s="18">
        <f>_xlfn.XLOOKUP(Assumptions!$B$2,Assumptions!$F$4:$H$4,Assumptions!$F$5:$H$5)</f>
        <v>1200</v>
      </c>
      <c r="J1993" s="18">
        <f>_xlfn.XLOOKUP(Assumptions!$B$2,Assumptions!$F$4:$H$4,Assumptions!$F$6:$H$6)</f>
        <v>17</v>
      </c>
      <c r="K1993" s="12">
        <f>_xlfn.XLOOKUP(Assumptions!$B$2,Assumptions!$F$4:$H$4,Assumptions!$F$8:$H$8)</f>
        <v>0.1</v>
      </c>
      <c r="L1993" s="12">
        <f>_xlfn.XLOOKUP(Assumptions!$B$2,Assumptions!$F$4:$H$4,Assumptions!$F$9:$H$9)</f>
        <v>0.18</v>
      </c>
      <c r="M1993" s="18">
        <f>_xlfn.XLOOKUP(Assumptions!$B$2,Assumptions!$F$4:$H$4,Assumptions!$F$10:$H$10)</f>
        <v>18000</v>
      </c>
      <c r="N1993" s="12">
        <f>_xlfn.XLOOKUP(Assumptions!$B$2,Assumptions!$F$4:$H$4,Assumptions!$F$11:$H$11)</f>
        <v>0.3</v>
      </c>
      <c r="O1993" s="14">
        <f>Final_Table[[#This Row],[Units Sold]]*Final_Table[[#This Row],[Sale Price]]</f>
        <v>20400</v>
      </c>
      <c r="P1993" s="14">
        <f>Final_Table[[#This Row],[Gross Revenue]]*(1-Final_Table[[#This Row],[Discount %]])</f>
        <v>18360</v>
      </c>
      <c r="Q1993">
        <f>Final_Table[[#This Row],[Net Revenue]]*Final_Table[[#This Row],[Variable Cost %]]</f>
        <v>3304.7999999999997</v>
      </c>
      <c r="R1993">
        <f>Final_Table[[#This Row],[Variable Cost]]+Final_Table[[#This Row],[Fixed Monthly Cost]]</f>
        <v>21304.799999999999</v>
      </c>
      <c r="S1993" s="5">
        <f>Final_Table[[#This Row],[Net Revenue]]-Final_Table[[#This Row],[Total Cost (COGS)]]</f>
        <v>-2944.7999999999993</v>
      </c>
      <c r="T1993">
        <f>Final_Table[[#This Row],[Gross Profit]]*Final_Table[[#This Row],[Tax Rate]]</f>
        <v>-883.43999999999971</v>
      </c>
      <c r="U1993" s="5">
        <f>Final_Table[[#This Row],[Gross Profit]]-Final_Table[[#This Row],[Tax]]</f>
        <v>-2061.3599999999997</v>
      </c>
      <c r="V1993" s="12">
        <f>Final_Table[[#This Row],[Net Profit]]/Final_Table[[#This Row],[Gross Revenue]]</f>
        <v>-0.10104705882352939</v>
      </c>
    </row>
    <row r="1994" spans="1:22">
      <c r="A1994" s="18" t="s">
        <v>69</v>
      </c>
      <c r="B1994">
        <v>2014</v>
      </c>
      <c r="C1994" t="s">
        <v>133</v>
      </c>
      <c r="D1994">
        <v>1</v>
      </c>
      <c r="E1994" s="18" t="s">
        <v>32</v>
      </c>
      <c r="F1994" s="18" t="s">
        <v>113</v>
      </c>
      <c r="G1994" s="18" t="s">
        <v>21</v>
      </c>
      <c r="H1994" s="18" t="str">
        <f>Assumptions!$B$2</f>
        <v>Worst</v>
      </c>
      <c r="I1994" s="18">
        <f>_xlfn.XLOOKUP(Assumptions!$B$2,Assumptions!$F$4:$H$4,Assumptions!$F$5:$H$5)</f>
        <v>1200</v>
      </c>
      <c r="J1994" s="18">
        <f>_xlfn.XLOOKUP(Assumptions!$B$2,Assumptions!$F$4:$H$4,Assumptions!$F$6:$H$6)</f>
        <v>17</v>
      </c>
      <c r="K1994" s="12">
        <f>_xlfn.XLOOKUP(Assumptions!$B$2,Assumptions!$F$4:$H$4,Assumptions!$F$8:$H$8)</f>
        <v>0.1</v>
      </c>
      <c r="L1994" s="12">
        <f>_xlfn.XLOOKUP(Assumptions!$B$2,Assumptions!$F$4:$H$4,Assumptions!$F$9:$H$9)</f>
        <v>0.18</v>
      </c>
      <c r="M1994" s="18">
        <f>_xlfn.XLOOKUP(Assumptions!$B$2,Assumptions!$F$4:$H$4,Assumptions!$F$10:$H$10)</f>
        <v>18000</v>
      </c>
      <c r="N1994" s="12">
        <f>_xlfn.XLOOKUP(Assumptions!$B$2,Assumptions!$F$4:$H$4,Assumptions!$F$11:$H$11)</f>
        <v>0.3</v>
      </c>
      <c r="O1994" s="14">
        <f>Final_Table[[#This Row],[Units Sold]]*Final_Table[[#This Row],[Sale Price]]</f>
        <v>20400</v>
      </c>
      <c r="P1994" s="14">
        <f>Final_Table[[#This Row],[Gross Revenue]]*(1-Final_Table[[#This Row],[Discount %]])</f>
        <v>18360</v>
      </c>
      <c r="Q1994">
        <f>Final_Table[[#This Row],[Net Revenue]]*Final_Table[[#This Row],[Variable Cost %]]</f>
        <v>3304.7999999999997</v>
      </c>
      <c r="R1994">
        <f>Final_Table[[#This Row],[Variable Cost]]+Final_Table[[#This Row],[Fixed Monthly Cost]]</f>
        <v>21304.799999999999</v>
      </c>
      <c r="S1994" s="5">
        <f>Final_Table[[#This Row],[Net Revenue]]-Final_Table[[#This Row],[Total Cost (COGS)]]</f>
        <v>-2944.7999999999993</v>
      </c>
      <c r="T1994">
        <f>Final_Table[[#This Row],[Gross Profit]]*Final_Table[[#This Row],[Tax Rate]]</f>
        <v>-883.43999999999971</v>
      </c>
      <c r="U1994" s="5">
        <f>Final_Table[[#This Row],[Gross Profit]]-Final_Table[[#This Row],[Tax]]</f>
        <v>-2061.3599999999997</v>
      </c>
      <c r="V1994" s="12">
        <f>Final_Table[[#This Row],[Net Profit]]/Final_Table[[#This Row],[Gross Revenue]]</f>
        <v>-0.10104705882352939</v>
      </c>
    </row>
    <row r="1995" spans="1:22">
      <c r="A1995" s="18" t="s">
        <v>69</v>
      </c>
      <c r="B1995">
        <v>2014</v>
      </c>
      <c r="C1995" t="s">
        <v>133</v>
      </c>
      <c r="D1995">
        <v>1</v>
      </c>
      <c r="E1995" s="18" t="s">
        <v>32</v>
      </c>
      <c r="F1995" s="18" t="s">
        <v>113</v>
      </c>
      <c r="G1995" s="18" t="s">
        <v>25</v>
      </c>
      <c r="H1995" s="18" t="str">
        <f>Assumptions!$B$2</f>
        <v>Worst</v>
      </c>
      <c r="I1995" s="18">
        <f>_xlfn.XLOOKUP(Assumptions!$B$2,Assumptions!$F$4:$H$4,Assumptions!$F$5:$H$5)</f>
        <v>1200</v>
      </c>
      <c r="J1995" s="18">
        <f>_xlfn.XLOOKUP(Assumptions!$B$2,Assumptions!$F$4:$H$4,Assumptions!$F$6:$H$6)</f>
        <v>17</v>
      </c>
      <c r="K1995" s="12">
        <f>_xlfn.XLOOKUP(Assumptions!$B$2,Assumptions!$F$4:$H$4,Assumptions!$F$8:$H$8)</f>
        <v>0.1</v>
      </c>
      <c r="L1995" s="12">
        <f>_xlfn.XLOOKUP(Assumptions!$B$2,Assumptions!$F$4:$H$4,Assumptions!$F$9:$H$9)</f>
        <v>0.18</v>
      </c>
      <c r="M1995" s="18">
        <f>_xlfn.XLOOKUP(Assumptions!$B$2,Assumptions!$F$4:$H$4,Assumptions!$F$10:$H$10)</f>
        <v>18000</v>
      </c>
      <c r="N1995" s="12">
        <f>_xlfn.XLOOKUP(Assumptions!$B$2,Assumptions!$F$4:$H$4,Assumptions!$F$11:$H$11)</f>
        <v>0.3</v>
      </c>
      <c r="O1995" s="14">
        <f>Final_Table[[#This Row],[Units Sold]]*Final_Table[[#This Row],[Sale Price]]</f>
        <v>20400</v>
      </c>
      <c r="P1995" s="14">
        <f>Final_Table[[#This Row],[Gross Revenue]]*(1-Final_Table[[#This Row],[Discount %]])</f>
        <v>18360</v>
      </c>
      <c r="Q1995">
        <f>Final_Table[[#This Row],[Net Revenue]]*Final_Table[[#This Row],[Variable Cost %]]</f>
        <v>3304.7999999999997</v>
      </c>
      <c r="R1995">
        <f>Final_Table[[#This Row],[Variable Cost]]+Final_Table[[#This Row],[Fixed Monthly Cost]]</f>
        <v>21304.799999999999</v>
      </c>
      <c r="S1995" s="5">
        <f>Final_Table[[#This Row],[Net Revenue]]-Final_Table[[#This Row],[Total Cost (COGS)]]</f>
        <v>-2944.7999999999993</v>
      </c>
      <c r="T1995">
        <f>Final_Table[[#This Row],[Gross Profit]]*Final_Table[[#This Row],[Tax Rate]]</f>
        <v>-883.43999999999971</v>
      </c>
      <c r="U1995" s="5">
        <f>Final_Table[[#This Row],[Gross Profit]]-Final_Table[[#This Row],[Tax]]</f>
        <v>-2061.3599999999997</v>
      </c>
      <c r="V1995" s="12">
        <f>Final_Table[[#This Row],[Net Profit]]/Final_Table[[#This Row],[Gross Revenue]]</f>
        <v>-0.10104705882352939</v>
      </c>
    </row>
    <row r="1996" spans="1:22">
      <c r="A1996" s="18" t="s">
        <v>69</v>
      </c>
      <c r="B1996">
        <v>2014</v>
      </c>
      <c r="C1996" t="s">
        <v>133</v>
      </c>
      <c r="D1996">
        <v>1</v>
      </c>
      <c r="E1996" s="18" t="s">
        <v>32</v>
      </c>
      <c r="F1996" s="18" t="s">
        <v>113</v>
      </c>
      <c r="G1996" s="18" t="s">
        <v>17</v>
      </c>
      <c r="H1996" s="18" t="str">
        <f>Assumptions!$B$2</f>
        <v>Worst</v>
      </c>
      <c r="I1996" s="18">
        <f>_xlfn.XLOOKUP(Assumptions!$B$2,Assumptions!$F$4:$H$4,Assumptions!$F$5:$H$5)</f>
        <v>1200</v>
      </c>
      <c r="J1996" s="18">
        <f>_xlfn.XLOOKUP(Assumptions!$B$2,Assumptions!$F$4:$H$4,Assumptions!$F$6:$H$6)</f>
        <v>17</v>
      </c>
      <c r="K1996" s="12">
        <f>_xlfn.XLOOKUP(Assumptions!$B$2,Assumptions!$F$4:$H$4,Assumptions!$F$8:$H$8)</f>
        <v>0.1</v>
      </c>
      <c r="L1996" s="12">
        <f>_xlfn.XLOOKUP(Assumptions!$B$2,Assumptions!$F$4:$H$4,Assumptions!$F$9:$H$9)</f>
        <v>0.18</v>
      </c>
      <c r="M1996" s="18">
        <f>_xlfn.XLOOKUP(Assumptions!$B$2,Assumptions!$F$4:$H$4,Assumptions!$F$10:$H$10)</f>
        <v>18000</v>
      </c>
      <c r="N1996" s="12">
        <f>_xlfn.XLOOKUP(Assumptions!$B$2,Assumptions!$F$4:$H$4,Assumptions!$F$11:$H$11)</f>
        <v>0.3</v>
      </c>
      <c r="O1996" s="14">
        <f>Final_Table[[#This Row],[Units Sold]]*Final_Table[[#This Row],[Sale Price]]</f>
        <v>20400</v>
      </c>
      <c r="P1996" s="14">
        <f>Final_Table[[#This Row],[Gross Revenue]]*(1-Final_Table[[#This Row],[Discount %]])</f>
        <v>18360</v>
      </c>
      <c r="Q1996">
        <f>Final_Table[[#This Row],[Net Revenue]]*Final_Table[[#This Row],[Variable Cost %]]</f>
        <v>3304.7999999999997</v>
      </c>
      <c r="R1996">
        <f>Final_Table[[#This Row],[Variable Cost]]+Final_Table[[#This Row],[Fixed Monthly Cost]]</f>
        <v>21304.799999999999</v>
      </c>
      <c r="S1996" s="5">
        <f>Final_Table[[#This Row],[Net Revenue]]-Final_Table[[#This Row],[Total Cost (COGS)]]</f>
        <v>-2944.7999999999993</v>
      </c>
      <c r="T1996">
        <f>Final_Table[[#This Row],[Gross Profit]]*Final_Table[[#This Row],[Tax Rate]]</f>
        <v>-883.43999999999971</v>
      </c>
      <c r="U1996" s="5">
        <f>Final_Table[[#This Row],[Gross Profit]]-Final_Table[[#This Row],[Tax]]</f>
        <v>-2061.3599999999997</v>
      </c>
      <c r="V1996" s="12">
        <f>Final_Table[[#This Row],[Net Profit]]/Final_Table[[#This Row],[Gross Revenue]]</f>
        <v>-0.10104705882352939</v>
      </c>
    </row>
    <row r="1997" spans="1:22">
      <c r="A1997" s="18" t="s">
        <v>69</v>
      </c>
      <c r="B1997">
        <v>2014</v>
      </c>
      <c r="C1997" t="s">
        <v>133</v>
      </c>
      <c r="D1997">
        <v>1</v>
      </c>
      <c r="E1997" s="18" t="s">
        <v>32</v>
      </c>
      <c r="F1997" s="18" t="s">
        <v>114</v>
      </c>
      <c r="G1997" s="18" t="s">
        <v>36</v>
      </c>
      <c r="H1997" s="18" t="str">
        <f>Assumptions!$B$2</f>
        <v>Worst</v>
      </c>
      <c r="I1997" s="18">
        <f>_xlfn.XLOOKUP(Assumptions!$B$2,Assumptions!$F$4:$H$4,Assumptions!$F$5:$H$5)</f>
        <v>1200</v>
      </c>
      <c r="J1997" s="18">
        <f>_xlfn.XLOOKUP(Assumptions!$B$2,Assumptions!$F$4:$H$4,Assumptions!$F$6:$H$6)</f>
        <v>17</v>
      </c>
      <c r="K1997" s="12">
        <f>_xlfn.XLOOKUP(Assumptions!$B$2,Assumptions!$F$4:$H$4,Assumptions!$F$8:$H$8)</f>
        <v>0.1</v>
      </c>
      <c r="L1997" s="12">
        <f>_xlfn.XLOOKUP(Assumptions!$B$2,Assumptions!$F$4:$H$4,Assumptions!$F$9:$H$9)</f>
        <v>0.18</v>
      </c>
      <c r="M1997" s="18">
        <f>_xlfn.XLOOKUP(Assumptions!$B$2,Assumptions!$F$4:$H$4,Assumptions!$F$10:$H$10)</f>
        <v>18000</v>
      </c>
      <c r="N1997" s="12">
        <f>_xlfn.XLOOKUP(Assumptions!$B$2,Assumptions!$F$4:$H$4,Assumptions!$F$11:$H$11)</f>
        <v>0.3</v>
      </c>
      <c r="O1997" s="14">
        <f>Final_Table[[#This Row],[Units Sold]]*Final_Table[[#This Row],[Sale Price]]</f>
        <v>20400</v>
      </c>
      <c r="P1997" s="14">
        <f>Final_Table[[#This Row],[Gross Revenue]]*(1-Final_Table[[#This Row],[Discount %]])</f>
        <v>18360</v>
      </c>
      <c r="Q1997">
        <f>Final_Table[[#This Row],[Net Revenue]]*Final_Table[[#This Row],[Variable Cost %]]</f>
        <v>3304.7999999999997</v>
      </c>
      <c r="R1997">
        <f>Final_Table[[#This Row],[Variable Cost]]+Final_Table[[#This Row],[Fixed Monthly Cost]]</f>
        <v>21304.799999999999</v>
      </c>
      <c r="S1997" s="5">
        <f>Final_Table[[#This Row],[Net Revenue]]-Final_Table[[#This Row],[Total Cost (COGS)]]</f>
        <v>-2944.7999999999993</v>
      </c>
      <c r="T1997">
        <f>Final_Table[[#This Row],[Gross Profit]]*Final_Table[[#This Row],[Tax Rate]]</f>
        <v>-883.43999999999971</v>
      </c>
      <c r="U1997" s="5">
        <f>Final_Table[[#This Row],[Gross Profit]]-Final_Table[[#This Row],[Tax]]</f>
        <v>-2061.3599999999997</v>
      </c>
      <c r="V1997" s="12">
        <f>Final_Table[[#This Row],[Net Profit]]/Final_Table[[#This Row],[Gross Revenue]]</f>
        <v>-0.10104705882352939</v>
      </c>
    </row>
    <row r="1998" spans="1:22">
      <c r="A1998" s="18" t="s">
        <v>69</v>
      </c>
      <c r="B1998">
        <v>2014</v>
      </c>
      <c r="C1998" t="s">
        <v>133</v>
      </c>
      <c r="D1998">
        <v>1</v>
      </c>
      <c r="E1998" s="18" t="s">
        <v>32</v>
      </c>
      <c r="F1998" s="18" t="s">
        <v>114</v>
      </c>
      <c r="G1998" s="18" t="s">
        <v>23</v>
      </c>
      <c r="H1998" s="18" t="str">
        <f>Assumptions!$B$2</f>
        <v>Worst</v>
      </c>
      <c r="I1998" s="18">
        <f>_xlfn.XLOOKUP(Assumptions!$B$2,Assumptions!$F$4:$H$4,Assumptions!$F$5:$H$5)</f>
        <v>1200</v>
      </c>
      <c r="J1998" s="18">
        <f>_xlfn.XLOOKUP(Assumptions!$B$2,Assumptions!$F$4:$H$4,Assumptions!$F$6:$H$6)</f>
        <v>17</v>
      </c>
      <c r="K1998" s="12">
        <f>_xlfn.XLOOKUP(Assumptions!$B$2,Assumptions!$F$4:$H$4,Assumptions!$F$8:$H$8)</f>
        <v>0.1</v>
      </c>
      <c r="L1998" s="12">
        <f>_xlfn.XLOOKUP(Assumptions!$B$2,Assumptions!$F$4:$H$4,Assumptions!$F$9:$H$9)</f>
        <v>0.18</v>
      </c>
      <c r="M1998" s="18">
        <f>_xlfn.XLOOKUP(Assumptions!$B$2,Assumptions!$F$4:$H$4,Assumptions!$F$10:$H$10)</f>
        <v>18000</v>
      </c>
      <c r="N1998" s="12">
        <f>_xlfn.XLOOKUP(Assumptions!$B$2,Assumptions!$F$4:$H$4,Assumptions!$F$11:$H$11)</f>
        <v>0.3</v>
      </c>
      <c r="O1998" s="14">
        <f>Final_Table[[#This Row],[Units Sold]]*Final_Table[[#This Row],[Sale Price]]</f>
        <v>20400</v>
      </c>
      <c r="P1998" s="14">
        <f>Final_Table[[#This Row],[Gross Revenue]]*(1-Final_Table[[#This Row],[Discount %]])</f>
        <v>18360</v>
      </c>
      <c r="Q1998">
        <f>Final_Table[[#This Row],[Net Revenue]]*Final_Table[[#This Row],[Variable Cost %]]</f>
        <v>3304.7999999999997</v>
      </c>
      <c r="R1998">
        <f>Final_Table[[#This Row],[Variable Cost]]+Final_Table[[#This Row],[Fixed Monthly Cost]]</f>
        <v>21304.799999999999</v>
      </c>
      <c r="S1998" s="5">
        <f>Final_Table[[#This Row],[Net Revenue]]-Final_Table[[#This Row],[Total Cost (COGS)]]</f>
        <v>-2944.7999999999993</v>
      </c>
      <c r="T1998">
        <f>Final_Table[[#This Row],[Gross Profit]]*Final_Table[[#This Row],[Tax Rate]]</f>
        <v>-883.43999999999971</v>
      </c>
      <c r="U1998" s="5">
        <f>Final_Table[[#This Row],[Gross Profit]]-Final_Table[[#This Row],[Tax]]</f>
        <v>-2061.3599999999997</v>
      </c>
      <c r="V1998" s="12">
        <f>Final_Table[[#This Row],[Net Profit]]/Final_Table[[#This Row],[Gross Revenue]]</f>
        <v>-0.10104705882352939</v>
      </c>
    </row>
    <row r="1999" spans="1:22">
      <c r="A1999" s="18" t="s">
        <v>69</v>
      </c>
      <c r="B1999">
        <v>2014</v>
      </c>
      <c r="C1999" t="s">
        <v>133</v>
      </c>
      <c r="D1999">
        <v>1</v>
      </c>
      <c r="E1999" s="18" t="s">
        <v>32</v>
      </c>
      <c r="F1999" s="18" t="s">
        <v>114</v>
      </c>
      <c r="G1999" s="18" t="s">
        <v>21</v>
      </c>
      <c r="H1999" s="18" t="str">
        <f>Assumptions!$B$2</f>
        <v>Worst</v>
      </c>
      <c r="I1999" s="18">
        <f>_xlfn.XLOOKUP(Assumptions!$B$2,Assumptions!$F$4:$H$4,Assumptions!$F$5:$H$5)</f>
        <v>1200</v>
      </c>
      <c r="J1999" s="18">
        <f>_xlfn.XLOOKUP(Assumptions!$B$2,Assumptions!$F$4:$H$4,Assumptions!$F$6:$H$6)</f>
        <v>17</v>
      </c>
      <c r="K1999" s="12">
        <f>_xlfn.XLOOKUP(Assumptions!$B$2,Assumptions!$F$4:$H$4,Assumptions!$F$8:$H$8)</f>
        <v>0.1</v>
      </c>
      <c r="L1999" s="12">
        <f>_xlfn.XLOOKUP(Assumptions!$B$2,Assumptions!$F$4:$H$4,Assumptions!$F$9:$H$9)</f>
        <v>0.18</v>
      </c>
      <c r="M1999" s="18">
        <f>_xlfn.XLOOKUP(Assumptions!$B$2,Assumptions!$F$4:$H$4,Assumptions!$F$10:$H$10)</f>
        <v>18000</v>
      </c>
      <c r="N1999" s="12">
        <f>_xlfn.XLOOKUP(Assumptions!$B$2,Assumptions!$F$4:$H$4,Assumptions!$F$11:$H$11)</f>
        <v>0.3</v>
      </c>
      <c r="O1999" s="14">
        <f>Final_Table[[#This Row],[Units Sold]]*Final_Table[[#This Row],[Sale Price]]</f>
        <v>20400</v>
      </c>
      <c r="P1999" s="14">
        <f>Final_Table[[#This Row],[Gross Revenue]]*(1-Final_Table[[#This Row],[Discount %]])</f>
        <v>18360</v>
      </c>
      <c r="Q1999">
        <f>Final_Table[[#This Row],[Net Revenue]]*Final_Table[[#This Row],[Variable Cost %]]</f>
        <v>3304.7999999999997</v>
      </c>
      <c r="R1999">
        <f>Final_Table[[#This Row],[Variable Cost]]+Final_Table[[#This Row],[Fixed Monthly Cost]]</f>
        <v>21304.799999999999</v>
      </c>
      <c r="S1999" s="5">
        <f>Final_Table[[#This Row],[Net Revenue]]-Final_Table[[#This Row],[Total Cost (COGS)]]</f>
        <v>-2944.7999999999993</v>
      </c>
      <c r="T1999">
        <f>Final_Table[[#This Row],[Gross Profit]]*Final_Table[[#This Row],[Tax Rate]]</f>
        <v>-883.43999999999971</v>
      </c>
      <c r="U1999" s="5">
        <f>Final_Table[[#This Row],[Gross Profit]]-Final_Table[[#This Row],[Tax]]</f>
        <v>-2061.3599999999997</v>
      </c>
      <c r="V1999" s="12">
        <f>Final_Table[[#This Row],[Net Profit]]/Final_Table[[#This Row],[Gross Revenue]]</f>
        <v>-0.10104705882352939</v>
      </c>
    </row>
    <row r="2000" spans="1:22">
      <c r="A2000" s="18" t="s">
        <v>69</v>
      </c>
      <c r="B2000">
        <v>2014</v>
      </c>
      <c r="C2000" t="s">
        <v>133</v>
      </c>
      <c r="D2000">
        <v>1</v>
      </c>
      <c r="E2000" s="18" t="s">
        <v>32</v>
      </c>
      <c r="F2000" s="18" t="s">
        <v>114</v>
      </c>
      <c r="G2000" s="18" t="s">
        <v>25</v>
      </c>
      <c r="H2000" s="18" t="str">
        <f>Assumptions!$B$2</f>
        <v>Worst</v>
      </c>
      <c r="I2000" s="18">
        <f>_xlfn.XLOOKUP(Assumptions!$B$2,Assumptions!$F$4:$H$4,Assumptions!$F$5:$H$5)</f>
        <v>1200</v>
      </c>
      <c r="J2000" s="18">
        <f>_xlfn.XLOOKUP(Assumptions!$B$2,Assumptions!$F$4:$H$4,Assumptions!$F$6:$H$6)</f>
        <v>17</v>
      </c>
      <c r="K2000" s="12">
        <f>_xlfn.XLOOKUP(Assumptions!$B$2,Assumptions!$F$4:$H$4,Assumptions!$F$8:$H$8)</f>
        <v>0.1</v>
      </c>
      <c r="L2000" s="12">
        <f>_xlfn.XLOOKUP(Assumptions!$B$2,Assumptions!$F$4:$H$4,Assumptions!$F$9:$H$9)</f>
        <v>0.18</v>
      </c>
      <c r="M2000" s="18">
        <f>_xlfn.XLOOKUP(Assumptions!$B$2,Assumptions!$F$4:$H$4,Assumptions!$F$10:$H$10)</f>
        <v>18000</v>
      </c>
      <c r="N2000" s="12">
        <f>_xlfn.XLOOKUP(Assumptions!$B$2,Assumptions!$F$4:$H$4,Assumptions!$F$11:$H$11)</f>
        <v>0.3</v>
      </c>
      <c r="O2000" s="14">
        <f>Final_Table[[#This Row],[Units Sold]]*Final_Table[[#This Row],[Sale Price]]</f>
        <v>20400</v>
      </c>
      <c r="P2000" s="14">
        <f>Final_Table[[#This Row],[Gross Revenue]]*(1-Final_Table[[#This Row],[Discount %]])</f>
        <v>18360</v>
      </c>
      <c r="Q2000">
        <f>Final_Table[[#This Row],[Net Revenue]]*Final_Table[[#This Row],[Variable Cost %]]</f>
        <v>3304.7999999999997</v>
      </c>
      <c r="R2000">
        <f>Final_Table[[#This Row],[Variable Cost]]+Final_Table[[#This Row],[Fixed Monthly Cost]]</f>
        <v>21304.799999999999</v>
      </c>
      <c r="S2000" s="5">
        <f>Final_Table[[#This Row],[Net Revenue]]-Final_Table[[#This Row],[Total Cost (COGS)]]</f>
        <v>-2944.7999999999993</v>
      </c>
      <c r="T2000">
        <f>Final_Table[[#This Row],[Gross Profit]]*Final_Table[[#This Row],[Tax Rate]]</f>
        <v>-883.43999999999971</v>
      </c>
      <c r="U2000" s="5">
        <f>Final_Table[[#This Row],[Gross Profit]]-Final_Table[[#This Row],[Tax]]</f>
        <v>-2061.3599999999997</v>
      </c>
      <c r="V2000" s="12">
        <f>Final_Table[[#This Row],[Net Profit]]/Final_Table[[#This Row],[Gross Revenue]]</f>
        <v>-0.10104705882352939</v>
      </c>
    </row>
    <row r="2001" spans="1:22">
      <c r="A2001" s="18" t="s">
        <v>69</v>
      </c>
      <c r="B2001">
        <v>2014</v>
      </c>
      <c r="C2001" t="s">
        <v>133</v>
      </c>
      <c r="D2001">
        <v>1</v>
      </c>
      <c r="E2001" s="18" t="s">
        <v>32</v>
      </c>
      <c r="F2001" s="18" t="s">
        <v>114</v>
      </c>
      <c r="G2001" s="18" t="s">
        <v>17</v>
      </c>
      <c r="H2001" s="18" t="str">
        <f>Assumptions!$B$2</f>
        <v>Worst</v>
      </c>
      <c r="I2001" s="18">
        <f>_xlfn.XLOOKUP(Assumptions!$B$2,Assumptions!$F$4:$H$4,Assumptions!$F$5:$H$5)</f>
        <v>1200</v>
      </c>
      <c r="J2001" s="18">
        <f>_xlfn.XLOOKUP(Assumptions!$B$2,Assumptions!$F$4:$H$4,Assumptions!$F$6:$H$6)</f>
        <v>17</v>
      </c>
      <c r="K2001" s="12">
        <f>_xlfn.XLOOKUP(Assumptions!$B$2,Assumptions!$F$4:$H$4,Assumptions!$F$8:$H$8)</f>
        <v>0.1</v>
      </c>
      <c r="L2001" s="12">
        <f>_xlfn.XLOOKUP(Assumptions!$B$2,Assumptions!$F$4:$H$4,Assumptions!$F$9:$H$9)</f>
        <v>0.18</v>
      </c>
      <c r="M2001" s="18">
        <f>_xlfn.XLOOKUP(Assumptions!$B$2,Assumptions!$F$4:$H$4,Assumptions!$F$10:$H$10)</f>
        <v>18000</v>
      </c>
      <c r="N2001" s="12">
        <f>_xlfn.XLOOKUP(Assumptions!$B$2,Assumptions!$F$4:$H$4,Assumptions!$F$11:$H$11)</f>
        <v>0.3</v>
      </c>
      <c r="O2001" s="14">
        <f>Final_Table[[#This Row],[Units Sold]]*Final_Table[[#This Row],[Sale Price]]</f>
        <v>20400</v>
      </c>
      <c r="P2001" s="14">
        <f>Final_Table[[#This Row],[Gross Revenue]]*(1-Final_Table[[#This Row],[Discount %]])</f>
        <v>18360</v>
      </c>
      <c r="Q2001">
        <f>Final_Table[[#This Row],[Net Revenue]]*Final_Table[[#This Row],[Variable Cost %]]</f>
        <v>3304.7999999999997</v>
      </c>
      <c r="R2001">
        <f>Final_Table[[#This Row],[Variable Cost]]+Final_Table[[#This Row],[Fixed Monthly Cost]]</f>
        <v>21304.799999999999</v>
      </c>
      <c r="S2001" s="5">
        <f>Final_Table[[#This Row],[Net Revenue]]-Final_Table[[#This Row],[Total Cost (COGS)]]</f>
        <v>-2944.7999999999993</v>
      </c>
      <c r="T2001">
        <f>Final_Table[[#This Row],[Gross Profit]]*Final_Table[[#This Row],[Tax Rate]]</f>
        <v>-883.43999999999971</v>
      </c>
      <c r="U2001" s="5">
        <f>Final_Table[[#This Row],[Gross Profit]]-Final_Table[[#This Row],[Tax]]</f>
        <v>-2061.3599999999997</v>
      </c>
      <c r="V2001" s="12">
        <f>Final_Table[[#This Row],[Net Profit]]/Final_Table[[#This Row],[Gross Revenue]]</f>
        <v>-0.10104705882352939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0787F-5349-4A1C-86F7-DE4BB44D205D}">
  <dimension ref="A1:C22"/>
  <sheetViews>
    <sheetView workbookViewId="0">
      <selection activeCell="B17" sqref="B17"/>
    </sheetView>
  </sheetViews>
  <sheetFormatPr defaultRowHeight="14.4"/>
  <cols>
    <col min="1" max="1" width="9.77734375" bestFit="1" customWidth="1"/>
    <col min="2" max="2" width="19.33203125" bestFit="1" customWidth="1"/>
    <col min="3" max="3" width="17.5546875" bestFit="1" customWidth="1"/>
    <col min="4" max="6" width="10.5546875" bestFit="1" customWidth="1"/>
    <col min="7" max="7" width="9.5546875" bestFit="1" customWidth="1"/>
  </cols>
  <sheetData>
    <row r="1" spans="1:1">
      <c r="A1" t="s">
        <v>135</v>
      </c>
    </row>
    <row r="2" spans="1:1">
      <c r="A2" s="5">
        <v>1958400</v>
      </c>
    </row>
    <row r="3" spans="1:1">
      <c r="A3" t="s">
        <v>110</v>
      </c>
    </row>
    <row r="4" spans="1:1">
      <c r="A4" s="5">
        <v>1762560</v>
      </c>
    </row>
    <row r="5" spans="1:1">
      <c r="A5" t="s">
        <v>111</v>
      </c>
    </row>
    <row r="6" spans="1:1">
      <c r="A6" s="5">
        <v>-197890.55999999956</v>
      </c>
    </row>
    <row r="7" spans="1:1">
      <c r="A7" t="s">
        <v>136</v>
      </c>
    </row>
    <row r="8" spans="1:1">
      <c r="A8" s="7">
        <v>-0.10104705882352932</v>
      </c>
    </row>
    <row r="17" spans="1:3">
      <c r="A17" s="17" t="s">
        <v>64</v>
      </c>
      <c r="B17" t="s">
        <v>135</v>
      </c>
      <c r="C17" t="s">
        <v>110</v>
      </c>
    </row>
    <row r="18" spans="1:3">
      <c r="A18" t="s">
        <v>112</v>
      </c>
      <c r="B18" s="5">
        <v>8160000</v>
      </c>
      <c r="C18" s="5">
        <v>7344000</v>
      </c>
    </row>
    <row r="19" spans="1:3">
      <c r="A19" t="s">
        <v>113</v>
      </c>
      <c r="B19" s="5">
        <v>8160000</v>
      </c>
      <c r="C19" s="5">
        <v>7344000</v>
      </c>
    </row>
    <row r="20" spans="1:3">
      <c r="A20" t="s">
        <v>114</v>
      </c>
      <c r="B20" s="5">
        <v>8160000</v>
      </c>
      <c r="C20" s="5">
        <v>7344000</v>
      </c>
    </row>
    <row r="21" spans="1:3">
      <c r="A21" t="s">
        <v>80</v>
      </c>
      <c r="B21" s="5">
        <v>8160000</v>
      </c>
      <c r="C21" s="5">
        <v>7344000</v>
      </c>
    </row>
    <row r="22" spans="1:3">
      <c r="A22" t="s">
        <v>108</v>
      </c>
      <c r="B22" s="5">
        <v>8160000</v>
      </c>
      <c r="C22" s="5">
        <v>7344000</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9AC9-CC63-4577-B5D9-D26DEFD84E7D}">
  <dimension ref="A1:H11"/>
  <sheetViews>
    <sheetView workbookViewId="0">
      <selection activeCell="E8" sqref="E8"/>
    </sheetView>
  </sheetViews>
  <sheetFormatPr defaultRowHeight="14.4"/>
  <cols>
    <col min="2" max="2" width="30.5546875" customWidth="1"/>
    <col min="3" max="3" width="49.6640625" customWidth="1"/>
    <col min="5" max="5" width="24.33203125" customWidth="1"/>
    <col min="6" max="6" width="18.5546875" customWidth="1"/>
    <col min="7" max="7" width="20.109375" customWidth="1"/>
    <col min="8" max="8" width="15.88671875" customWidth="1"/>
  </cols>
  <sheetData>
    <row r="1" spans="1:8" ht="28.8">
      <c r="A1" s="2" t="s">
        <v>48</v>
      </c>
      <c r="B1" s="2" t="s">
        <v>49</v>
      </c>
    </row>
    <row r="2" spans="1:8">
      <c r="A2" s="3" t="s">
        <v>50</v>
      </c>
      <c r="B2" s="4" t="s">
        <v>61</v>
      </c>
    </row>
    <row r="3" spans="1:8">
      <c r="A3" s="3" t="s">
        <v>51</v>
      </c>
      <c r="B3">
        <f>_xlfn.XLOOKUP($B$2, F$4:H$4, F5:H5)</f>
        <v>1200</v>
      </c>
    </row>
    <row r="4" spans="1:8" ht="28.8">
      <c r="A4" s="3" t="s">
        <v>52</v>
      </c>
      <c r="B4" s="3">
        <f>_xlfn.XLOOKUP($B$2, F$4:H$4, F6:H6)</f>
        <v>17</v>
      </c>
      <c r="E4" s="2" t="s">
        <v>62</v>
      </c>
      <c r="F4" s="2" t="s">
        <v>59</v>
      </c>
      <c r="G4" s="2" t="s">
        <v>60</v>
      </c>
      <c r="H4" s="2" t="s">
        <v>61</v>
      </c>
    </row>
    <row r="5" spans="1:8" ht="43.2">
      <c r="A5" s="3" t="s">
        <v>53</v>
      </c>
      <c r="B5" s="3">
        <f>_xlfn.XLOOKUP($B$2, F$4:H$4, F7:H7)</f>
        <v>5</v>
      </c>
      <c r="E5" s="3" t="s">
        <v>51</v>
      </c>
      <c r="F5" s="3">
        <v>1500</v>
      </c>
      <c r="G5" s="3">
        <v>1800</v>
      </c>
      <c r="H5" s="3">
        <v>1200</v>
      </c>
    </row>
    <row r="6" spans="1:8" ht="28.8">
      <c r="A6" s="3" t="s">
        <v>54</v>
      </c>
      <c r="B6" s="10">
        <f>_xlfn.XLOOKUP($B$2, F$4:H$4, F8:H8)</f>
        <v>0.1</v>
      </c>
      <c r="E6" s="3" t="s">
        <v>52</v>
      </c>
      <c r="F6" s="3">
        <v>20</v>
      </c>
      <c r="G6" s="3">
        <v>25</v>
      </c>
      <c r="H6" s="3">
        <v>17</v>
      </c>
    </row>
    <row r="7" spans="1:8" ht="28.8">
      <c r="A7" s="3" t="s">
        <v>55</v>
      </c>
      <c r="B7" s="10">
        <f>_xlfn.XLOOKUP($B$2, F$4:H$4, F9:H9)</f>
        <v>0.18</v>
      </c>
      <c r="E7" s="3" t="s">
        <v>53</v>
      </c>
      <c r="F7" s="3">
        <v>5</v>
      </c>
      <c r="G7" s="3">
        <v>5</v>
      </c>
      <c r="H7" s="3">
        <v>5</v>
      </c>
    </row>
    <row r="8" spans="1:8" ht="43.2">
      <c r="A8" s="3" t="s">
        <v>56</v>
      </c>
      <c r="B8" s="3">
        <f>_xlfn.XLOOKUP($B$2, F$4:H$4, F10:H10)</f>
        <v>18000</v>
      </c>
      <c r="E8" s="3" t="s">
        <v>54</v>
      </c>
      <c r="F8" s="8">
        <v>0</v>
      </c>
      <c r="G8" s="8">
        <v>0.05</v>
      </c>
      <c r="H8" s="8">
        <v>0.1</v>
      </c>
    </row>
    <row r="9" spans="1:8">
      <c r="A9" s="3" t="s">
        <v>57</v>
      </c>
      <c r="B9" s="10">
        <f>_xlfn.XLOOKUP($B$2, F$4:H$4, F11:H11)</f>
        <v>0.3</v>
      </c>
      <c r="E9" s="3" t="s">
        <v>55</v>
      </c>
      <c r="F9" s="8">
        <v>0.15</v>
      </c>
      <c r="G9" s="8">
        <v>0.12</v>
      </c>
      <c r="H9" s="8">
        <v>0.18</v>
      </c>
    </row>
    <row r="10" spans="1:8">
      <c r="E10" s="3" t="s">
        <v>56</v>
      </c>
      <c r="F10" s="3">
        <v>15000</v>
      </c>
      <c r="G10" s="3">
        <v>12000</v>
      </c>
      <c r="H10" s="3">
        <v>18000</v>
      </c>
    </row>
    <row r="11" spans="1:8">
      <c r="E11" s="3" t="s">
        <v>57</v>
      </c>
      <c r="F11" s="8">
        <v>0.25</v>
      </c>
      <c r="G11" s="8">
        <v>0.22</v>
      </c>
      <c r="H11" s="8">
        <v>0.3</v>
      </c>
    </row>
  </sheetData>
  <dataValidations count="1">
    <dataValidation type="list" allowBlank="1" showInputMessage="1" showErrorMessage="1" sqref="B2" xr:uid="{2B044ED3-91CE-4861-96A6-DD0C5F6BAE15}">
      <formula1>"Base, Best, Worst"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EAFE-E09D-4545-8698-E988EDE26939}">
  <dimension ref="A1:J27"/>
  <sheetViews>
    <sheetView tabSelected="1" workbookViewId="0">
      <selection activeCell="I6" sqref="I6:J18"/>
    </sheetView>
  </sheetViews>
  <sheetFormatPr defaultRowHeight="14.4"/>
  <cols>
    <col min="1" max="1" width="14.77734375" customWidth="1"/>
    <col min="2" max="2" width="14.33203125" style="9" customWidth="1"/>
    <col min="3" max="3" width="18.77734375" style="9" customWidth="1"/>
    <col min="4" max="4" width="14.88671875" customWidth="1"/>
    <col min="5" max="5" width="13.6640625" customWidth="1"/>
    <col min="6" max="6" width="15.33203125" customWidth="1"/>
    <col min="7" max="7" width="14.88671875" customWidth="1"/>
    <col min="8" max="8" width="17.21875" style="12" customWidth="1"/>
    <col min="9" max="9" width="15.21875" customWidth="1"/>
    <col min="10" max="10" width="14.6640625" customWidth="1"/>
  </cols>
  <sheetData>
    <row r="1" spans="1:10">
      <c r="A1" t="s">
        <v>63</v>
      </c>
      <c r="B1" s="9" t="s">
        <v>15</v>
      </c>
      <c r="C1" s="9" t="s">
        <v>0</v>
      </c>
      <c r="D1" t="s">
        <v>1</v>
      </c>
      <c r="E1" t="s">
        <v>64</v>
      </c>
      <c r="F1" t="s">
        <v>51</v>
      </c>
      <c r="G1" t="s">
        <v>52</v>
      </c>
      <c r="H1" s="12" t="s">
        <v>65</v>
      </c>
      <c r="I1" t="s">
        <v>66</v>
      </c>
      <c r="J1" t="s">
        <v>67</v>
      </c>
    </row>
    <row r="2" spans="1:10">
      <c r="A2" t="s">
        <v>70</v>
      </c>
      <c r="B2" s="9">
        <v>2013</v>
      </c>
      <c r="C2" s="9" t="s">
        <v>29</v>
      </c>
      <c r="D2" t="s">
        <v>25</v>
      </c>
      <c r="E2" t="s">
        <v>80</v>
      </c>
      <c r="F2">
        <f>_xlfn.XLOOKUP(Assumptions!$B$2, Assumptions!F$4:H$4, Assumptions!F5:H5)</f>
        <v>1200</v>
      </c>
      <c r="G2">
        <f>_xlfn.XLOOKUP(Assumptions!$B$2, Assumptions!F$4:H$4, Assumptions!F6:H6)</f>
        <v>17</v>
      </c>
      <c r="H2" s="12">
        <f>_xlfn.XLOOKUP(Assumptions!$B$2, Assumptions!F$4:H$4, Assumptions!F8:H8)</f>
        <v>0.1</v>
      </c>
      <c r="I2">
        <f>F2 * G2</f>
        <v>20400</v>
      </c>
      <c r="J2">
        <f>I2 * (1 - H2)</f>
        <v>18360</v>
      </c>
    </row>
    <row r="3" spans="1:10">
      <c r="A3" t="s">
        <v>35</v>
      </c>
      <c r="B3" s="9">
        <v>2013</v>
      </c>
      <c r="C3" s="9" t="s">
        <v>16</v>
      </c>
      <c r="F3">
        <f>Assumptions!$B$3</f>
        <v>1200</v>
      </c>
      <c r="G3">
        <f>Assumptions!$B$4</f>
        <v>17</v>
      </c>
      <c r="H3" s="12">
        <f>Assumptions!$B$6</f>
        <v>0.1</v>
      </c>
      <c r="I3">
        <f t="shared" ref="I3:I18" si="0">F3 * G3</f>
        <v>20400</v>
      </c>
      <c r="J3">
        <f t="shared" ref="J3:J18" si="1">I3 * (1 - H3)</f>
        <v>18360</v>
      </c>
    </row>
    <row r="4" spans="1:10">
      <c r="A4" t="s">
        <v>68</v>
      </c>
      <c r="B4" s="9">
        <v>2013</v>
      </c>
      <c r="C4" s="9" t="s">
        <v>30</v>
      </c>
      <c r="F4">
        <f>Assumptions!$B$3</f>
        <v>1200</v>
      </c>
      <c r="G4">
        <f>Assumptions!$B$4</f>
        <v>17</v>
      </c>
      <c r="H4" s="12">
        <f>Assumptions!$B$6</f>
        <v>0.1</v>
      </c>
      <c r="I4">
        <f t="shared" si="0"/>
        <v>20400</v>
      </c>
      <c r="J4">
        <f t="shared" si="1"/>
        <v>18360</v>
      </c>
    </row>
    <row r="5" spans="1:10">
      <c r="A5" t="s">
        <v>69</v>
      </c>
      <c r="B5" s="9">
        <v>2013</v>
      </c>
      <c r="F5">
        <f>Assumptions!$B$3</f>
        <v>1200</v>
      </c>
      <c r="G5">
        <f>Assumptions!$B$4</f>
        <v>17</v>
      </c>
      <c r="H5" s="12">
        <f>Assumptions!$B$6</f>
        <v>0.1</v>
      </c>
      <c r="I5">
        <f t="shared" si="0"/>
        <v>20400</v>
      </c>
      <c r="J5">
        <f t="shared" si="1"/>
        <v>18360</v>
      </c>
    </row>
    <row r="23" spans="3:3">
      <c r="C23"/>
    </row>
    <row r="24" spans="3:3">
      <c r="C24"/>
    </row>
    <row r="25" spans="3:3">
      <c r="C25"/>
    </row>
    <row r="26" spans="3:3">
      <c r="C26"/>
    </row>
    <row r="27" spans="3:3">
      <c r="C27"/>
    </row>
  </sheetData>
  <dataValidations count="3">
    <dataValidation type="list" allowBlank="1" showInputMessage="1" showErrorMessage="1" sqref="E2:E17" xr:uid="{7EBDA7BD-C817-4040-897A-CFD1ABBA7616}">
      <formula1>"Amarilla, Carretera, Montana, Paseo, Velo, VTT"</formula1>
    </dataValidation>
    <dataValidation type="list" allowBlank="1" showInputMessage="1" showErrorMessage="1" sqref="C2:C17" xr:uid="{39635E96-1404-4924-BF96-74F4EB0DD379}">
      <formula1>"Small Business, Channel Partners, Midmarket, Government, Enterprise"</formula1>
    </dataValidation>
    <dataValidation type="list" allowBlank="1" showInputMessage="1" showErrorMessage="1" sqref="D4:D17 D2" xr:uid="{48C4F991-BDFE-47D0-AC09-E13D77C7516F}">
      <formula1>"Canada, France, Germany, Mexico, United States of America"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FC8A9-5BFE-470B-9F19-D08F1ECDFEB1}">
  <dimension ref="A1:M19"/>
  <sheetViews>
    <sheetView workbookViewId="0">
      <selection activeCell="C1" sqref="C1:E5"/>
    </sheetView>
  </sheetViews>
  <sheetFormatPr defaultRowHeight="14.4"/>
  <cols>
    <col min="2" max="2" width="15.109375" customWidth="1"/>
    <col min="3" max="3" width="20.109375" customWidth="1"/>
    <col min="4" max="4" width="21.33203125" customWidth="1"/>
    <col min="5" max="5" width="14.88671875" customWidth="1"/>
    <col min="6" max="6" width="16.88671875" customWidth="1"/>
    <col min="7" max="7" width="11.33203125" customWidth="1"/>
    <col min="8" max="8" width="16.88671875" style="12" customWidth="1"/>
    <col min="9" max="9" width="13.5546875" style="11" customWidth="1"/>
    <col min="10" max="10" width="11.44140625" style="12" customWidth="1"/>
    <col min="11" max="11" width="16.44140625" style="5" customWidth="1"/>
    <col min="12" max="12" width="8.88671875" style="5"/>
  </cols>
  <sheetData>
    <row r="1" spans="1:13">
      <c r="A1" t="s">
        <v>63</v>
      </c>
      <c r="B1" s="9" t="s">
        <v>15</v>
      </c>
      <c r="C1" s="9" t="s">
        <v>0</v>
      </c>
      <c r="D1" t="s">
        <v>1</v>
      </c>
      <c r="E1" t="s">
        <v>64</v>
      </c>
      <c r="F1" t="s">
        <v>51</v>
      </c>
      <c r="G1" t="s">
        <v>52</v>
      </c>
      <c r="H1" s="12" t="s">
        <v>65</v>
      </c>
      <c r="I1" s="11" t="s">
        <v>66</v>
      </c>
      <c r="J1" s="12" t="s">
        <v>55</v>
      </c>
      <c r="K1" s="5" t="s">
        <v>81</v>
      </c>
      <c r="L1" s="5" t="s">
        <v>82</v>
      </c>
      <c r="M1" t="s">
        <v>83</v>
      </c>
    </row>
    <row r="2" spans="1:13">
      <c r="A2" t="s">
        <v>70</v>
      </c>
      <c r="B2">
        <v>2013</v>
      </c>
      <c r="F2">
        <f>_xlfn.XLOOKUP(Assumptions!$B$2, Assumptions!F$4:H$4, Assumptions!F5:H5)</f>
        <v>1200</v>
      </c>
      <c r="G2">
        <f>_xlfn.XLOOKUP(Assumptions!$B$2, Assumptions!F$4:H$4, Assumptions!F6:H6)</f>
        <v>17</v>
      </c>
      <c r="H2" s="12">
        <f>_xlfn.XLOOKUP(Assumptions!$B$2, Assumptions!F$4:H$4, Assumptions!F8:H8)</f>
        <v>0.1</v>
      </c>
      <c r="I2" s="5">
        <f>F2*G2</f>
        <v>20400</v>
      </c>
      <c r="J2" s="12">
        <f>_xlfn.XLOOKUP(Assumptions!$B$2,Assumptions!$F$4:$H$4,Assumptions!$F$9:$H$9)</f>
        <v>0.18</v>
      </c>
      <c r="K2" s="5">
        <f>I2*J2</f>
        <v>3672</v>
      </c>
      <c r="L2" s="5">
        <f>_xlfn.XLOOKUP(Assumptions!$B$2,Assumptions!$F$4:$H$4,Assumptions!$F$10:$H$10)</f>
        <v>18000</v>
      </c>
      <c r="M2" s="5">
        <f>K2+L2</f>
        <v>21672</v>
      </c>
    </row>
    <row r="3" spans="1:13">
      <c r="A3" t="s">
        <v>35</v>
      </c>
      <c r="B3">
        <v>2013</v>
      </c>
      <c r="K3" s="5">
        <f t="shared" ref="K3:K19" si="0">I3*J3</f>
        <v>0</v>
      </c>
      <c r="L3" s="5">
        <f>_xlfn.XLOOKUP(Assumptions!$B$2,Assumptions!$F$4:$H$4,Assumptions!$F$10:$H$10)</f>
        <v>18000</v>
      </c>
      <c r="M3" s="5">
        <f t="shared" ref="M3:M19" si="1">K3+L3</f>
        <v>18000</v>
      </c>
    </row>
    <row r="4" spans="1:13">
      <c r="A4" t="s">
        <v>68</v>
      </c>
      <c r="B4">
        <v>2013</v>
      </c>
      <c r="K4" s="5">
        <f t="shared" si="0"/>
        <v>0</v>
      </c>
      <c r="L4" s="5">
        <f>_xlfn.XLOOKUP(Assumptions!$B$2,Assumptions!$F$4:$H$4,Assumptions!$F$10:$H$10)</f>
        <v>18000</v>
      </c>
      <c r="M4" s="5">
        <f t="shared" si="1"/>
        <v>18000</v>
      </c>
    </row>
    <row r="5" spans="1:13">
      <c r="A5" t="s">
        <v>69</v>
      </c>
      <c r="B5">
        <v>2013</v>
      </c>
      <c r="K5" s="5">
        <f t="shared" si="0"/>
        <v>0</v>
      </c>
      <c r="L5" s="5">
        <f>_xlfn.XLOOKUP(Assumptions!$B$2,Assumptions!$F$4:$H$4,Assumptions!$F$10:$H$10)</f>
        <v>18000</v>
      </c>
      <c r="M5" s="5">
        <f t="shared" si="1"/>
        <v>18000</v>
      </c>
    </row>
    <row r="6" spans="1:13">
      <c r="M6" s="5"/>
    </row>
    <row r="7" spans="1:13">
      <c r="M7" s="5"/>
    </row>
    <row r="8" spans="1:13">
      <c r="M8" s="5"/>
    </row>
    <row r="9" spans="1:13">
      <c r="M9" s="5"/>
    </row>
    <row r="10" spans="1:13">
      <c r="M10" s="5"/>
    </row>
    <row r="11" spans="1:13">
      <c r="M11" s="5"/>
    </row>
    <row r="12" spans="1:13">
      <c r="M12" s="5"/>
    </row>
    <row r="13" spans="1:13">
      <c r="M13" s="5"/>
    </row>
    <row r="14" spans="1:13">
      <c r="M14" s="5"/>
    </row>
    <row r="15" spans="1:13">
      <c r="M15" s="5"/>
    </row>
    <row r="16" spans="1:13">
      <c r="M16" s="5"/>
    </row>
    <row r="17" spans="13:13">
      <c r="M17" s="5"/>
    </row>
    <row r="18" spans="13:13">
      <c r="M18" s="5"/>
    </row>
    <row r="19" spans="13:13">
      <c r="M1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20B75-849C-4566-8B0E-61214684EF73}">
  <dimension ref="A1:Q19"/>
  <sheetViews>
    <sheetView workbookViewId="0">
      <selection activeCell="P10" sqref="P10:R17"/>
    </sheetView>
  </sheetViews>
  <sheetFormatPr defaultRowHeight="14.4"/>
  <cols>
    <col min="11" max="11" width="14.88671875" customWidth="1"/>
    <col min="16" max="16" width="34" customWidth="1"/>
  </cols>
  <sheetData>
    <row r="1" spans="1:17" ht="28.8">
      <c r="A1" t="s">
        <v>63</v>
      </c>
      <c r="B1" t="s">
        <v>15</v>
      </c>
      <c r="C1" t="s">
        <v>0</v>
      </c>
      <c r="D1" t="s">
        <v>1</v>
      </c>
      <c r="E1" t="s">
        <v>64</v>
      </c>
      <c r="F1" s="13" t="s">
        <v>86</v>
      </c>
      <c r="G1" t="s">
        <v>54</v>
      </c>
      <c r="H1" s="13" t="s">
        <v>67</v>
      </c>
      <c r="I1" s="13" t="s">
        <v>81</v>
      </c>
      <c r="J1" s="13" t="s">
        <v>82</v>
      </c>
      <c r="K1" s="13" t="s">
        <v>101</v>
      </c>
      <c r="L1" s="13" t="s">
        <v>93</v>
      </c>
      <c r="M1" s="13" t="s">
        <v>57</v>
      </c>
      <c r="N1" s="13" t="s">
        <v>96</v>
      </c>
      <c r="O1" s="13" t="s">
        <v>98</v>
      </c>
      <c r="P1" t="s">
        <v>102</v>
      </c>
    </row>
    <row r="2" spans="1:17">
      <c r="A2" t="s">
        <v>70</v>
      </c>
      <c r="B2">
        <v>2013</v>
      </c>
      <c r="F2">
        <f>Revenue!I2</f>
        <v>20400</v>
      </c>
      <c r="G2" s="15">
        <f>_xlfn.XLOOKUP(Assumptions!$B$2, Assumptions!$F$4:$H$4,Assumptions!$F$8:$H$8)</f>
        <v>0.1</v>
      </c>
      <c r="H2">
        <f>F2*(1-G2)</f>
        <v>18360</v>
      </c>
      <c r="I2" s="5">
        <f>Cost!K2</f>
        <v>3672</v>
      </c>
      <c r="J2" s="5">
        <f>Cost!L2</f>
        <v>18000</v>
      </c>
      <c r="K2" s="5">
        <f>I2+J2</f>
        <v>21672</v>
      </c>
      <c r="L2" s="5">
        <f>H2-K2</f>
        <v>-3312</v>
      </c>
      <c r="M2">
        <f>_xlfn.XLOOKUP(Assumptions!$B$2,Assumptions!$F$4:$H$4,Assumptions!$F$11:$H$11)</f>
        <v>0.3</v>
      </c>
      <c r="N2">
        <f>L2*M2</f>
        <v>-993.59999999999991</v>
      </c>
      <c r="O2" s="5">
        <f>L2-N2</f>
        <v>-2318.4</v>
      </c>
      <c r="P2" s="12">
        <f>O2/H2</f>
        <v>-0.12627450980392158</v>
      </c>
    </row>
    <row r="3" spans="1:17">
      <c r="A3" t="s">
        <v>35</v>
      </c>
      <c r="B3">
        <v>2013</v>
      </c>
    </row>
    <row r="4" spans="1:17">
      <c r="A4" t="s">
        <v>68</v>
      </c>
      <c r="B4">
        <v>2013</v>
      </c>
    </row>
    <row r="5" spans="1:17">
      <c r="A5" t="s">
        <v>69</v>
      </c>
      <c r="B5">
        <v>2013</v>
      </c>
    </row>
    <row r="6" spans="1:17">
      <c r="P6" t="s">
        <v>84</v>
      </c>
      <c r="Q6" t="s">
        <v>85</v>
      </c>
    </row>
    <row r="7" spans="1:17">
      <c r="P7" t="s">
        <v>86</v>
      </c>
      <c r="Q7" t="s">
        <v>87</v>
      </c>
    </row>
    <row r="8" spans="1:17">
      <c r="P8" t="s">
        <v>54</v>
      </c>
      <c r="Q8" t="s">
        <v>88</v>
      </c>
    </row>
    <row r="9" spans="1:17">
      <c r="P9" t="s">
        <v>67</v>
      </c>
      <c r="Q9" t="s">
        <v>89</v>
      </c>
    </row>
    <row r="10" spans="1:17">
      <c r="P10" t="s">
        <v>81</v>
      </c>
      <c r="Q10" t="s">
        <v>90</v>
      </c>
    </row>
    <row r="11" spans="1:17">
      <c r="P11" t="s">
        <v>82</v>
      </c>
      <c r="Q11" t="s">
        <v>90</v>
      </c>
    </row>
    <row r="12" spans="1:17">
      <c r="P12" t="s">
        <v>91</v>
      </c>
      <c r="Q12" t="s">
        <v>92</v>
      </c>
    </row>
    <row r="13" spans="1:17">
      <c r="P13" t="s">
        <v>93</v>
      </c>
      <c r="Q13" t="s">
        <v>94</v>
      </c>
    </row>
    <row r="14" spans="1:17">
      <c r="P14" t="s">
        <v>57</v>
      </c>
      <c r="Q14" t="s">
        <v>95</v>
      </c>
    </row>
    <row r="15" spans="1:17">
      <c r="P15" t="s">
        <v>96</v>
      </c>
      <c r="Q15" t="s">
        <v>97</v>
      </c>
    </row>
    <row r="16" spans="1:17">
      <c r="P16" t="s">
        <v>98</v>
      </c>
      <c r="Q16" t="s">
        <v>99</v>
      </c>
    </row>
    <row r="19" spans="16:16">
      <c r="P19" t="s">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798E7-0DAA-4459-8ED0-A910185D59CC}">
  <dimension ref="A1:K8"/>
  <sheetViews>
    <sheetView workbookViewId="0">
      <selection activeCell="J17" sqref="J17"/>
    </sheetView>
  </sheetViews>
  <sheetFormatPr defaultRowHeight="14.4"/>
  <cols>
    <col min="7" max="7" width="18.88671875" customWidth="1"/>
    <col min="8" max="8" width="21.88671875" customWidth="1"/>
    <col min="10" max="10" width="21.109375" customWidth="1"/>
    <col min="11" max="11" width="16.77734375" customWidth="1"/>
  </cols>
  <sheetData>
    <row r="1" spans="1:11" ht="28.8">
      <c r="A1" t="s">
        <v>63</v>
      </c>
      <c r="B1" t="s">
        <v>15</v>
      </c>
      <c r="C1" t="s">
        <v>0</v>
      </c>
      <c r="D1" t="s">
        <v>1</v>
      </c>
      <c r="E1" t="s">
        <v>64</v>
      </c>
      <c r="F1" s="13" t="s">
        <v>103</v>
      </c>
      <c r="G1" t="s">
        <v>98</v>
      </c>
      <c r="H1" t="s">
        <v>104</v>
      </c>
      <c r="I1" t="s">
        <v>105</v>
      </c>
      <c r="J1" t="s">
        <v>106</v>
      </c>
      <c r="K1" t="s">
        <v>107</v>
      </c>
    </row>
    <row r="2" spans="1:11">
      <c r="A2" t="s">
        <v>70</v>
      </c>
      <c r="B2" s="16">
        <v>2013</v>
      </c>
      <c r="C2" s="16"/>
      <c r="D2" s="16"/>
      <c r="E2" s="16"/>
      <c r="F2">
        <f>10000</f>
        <v>10000</v>
      </c>
      <c r="G2" s="5">
        <f>'P&amp;L'!O2</f>
        <v>-2318.4</v>
      </c>
      <c r="H2">
        <f>0</f>
        <v>0</v>
      </c>
      <c r="I2">
        <f>0</f>
        <v>0</v>
      </c>
      <c r="J2" s="5">
        <f>H2+G2-I2</f>
        <v>-2318.4</v>
      </c>
      <c r="K2" s="5">
        <f>F2+J2</f>
        <v>7681.6</v>
      </c>
    </row>
    <row r="3" spans="1:11">
      <c r="B3" s="2"/>
      <c r="C3" s="2"/>
      <c r="D3" s="2"/>
      <c r="E3" s="2"/>
    </row>
    <row r="4" spans="1:11">
      <c r="B4" s="2"/>
      <c r="C4" s="2"/>
      <c r="D4" s="2"/>
      <c r="E4" s="2"/>
    </row>
    <row r="5" spans="1:11">
      <c r="B5" s="2"/>
      <c r="C5" s="2"/>
      <c r="D5" s="2"/>
      <c r="E5" s="2"/>
    </row>
    <row r="6" spans="1:11">
      <c r="B6" s="2"/>
      <c r="C6" s="2"/>
      <c r="D6" s="2"/>
      <c r="E6" s="2"/>
    </row>
    <row r="7" spans="1:11">
      <c r="B7" s="2"/>
      <c r="C7" s="2"/>
      <c r="D7" s="2"/>
      <c r="E7" s="2"/>
    </row>
    <row r="8" spans="1:11">
      <c r="B8" s="2"/>
      <c r="C8" s="2"/>
      <c r="D8" s="2"/>
      <c r="E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276F-BF8A-4737-9BE9-622A45E28709}">
  <dimension ref="A1:F401"/>
  <sheetViews>
    <sheetView workbookViewId="0"/>
  </sheetViews>
  <sheetFormatPr defaultRowHeight="14.4"/>
  <cols>
    <col min="1" max="1" width="9.77734375" bestFit="1" customWidth="1"/>
    <col min="2" max="2" width="6.88671875" bestFit="1" customWidth="1"/>
    <col min="3" max="3" width="14.21875" bestFit="1" customWidth="1"/>
    <col min="4" max="4" width="6.21875" bestFit="1" customWidth="1"/>
    <col min="5" max="5" width="15" bestFit="1" customWidth="1"/>
    <col min="6" max="6" width="9.77734375" bestFit="1" customWidth="1"/>
  </cols>
  <sheetData>
    <row r="1" spans="1:6">
      <c r="A1" t="s">
        <v>63</v>
      </c>
      <c r="B1" t="s">
        <v>15</v>
      </c>
      <c r="C1" t="s">
        <v>116</v>
      </c>
      <c r="D1" t="s">
        <v>117</v>
      </c>
      <c r="E1" t="s">
        <v>0</v>
      </c>
      <c r="F1" t="s">
        <v>64</v>
      </c>
    </row>
    <row r="2" spans="1:6">
      <c r="A2" s="18" t="s">
        <v>70</v>
      </c>
      <c r="B2">
        <v>2013</v>
      </c>
      <c r="C2" t="s">
        <v>118</v>
      </c>
      <c r="D2">
        <v>1</v>
      </c>
      <c r="E2" s="18" t="s">
        <v>30</v>
      </c>
      <c r="F2" s="18" t="s">
        <v>80</v>
      </c>
    </row>
    <row r="3" spans="1:6">
      <c r="A3" s="18" t="s">
        <v>70</v>
      </c>
      <c r="B3">
        <v>2013</v>
      </c>
      <c r="C3" t="s">
        <v>118</v>
      </c>
      <c r="D3">
        <v>1</v>
      </c>
      <c r="E3" s="18" t="s">
        <v>30</v>
      </c>
      <c r="F3" s="18" t="s">
        <v>108</v>
      </c>
    </row>
    <row r="4" spans="1:6">
      <c r="A4" s="18" t="s">
        <v>70</v>
      </c>
      <c r="B4">
        <v>2013</v>
      </c>
      <c r="C4" t="s">
        <v>118</v>
      </c>
      <c r="D4">
        <v>1</v>
      </c>
      <c r="E4" s="18" t="s">
        <v>30</v>
      </c>
      <c r="F4" s="18" t="s">
        <v>112</v>
      </c>
    </row>
    <row r="5" spans="1:6">
      <c r="A5" s="18" t="s">
        <v>70</v>
      </c>
      <c r="B5">
        <v>2013</v>
      </c>
      <c r="C5" t="s">
        <v>118</v>
      </c>
      <c r="D5">
        <v>1</v>
      </c>
      <c r="E5" s="18" t="s">
        <v>30</v>
      </c>
      <c r="F5" s="18" t="s">
        <v>113</v>
      </c>
    </row>
    <row r="6" spans="1:6">
      <c r="A6" s="18" t="s">
        <v>70</v>
      </c>
      <c r="B6">
        <v>2013</v>
      </c>
      <c r="C6" t="s">
        <v>118</v>
      </c>
      <c r="D6">
        <v>1</v>
      </c>
      <c r="E6" s="18" t="s">
        <v>30</v>
      </c>
      <c r="F6" s="18" t="s">
        <v>114</v>
      </c>
    </row>
    <row r="7" spans="1:6">
      <c r="A7" s="18" t="s">
        <v>70</v>
      </c>
      <c r="B7">
        <v>2013</v>
      </c>
      <c r="C7" t="s">
        <v>118</v>
      </c>
      <c r="D7">
        <v>1</v>
      </c>
      <c r="E7" s="18" t="s">
        <v>29</v>
      </c>
      <c r="F7" s="18" t="s">
        <v>80</v>
      </c>
    </row>
    <row r="8" spans="1:6">
      <c r="A8" s="18" t="s">
        <v>70</v>
      </c>
      <c r="B8">
        <v>2013</v>
      </c>
      <c r="C8" t="s">
        <v>118</v>
      </c>
      <c r="D8">
        <v>1</v>
      </c>
      <c r="E8" s="18" t="s">
        <v>29</v>
      </c>
      <c r="F8" s="18" t="s">
        <v>108</v>
      </c>
    </row>
    <row r="9" spans="1:6">
      <c r="A9" s="18" t="s">
        <v>70</v>
      </c>
      <c r="B9">
        <v>2013</v>
      </c>
      <c r="C9" t="s">
        <v>118</v>
      </c>
      <c r="D9">
        <v>1</v>
      </c>
      <c r="E9" s="18" t="s">
        <v>29</v>
      </c>
      <c r="F9" s="18" t="s">
        <v>112</v>
      </c>
    </row>
    <row r="10" spans="1:6">
      <c r="A10" s="18" t="s">
        <v>70</v>
      </c>
      <c r="B10">
        <v>2013</v>
      </c>
      <c r="C10" t="s">
        <v>118</v>
      </c>
      <c r="D10">
        <v>1</v>
      </c>
      <c r="E10" s="18" t="s">
        <v>29</v>
      </c>
      <c r="F10" s="18" t="s">
        <v>113</v>
      </c>
    </row>
    <row r="11" spans="1:6">
      <c r="A11" s="18" t="s">
        <v>70</v>
      </c>
      <c r="B11">
        <v>2013</v>
      </c>
      <c r="C11" t="s">
        <v>118</v>
      </c>
      <c r="D11">
        <v>1</v>
      </c>
      <c r="E11" s="18" t="s">
        <v>29</v>
      </c>
      <c r="F11" s="18" t="s">
        <v>114</v>
      </c>
    </row>
    <row r="12" spans="1:6">
      <c r="A12" s="18" t="s">
        <v>70</v>
      </c>
      <c r="B12">
        <v>2013</v>
      </c>
      <c r="C12" t="s">
        <v>118</v>
      </c>
      <c r="D12">
        <v>1</v>
      </c>
      <c r="E12" s="18" t="s">
        <v>22</v>
      </c>
      <c r="F12" s="18" t="s">
        <v>80</v>
      </c>
    </row>
    <row r="13" spans="1:6">
      <c r="A13" s="18" t="s">
        <v>70</v>
      </c>
      <c r="B13">
        <v>2013</v>
      </c>
      <c r="C13" t="s">
        <v>118</v>
      </c>
      <c r="D13">
        <v>1</v>
      </c>
      <c r="E13" s="18" t="s">
        <v>22</v>
      </c>
      <c r="F13" s="18" t="s">
        <v>108</v>
      </c>
    </row>
    <row r="14" spans="1:6">
      <c r="A14" s="18" t="s">
        <v>70</v>
      </c>
      <c r="B14">
        <v>2013</v>
      </c>
      <c r="C14" t="s">
        <v>118</v>
      </c>
      <c r="D14">
        <v>1</v>
      </c>
      <c r="E14" s="18" t="s">
        <v>22</v>
      </c>
      <c r="F14" s="18" t="s">
        <v>112</v>
      </c>
    </row>
    <row r="15" spans="1:6">
      <c r="A15" s="18" t="s">
        <v>70</v>
      </c>
      <c r="B15">
        <v>2013</v>
      </c>
      <c r="C15" t="s">
        <v>118</v>
      </c>
      <c r="D15">
        <v>1</v>
      </c>
      <c r="E15" s="18" t="s">
        <v>22</v>
      </c>
      <c r="F15" s="18" t="s">
        <v>113</v>
      </c>
    </row>
    <row r="16" spans="1:6">
      <c r="A16" s="18" t="s">
        <v>70</v>
      </c>
      <c r="B16">
        <v>2013</v>
      </c>
      <c r="C16" t="s">
        <v>118</v>
      </c>
      <c r="D16">
        <v>1</v>
      </c>
      <c r="E16" s="18" t="s">
        <v>22</v>
      </c>
      <c r="F16" s="18" t="s">
        <v>114</v>
      </c>
    </row>
    <row r="17" spans="1:6">
      <c r="A17" s="18" t="s">
        <v>70</v>
      </c>
      <c r="B17">
        <v>2013</v>
      </c>
      <c r="C17" t="s">
        <v>118</v>
      </c>
      <c r="D17">
        <v>1</v>
      </c>
      <c r="E17" s="18" t="s">
        <v>16</v>
      </c>
      <c r="F17" s="18" t="s">
        <v>80</v>
      </c>
    </row>
    <row r="18" spans="1:6">
      <c r="A18" s="18" t="s">
        <v>70</v>
      </c>
      <c r="B18">
        <v>2013</v>
      </c>
      <c r="C18" t="s">
        <v>118</v>
      </c>
      <c r="D18">
        <v>1</v>
      </c>
      <c r="E18" s="18" t="s">
        <v>16</v>
      </c>
      <c r="F18" s="18" t="s">
        <v>108</v>
      </c>
    </row>
    <row r="19" spans="1:6">
      <c r="A19" s="18" t="s">
        <v>70</v>
      </c>
      <c r="B19">
        <v>2013</v>
      </c>
      <c r="C19" t="s">
        <v>118</v>
      </c>
      <c r="D19">
        <v>1</v>
      </c>
      <c r="E19" s="18" t="s">
        <v>16</v>
      </c>
      <c r="F19" s="18" t="s">
        <v>112</v>
      </c>
    </row>
    <row r="20" spans="1:6">
      <c r="A20" s="18" t="s">
        <v>70</v>
      </c>
      <c r="B20">
        <v>2013</v>
      </c>
      <c r="C20" t="s">
        <v>118</v>
      </c>
      <c r="D20">
        <v>1</v>
      </c>
      <c r="E20" s="18" t="s">
        <v>16</v>
      </c>
      <c r="F20" s="18" t="s">
        <v>113</v>
      </c>
    </row>
    <row r="21" spans="1:6">
      <c r="A21" s="18" t="s">
        <v>70</v>
      </c>
      <c r="B21">
        <v>2013</v>
      </c>
      <c r="C21" t="s">
        <v>118</v>
      </c>
      <c r="D21">
        <v>1</v>
      </c>
      <c r="E21" s="18" t="s">
        <v>16</v>
      </c>
      <c r="F21" s="18" t="s">
        <v>114</v>
      </c>
    </row>
    <row r="22" spans="1:6">
      <c r="A22" s="18" t="s">
        <v>70</v>
      </c>
      <c r="B22">
        <v>2013</v>
      </c>
      <c r="C22" t="s">
        <v>118</v>
      </c>
      <c r="D22">
        <v>1</v>
      </c>
      <c r="E22" s="18" t="s">
        <v>32</v>
      </c>
      <c r="F22" s="18" t="s">
        <v>80</v>
      </c>
    </row>
    <row r="23" spans="1:6">
      <c r="A23" s="18" t="s">
        <v>70</v>
      </c>
      <c r="B23">
        <v>2013</v>
      </c>
      <c r="C23" t="s">
        <v>118</v>
      </c>
      <c r="D23">
        <v>1</v>
      </c>
      <c r="E23" s="18" t="s">
        <v>32</v>
      </c>
      <c r="F23" s="18" t="s">
        <v>108</v>
      </c>
    </row>
    <row r="24" spans="1:6">
      <c r="A24" s="18" t="s">
        <v>70</v>
      </c>
      <c r="B24">
        <v>2013</v>
      </c>
      <c r="C24" t="s">
        <v>118</v>
      </c>
      <c r="D24">
        <v>1</v>
      </c>
      <c r="E24" s="18" t="s">
        <v>32</v>
      </c>
      <c r="F24" s="18" t="s">
        <v>112</v>
      </c>
    </row>
    <row r="25" spans="1:6">
      <c r="A25" s="18" t="s">
        <v>70</v>
      </c>
      <c r="B25">
        <v>2013</v>
      </c>
      <c r="C25" t="s">
        <v>118</v>
      </c>
      <c r="D25">
        <v>1</v>
      </c>
      <c r="E25" s="18" t="s">
        <v>32</v>
      </c>
      <c r="F25" s="18" t="s">
        <v>113</v>
      </c>
    </row>
    <row r="26" spans="1:6">
      <c r="A26" s="18" t="s">
        <v>70</v>
      </c>
      <c r="B26">
        <v>2013</v>
      </c>
      <c r="C26" t="s">
        <v>118</v>
      </c>
      <c r="D26">
        <v>1</v>
      </c>
      <c r="E26" s="18" t="s">
        <v>32</v>
      </c>
      <c r="F26" s="18" t="s">
        <v>114</v>
      </c>
    </row>
    <row r="27" spans="1:6">
      <c r="A27" s="18" t="s">
        <v>35</v>
      </c>
      <c r="B27">
        <v>2013</v>
      </c>
      <c r="C27" t="s">
        <v>119</v>
      </c>
      <c r="D27">
        <v>1</v>
      </c>
      <c r="E27" s="18" t="s">
        <v>30</v>
      </c>
      <c r="F27" s="18" t="s">
        <v>80</v>
      </c>
    </row>
    <row r="28" spans="1:6">
      <c r="A28" s="18" t="s">
        <v>35</v>
      </c>
      <c r="B28">
        <v>2013</v>
      </c>
      <c r="C28" t="s">
        <v>119</v>
      </c>
      <c r="D28">
        <v>1</v>
      </c>
      <c r="E28" s="18" t="s">
        <v>30</v>
      </c>
      <c r="F28" s="18" t="s">
        <v>108</v>
      </c>
    </row>
    <row r="29" spans="1:6">
      <c r="A29" s="18" t="s">
        <v>35</v>
      </c>
      <c r="B29">
        <v>2013</v>
      </c>
      <c r="C29" t="s">
        <v>119</v>
      </c>
      <c r="D29">
        <v>1</v>
      </c>
      <c r="E29" s="18" t="s">
        <v>30</v>
      </c>
      <c r="F29" s="18" t="s">
        <v>112</v>
      </c>
    </row>
    <row r="30" spans="1:6">
      <c r="A30" s="18" t="s">
        <v>35</v>
      </c>
      <c r="B30">
        <v>2013</v>
      </c>
      <c r="C30" t="s">
        <v>119</v>
      </c>
      <c r="D30">
        <v>1</v>
      </c>
      <c r="E30" s="18" t="s">
        <v>30</v>
      </c>
      <c r="F30" s="18" t="s">
        <v>113</v>
      </c>
    </row>
    <row r="31" spans="1:6">
      <c r="A31" s="18" t="s">
        <v>35</v>
      </c>
      <c r="B31">
        <v>2013</v>
      </c>
      <c r="C31" t="s">
        <v>119</v>
      </c>
      <c r="D31">
        <v>1</v>
      </c>
      <c r="E31" s="18" t="s">
        <v>30</v>
      </c>
      <c r="F31" s="18" t="s">
        <v>114</v>
      </c>
    </row>
    <row r="32" spans="1:6">
      <c r="A32" s="18" t="s">
        <v>35</v>
      </c>
      <c r="B32">
        <v>2013</v>
      </c>
      <c r="C32" t="s">
        <v>119</v>
      </c>
      <c r="D32">
        <v>1</v>
      </c>
      <c r="E32" s="18" t="s">
        <v>29</v>
      </c>
      <c r="F32" s="18" t="s">
        <v>80</v>
      </c>
    </row>
    <row r="33" spans="1:6">
      <c r="A33" s="18" t="s">
        <v>35</v>
      </c>
      <c r="B33">
        <v>2013</v>
      </c>
      <c r="C33" t="s">
        <v>119</v>
      </c>
      <c r="D33">
        <v>1</v>
      </c>
      <c r="E33" s="18" t="s">
        <v>29</v>
      </c>
      <c r="F33" s="18" t="s">
        <v>108</v>
      </c>
    </row>
    <row r="34" spans="1:6">
      <c r="A34" s="18" t="s">
        <v>35</v>
      </c>
      <c r="B34">
        <v>2013</v>
      </c>
      <c r="C34" t="s">
        <v>119</v>
      </c>
      <c r="D34">
        <v>1</v>
      </c>
      <c r="E34" s="18" t="s">
        <v>29</v>
      </c>
      <c r="F34" s="18" t="s">
        <v>112</v>
      </c>
    </row>
    <row r="35" spans="1:6">
      <c r="A35" s="18" t="s">
        <v>35</v>
      </c>
      <c r="B35">
        <v>2013</v>
      </c>
      <c r="C35" t="s">
        <v>119</v>
      </c>
      <c r="D35">
        <v>1</v>
      </c>
      <c r="E35" s="18" t="s">
        <v>29</v>
      </c>
      <c r="F35" s="18" t="s">
        <v>113</v>
      </c>
    </row>
    <row r="36" spans="1:6">
      <c r="A36" s="18" t="s">
        <v>35</v>
      </c>
      <c r="B36">
        <v>2013</v>
      </c>
      <c r="C36" t="s">
        <v>119</v>
      </c>
      <c r="D36">
        <v>1</v>
      </c>
      <c r="E36" s="18" t="s">
        <v>29</v>
      </c>
      <c r="F36" s="18" t="s">
        <v>114</v>
      </c>
    </row>
    <row r="37" spans="1:6">
      <c r="A37" s="18" t="s">
        <v>35</v>
      </c>
      <c r="B37">
        <v>2013</v>
      </c>
      <c r="C37" t="s">
        <v>119</v>
      </c>
      <c r="D37">
        <v>1</v>
      </c>
      <c r="E37" s="18" t="s">
        <v>22</v>
      </c>
      <c r="F37" s="18" t="s">
        <v>80</v>
      </c>
    </row>
    <row r="38" spans="1:6">
      <c r="A38" s="18" t="s">
        <v>35</v>
      </c>
      <c r="B38">
        <v>2013</v>
      </c>
      <c r="C38" t="s">
        <v>119</v>
      </c>
      <c r="D38">
        <v>1</v>
      </c>
      <c r="E38" s="18" t="s">
        <v>22</v>
      </c>
      <c r="F38" s="18" t="s">
        <v>108</v>
      </c>
    </row>
    <row r="39" spans="1:6">
      <c r="A39" s="18" t="s">
        <v>35</v>
      </c>
      <c r="B39">
        <v>2013</v>
      </c>
      <c r="C39" t="s">
        <v>119</v>
      </c>
      <c r="D39">
        <v>1</v>
      </c>
      <c r="E39" s="18" t="s">
        <v>22</v>
      </c>
      <c r="F39" s="18" t="s">
        <v>112</v>
      </c>
    </row>
    <row r="40" spans="1:6">
      <c r="A40" s="18" t="s">
        <v>35</v>
      </c>
      <c r="B40">
        <v>2013</v>
      </c>
      <c r="C40" t="s">
        <v>119</v>
      </c>
      <c r="D40">
        <v>1</v>
      </c>
      <c r="E40" s="18" t="s">
        <v>22</v>
      </c>
      <c r="F40" s="18" t="s">
        <v>113</v>
      </c>
    </row>
    <row r="41" spans="1:6">
      <c r="A41" s="18" t="s">
        <v>35</v>
      </c>
      <c r="B41">
        <v>2013</v>
      </c>
      <c r="C41" t="s">
        <v>119</v>
      </c>
      <c r="D41">
        <v>1</v>
      </c>
      <c r="E41" s="18" t="s">
        <v>22</v>
      </c>
      <c r="F41" s="18" t="s">
        <v>114</v>
      </c>
    </row>
    <row r="42" spans="1:6">
      <c r="A42" s="18" t="s">
        <v>35</v>
      </c>
      <c r="B42">
        <v>2013</v>
      </c>
      <c r="C42" t="s">
        <v>119</v>
      </c>
      <c r="D42">
        <v>1</v>
      </c>
      <c r="E42" s="18" t="s">
        <v>16</v>
      </c>
      <c r="F42" s="18" t="s">
        <v>80</v>
      </c>
    </row>
    <row r="43" spans="1:6">
      <c r="A43" s="18" t="s">
        <v>35</v>
      </c>
      <c r="B43">
        <v>2013</v>
      </c>
      <c r="C43" t="s">
        <v>119</v>
      </c>
      <c r="D43">
        <v>1</v>
      </c>
      <c r="E43" s="18" t="s">
        <v>16</v>
      </c>
      <c r="F43" s="18" t="s">
        <v>108</v>
      </c>
    </row>
    <row r="44" spans="1:6">
      <c r="A44" s="18" t="s">
        <v>35</v>
      </c>
      <c r="B44">
        <v>2013</v>
      </c>
      <c r="C44" t="s">
        <v>119</v>
      </c>
      <c r="D44">
        <v>1</v>
      </c>
      <c r="E44" s="18" t="s">
        <v>16</v>
      </c>
      <c r="F44" s="18" t="s">
        <v>112</v>
      </c>
    </row>
    <row r="45" spans="1:6">
      <c r="A45" s="18" t="s">
        <v>35</v>
      </c>
      <c r="B45">
        <v>2013</v>
      </c>
      <c r="C45" t="s">
        <v>119</v>
      </c>
      <c r="D45">
        <v>1</v>
      </c>
      <c r="E45" s="18" t="s">
        <v>16</v>
      </c>
      <c r="F45" s="18" t="s">
        <v>113</v>
      </c>
    </row>
    <row r="46" spans="1:6">
      <c r="A46" s="18" t="s">
        <v>35</v>
      </c>
      <c r="B46">
        <v>2013</v>
      </c>
      <c r="C46" t="s">
        <v>119</v>
      </c>
      <c r="D46">
        <v>1</v>
      </c>
      <c r="E46" s="18" t="s">
        <v>16</v>
      </c>
      <c r="F46" s="18" t="s">
        <v>114</v>
      </c>
    </row>
    <row r="47" spans="1:6">
      <c r="A47" s="18" t="s">
        <v>35</v>
      </c>
      <c r="B47">
        <v>2013</v>
      </c>
      <c r="C47" t="s">
        <v>119</v>
      </c>
      <c r="D47">
        <v>1</v>
      </c>
      <c r="E47" s="18" t="s">
        <v>32</v>
      </c>
      <c r="F47" s="18" t="s">
        <v>80</v>
      </c>
    </row>
    <row r="48" spans="1:6">
      <c r="A48" s="18" t="s">
        <v>35</v>
      </c>
      <c r="B48">
        <v>2013</v>
      </c>
      <c r="C48" t="s">
        <v>119</v>
      </c>
      <c r="D48">
        <v>1</v>
      </c>
      <c r="E48" s="18" t="s">
        <v>32</v>
      </c>
      <c r="F48" s="18" t="s">
        <v>108</v>
      </c>
    </row>
    <row r="49" spans="1:6">
      <c r="A49" s="18" t="s">
        <v>35</v>
      </c>
      <c r="B49">
        <v>2013</v>
      </c>
      <c r="C49" t="s">
        <v>119</v>
      </c>
      <c r="D49">
        <v>1</v>
      </c>
      <c r="E49" s="18" t="s">
        <v>32</v>
      </c>
      <c r="F49" s="18" t="s">
        <v>112</v>
      </c>
    </row>
    <row r="50" spans="1:6">
      <c r="A50" s="18" t="s">
        <v>35</v>
      </c>
      <c r="B50">
        <v>2013</v>
      </c>
      <c r="C50" t="s">
        <v>119</v>
      </c>
      <c r="D50">
        <v>1</v>
      </c>
      <c r="E50" s="18" t="s">
        <v>32</v>
      </c>
      <c r="F50" s="18" t="s">
        <v>113</v>
      </c>
    </row>
    <row r="51" spans="1:6">
      <c r="A51" s="18" t="s">
        <v>35</v>
      </c>
      <c r="B51">
        <v>2013</v>
      </c>
      <c r="C51" t="s">
        <v>119</v>
      </c>
      <c r="D51">
        <v>1</v>
      </c>
      <c r="E51" s="18" t="s">
        <v>32</v>
      </c>
      <c r="F51" s="18" t="s">
        <v>114</v>
      </c>
    </row>
    <row r="52" spans="1:6">
      <c r="A52" s="18" t="s">
        <v>68</v>
      </c>
      <c r="B52">
        <v>2013</v>
      </c>
      <c r="C52" t="s">
        <v>120</v>
      </c>
      <c r="D52">
        <v>1</v>
      </c>
      <c r="E52" s="18" t="s">
        <v>30</v>
      </c>
      <c r="F52" s="18" t="s">
        <v>80</v>
      </c>
    </row>
    <row r="53" spans="1:6">
      <c r="A53" s="18" t="s">
        <v>68</v>
      </c>
      <c r="B53">
        <v>2013</v>
      </c>
      <c r="C53" t="s">
        <v>120</v>
      </c>
      <c r="D53">
        <v>1</v>
      </c>
      <c r="E53" s="18" t="s">
        <v>30</v>
      </c>
      <c r="F53" s="18" t="s">
        <v>108</v>
      </c>
    </row>
    <row r="54" spans="1:6">
      <c r="A54" s="18" t="s">
        <v>68</v>
      </c>
      <c r="B54">
        <v>2013</v>
      </c>
      <c r="C54" t="s">
        <v>120</v>
      </c>
      <c r="D54">
        <v>1</v>
      </c>
      <c r="E54" s="18" t="s">
        <v>30</v>
      </c>
      <c r="F54" s="18" t="s">
        <v>112</v>
      </c>
    </row>
    <row r="55" spans="1:6">
      <c r="A55" s="18" t="s">
        <v>68</v>
      </c>
      <c r="B55">
        <v>2013</v>
      </c>
      <c r="C55" t="s">
        <v>120</v>
      </c>
      <c r="D55">
        <v>1</v>
      </c>
      <c r="E55" s="18" t="s">
        <v>30</v>
      </c>
      <c r="F55" s="18" t="s">
        <v>113</v>
      </c>
    </row>
    <row r="56" spans="1:6">
      <c r="A56" s="18" t="s">
        <v>68</v>
      </c>
      <c r="B56">
        <v>2013</v>
      </c>
      <c r="C56" t="s">
        <v>120</v>
      </c>
      <c r="D56">
        <v>1</v>
      </c>
      <c r="E56" s="18" t="s">
        <v>30</v>
      </c>
      <c r="F56" s="18" t="s">
        <v>114</v>
      </c>
    </row>
    <row r="57" spans="1:6">
      <c r="A57" s="18" t="s">
        <v>68</v>
      </c>
      <c r="B57">
        <v>2013</v>
      </c>
      <c r="C57" t="s">
        <v>120</v>
      </c>
      <c r="D57">
        <v>1</v>
      </c>
      <c r="E57" s="18" t="s">
        <v>29</v>
      </c>
      <c r="F57" s="18" t="s">
        <v>80</v>
      </c>
    </row>
    <row r="58" spans="1:6">
      <c r="A58" s="18" t="s">
        <v>68</v>
      </c>
      <c r="B58">
        <v>2013</v>
      </c>
      <c r="C58" t="s">
        <v>120</v>
      </c>
      <c r="D58">
        <v>1</v>
      </c>
      <c r="E58" s="18" t="s">
        <v>29</v>
      </c>
      <c r="F58" s="18" t="s">
        <v>108</v>
      </c>
    </row>
    <row r="59" spans="1:6">
      <c r="A59" s="18" t="s">
        <v>68</v>
      </c>
      <c r="B59">
        <v>2013</v>
      </c>
      <c r="C59" t="s">
        <v>120</v>
      </c>
      <c r="D59">
        <v>1</v>
      </c>
      <c r="E59" s="18" t="s">
        <v>29</v>
      </c>
      <c r="F59" s="18" t="s">
        <v>112</v>
      </c>
    </row>
    <row r="60" spans="1:6">
      <c r="A60" s="18" t="s">
        <v>68</v>
      </c>
      <c r="B60">
        <v>2013</v>
      </c>
      <c r="C60" t="s">
        <v>120</v>
      </c>
      <c r="D60">
        <v>1</v>
      </c>
      <c r="E60" s="18" t="s">
        <v>29</v>
      </c>
      <c r="F60" s="18" t="s">
        <v>113</v>
      </c>
    </row>
    <row r="61" spans="1:6">
      <c r="A61" s="18" t="s">
        <v>68</v>
      </c>
      <c r="B61">
        <v>2013</v>
      </c>
      <c r="C61" t="s">
        <v>120</v>
      </c>
      <c r="D61">
        <v>1</v>
      </c>
      <c r="E61" s="18" t="s">
        <v>29</v>
      </c>
      <c r="F61" s="18" t="s">
        <v>114</v>
      </c>
    </row>
    <row r="62" spans="1:6">
      <c r="A62" s="18" t="s">
        <v>68</v>
      </c>
      <c r="B62">
        <v>2013</v>
      </c>
      <c r="C62" t="s">
        <v>120</v>
      </c>
      <c r="D62">
        <v>1</v>
      </c>
      <c r="E62" s="18" t="s">
        <v>22</v>
      </c>
      <c r="F62" s="18" t="s">
        <v>80</v>
      </c>
    </row>
    <row r="63" spans="1:6">
      <c r="A63" s="18" t="s">
        <v>68</v>
      </c>
      <c r="B63">
        <v>2013</v>
      </c>
      <c r="C63" t="s">
        <v>120</v>
      </c>
      <c r="D63">
        <v>1</v>
      </c>
      <c r="E63" s="18" t="s">
        <v>22</v>
      </c>
      <c r="F63" s="18" t="s">
        <v>108</v>
      </c>
    </row>
    <row r="64" spans="1:6">
      <c r="A64" s="18" t="s">
        <v>68</v>
      </c>
      <c r="B64">
        <v>2013</v>
      </c>
      <c r="C64" t="s">
        <v>120</v>
      </c>
      <c r="D64">
        <v>1</v>
      </c>
      <c r="E64" s="18" t="s">
        <v>22</v>
      </c>
      <c r="F64" s="18" t="s">
        <v>112</v>
      </c>
    </row>
    <row r="65" spans="1:6">
      <c r="A65" s="18" t="s">
        <v>68</v>
      </c>
      <c r="B65">
        <v>2013</v>
      </c>
      <c r="C65" t="s">
        <v>120</v>
      </c>
      <c r="D65">
        <v>1</v>
      </c>
      <c r="E65" s="18" t="s">
        <v>22</v>
      </c>
      <c r="F65" s="18" t="s">
        <v>113</v>
      </c>
    </row>
    <row r="66" spans="1:6">
      <c r="A66" s="18" t="s">
        <v>68</v>
      </c>
      <c r="B66">
        <v>2013</v>
      </c>
      <c r="C66" t="s">
        <v>120</v>
      </c>
      <c r="D66">
        <v>1</v>
      </c>
      <c r="E66" s="18" t="s">
        <v>22</v>
      </c>
      <c r="F66" s="18" t="s">
        <v>114</v>
      </c>
    </row>
    <row r="67" spans="1:6">
      <c r="A67" s="18" t="s">
        <v>68</v>
      </c>
      <c r="B67">
        <v>2013</v>
      </c>
      <c r="C67" t="s">
        <v>120</v>
      </c>
      <c r="D67">
        <v>1</v>
      </c>
      <c r="E67" s="18" t="s">
        <v>16</v>
      </c>
      <c r="F67" s="18" t="s">
        <v>80</v>
      </c>
    </row>
    <row r="68" spans="1:6">
      <c r="A68" s="18" t="s">
        <v>68</v>
      </c>
      <c r="B68">
        <v>2013</v>
      </c>
      <c r="C68" t="s">
        <v>120</v>
      </c>
      <c r="D68">
        <v>1</v>
      </c>
      <c r="E68" s="18" t="s">
        <v>16</v>
      </c>
      <c r="F68" s="18" t="s">
        <v>108</v>
      </c>
    </row>
    <row r="69" spans="1:6">
      <c r="A69" s="18" t="s">
        <v>68</v>
      </c>
      <c r="B69">
        <v>2013</v>
      </c>
      <c r="C69" t="s">
        <v>120</v>
      </c>
      <c r="D69">
        <v>1</v>
      </c>
      <c r="E69" s="18" t="s">
        <v>16</v>
      </c>
      <c r="F69" s="18" t="s">
        <v>112</v>
      </c>
    </row>
    <row r="70" spans="1:6">
      <c r="A70" s="18" t="s">
        <v>68</v>
      </c>
      <c r="B70">
        <v>2013</v>
      </c>
      <c r="C70" t="s">
        <v>120</v>
      </c>
      <c r="D70">
        <v>1</v>
      </c>
      <c r="E70" s="18" t="s">
        <v>16</v>
      </c>
      <c r="F70" s="18" t="s">
        <v>113</v>
      </c>
    </row>
    <row r="71" spans="1:6">
      <c r="A71" s="18" t="s">
        <v>68</v>
      </c>
      <c r="B71">
        <v>2013</v>
      </c>
      <c r="C71" t="s">
        <v>120</v>
      </c>
      <c r="D71">
        <v>1</v>
      </c>
      <c r="E71" s="18" t="s">
        <v>16</v>
      </c>
      <c r="F71" s="18" t="s">
        <v>114</v>
      </c>
    </row>
    <row r="72" spans="1:6">
      <c r="A72" s="18" t="s">
        <v>68</v>
      </c>
      <c r="B72">
        <v>2013</v>
      </c>
      <c r="C72" t="s">
        <v>120</v>
      </c>
      <c r="D72">
        <v>1</v>
      </c>
      <c r="E72" s="18" t="s">
        <v>32</v>
      </c>
      <c r="F72" s="18" t="s">
        <v>80</v>
      </c>
    </row>
    <row r="73" spans="1:6">
      <c r="A73" s="18" t="s">
        <v>68</v>
      </c>
      <c r="B73">
        <v>2013</v>
      </c>
      <c r="C73" t="s">
        <v>120</v>
      </c>
      <c r="D73">
        <v>1</v>
      </c>
      <c r="E73" s="18" t="s">
        <v>32</v>
      </c>
      <c r="F73" s="18" t="s">
        <v>108</v>
      </c>
    </row>
    <row r="74" spans="1:6">
      <c r="A74" s="18" t="s">
        <v>68</v>
      </c>
      <c r="B74">
        <v>2013</v>
      </c>
      <c r="C74" t="s">
        <v>120</v>
      </c>
      <c r="D74">
        <v>1</v>
      </c>
      <c r="E74" s="18" t="s">
        <v>32</v>
      </c>
      <c r="F74" s="18" t="s">
        <v>112</v>
      </c>
    </row>
    <row r="75" spans="1:6">
      <c r="A75" s="18" t="s">
        <v>68</v>
      </c>
      <c r="B75">
        <v>2013</v>
      </c>
      <c r="C75" t="s">
        <v>120</v>
      </c>
      <c r="D75">
        <v>1</v>
      </c>
      <c r="E75" s="18" t="s">
        <v>32</v>
      </c>
      <c r="F75" s="18" t="s">
        <v>113</v>
      </c>
    </row>
    <row r="76" spans="1:6">
      <c r="A76" s="18" t="s">
        <v>68</v>
      </c>
      <c r="B76">
        <v>2013</v>
      </c>
      <c r="C76" t="s">
        <v>120</v>
      </c>
      <c r="D76">
        <v>1</v>
      </c>
      <c r="E76" s="18" t="s">
        <v>32</v>
      </c>
      <c r="F76" s="18" t="s">
        <v>114</v>
      </c>
    </row>
    <row r="77" spans="1:6">
      <c r="A77" s="18" t="s">
        <v>69</v>
      </c>
      <c r="B77">
        <v>2013</v>
      </c>
      <c r="C77" t="s">
        <v>121</v>
      </c>
      <c r="D77">
        <v>1</v>
      </c>
      <c r="E77" s="18" t="s">
        <v>30</v>
      </c>
      <c r="F77" s="18" t="s">
        <v>80</v>
      </c>
    </row>
    <row r="78" spans="1:6">
      <c r="A78" s="18" t="s">
        <v>69</v>
      </c>
      <c r="B78">
        <v>2013</v>
      </c>
      <c r="C78" t="s">
        <v>121</v>
      </c>
      <c r="D78">
        <v>1</v>
      </c>
      <c r="E78" s="18" t="s">
        <v>30</v>
      </c>
      <c r="F78" s="18" t="s">
        <v>108</v>
      </c>
    </row>
    <row r="79" spans="1:6">
      <c r="A79" s="18" t="s">
        <v>69</v>
      </c>
      <c r="B79">
        <v>2013</v>
      </c>
      <c r="C79" t="s">
        <v>121</v>
      </c>
      <c r="D79">
        <v>1</v>
      </c>
      <c r="E79" s="18" t="s">
        <v>30</v>
      </c>
      <c r="F79" s="18" t="s">
        <v>112</v>
      </c>
    </row>
    <row r="80" spans="1:6">
      <c r="A80" s="18" t="s">
        <v>69</v>
      </c>
      <c r="B80">
        <v>2013</v>
      </c>
      <c r="C80" t="s">
        <v>121</v>
      </c>
      <c r="D80">
        <v>1</v>
      </c>
      <c r="E80" s="18" t="s">
        <v>30</v>
      </c>
      <c r="F80" s="18" t="s">
        <v>113</v>
      </c>
    </row>
    <row r="81" spans="1:6">
      <c r="A81" s="18" t="s">
        <v>69</v>
      </c>
      <c r="B81">
        <v>2013</v>
      </c>
      <c r="C81" t="s">
        <v>121</v>
      </c>
      <c r="D81">
        <v>1</v>
      </c>
      <c r="E81" s="18" t="s">
        <v>30</v>
      </c>
      <c r="F81" s="18" t="s">
        <v>114</v>
      </c>
    </row>
    <row r="82" spans="1:6">
      <c r="A82" s="18" t="s">
        <v>69</v>
      </c>
      <c r="B82">
        <v>2013</v>
      </c>
      <c r="C82" t="s">
        <v>121</v>
      </c>
      <c r="D82">
        <v>1</v>
      </c>
      <c r="E82" s="18" t="s">
        <v>29</v>
      </c>
      <c r="F82" s="18" t="s">
        <v>80</v>
      </c>
    </row>
    <row r="83" spans="1:6">
      <c r="A83" s="18" t="s">
        <v>69</v>
      </c>
      <c r="B83">
        <v>2013</v>
      </c>
      <c r="C83" t="s">
        <v>121</v>
      </c>
      <c r="D83">
        <v>1</v>
      </c>
      <c r="E83" s="18" t="s">
        <v>29</v>
      </c>
      <c r="F83" s="18" t="s">
        <v>108</v>
      </c>
    </row>
    <row r="84" spans="1:6">
      <c r="A84" s="18" t="s">
        <v>69</v>
      </c>
      <c r="B84">
        <v>2013</v>
      </c>
      <c r="C84" t="s">
        <v>121</v>
      </c>
      <c r="D84">
        <v>1</v>
      </c>
      <c r="E84" s="18" t="s">
        <v>29</v>
      </c>
      <c r="F84" s="18" t="s">
        <v>112</v>
      </c>
    </row>
    <row r="85" spans="1:6">
      <c r="A85" s="18" t="s">
        <v>69</v>
      </c>
      <c r="B85">
        <v>2013</v>
      </c>
      <c r="C85" t="s">
        <v>121</v>
      </c>
      <c r="D85">
        <v>1</v>
      </c>
      <c r="E85" s="18" t="s">
        <v>29</v>
      </c>
      <c r="F85" s="18" t="s">
        <v>113</v>
      </c>
    </row>
    <row r="86" spans="1:6">
      <c r="A86" s="18" t="s">
        <v>69</v>
      </c>
      <c r="B86">
        <v>2013</v>
      </c>
      <c r="C86" t="s">
        <v>121</v>
      </c>
      <c r="D86">
        <v>1</v>
      </c>
      <c r="E86" s="18" t="s">
        <v>29</v>
      </c>
      <c r="F86" s="18" t="s">
        <v>114</v>
      </c>
    </row>
    <row r="87" spans="1:6">
      <c r="A87" s="18" t="s">
        <v>69</v>
      </c>
      <c r="B87">
        <v>2013</v>
      </c>
      <c r="C87" t="s">
        <v>121</v>
      </c>
      <c r="D87">
        <v>1</v>
      </c>
      <c r="E87" s="18" t="s">
        <v>22</v>
      </c>
      <c r="F87" s="18" t="s">
        <v>80</v>
      </c>
    </row>
    <row r="88" spans="1:6">
      <c r="A88" s="18" t="s">
        <v>69</v>
      </c>
      <c r="B88">
        <v>2013</v>
      </c>
      <c r="C88" t="s">
        <v>121</v>
      </c>
      <c r="D88">
        <v>1</v>
      </c>
      <c r="E88" s="18" t="s">
        <v>22</v>
      </c>
      <c r="F88" s="18" t="s">
        <v>108</v>
      </c>
    </row>
    <row r="89" spans="1:6">
      <c r="A89" s="18" t="s">
        <v>69</v>
      </c>
      <c r="B89">
        <v>2013</v>
      </c>
      <c r="C89" t="s">
        <v>121</v>
      </c>
      <c r="D89">
        <v>1</v>
      </c>
      <c r="E89" s="18" t="s">
        <v>22</v>
      </c>
      <c r="F89" s="18" t="s">
        <v>112</v>
      </c>
    </row>
    <row r="90" spans="1:6">
      <c r="A90" s="18" t="s">
        <v>69</v>
      </c>
      <c r="B90">
        <v>2013</v>
      </c>
      <c r="C90" t="s">
        <v>121</v>
      </c>
      <c r="D90">
        <v>1</v>
      </c>
      <c r="E90" s="18" t="s">
        <v>22</v>
      </c>
      <c r="F90" s="18" t="s">
        <v>113</v>
      </c>
    </row>
    <row r="91" spans="1:6">
      <c r="A91" s="18" t="s">
        <v>69</v>
      </c>
      <c r="B91">
        <v>2013</v>
      </c>
      <c r="C91" t="s">
        <v>121</v>
      </c>
      <c r="D91">
        <v>1</v>
      </c>
      <c r="E91" s="18" t="s">
        <v>22</v>
      </c>
      <c r="F91" s="18" t="s">
        <v>114</v>
      </c>
    </row>
    <row r="92" spans="1:6">
      <c r="A92" s="18" t="s">
        <v>69</v>
      </c>
      <c r="B92">
        <v>2013</v>
      </c>
      <c r="C92" t="s">
        <v>121</v>
      </c>
      <c r="D92">
        <v>1</v>
      </c>
      <c r="E92" s="18" t="s">
        <v>16</v>
      </c>
      <c r="F92" s="18" t="s">
        <v>80</v>
      </c>
    </row>
    <row r="93" spans="1:6">
      <c r="A93" s="18" t="s">
        <v>69</v>
      </c>
      <c r="B93">
        <v>2013</v>
      </c>
      <c r="C93" t="s">
        <v>121</v>
      </c>
      <c r="D93">
        <v>1</v>
      </c>
      <c r="E93" s="18" t="s">
        <v>16</v>
      </c>
      <c r="F93" s="18" t="s">
        <v>108</v>
      </c>
    </row>
    <row r="94" spans="1:6">
      <c r="A94" s="18" t="s">
        <v>69</v>
      </c>
      <c r="B94">
        <v>2013</v>
      </c>
      <c r="C94" t="s">
        <v>121</v>
      </c>
      <c r="D94">
        <v>1</v>
      </c>
      <c r="E94" s="18" t="s">
        <v>16</v>
      </c>
      <c r="F94" s="18" t="s">
        <v>112</v>
      </c>
    </row>
    <row r="95" spans="1:6">
      <c r="A95" s="18" t="s">
        <v>69</v>
      </c>
      <c r="B95">
        <v>2013</v>
      </c>
      <c r="C95" t="s">
        <v>121</v>
      </c>
      <c r="D95">
        <v>1</v>
      </c>
      <c r="E95" s="18" t="s">
        <v>16</v>
      </c>
      <c r="F95" s="18" t="s">
        <v>113</v>
      </c>
    </row>
    <row r="96" spans="1:6">
      <c r="A96" s="18" t="s">
        <v>69</v>
      </c>
      <c r="B96">
        <v>2013</v>
      </c>
      <c r="C96" t="s">
        <v>121</v>
      </c>
      <c r="D96">
        <v>1</v>
      </c>
      <c r="E96" s="18" t="s">
        <v>16</v>
      </c>
      <c r="F96" s="18" t="s">
        <v>114</v>
      </c>
    </row>
    <row r="97" spans="1:6">
      <c r="A97" s="18" t="s">
        <v>69</v>
      </c>
      <c r="B97">
        <v>2013</v>
      </c>
      <c r="C97" t="s">
        <v>121</v>
      </c>
      <c r="D97">
        <v>1</v>
      </c>
      <c r="E97" s="18" t="s">
        <v>32</v>
      </c>
      <c r="F97" s="18" t="s">
        <v>80</v>
      </c>
    </row>
    <row r="98" spans="1:6">
      <c r="A98" s="18" t="s">
        <v>69</v>
      </c>
      <c r="B98">
        <v>2013</v>
      </c>
      <c r="C98" t="s">
        <v>121</v>
      </c>
      <c r="D98">
        <v>1</v>
      </c>
      <c r="E98" s="18" t="s">
        <v>32</v>
      </c>
      <c r="F98" s="18" t="s">
        <v>108</v>
      </c>
    </row>
    <row r="99" spans="1:6">
      <c r="A99" s="18" t="s">
        <v>69</v>
      </c>
      <c r="B99">
        <v>2013</v>
      </c>
      <c r="C99" t="s">
        <v>121</v>
      </c>
      <c r="D99">
        <v>1</v>
      </c>
      <c r="E99" s="18" t="s">
        <v>32</v>
      </c>
      <c r="F99" s="18" t="s">
        <v>112</v>
      </c>
    </row>
    <row r="100" spans="1:6">
      <c r="A100" s="18" t="s">
        <v>69</v>
      </c>
      <c r="B100">
        <v>2013</v>
      </c>
      <c r="C100" t="s">
        <v>121</v>
      </c>
      <c r="D100">
        <v>1</v>
      </c>
      <c r="E100" s="18" t="s">
        <v>32</v>
      </c>
      <c r="F100" s="18" t="s">
        <v>113</v>
      </c>
    </row>
    <row r="101" spans="1:6">
      <c r="A101" s="18" t="s">
        <v>69</v>
      </c>
      <c r="B101">
        <v>2013</v>
      </c>
      <c r="C101" t="s">
        <v>121</v>
      </c>
      <c r="D101">
        <v>1</v>
      </c>
      <c r="E101" s="18" t="s">
        <v>32</v>
      </c>
      <c r="F101" s="18" t="s">
        <v>114</v>
      </c>
    </row>
    <row r="102" spans="1:6">
      <c r="A102" s="18" t="s">
        <v>71</v>
      </c>
      <c r="B102">
        <v>2014</v>
      </c>
      <c r="C102" t="s">
        <v>122</v>
      </c>
      <c r="D102">
        <v>1</v>
      </c>
      <c r="E102" s="18" t="s">
        <v>30</v>
      </c>
      <c r="F102" s="18" t="s">
        <v>80</v>
      </c>
    </row>
    <row r="103" spans="1:6">
      <c r="A103" s="18" t="s">
        <v>71</v>
      </c>
      <c r="B103">
        <v>2014</v>
      </c>
      <c r="C103" t="s">
        <v>122</v>
      </c>
      <c r="D103">
        <v>1</v>
      </c>
      <c r="E103" s="18" t="s">
        <v>30</v>
      </c>
      <c r="F103" s="18" t="s">
        <v>108</v>
      </c>
    </row>
    <row r="104" spans="1:6">
      <c r="A104" s="18" t="s">
        <v>71</v>
      </c>
      <c r="B104">
        <v>2014</v>
      </c>
      <c r="C104" t="s">
        <v>122</v>
      </c>
      <c r="D104">
        <v>1</v>
      </c>
      <c r="E104" s="18" t="s">
        <v>30</v>
      </c>
      <c r="F104" s="18" t="s">
        <v>112</v>
      </c>
    </row>
    <row r="105" spans="1:6">
      <c r="A105" s="18" t="s">
        <v>71</v>
      </c>
      <c r="B105">
        <v>2014</v>
      </c>
      <c r="C105" t="s">
        <v>122</v>
      </c>
      <c r="D105">
        <v>1</v>
      </c>
      <c r="E105" s="18" t="s">
        <v>30</v>
      </c>
      <c r="F105" s="18" t="s">
        <v>113</v>
      </c>
    </row>
    <row r="106" spans="1:6">
      <c r="A106" s="18" t="s">
        <v>71</v>
      </c>
      <c r="B106">
        <v>2014</v>
      </c>
      <c r="C106" t="s">
        <v>122</v>
      </c>
      <c r="D106">
        <v>1</v>
      </c>
      <c r="E106" s="18" t="s">
        <v>30</v>
      </c>
      <c r="F106" s="18" t="s">
        <v>114</v>
      </c>
    </row>
    <row r="107" spans="1:6">
      <c r="A107" s="18" t="s">
        <v>71</v>
      </c>
      <c r="B107">
        <v>2014</v>
      </c>
      <c r="C107" t="s">
        <v>122</v>
      </c>
      <c r="D107">
        <v>1</v>
      </c>
      <c r="E107" s="18" t="s">
        <v>29</v>
      </c>
      <c r="F107" s="18" t="s">
        <v>80</v>
      </c>
    </row>
    <row r="108" spans="1:6">
      <c r="A108" s="18" t="s">
        <v>71</v>
      </c>
      <c r="B108">
        <v>2014</v>
      </c>
      <c r="C108" t="s">
        <v>122</v>
      </c>
      <c r="D108">
        <v>1</v>
      </c>
      <c r="E108" s="18" t="s">
        <v>29</v>
      </c>
      <c r="F108" s="18" t="s">
        <v>108</v>
      </c>
    </row>
    <row r="109" spans="1:6">
      <c r="A109" s="18" t="s">
        <v>71</v>
      </c>
      <c r="B109">
        <v>2014</v>
      </c>
      <c r="C109" t="s">
        <v>122</v>
      </c>
      <c r="D109">
        <v>1</v>
      </c>
      <c r="E109" s="18" t="s">
        <v>29</v>
      </c>
      <c r="F109" s="18" t="s">
        <v>112</v>
      </c>
    </row>
    <row r="110" spans="1:6">
      <c r="A110" s="18" t="s">
        <v>71</v>
      </c>
      <c r="B110">
        <v>2014</v>
      </c>
      <c r="C110" t="s">
        <v>122</v>
      </c>
      <c r="D110">
        <v>1</v>
      </c>
      <c r="E110" s="18" t="s">
        <v>29</v>
      </c>
      <c r="F110" s="18" t="s">
        <v>113</v>
      </c>
    </row>
    <row r="111" spans="1:6">
      <c r="A111" s="18" t="s">
        <v>71</v>
      </c>
      <c r="B111">
        <v>2014</v>
      </c>
      <c r="C111" t="s">
        <v>122</v>
      </c>
      <c r="D111">
        <v>1</v>
      </c>
      <c r="E111" s="18" t="s">
        <v>29</v>
      </c>
      <c r="F111" s="18" t="s">
        <v>114</v>
      </c>
    </row>
    <row r="112" spans="1:6">
      <c r="A112" s="18" t="s">
        <v>71</v>
      </c>
      <c r="B112">
        <v>2014</v>
      </c>
      <c r="C112" t="s">
        <v>122</v>
      </c>
      <c r="D112">
        <v>1</v>
      </c>
      <c r="E112" s="18" t="s">
        <v>22</v>
      </c>
      <c r="F112" s="18" t="s">
        <v>80</v>
      </c>
    </row>
    <row r="113" spans="1:6">
      <c r="A113" s="18" t="s">
        <v>71</v>
      </c>
      <c r="B113">
        <v>2014</v>
      </c>
      <c r="C113" t="s">
        <v>122</v>
      </c>
      <c r="D113">
        <v>1</v>
      </c>
      <c r="E113" s="18" t="s">
        <v>22</v>
      </c>
      <c r="F113" s="18" t="s">
        <v>108</v>
      </c>
    </row>
    <row r="114" spans="1:6">
      <c r="A114" s="18" t="s">
        <v>71</v>
      </c>
      <c r="B114">
        <v>2014</v>
      </c>
      <c r="C114" t="s">
        <v>122</v>
      </c>
      <c r="D114">
        <v>1</v>
      </c>
      <c r="E114" s="18" t="s">
        <v>22</v>
      </c>
      <c r="F114" s="18" t="s">
        <v>112</v>
      </c>
    </row>
    <row r="115" spans="1:6">
      <c r="A115" s="18" t="s">
        <v>71</v>
      </c>
      <c r="B115">
        <v>2014</v>
      </c>
      <c r="C115" t="s">
        <v>122</v>
      </c>
      <c r="D115">
        <v>1</v>
      </c>
      <c r="E115" s="18" t="s">
        <v>22</v>
      </c>
      <c r="F115" s="18" t="s">
        <v>113</v>
      </c>
    </row>
    <row r="116" spans="1:6">
      <c r="A116" s="18" t="s">
        <v>71</v>
      </c>
      <c r="B116">
        <v>2014</v>
      </c>
      <c r="C116" t="s">
        <v>122</v>
      </c>
      <c r="D116">
        <v>1</v>
      </c>
      <c r="E116" s="18" t="s">
        <v>22</v>
      </c>
      <c r="F116" s="18" t="s">
        <v>114</v>
      </c>
    </row>
    <row r="117" spans="1:6">
      <c r="A117" s="18" t="s">
        <v>71</v>
      </c>
      <c r="B117">
        <v>2014</v>
      </c>
      <c r="C117" t="s">
        <v>122</v>
      </c>
      <c r="D117">
        <v>1</v>
      </c>
      <c r="E117" s="18" t="s">
        <v>16</v>
      </c>
      <c r="F117" s="18" t="s">
        <v>80</v>
      </c>
    </row>
    <row r="118" spans="1:6">
      <c r="A118" s="18" t="s">
        <v>71</v>
      </c>
      <c r="B118">
        <v>2014</v>
      </c>
      <c r="C118" t="s">
        <v>122</v>
      </c>
      <c r="D118">
        <v>1</v>
      </c>
      <c r="E118" s="18" t="s">
        <v>16</v>
      </c>
      <c r="F118" s="18" t="s">
        <v>108</v>
      </c>
    </row>
    <row r="119" spans="1:6">
      <c r="A119" s="18" t="s">
        <v>71</v>
      </c>
      <c r="B119">
        <v>2014</v>
      </c>
      <c r="C119" t="s">
        <v>122</v>
      </c>
      <c r="D119">
        <v>1</v>
      </c>
      <c r="E119" s="18" t="s">
        <v>16</v>
      </c>
      <c r="F119" s="18" t="s">
        <v>112</v>
      </c>
    </row>
    <row r="120" spans="1:6">
      <c r="A120" s="18" t="s">
        <v>71</v>
      </c>
      <c r="B120">
        <v>2014</v>
      </c>
      <c r="C120" t="s">
        <v>122</v>
      </c>
      <c r="D120">
        <v>1</v>
      </c>
      <c r="E120" s="18" t="s">
        <v>16</v>
      </c>
      <c r="F120" s="18" t="s">
        <v>113</v>
      </c>
    </row>
    <row r="121" spans="1:6">
      <c r="A121" s="18" t="s">
        <v>71</v>
      </c>
      <c r="B121">
        <v>2014</v>
      </c>
      <c r="C121" t="s">
        <v>122</v>
      </c>
      <c r="D121">
        <v>1</v>
      </c>
      <c r="E121" s="18" t="s">
        <v>16</v>
      </c>
      <c r="F121" s="18" t="s">
        <v>114</v>
      </c>
    </row>
    <row r="122" spans="1:6">
      <c r="A122" s="18" t="s">
        <v>71</v>
      </c>
      <c r="B122">
        <v>2014</v>
      </c>
      <c r="C122" t="s">
        <v>122</v>
      </c>
      <c r="D122">
        <v>1</v>
      </c>
      <c r="E122" s="18" t="s">
        <v>32</v>
      </c>
      <c r="F122" s="18" t="s">
        <v>80</v>
      </c>
    </row>
    <row r="123" spans="1:6">
      <c r="A123" s="18" t="s">
        <v>71</v>
      </c>
      <c r="B123">
        <v>2014</v>
      </c>
      <c r="C123" t="s">
        <v>122</v>
      </c>
      <c r="D123">
        <v>1</v>
      </c>
      <c r="E123" s="18" t="s">
        <v>32</v>
      </c>
      <c r="F123" s="18" t="s">
        <v>108</v>
      </c>
    </row>
    <row r="124" spans="1:6">
      <c r="A124" s="18" t="s">
        <v>71</v>
      </c>
      <c r="B124">
        <v>2014</v>
      </c>
      <c r="C124" t="s">
        <v>122</v>
      </c>
      <c r="D124">
        <v>1</v>
      </c>
      <c r="E124" s="18" t="s">
        <v>32</v>
      </c>
      <c r="F124" s="18" t="s">
        <v>112</v>
      </c>
    </row>
    <row r="125" spans="1:6">
      <c r="A125" s="18" t="s">
        <v>71</v>
      </c>
      <c r="B125">
        <v>2014</v>
      </c>
      <c r="C125" t="s">
        <v>122</v>
      </c>
      <c r="D125">
        <v>1</v>
      </c>
      <c r="E125" s="18" t="s">
        <v>32</v>
      </c>
      <c r="F125" s="18" t="s">
        <v>113</v>
      </c>
    </row>
    <row r="126" spans="1:6">
      <c r="A126" s="18" t="s">
        <v>71</v>
      </c>
      <c r="B126">
        <v>2014</v>
      </c>
      <c r="C126" t="s">
        <v>122</v>
      </c>
      <c r="D126">
        <v>1</v>
      </c>
      <c r="E126" s="18" t="s">
        <v>32</v>
      </c>
      <c r="F126" s="18" t="s">
        <v>114</v>
      </c>
    </row>
    <row r="127" spans="1:6">
      <c r="A127" s="18" t="s">
        <v>72</v>
      </c>
      <c r="B127">
        <v>2014</v>
      </c>
      <c r="C127" t="s">
        <v>123</v>
      </c>
      <c r="D127">
        <v>1</v>
      </c>
      <c r="E127" s="18" t="s">
        <v>30</v>
      </c>
      <c r="F127" s="18" t="s">
        <v>80</v>
      </c>
    </row>
    <row r="128" spans="1:6">
      <c r="A128" s="18" t="s">
        <v>72</v>
      </c>
      <c r="B128">
        <v>2014</v>
      </c>
      <c r="C128" t="s">
        <v>123</v>
      </c>
      <c r="D128">
        <v>1</v>
      </c>
      <c r="E128" s="18" t="s">
        <v>30</v>
      </c>
      <c r="F128" s="18" t="s">
        <v>108</v>
      </c>
    </row>
    <row r="129" spans="1:6">
      <c r="A129" s="18" t="s">
        <v>72</v>
      </c>
      <c r="B129">
        <v>2014</v>
      </c>
      <c r="C129" t="s">
        <v>123</v>
      </c>
      <c r="D129">
        <v>1</v>
      </c>
      <c r="E129" s="18" t="s">
        <v>30</v>
      </c>
      <c r="F129" s="18" t="s">
        <v>112</v>
      </c>
    </row>
    <row r="130" spans="1:6">
      <c r="A130" s="18" t="s">
        <v>72</v>
      </c>
      <c r="B130">
        <v>2014</v>
      </c>
      <c r="C130" t="s">
        <v>123</v>
      </c>
      <c r="D130">
        <v>1</v>
      </c>
      <c r="E130" s="18" t="s">
        <v>30</v>
      </c>
      <c r="F130" s="18" t="s">
        <v>113</v>
      </c>
    </row>
    <row r="131" spans="1:6">
      <c r="A131" s="18" t="s">
        <v>72</v>
      </c>
      <c r="B131">
        <v>2014</v>
      </c>
      <c r="C131" t="s">
        <v>123</v>
      </c>
      <c r="D131">
        <v>1</v>
      </c>
      <c r="E131" s="18" t="s">
        <v>30</v>
      </c>
      <c r="F131" s="18" t="s">
        <v>114</v>
      </c>
    </row>
    <row r="132" spans="1:6">
      <c r="A132" s="18" t="s">
        <v>72</v>
      </c>
      <c r="B132">
        <v>2014</v>
      </c>
      <c r="C132" t="s">
        <v>123</v>
      </c>
      <c r="D132">
        <v>1</v>
      </c>
      <c r="E132" s="18" t="s">
        <v>29</v>
      </c>
      <c r="F132" s="18" t="s">
        <v>80</v>
      </c>
    </row>
    <row r="133" spans="1:6">
      <c r="A133" s="18" t="s">
        <v>72</v>
      </c>
      <c r="B133">
        <v>2014</v>
      </c>
      <c r="C133" t="s">
        <v>123</v>
      </c>
      <c r="D133">
        <v>1</v>
      </c>
      <c r="E133" s="18" t="s">
        <v>29</v>
      </c>
      <c r="F133" s="18" t="s">
        <v>108</v>
      </c>
    </row>
    <row r="134" spans="1:6">
      <c r="A134" s="18" t="s">
        <v>72</v>
      </c>
      <c r="B134">
        <v>2014</v>
      </c>
      <c r="C134" t="s">
        <v>123</v>
      </c>
      <c r="D134">
        <v>1</v>
      </c>
      <c r="E134" s="18" t="s">
        <v>29</v>
      </c>
      <c r="F134" s="18" t="s">
        <v>112</v>
      </c>
    </row>
    <row r="135" spans="1:6">
      <c r="A135" s="18" t="s">
        <v>72</v>
      </c>
      <c r="B135">
        <v>2014</v>
      </c>
      <c r="C135" t="s">
        <v>123</v>
      </c>
      <c r="D135">
        <v>1</v>
      </c>
      <c r="E135" s="18" t="s">
        <v>29</v>
      </c>
      <c r="F135" s="18" t="s">
        <v>113</v>
      </c>
    </row>
    <row r="136" spans="1:6">
      <c r="A136" s="18" t="s">
        <v>72</v>
      </c>
      <c r="B136">
        <v>2014</v>
      </c>
      <c r="C136" t="s">
        <v>123</v>
      </c>
      <c r="D136">
        <v>1</v>
      </c>
      <c r="E136" s="18" t="s">
        <v>29</v>
      </c>
      <c r="F136" s="18" t="s">
        <v>114</v>
      </c>
    </row>
    <row r="137" spans="1:6">
      <c r="A137" s="18" t="s">
        <v>72</v>
      </c>
      <c r="B137">
        <v>2014</v>
      </c>
      <c r="C137" t="s">
        <v>123</v>
      </c>
      <c r="D137">
        <v>1</v>
      </c>
      <c r="E137" s="18" t="s">
        <v>22</v>
      </c>
      <c r="F137" s="18" t="s">
        <v>80</v>
      </c>
    </row>
    <row r="138" spans="1:6">
      <c r="A138" s="18" t="s">
        <v>72</v>
      </c>
      <c r="B138">
        <v>2014</v>
      </c>
      <c r="C138" t="s">
        <v>123</v>
      </c>
      <c r="D138">
        <v>1</v>
      </c>
      <c r="E138" s="18" t="s">
        <v>22</v>
      </c>
      <c r="F138" s="18" t="s">
        <v>108</v>
      </c>
    </row>
    <row r="139" spans="1:6">
      <c r="A139" s="18" t="s">
        <v>72</v>
      </c>
      <c r="B139">
        <v>2014</v>
      </c>
      <c r="C139" t="s">
        <v>123</v>
      </c>
      <c r="D139">
        <v>1</v>
      </c>
      <c r="E139" s="18" t="s">
        <v>22</v>
      </c>
      <c r="F139" s="18" t="s">
        <v>112</v>
      </c>
    </row>
    <row r="140" spans="1:6">
      <c r="A140" s="18" t="s">
        <v>72</v>
      </c>
      <c r="B140">
        <v>2014</v>
      </c>
      <c r="C140" t="s">
        <v>123</v>
      </c>
      <c r="D140">
        <v>1</v>
      </c>
      <c r="E140" s="18" t="s">
        <v>22</v>
      </c>
      <c r="F140" s="18" t="s">
        <v>113</v>
      </c>
    </row>
    <row r="141" spans="1:6">
      <c r="A141" s="18" t="s">
        <v>72</v>
      </c>
      <c r="B141">
        <v>2014</v>
      </c>
      <c r="C141" t="s">
        <v>123</v>
      </c>
      <c r="D141">
        <v>1</v>
      </c>
      <c r="E141" s="18" t="s">
        <v>22</v>
      </c>
      <c r="F141" s="18" t="s">
        <v>114</v>
      </c>
    </row>
    <row r="142" spans="1:6">
      <c r="A142" s="18" t="s">
        <v>72</v>
      </c>
      <c r="B142">
        <v>2014</v>
      </c>
      <c r="C142" t="s">
        <v>123</v>
      </c>
      <c r="D142">
        <v>1</v>
      </c>
      <c r="E142" s="18" t="s">
        <v>16</v>
      </c>
      <c r="F142" s="18" t="s">
        <v>80</v>
      </c>
    </row>
    <row r="143" spans="1:6">
      <c r="A143" s="18" t="s">
        <v>72</v>
      </c>
      <c r="B143">
        <v>2014</v>
      </c>
      <c r="C143" t="s">
        <v>123</v>
      </c>
      <c r="D143">
        <v>1</v>
      </c>
      <c r="E143" s="18" t="s">
        <v>16</v>
      </c>
      <c r="F143" s="18" t="s">
        <v>108</v>
      </c>
    </row>
    <row r="144" spans="1:6">
      <c r="A144" s="18" t="s">
        <v>72</v>
      </c>
      <c r="B144">
        <v>2014</v>
      </c>
      <c r="C144" t="s">
        <v>123</v>
      </c>
      <c r="D144">
        <v>1</v>
      </c>
      <c r="E144" s="18" t="s">
        <v>16</v>
      </c>
      <c r="F144" s="18" t="s">
        <v>112</v>
      </c>
    </row>
    <row r="145" spans="1:6">
      <c r="A145" s="18" t="s">
        <v>72</v>
      </c>
      <c r="B145">
        <v>2014</v>
      </c>
      <c r="C145" t="s">
        <v>123</v>
      </c>
      <c r="D145">
        <v>1</v>
      </c>
      <c r="E145" s="18" t="s">
        <v>16</v>
      </c>
      <c r="F145" s="18" t="s">
        <v>113</v>
      </c>
    </row>
    <row r="146" spans="1:6">
      <c r="A146" s="18" t="s">
        <v>72</v>
      </c>
      <c r="B146">
        <v>2014</v>
      </c>
      <c r="C146" t="s">
        <v>123</v>
      </c>
      <c r="D146">
        <v>1</v>
      </c>
      <c r="E146" s="18" t="s">
        <v>16</v>
      </c>
      <c r="F146" s="18" t="s">
        <v>114</v>
      </c>
    </row>
    <row r="147" spans="1:6">
      <c r="A147" s="18" t="s">
        <v>72</v>
      </c>
      <c r="B147">
        <v>2014</v>
      </c>
      <c r="C147" t="s">
        <v>123</v>
      </c>
      <c r="D147">
        <v>1</v>
      </c>
      <c r="E147" s="18" t="s">
        <v>32</v>
      </c>
      <c r="F147" s="18" t="s">
        <v>80</v>
      </c>
    </row>
    <row r="148" spans="1:6">
      <c r="A148" s="18" t="s">
        <v>72</v>
      </c>
      <c r="B148">
        <v>2014</v>
      </c>
      <c r="C148" t="s">
        <v>123</v>
      </c>
      <c r="D148">
        <v>1</v>
      </c>
      <c r="E148" s="18" t="s">
        <v>32</v>
      </c>
      <c r="F148" s="18" t="s">
        <v>108</v>
      </c>
    </row>
    <row r="149" spans="1:6">
      <c r="A149" s="18" t="s">
        <v>72</v>
      </c>
      <c r="B149">
        <v>2014</v>
      </c>
      <c r="C149" t="s">
        <v>123</v>
      </c>
      <c r="D149">
        <v>1</v>
      </c>
      <c r="E149" s="18" t="s">
        <v>32</v>
      </c>
      <c r="F149" s="18" t="s">
        <v>112</v>
      </c>
    </row>
    <row r="150" spans="1:6">
      <c r="A150" s="18" t="s">
        <v>72</v>
      </c>
      <c r="B150">
        <v>2014</v>
      </c>
      <c r="C150" t="s">
        <v>123</v>
      </c>
      <c r="D150">
        <v>1</v>
      </c>
      <c r="E150" s="18" t="s">
        <v>32</v>
      </c>
      <c r="F150" s="18" t="s">
        <v>113</v>
      </c>
    </row>
    <row r="151" spans="1:6">
      <c r="A151" s="18" t="s">
        <v>72</v>
      </c>
      <c r="B151">
        <v>2014</v>
      </c>
      <c r="C151" t="s">
        <v>123</v>
      </c>
      <c r="D151">
        <v>1</v>
      </c>
      <c r="E151" s="18" t="s">
        <v>32</v>
      </c>
      <c r="F151" s="18" t="s">
        <v>114</v>
      </c>
    </row>
    <row r="152" spans="1:6">
      <c r="A152" s="18" t="s">
        <v>73</v>
      </c>
      <c r="B152">
        <v>2014</v>
      </c>
      <c r="C152" t="s">
        <v>124</v>
      </c>
      <c r="D152">
        <v>1</v>
      </c>
      <c r="E152" s="18" t="s">
        <v>30</v>
      </c>
      <c r="F152" s="18" t="s">
        <v>80</v>
      </c>
    </row>
    <row r="153" spans="1:6">
      <c r="A153" s="18" t="s">
        <v>73</v>
      </c>
      <c r="B153">
        <v>2014</v>
      </c>
      <c r="C153" t="s">
        <v>124</v>
      </c>
      <c r="D153">
        <v>1</v>
      </c>
      <c r="E153" s="18" t="s">
        <v>30</v>
      </c>
      <c r="F153" s="18" t="s">
        <v>108</v>
      </c>
    </row>
    <row r="154" spans="1:6">
      <c r="A154" s="18" t="s">
        <v>73</v>
      </c>
      <c r="B154">
        <v>2014</v>
      </c>
      <c r="C154" t="s">
        <v>124</v>
      </c>
      <c r="D154">
        <v>1</v>
      </c>
      <c r="E154" s="18" t="s">
        <v>30</v>
      </c>
      <c r="F154" s="18" t="s">
        <v>112</v>
      </c>
    </row>
    <row r="155" spans="1:6">
      <c r="A155" s="18" t="s">
        <v>73</v>
      </c>
      <c r="B155">
        <v>2014</v>
      </c>
      <c r="C155" t="s">
        <v>124</v>
      </c>
      <c r="D155">
        <v>1</v>
      </c>
      <c r="E155" s="18" t="s">
        <v>30</v>
      </c>
      <c r="F155" s="18" t="s">
        <v>113</v>
      </c>
    </row>
    <row r="156" spans="1:6">
      <c r="A156" s="18" t="s">
        <v>73</v>
      </c>
      <c r="B156">
        <v>2014</v>
      </c>
      <c r="C156" t="s">
        <v>124</v>
      </c>
      <c r="D156">
        <v>1</v>
      </c>
      <c r="E156" s="18" t="s">
        <v>30</v>
      </c>
      <c r="F156" s="18" t="s">
        <v>114</v>
      </c>
    </row>
    <row r="157" spans="1:6">
      <c r="A157" s="18" t="s">
        <v>73</v>
      </c>
      <c r="B157">
        <v>2014</v>
      </c>
      <c r="C157" t="s">
        <v>124</v>
      </c>
      <c r="D157">
        <v>1</v>
      </c>
      <c r="E157" s="18" t="s">
        <v>29</v>
      </c>
      <c r="F157" s="18" t="s">
        <v>80</v>
      </c>
    </row>
    <row r="158" spans="1:6">
      <c r="A158" s="18" t="s">
        <v>73</v>
      </c>
      <c r="B158">
        <v>2014</v>
      </c>
      <c r="C158" t="s">
        <v>124</v>
      </c>
      <c r="D158">
        <v>1</v>
      </c>
      <c r="E158" s="18" t="s">
        <v>29</v>
      </c>
      <c r="F158" s="18" t="s">
        <v>108</v>
      </c>
    </row>
    <row r="159" spans="1:6">
      <c r="A159" s="18" t="s">
        <v>73</v>
      </c>
      <c r="B159">
        <v>2014</v>
      </c>
      <c r="C159" t="s">
        <v>124</v>
      </c>
      <c r="D159">
        <v>1</v>
      </c>
      <c r="E159" s="18" t="s">
        <v>29</v>
      </c>
      <c r="F159" s="18" t="s">
        <v>112</v>
      </c>
    </row>
    <row r="160" spans="1:6">
      <c r="A160" s="18" t="s">
        <v>73</v>
      </c>
      <c r="B160">
        <v>2014</v>
      </c>
      <c r="C160" t="s">
        <v>124</v>
      </c>
      <c r="D160">
        <v>1</v>
      </c>
      <c r="E160" s="18" t="s">
        <v>29</v>
      </c>
      <c r="F160" s="18" t="s">
        <v>113</v>
      </c>
    </row>
    <row r="161" spans="1:6">
      <c r="A161" s="18" t="s">
        <v>73</v>
      </c>
      <c r="B161">
        <v>2014</v>
      </c>
      <c r="C161" t="s">
        <v>124</v>
      </c>
      <c r="D161">
        <v>1</v>
      </c>
      <c r="E161" s="18" t="s">
        <v>29</v>
      </c>
      <c r="F161" s="18" t="s">
        <v>114</v>
      </c>
    </row>
    <row r="162" spans="1:6">
      <c r="A162" s="18" t="s">
        <v>73</v>
      </c>
      <c r="B162">
        <v>2014</v>
      </c>
      <c r="C162" t="s">
        <v>124</v>
      </c>
      <c r="D162">
        <v>1</v>
      </c>
      <c r="E162" s="18" t="s">
        <v>22</v>
      </c>
      <c r="F162" s="18" t="s">
        <v>80</v>
      </c>
    </row>
    <row r="163" spans="1:6">
      <c r="A163" s="18" t="s">
        <v>73</v>
      </c>
      <c r="B163">
        <v>2014</v>
      </c>
      <c r="C163" t="s">
        <v>124</v>
      </c>
      <c r="D163">
        <v>1</v>
      </c>
      <c r="E163" s="18" t="s">
        <v>22</v>
      </c>
      <c r="F163" s="18" t="s">
        <v>108</v>
      </c>
    </row>
    <row r="164" spans="1:6">
      <c r="A164" s="18" t="s">
        <v>73</v>
      </c>
      <c r="B164">
        <v>2014</v>
      </c>
      <c r="C164" t="s">
        <v>124</v>
      </c>
      <c r="D164">
        <v>1</v>
      </c>
      <c r="E164" s="18" t="s">
        <v>22</v>
      </c>
      <c r="F164" s="18" t="s">
        <v>112</v>
      </c>
    </row>
    <row r="165" spans="1:6">
      <c r="A165" s="18" t="s">
        <v>73</v>
      </c>
      <c r="B165">
        <v>2014</v>
      </c>
      <c r="C165" t="s">
        <v>124</v>
      </c>
      <c r="D165">
        <v>1</v>
      </c>
      <c r="E165" s="18" t="s">
        <v>22</v>
      </c>
      <c r="F165" s="18" t="s">
        <v>113</v>
      </c>
    </row>
    <row r="166" spans="1:6">
      <c r="A166" s="18" t="s">
        <v>73</v>
      </c>
      <c r="B166">
        <v>2014</v>
      </c>
      <c r="C166" t="s">
        <v>124</v>
      </c>
      <c r="D166">
        <v>1</v>
      </c>
      <c r="E166" s="18" t="s">
        <v>22</v>
      </c>
      <c r="F166" s="18" t="s">
        <v>114</v>
      </c>
    </row>
    <row r="167" spans="1:6">
      <c r="A167" s="18" t="s">
        <v>73</v>
      </c>
      <c r="B167">
        <v>2014</v>
      </c>
      <c r="C167" t="s">
        <v>124</v>
      </c>
      <c r="D167">
        <v>1</v>
      </c>
      <c r="E167" s="18" t="s">
        <v>16</v>
      </c>
      <c r="F167" s="18" t="s">
        <v>80</v>
      </c>
    </row>
    <row r="168" spans="1:6">
      <c r="A168" s="18" t="s">
        <v>73</v>
      </c>
      <c r="B168">
        <v>2014</v>
      </c>
      <c r="C168" t="s">
        <v>124</v>
      </c>
      <c r="D168">
        <v>1</v>
      </c>
      <c r="E168" s="18" t="s">
        <v>16</v>
      </c>
      <c r="F168" s="18" t="s">
        <v>108</v>
      </c>
    </row>
    <row r="169" spans="1:6">
      <c r="A169" s="18" t="s">
        <v>73</v>
      </c>
      <c r="B169">
        <v>2014</v>
      </c>
      <c r="C169" t="s">
        <v>124</v>
      </c>
      <c r="D169">
        <v>1</v>
      </c>
      <c r="E169" s="18" t="s">
        <v>16</v>
      </c>
      <c r="F169" s="18" t="s">
        <v>112</v>
      </c>
    </row>
    <row r="170" spans="1:6">
      <c r="A170" s="18" t="s">
        <v>73</v>
      </c>
      <c r="B170">
        <v>2014</v>
      </c>
      <c r="C170" t="s">
        <v>124</v>
      </c>
      <c r="D170">
        <v>1</v>
      </c>
      <c r="E170" s="18" t="s">
        <v>16</v>
      </c>
      <c r="F170" s="18" t="s">
        <v>113</v>
      </c>
    </row>
    <row r="171" spans="1:6">
      <c r="A171" s="18" t="s">
        <v>73</v>
      </c>
      <c r="B171">
        <v>2014</v>
      </c>
      <c r="C171" t="s">
        <v>124</v>
      </c>
      <c r="D171">
        <v>1</v>
      </c>
      <c r="E171" s="18" t="s">
        <v>16</v>
      </c>
      <c r="F171" s="18" t="s">
        <v>114</v>
      </c>
    </row>
    <row r="172" spans="1:6">
      <c r="A172" s="18" t="s">
        <v>73</v>
      </c>
      <c r="B172">
        <v>2014</v>
      </c>
      <c r="C172" t="s">
        <v>124</v>
      </c>
      <c r="D172">
        <v>1</v>
      </c>
      <c r="E172" s="18" t="s">
        <v>32</v>
      </c>
      <c r="F172" s="18" t="s">
        <v>80</v>
      </c>
    </row>
    <row r="173" spans="1:6">
      <c r="A173" s="18" t="s">
        <v>73</v>
      </c>
      <c r="B173">
        <v>2014</v>
      </c>
      <c r="C173" t="s">
        <v>124</v>
      </c>
      <c r="D173">
        <v>1</v>
      </c>
      <c r="E173" s="18" t="s">
        <v>32</v>
      </c>
      <c r="F173" s="18" t="s">
        <v>108</v>
      </c>
    </row>
    <row r="174" spans="1:6">
      <c r="A174" s="18" t="s">
        <v>73</v>
      </c>
      <c r="B174">
        <v>2014</v>
      </c>
      <c r="C174" t="s">
        <v>124</v>
      </c>
      <c r="D174">
        <v>1</v>
      </c>
      <c r="E174" s="18" t="s">
        <v>32</v>
      </c>
      <c r="F174" s="18" t="s">
        <v>112</v>
      </c>
    </row>
    <row r="175" spans="1:6">
      <c r="A175" s="18" t="s">
        <v>73</v>
      </c>
      <c r="B175">
        <v>2014</v>
      </c>
      <c r="C175" t="s">
        <v>124</v>
      </c>
      <c r="D175">
        <v>1</v>
      </c>
      <c r="E175" s="18" t="s">
        <v>32</v>
      </c>
      <c r="F175" s="18" t="s">
        <v>113</v>
      </c>
    </row>
    <row r="176" spans="1:6">
      <c r="A176" s="18" t="s">
        <v>73</v>
      </c>
      <c r="B176">
        <v>2014</v>
      </c>
      <c r="C176" t="s">
        <v>124</v>
      </c>
      <c r="D176">
        <v>1</v>
      </c>
      <c r="E176" s="18" t="s">
        <v>32</v>
      </c>
      <c r="F176" s="18" t="s">
        <v>114</v>
      </c>
    </row>
    <row r="177" spans="1:6">
      <c r="A177" s="18" t="s">
        <v>74</v>
      </c>
      <c r="B177">
        <v>2014</v>
      </c>
      <c r="C177" t="s">
        <v>125</v>
      </c>
      <c r="D177">
        <v>1</v>
      </c>
      <c r="E177" s="18" t="s">
        <v>30</v>
      </c>
      <c r="F177" s="18" t="s">
        <v>80</v>
      </c>
    </row>
    <row r="178" spans="1:6">
      <c r="A178" s="18" t="s">
        <v>74</v>
      </c>
      <c r="B178">
        <v>2014</v>
      </c>
      <c r="C178" t="s">
        <v>125</v>
      </c>
      <c r="D178">
        <v>1</v>
      </c>
      <c r="E178" s="18" t="s">
        <v>30</v>
      </c>
      <c r="F178" s="18" t="s">
        <v>108</v>
      </c>
    </row>
    <row r="179" spans="1:6">
      <c r="A179" s="18" t="s">
        <v>74</v>
      </c>
      <c r="B179">
        <v>2014</v>
      </c>
      <c r="C179" t="s">
        <v>125</v>
      </c>
      <c r="D179">
        <v>1</v>
      </c>
      <c r="E179" s="18" t="s">
        <v>30</v>
      </c>
      <c r="F179" s="18" t="s">
        <v>112</v>
      </c>
    </row>
    <row r="180" spans="1:6">
      <c r="A180" s="18" t="s">
        <v>74</v>
      </c>
      <c r="B180">
        <v>2014</v>
      </c>
      <c r="C180" t="s">
        <v>125</v>
      </c>
      <c r="D180">
        <v>1</v>
      </c>
      <c r="E180" s="18" t="s">
        <v>30</v>
      </c>
      <c r="F180" s="18" t="s">
        <v>113</v>
      </c>
    </row>
    <row r="181" spans="1:6">
      <c r="A181" s="18" t="s">
        <v>74</v>
      </c>
      <c r="B181">
        <v>2014</v>
      </c>
      <c r="C181" t="s">
        <v>125</v>
      </c>
      <c r="D181">
        <v>1</v>
      </c>
      <c r="E181" s="18" t="s">
        <v>30</v>
      </c>
      <c r="F181" s="18" t="s">
        <v>114</v>
      </c>
    </row>
    <row r="182" spans="1:6">
      <c r="A182" s="18" t="s">
        <v>74</v>
      </c>
      <c r="B182">
        <v>2014</v>
      </c>
      <c r="C182" t="s">
        <v>125</v>
      </c>
      <c r="D182">
        <v>1</v>
      </c>
      <c r="E182" s="18" t="s">
        <v>29</v>
      </c>
      <c r="F182" s="18" t="s">
        <v>80</v>
      </c>
    </row>
    <row r="183" spans="1:6">
      <c r="A183" s="18" t="s">
        <v>74</v>
      </c>
      <c r="B183">
        <v>2014</v>
      </c>
      <c r="C183" t="s">
        <v>125</v>
      </c>
      <c r="D183">
        <v>1</v>
      </c>
      <c r="E183" s="18" t="s">
        <v>29</v>
      </c>
      <c r="F183" s="18" t="s">
        <v>108</v>
      </c>
    </row>
    <row r="184" spans="1:6">
      <c r="A184" s="18" t="s">
        <v>74</v>
      </c>
      <c r="B184">
        <v>2014</v>
      </c>
      <c r="C184" t="s">
        <v>125</v>
      </c>
      <c r="D184">
        <v>1</v>
      </c>
      <c r="E184" s="18" t="s">
        <v>29</v>
      </c>
      <c r="F184" s="18" t="s">
        <v>112</v>
      </c>
    </row>
    <row r="185" spans="1:6">
      <c r="A185" s="18" t="s">
        <v>74</v>
      </c>
      <c r="B185">
        <v>2014</v>
      </c>
      <c r="C185" t="s">
        <v>125</v>
      </c>
      <c r="D185">
        <v>1</v>
      </c>
      <c r="E185" s="18" t="s">
        <v>29</v>
      </c>
      <c r="F185" s="18" t="s">
        <v>113</v>
      </c>
    </row>
    <row r="186" spans="1:6">
      <c r="A186" s="18" t="s">
        <v>74</v>
      </c>
      <c r="B186">
        <v>2014</v>
      </c>
      <c r="C186" t="s">
        <v>125</v>
      </c>
      <c r="D186">
        <v>1</v>
      </c>
      <c r="E186" s="18" t="s">
        <v>29</v>
      </c>
      <c r="F186" s="18" t="s">
        <v>114</v>
      </c>
    </row>
    <row r="187" spans="1:6">
      <c r="A187" s="18" t="s">
        <v>74</v>
      </c>
      <c r="B187">
        <v>2014</v>
      </c>
      <c r="C187" t="s">
        <v>125</v>
      </c>
      <c r="D187">
        <v>1</v>
      </c>
      <c r="E187" s="18" t="s">
        <v>22</v>
      </c>
      <c r="F187" s="18" t="s">
        <v>80</v>
      </c>
    </row>
    <row r="188" spans="1:6">
      <c r="A188" s="18" t="s">
        <v>74</v>
      </c>
      <c r="B188">
        <v>2014</v>
      </c>
      <c r="C188" t="s">
        <v>125</v>
      </c>
      <c r="D188">
        <v>1</v>
      </c>
      <c r="E188" s="18" t="s">
        <v>22</v>
      </c>
      <c r="F188" s="18" t="s">
        <v>108</v>
      </c>
    </row>
    <row r="189" spans="1:6">
      <c r="A189" s="18" t="s">
        <v>74</v>
      </c>
      <c r="B189">
        <v>2014</v>
      </c>
      <c r="C189" t="s">
        <v>125</v>
      </c>
      <c r="D189">
        <v>1</v>
      </c>
      <c r="E189" s="18" t="s">
        <v>22</v>
      </c>
      <c r="F189" s="18" t="s">
        <v>112</v>
      </c>
    </row>
    <row r="190" spans="1:6">
      <c r="A190" s="18" t="s">
        <v>74</v>
      </c>
      <c r="B190">
        <v>2014</v>
      </c>
      <c r="C190" t="s">
        <v>125</v>
      </c>
      <c r="D190">
        <v>1</v>
      </c>
      <c r="E190" s="18" t="s">
        <v>22</v>
      </c>
      <c r="F190" s="18" t="s">
        <v>113</v>
      </c>
    </row>
    <row r="191" spans="1:6">
      <c r="A191" s="18" t="s">
        <v>74</v>
      </c>
      <c r="B191">
        <v>2014</v>
      </c>
      <c r="C191" t="s">
        <v>125</v>
      </c>
      <c r="D191">
        <v>1</v>
      </c>
      <c r="E191" s="18" t="s">
        <v>22</v>
      </c>
      <c r="F191" s="18" t="s">
        <v>114</v>
      </c>
    </row>
    <row r="192" spans="1:6">
      <c r="A192" s="18" t="s">
        <v>74</v>
      </c>
      <c r="B192">
        <v>2014</v>
      </c>
      <c r="C192" t="s">
        <v>125</v>
      </c>
      <c r="D192">
        <v>1</v>
      </c>
      <c r="E192" s="18" t="s">
        <v>16</v>
      </c>
      <c r="F192" s="18" t="s">
        <v>80</v>
      </c>
    </row>
    <row r="193" spans="1:6">
      <c r="A193" s="18" t="s">
        <v>74</v>
      </c>
      <c r="B193">
        <v>2014</v>
      </c>
      <c r="C193" t="s">
        <v>125</v>
      </c>
      <c r="D193">
        <v>1</v>
      </c>
      <c r="E193" s="18" t="s">
        <v>16</v>
      </c>
      <c r="F193" s="18" t="s">
        <v>108</v>
      </c>
    </row>
    <row r="194" spans="1:6">
      <c r="A194" s="18" t="s">
        <v>74</v>
      </c>
      <c r="B194">
        <v>2014</v>
      </c>
      <c r="C194" t="s">
        <v>125</v>
      </c>
      <c r="D194">
        <v>1</v>
      </c>
      <c r="E194" s="18" t="s">
        <v>16</v>
      </c>
      <c r="F194" s="18" t="s">
        <v>112</v>
      </c>
    </row>
    <row r="195" spans="1:6">
      <c r="A195" s="18" t="s">
        <v>74</v>
      </c>
      <c r="B195">
        <v>2014</v>
      </c>
      <c r="C195" t="s">
        <v>125</v>
      </c>
      <c r="D195">
        <v>1</v>
      </c>
      <c r="E195" s="18" t="s">
        <v>16</v>
      </c>
      <c r="F195" s="18" t="s">
        <v>113</v>
      </c>
    </row>
    <row r="196" spans="1:6">
      <c r="A196" s="18" t="s">
        <v>74</v>
      </c>
      <c r="B196">
        <v>2014</v>
      </c>
      <c r="C196" t="s">
        <v>125</v>
      </c>
      <c r="D196">
        <v>1</v>
      </c>
      <c r="E196" s="18" t="s">
        <v>16</v>
      </c>
      <c r="F196" s="18" t="s">
        <v>114</v>
      </c>
    </row>
    <row r="197" spans="1:6">
      <c r="A197" s="18" t="s">
        <v>74</v>
      </c>
      <c r="B197">
        <v>2014</v>
      </c>
      <c r="C197" t="s">
        <v>125</v>
      </c>
      <c r="D197">
        <v>1</v>
      </c>
      <c r="E197" s="18" t="s">
        <v>32</v>
      </c>
      <c r="F197" s="18" t="s">
        <v>80</v>
      </c>
    </row>
    <row r="198" spans="1:6">
      <c r="A198" s="18" t="s">
        <v>74</v>
      </c>
      <c r="B198">
        <v>2014</v>
      </c>
      <c r="C198" t="s">
        <v>125</v>
      </c>
      <c r="D198">
        <v>1</v>
      </c>
      <c r="E198" s="18" t="s">
        <v>32</v>
      </c>
      <c r="F198" s="18" t="s">
        <v>108</v>
      </c>
    </row>
    <row r="199" spans="1:6">
      <c r="A199" s="18" t="s">
        <v>74</v>
      </c>
      <c r="B199">
        <v>2014</v>
      </c>
      <c r="C199" t="s">
        <v>125</v>
      </c>
      <c r="D199">
        <v>1</v>
      </c>
      <c r="E199" s="18" t="s">
        <v>32</v>
      </c>
      <c r="F199" s="18" t="s">
        <v>112</v>
      </c>
    </row>
    <row r="200" spans="1:6">
      <c r="A200" s="18" t="s">
        <v>74</v>
      </c>
      <c r="B200">
        <v>2014</v>
      </c>
      <c r="C200" t="s">
        <v>125</v>
      </c>
      <c r="D200">
        <v>1</v>
      </c>
      <c r="E200" s="18" t="s">
        <v>32</v>
      </c>
      <c r="F200" s="18" t="s">
        <v>113</v>
      </c>
    </row>
    <row r="201" spans="1:6">
      <c r="A201" s="18" t="s">
        <v>74</v>
      </c>
      <c r="B201">
        <v>2014</v>
      </c>
      <c r="C201" t="s">
        <v>125</v>
      </c>
      <c r="D201">
        <v>1</v>
      </c>
      <c r="E201" s="18" t="s">
        <v>32</v>
      </c>
      <c r="F201" s="18" t="s">
        <v>114</v>
      </c>
    </row>
    <row r="202" spans="1:6">
      <c r="A202" s="18" t="s">
        <v>75</v>
      </c>
      <c r="B202">
        <v>2014</v>
      </c>
      <c r="C202" t="s">
        <v>126</v>
      </c>
      <c r="D202">
        <v>1</v>
      </c>
      <c r="E202" s="18" t="s">
        <v>30</v>
      </c>
      <c r="F202" s="18" t="s">
        <v>80</v>
      </c>
    </row>
    <row r="203" spans="1:6">
      <c r="A203" s="18" t="s">
        <v>75</v>
      </c>
      <c r="B203">
        <v>2014</v>
      </c>
      <c r="C203" t="s">
        <v>126</v>
      </c>
      <c r="D203">
        <v>1</v>
      </c>
      <c r="E203" s="18" t="s">
        <v>30</v>
      </c>
      <c r="F203" s="18" t="s">
        <v>108</v>
      </c>
    </row>
    <row r="204" spans="1:6">
      <c r="A204" s="18" t="s">
        <v>75</v>
      </c>
      <c r="B204">
        <v>2014</v>
      </c>
      <c r="C204" t="s">
        <v>126</v>
      </c>
      <c r="D204">
        <v>1</v>
      </c>
      <c r="E204" s="18" t="s">
        <v>30</v>
      </c>
      <c r="F204" s="18" t="s">
        <v>112</v>
      </c>
    </row>
    <row r="205" spans="1:6">
      <c r="A205" s="18" t="s">
        <v>75</v>
      </c>
      <c r="B205">
        <v>2014</v>
      </c>
      <c r="C205" t="s">
        <v>126</v>
      </c>
      <c r="D205">
        <v>1</v>
      </c>
      <c r="E205" s="18" t="s">
        <v>30</v>
      </c>
      <c r="F205" s="18" t="s">
        <v>113</v>
      </c>
    </row>
    <row r="206" spans="1:6">
      <c r="A206" s="18" t="s">
        <v>75</v>
      </c>
      <c r="B206">
        <v>2014</v>
      </c>
      <c r="C206" t="s">
        <v>126</v>
      </c>
      <c r="D206">
        <v>1</v>
      </c>
      <c r="E206" s="18" t="s">
        <v>30</v>
      </c>
      <c r="F206" s="18" t="s">
        <v>114</v>
      </c>
    </row>
    <row r="207" spans="1:6">
      <c r="A207" s="18" t="s">
        <v>75</v>
      </c>
      <c r="B207">
        <v>2014</v>
      </c>
      <c r="C207" t="s">
        <v>126</v>
      </c>
      <c r="D207">
        <v>1</v>
      </c>
      <c r="E207" s="18" t="s">
        <v>29</v>
      </c>
      <c r="F207" s="18" t="s">
        <v>80</v>
      </c>
    </row>
    <row r="208" spans="1:6">
      <c r="A208" s="18" t="s">
        <v>75</v>
      </c>
      <c r="B208">
        <v>2014</v>
      </c>
      <c r="C208" t="s">
        <v>126</v>
      </c>
      <c r="D208">
        <v>1</v>
      </c>
      <c r="E208" s="18" t="s">
        <v>29</v>
      </c>
      <c r="F208" s="18" t="s">
        <v>108</v>
      </c>
    </row>
    <row r="209" spans="1:6">
      <c r="A209" s="18" t="s">
        <v>75</v>
      </c>
      <c r="B209">
        <v>2014</v>
      </c>
      <c r="C209" t="s">
        <v>126</v>
      </c>
      <c r="D209">
        <v>1</v>
      </c>
      <c r="E209" s="18" t="s">
        <v>29</v>
      </c>
      <c r="F209" s="18" t="s">
        <v>112</v>
      </c>
    </row>
    <row r="210" spans="1:6">
      <c r="A210" s="18" t="s">
        <v>75</v>
      </c>
      <c r="B210">
        <v>2014</v>
      </c>
      <c r="C210" t="s">
        <v>126</v>
      </c>
      <c r="D210">
        <v>1</v>
      </c>
      <c r="E210" s="18" t="s">
        <v>29</v>
      </c>
      <c r="F210" s="18" t="s">
        <v>113</v>
      </c>
    </row>
    <row r="211" spans="1:6">
      <c r="A211" s="18" t="s">
        <v>75</v>
      </c>
      <c r="B211">
        <v>2014</v>
      </c>
      <c r="C211" t="s">
        <v>126</v>
      </c>
      <c r="D211">
        <v>1</v>
      </c>
      <c r="E211" s="18" t="s">
        <v>29</v>
      </c>
      <c r="F211" s="18" t="s">
        <v>114</v>
      </c>
    </row>
    <row r="212" spans="1:6">
      <c r="A212" s="18" t="s">
        <v>75</v>
      </c>
      <c r="B212">
        <v>2014</v>
      </c>
      <c r="C212" t="s">
        <v>126</v>
      </c>
      <c r="D212">
        <v>1</v>
      </c>
      <c r="E212" s="18" t="s">
        <v>22</v>
      </c>
      <c r="F212" s="18" t="s">
        <v>80</v>
      </c>
    </row>
    <row r="213" spans="1:6">
      <c r="A213" s="18" t="s">
        <v>75</v>
      </c>
      <c r="B213">
        <v>2014</v>
      </c>
      <c r="C213" t="s">
        <v>126</v>
      </c>
      <c r="D213">
        <v>1</v>
      </c>
      <c r="E213" s="18" t="s">
        <v>22</v>
      </c>
      <c r="F213" s="18" t="s">
        <v>108</v>
      </c>
    </row>
    <row r="214" spans="1:6">
      <c r="A214" s="18" t="s">
        <v>75</v>
      </c>
      <c r="B214">
        <v>2014</v>
      </c>
      <c r="C214" t="s">
        <v>126</v>
      </c>
      <c r="D214">
        <v>1</v>
      </c>
      <c r="E214" s="18" t="s">
        <v>22</v>
      </c>
      <c r="F214" s="18" t="s">
        <v>112</v>
      </c>
    </row>
    <row r="215" spans="1:6">
      <c r="A215" s="18" t="s">
        <v>75</v>
      </c>
      <c r="B215">
        <v>2014</v>
      </c>
      <c r="C215" t="s">
        <v>126</v>
      </c>
      <c r="D215">
        <v>1</v>
      </c>
      <c r="E215" s="18" t="s">
        <v>22</v>
      </c>
      <c r="F215" s="18" t="s">
        <v>113</v>
      </c>
    </row>
    <row r="216" spans="1:6">
      <c r="A216" s="18" t="s">
        <v>75</v>
      </c>
      <c r="B216">
        <v>2014</v>
      </c>
      <c r="C216" t="s">
        <v>126</v>
      </c>
      <c r="D216">
        <v>1</v>
      </c>
      <c r="E216" s="18" t="s">
        <v>22</v>
      </c>
      <c r="F216" s="18" t="s">
        <v>114</v>
      </c>
    </row>
    <row r="217" spans="1:6">
      <c r="A217" s="18" t="s">
        <v>75</v>
      </c>
      <c r="B217">
        <v>2014</v>
      </c>
      <c r="C217" t="s">
        <v>126</v>
      </c>
      <c r="D217">
        <v>1</v>
      </c>
      <c r="E217" s="18" t="s">
        <v>16</v>
      </c>
      <c r="F217" s="18" t="s">
        <v>80</v>
      </c>
    </row>
    <row r="218" spans="1:6">
      <c r="A218" s="18" t="s">
        <v>75</v>
      </c>
      <c r="B218">
        <v>2014</v>
      </c>
      <c r="C218" t="s">
        <v>126</v>
      </c>
      <c r="D218">
        <v>1</v>
      </c>
      <c r="E218" s="18" t="s">
        <v>16</v>
      </c>
      <c r="F218" s="18" t="s">
        <v>108</v>
      </c>
    </row>
    <row r="219" spans="1:6">
      <c r="A219" s="18" t="s">
        <v>75</v>
      </c>
      <c r="B219">
        <v>2014</v>
      </c>
      <c r="C219" t="s">
        <v>126</v>
      </c>
      <c r="D219">
        <v>1</v>
      </c>
      <c r="E219" s="18" t="s">
        <v>16</v>
      </c>
      <c r="F219" s="18" t="s">
        <v>112</v>
      </c>
    </row>
    <row r="220" spans="1:6">
      <c r="A220" s="18" t="s">
        <v>75</v>
      </c>
      <c r="B220">
        <v>2014</v>
      </c>
      <c r="C220" t="s">
        <v>126</v>
      </c>
      <c r="D220">
        <v>1</v>
      </c>
      <c r="E220" s="18" t="s">
        <v>16</v>
      </c>
      <c r="F220" s="18" t="s">
        <v>113</v>
      </c>
    </row>
    <row r="221" spans="1:6">
      <c r="A221" s="18" t="s">
        <v>75</v>
      </c>
      <c r="B221">
        <v>2014</v>
      </c>
      <c r="C221" t="s">
        <v>126</v>
      </c>
      <c r="D221">
        <v>1</v>
      </c>
      <c r="E221" s="18" t="s">
        <v>16</v>
      </c>
      <c r="F221" s="18" t="s">
        <v>114</v>
      </c>
    </row>
    <row r="222" spans="1:6">
      <c r="A222" s="18" t="s">
        <v>75</v>
      </c>
      <c r="B222">
        <v>2014</v>
      </c>
      <c r="C222" t="s">
        <v>126</v>
      </c>
      <c r="D222">
        <v>1</v>
      </c>
      <c r="E222" s="18" t="s">
        <v>32</v>
      </c>
      <c r="F222" s="18" t="s">
        <v>80</v>
      </c>
    </row>
    <row r="223" spans="1:6">
      <c r="A223" s="18" t="s">
        <v>75</v>
      </c>
      <c r="B223">
        <v>2014</v>
      </c>
      <c r="C223" t="s">
        <v>126</v>
      </c>
      <c r="D223">
        <v>1</v>
      </c>
      <c r="E223" s="18" t="s">
        <v>32</v>
      </c>
      <c r="F223" s="18" t="s">
        <v>108</v>
      </c>
    </row>
    <row r="224" spans="1:6">
      <c r="A224" s="18" t="s">
        <v>75</v>
      </c>
      <c r="B224">
        <v>2014</v>
      </c>
      <c r="C224" t="s">
        <v>126</v>
      </c>
      <c r="D224">
        <v>1</v>
      </c>
      <c r="E224" s="18" t="s">
        <v>32</v>
      </c>
      <c r="F224" s="18" t="s">
        <v>112</v>
      </c>
    </row>
    <row r="225" spans="1:6">
      <c r="A225" s="18" t="s">
        <v>75</v>
      </c>
      <c r="B225">
        <v>2014</v>
      </c>
      <c r="C225" t="s">
        <v>126</v>
      </c>
      <c r="D225">
        <v>1</v>
      </c>
      <c r="E225" s="18" t="s">
        <v>32</v>
      </c>
      <c r="F225" s="18" t="s">
        <v>113</v>
      </c>
    </row>
    <row r="226" spans="1:6">
      <c r="A226" s="18" t="s">
        <v>75</v>
      </c>
      <c r="B226">
        <v>2014</v>
      </c>
      <c r="C226" t="s">
        <v>126</v>
      </c>
      <c r="D226">
        <v>1</v>
      </c>
      <c r="E226" s="18" t="s">
        <v>32</v>
      </c>
      <c r="F226" s="18" t="s">
        <v>114</v>
      </c>
    </row>
    <row r="227" spans="1:6">
      <c r="A227" s="18" t="s">
        <v>76</v>
      </c>
      <c r="B227">
        <v>2014</v>
      </c>
      <c r="C227" t="s">
        <v>127</v>
      </c>
      <c r="D227">
        <v>1</v>
      </c>
      <c r="E227" s="18" t="s">
        <v>30</v>
      </c>
      <c r="F227" s="18" t="s">
        <v>80</v>
      </c>
    </row>
    <row r="228" spans="1:6">
      <c r="A228" s="18" t="s">
        <v>76</v>
      </c>
      <c r="B228">
        <v>2014</v>
      </c>
      <c r="C228" t="s">
        <v>127</v>
      </c>
      <c r="D228">
        <v>1</v>
      </c>
      <c r="E228" s="18" t="s">
        <v>30</v>
      </c>
      <c r="F228" s="18" t="s">
        <v>108</v>
      </c>
    </row>
    <row r="229" spans="1:6">
      <c r="A229" s="18" t="s">
        <v>76</v>
      </c>
      <c r="B229">
        <v>2014</v>
      </c>
      <c r="C229" t="s">
        <v>127</v>
      </c>
      <c r="D229">
        <v>1</v>
      </c>
      <c r="E229" s="18" t="s">
        <v>30</v>
      </c>
      <c r="F229" s="18" t="s">
        <v>112</v>
      </c>
    </row>
    <row r="230" spans="1:6">
      <c r="A230" s="18" t="s">
        <v>76</v>
      </c>
      <c r="B230">
        <v>2014</v>
      </c>
      <c r="C230" t="s">
        <v>127</v>
      </c>
      <c r="D230">
        <v>1</v>
      </c>
      <c r="E230" s="18" t="s">
        <v>30</v>
      </c>
      <c r="F230" s="18" t="s">
        <v>113</v>
      </c>
    </row>
    <row r="231" spans="1:6">
      <c r="A231" s="18" t="s">
        <v>76</v>
      </c>
      <c r="B231">
        <v>2014</v>
      </c>
      <c r="C231" t="s">
        <v>127</v>
      </c>
      <c r="D231">
        <v>1</v>
      </c>
      <c r="E231" s="18" t="s">
        <v>30</v>
      </c>
      <c r="F231" s="18" t="s">
        <v>114</v>
      </c>
    </row>
    <row r="232" spans="1:6">
      <c r="A232" s="18" t="s">
        <v>76</v>
      </c>
      <c r="B232">
        <v>2014</v>
      </c>
      <c r="C232" t="s">
        <v>127</v>
      </c>
      <c r="D232">
        <v>1</v>
      </c>
      <c r="E232" s="18" t="s">
        <v>29</v>
      </c>
      <c r="F232" s="18" t="s">
        <v>80</v>
      </c>
    </row>
    <row r="233" spans="1:6">
      <c r="A233" s="18" t="s">
        <v>76</v>
      </c>
      <c r="B233">
        <v>2014</v>
      </c>
      <c r="C233" t="s">
        <v>127</v>
      </c>
      <c r="D233">
        <v>1</v>
      </c>
      <c r="E233" s="18" t="s">
        <v>29</v>
      </c>
      <c r="F233" s="18" t="s">
        <v>108</v>
      </c>
    </row>
    <row r="234" spans="1:6">
      <c r="A234" s="18" t="s">
        <v>76</v>
      </c>
      <c r="B234">
        <v>2014</v>
      </c>
      <c r="C234" t="s">
        <v>127</v>
      </c>
      <c r="D234">
        <v>1</v>
      </c>
      <c r="E234" s="18" t="s">
        <v>29</v>
      </c>
      <c r="F234" s="18" t="s">
        <v>112</v>
      </c>
    </row>
    <row r="235" spans="1:6">
      <c r="A235" s="18" t="s">
        <v>76</v>
      </c>
      <c r="B235">
        <v>2014</v>
      </c>
      <c r="C235" t="s">
        <v>127</v>
      </c>
      <c r="D235">
        <v>1</v>
      </c>
      <c r="E235" s="18" t="s">
        <v>29</v>
      </c>
      <c r="F235" s="18" t="s">
        <v>113</v>
      </c>
    </row>
    <row r="236" spans="1:6">
      <c r="A236" s="18" t="s">
        <v>76</v>
      </c>
      <c r="B236">
        <v>2014</v>
      </c>
      <c r="C236" t="s">
        <v>127</v>
      </c>
      <c r="D236">
        <v>1</v>
      </c>
      <c r="E236" s="18" t="s">
        <v>29</v>
      </c>
      <c r="F236" s="18" t="s">
        <v>114</v>
      </c>
    </row>
    <row r="237" spans="1:6">
      <c r="A237" s="18" t="s">
        <v>76</v>
      </c>
      <c r="B237">
        <v>2014</v>
      </c>
      <c r="C237" t="s">
        <v>127</v>
      </c>
      <c r="D237">
        <v>1</v>
      </c>
      <c r="E237" s="18" t="s">
        <v>22</v>
      </c>
      <c r="F237" s="18" t="s">
        <v>80</v>
      </c>
    </row>
    <row r="238" spans="1:6">
      <c r="A238" s="18" t="s">
        <v>76</v>
      </c>
      <c r="B238">
        <v>2014</v>
      </c>
      <c r="C238" t="s">
        <v>127</v>
      </c>
      <c r="D238">
        <v>1</v>
      </c>
      <c r="E238" s="18" t="s">
        <v>22</v>
      </c>
      <c r="F238" s="18" t="s">
        <v>108</v>
      </c>
    </row>
    <row r="239" spans="1:6">
      <c r="A239" s="18" t="s">
        <v>76</v>
      </c>
      <c r="B239">
        <v>2014</v>
      </c>
      <c r="C239" t="s">
        <v>127</v>
      </c>
      <c r="D239">
        <v>1</v>
      </c>
      <c r="E239" s="18" t="s">
        <v>22</v>
      </c>
      <c r="F239" s="18" t="s">
        <v>112</v>
      </c>
    </row>
    <row r="240" spans="1:6">
      <c r="A240" s="18" t="s">
        <v>76</v>
      </c>
      <c r="B240">
        <v>2014</v>
      </c>
      <c r="C240" t="s">
        <v>127</v>
      </c>
      <c r="D240">
        <v>1</v>
      </c>
      <c r="E240" s="18" t="s">
        <v>22</v>
      </c>
      <c r="F240" s="18" t="s">
        <v>113</v>
      </c>
    </row>
    <row r="241" spans="1:6">
      <c r="A241" s="18" t="s">
        <v>76</v>
      </c>
      <c r="B241">
        <v>2014</v>
      </c>
      <c r="C241" t="s">
        <v>127</v>
      </c>
      <c r="D241">
        <v>1</v>
      </c>
      <c r="E241" s="18" t="s">
        <v>22</v>
      </c>
      <c r="F241" s="18" t="s">
        <v>114</v>
      </c>
    </row>
    <row r="242" spans="1:6">
      <c r="A242" s="18" t="s">
        <v>76</v>
      </c>
      <c r="B242">
        <v>2014</v>
      </c>
      <c r="C242" t="s">
        <v>127</v>
      </c>
      <c r="D242">
        <v>1</v>
      </c>
      <c r="E242" s="18" t="s">
        <v>16</v>
      </c>
      <c r="F242" s="18" t="s">
        <v>80</v>
      </c>
    </row>
    <row r="243" spans="1:6">
      <c r="A243" s="18" t="s">
        <v>76</v>
      </c>
      <c r="B243">
        <v>2014</v>
      </c>
      <c r="C243" t="s">
        <v>127</v>
      </c>
      <c r="D243">
        <v>1</v>
      </c>
      <c r="E243" s="18" t="s">
        <v>16</v>
      </c>
      <c r="F243" s="18" t="s">
        <v>108</v>
      </c>
    </row>
    <row r="244" spans="1:6">
      <c r="A244" s="18" t="s">
        <v>76</v>
      </c>
      <c r="B244">
        <v>2014</v>
      </c>
      <c r="C244" t="s">
        <v>127</v>
      </c>
      <c r="D244">
        <v>1</v>
      </c>
      <c r="E244" s="18" t="s">
        <v>16</v>
      </c>
      <c r="F244" s="18" t="s">
        <v>112</v>
      </c>
    </row>
    <row r="245" spans="1:6">
      <c r="A245" s="18" t="s">
        <v>76</v>
      </c>
      <c r="B245">
        <v>2014</v>
      </c>
      <c r="C245" t="s">
        <v>127</v>
      </c>
      <c r="D245">
        <v>1</v>
      </c>
      <c r="E245" s="18" t="s">
        <v>16</v>
      </c>
      <c r="F245" s="18" t="s">
        <v>113</v>
      </c>
    </row>
    <row r="246" spans="1:6">
      <c r="A246" s="18" t="s">
        <v>76</v>
      </c>
      <c r="B246">
        <v>2014</v>
      </c>
      <c r="C246" t="s">
        <v>127</v>
      </c>
      <c r="D246">
        <v>1</v>
      </c>
      <c r="E246" s="18" t="s">
        <v>16</v>
      </c>
      <c r="F246" s="18" t="s">
        <v>114</v>
      </c>
    </row>
    <row r="247" spans="1:6">
      <c r="A247" s="18" t="s">
        <v>76</v>
      </c>
      <c r="B247">
        <v>2014</v>
      </c>
      <c r="C247" t="s">
        <v>127</v>
      </c>
      <c r="D247">
        <v>1</v>
      </c>
      <c r="E247" s="18" t="s">
        <v>32</v>
      </c>
      <c r="F247" s="18" t="s">
        <v>80</v>
      </c>
    </row>
    <row r="248" spans="1:6">
      <c r="A248" s="18" t="s">
        <v>76</v>
      </c>
      <c r="B248">
        <v>2014</v>
      </c>
      <c r="C248" t="s">
        <v>127</v>
      </c>
      <c r="D248">
        <v>1</v>
      </c>
      <c r="E248" s="18" t="s">
        <v>32</v>
      </c>
      <c r="F248" s="18" t="s">
        <v>108</v>
      </c>
    </row>
    <row r="249" spans="1:6">
      <c r="A249" s="18" t="s">
        <v>76</v>
      </c>
      <c r="B249">
        <v>2014</v>
      </c>
      <c r="C249" t="s">
        <v>127</v>
      </c>
      <c r="D249">
        <v>1</v>
      </c>
      <c r="E249" s="18" t="s">
        <v>32</v>
      </c>
      <c r="F249" s="18" t="s">
        <v>112</v>
      </c>
    </row>
    <row r="250" spans="1:6">
      <c r="A250" s="18" t="s">
        <v>76</v>
      </c>
      <c r="B250">
        <v>2014</v>
      </c>
      <c r="C250" t="s">
        <v>127</v>
      </c>
      <c r="D250">
        <v>1</v>
      </c>
      <c r="E250" s="18" t="s">
        <v>32</v>
      </c>
      <c r="F250" s="18" t="s">
        <v>113</v>
      </c>
    </row>
    <row r="251" spans="1:6">
      <c r="A251" s="18" t="s">
        <v>76</v>
      </c>
      <c r="B251">
        <v>2014</v>
      </c>
      <c r="C251" t="s">
        <v>127</v>
      </c>
      <c r="D251">
        <v>1</v>
      </c>
      <c r="E251" s="18" t="s">
        <v>32</v>
      </c>
      <c r="F251" s="18" t="s">
        <v>114</v>
      </c>
    </row>
    <row r="252" spans="1:6">
      <c r="A252" s="18" t="s">
        <v>77</v>
      </c>
      <c r="B252">
        <v>2014</v>
      </c>
      <c r="C252" t="s">
        <v>128</v>
      </c>
      <c r="D252">
        <v>1</v>
      </c>
      <c r="E252" s="18" t="s">
        <v>30</v>
      </c>
      <c r="F252" s="18" t="s">
        <v>80</v>
      </c>
    </row>
    <row r="253" spans="1:6">
      <c r="A253" s="18" t="s">
        <v>77</v>
      </c>
      <c r="B253">
        <v>2014</v>
      </c>
      <c r="C253" t="s">
        <v>128</v>
      </c>
      <c r="D253">
        <v>1</v>
      </c>
      <c r="E253" s="18" t="s">
        <v>30</v>
      </c>
      <c r="F253" s="18" t="s">
        <v>108</v>
      </c>
    </row>
    <row r="254" spans="1:6">
      <c r="A254" s="18" t="s">
        <v>77</v>
      </c>
      <c r="B254">
        <v>2014</v>
      </c>
      <c r="C254" t="s">
        <v>128</v>
      </c>
      <c r="D254">
        <v>1</v>
      </c>
      <c r="E254" s="18" t="s">
        <v>30</v>
      </c>
      <c r="F254" s="18" t="s">
        <v>112</v>
      </c>
    </row>
    <row r="255" spans="1:6">
      <c r="A255" s="18" t="s">
        <v>77</v>
      </c>
      <c r="B255">
        <v>2014</v>
      </c>
      <c r="C255" t="s">
        <v>128</v>
      </c>
      <c r="D255">
        <v>1</v>
      </c>
      <c r="E255" s="18" t="s">
        <v>30</v>
      </c>
      <c r="F255" s="18" t="s">
        <v>113</v>
      </c>
    </row>
    <row r="256" spans="1:6">
      <c r="A256" s="18" t="s">
        <v>77</v>
      </c>
      <c r="B256">
        <v>2014</v>
      </c>
      <c r="C256" t="s">
        <v>128</v>
      </c>
      <c r="D256">
        <v>1</v>
      </c>
      <c r="E256" s="18" t="s">
        <v>30</v>
      </c>
      <c r="F256" s="18" t="s">
        <v>114</v>
      </c>
    </row>
    <row r="257" spans="1:6">
      <c r="A257" s="18" t="s">
        <v>77</v>
      </c>
      <c r="B257">
        <v>2014</v>
      </c>
      <c r="C257" t="s">
        <v>128</v>
      </c>
      <c r="D257">
        <v>1</v>
      </c>
      <c r="E257" s="18" t="s">
        <v>29</v>
      </c>
      <c r="F257" s="18" t="s">
        <v>80</v>
      </c>
    </row>
    <row r="258" spans="1:6">
      <c r="A258" s="18" t="s">
        <v>77</v>
      </c>
      <c r="B258">
        <v>2014</v>
      </c>
      <c r="C258" t="s">
        <v>128</v>
      </c>
      <c r="D258">
        <v>1</v>
      </c>
      <c r="E258" s="18" t="s">
        <v>29</v>
      </c>
      <c r="F258" s="18" t="s">
        <v>108</v>
      </c>
    </row>
    <row r="259" spans="1:6">
      <c r="A259" s="18" t="s">
        <v>77</v>
      </c>
      <c r="B259">
        <v>2014</v>
      </c>
      <c r="C259" t="s">
        <v>128</v>
      </c>
      <c r="D259">
        <v>1</v>
      </c>
      <c r="E259" s="18" t="s">
        <v>29</v>
      </c>
      <c r="F259" s="18" t="s">
        <v>112</v>
      </c>
    </row>
    <row r="260" spans="1:6">
      <c r="A260" s="18" t="s">
        <v>77</v>
      </c>
      <c r="B260">
        <v>2014</v>
      </c>
      <c r="C260" t="s">
        <v>128</v>
      </c>
      <c r="D260">
        <v>1</v>
      </c>
      <c r="E260" s="18" t="s">
        <v>29</v>
      </c>
      <c r="F260" s="18" t="s">
        <v>113</v>
      </c>
    </row>
    <row r="261" spans="1:6">
      <c r="A261" s="18" t="s">
        <v>77</v>
      </c>
      <c r="B261">
        <v>2014</v>
      </c>
      <c r="C261" t="s">
        <v>128</v>
      </c>
      <c r="D261">
        <v>1</v>
      </c>
      <c r="E261" s="18" t="s">
        <v>29</v>
      </c>
      <c r="F261" s="18" t="s">
        <v>114</v>
      </c>
    </row>
    <row r="262" spans="1:6">
      <c r="A262" s="18" t="s">
        <v>77</v>
      </c>
      <c r="B262">
        <v>2014</v>
      </c>
      <c r="C262" t="s">
        <v>128</v>
      </c>
      <c r="D262">
        <v>1</v>
      </c>
      <c r="E262" s="18" t="s">
        <v>22</v>
      </c>
      <c r="F262" s="18" t="s">
        <v>80</v>
      </c>
    </row>
    <row r="263" spans="1:6">
      <c r="A263" s="18" t="s">
        <v>77</v>
      </c>
      <c r="B263">
        <v>2014</v>
      </c>
      <c r="C263" t="s">
        <v>128</v>
      </c>
      <c r="D263">
        <v>1</v>
      </c>
      <c r="E263" s="18" t="s">
        <v>22</v>
      </c>
      <c r="F263" s="18" t="s">
        <v>108</v>
      </c>
    </row>
    <row r="264" spans="1:6">
      <c r="A264" s="18" t="s">
        <v>77</v>
      </c>
      <c r="B264">
        <v>2014</v>
      </c>
      <c r="C264" t="s">
        <v>128</v>
      </c>
      <c r="D264">
        <v>1</v>
      </c>
      <c r="E264" s="18" t="s">
        <v>22</v>
      </c>
      <c r="F264" s="18" t="s">
        <v>112</v>
      </c>
    </row>
    <row r="265" spans="1:6">
      <c r="A265" s="18" t="s">
        <v>77</v>
      </c>
      <c r="B265">
        <v>2014</v>
      </c>
      <c r="C265" t="s">
        <v>128</v>
      </c>
      <c r="D265">
        <v>1</v>
      </c>
      <c r="E265" s="18" t="s">
        <v>22</v>
      </c>
      <c r="F265" s="18" t="s">
        <v>113</v>
      </c>
    </row>
    <row r="266" spans="1:6">
      <c r="A266" s="18" t="s">
        <v>77</v>
      </c>
      <c r="B266">
        <v>2014</v>
      </c>
      <c r="C266" t="s">
        <v>128</v>
      </c>
      <c r="D266">
        <v>1</v>
      </c>
      <c r="E266" s="18" t="s">
        <v>22</v>
      </c>
      <c r="F266" s="18" t="s">
        <v>114</v>
      </c>
    </row>
    <row r="267" spans="1:6">
      <c r="A267" s="18" t="s">
        <v>77</v>
      </c>
      <c r="B267">
        <v>2014</v>
      </c>
      <c r="C267" t="s">
        <v>128</v>
      </c>
      <c r="D267">
        <v>1</v>
      </c>
      <c r="E267" s="18" t="s">
        <v>16</v>
      </c>
      <c r="F267" s="18" t="s">
        <v>80</v>
      </c>
    </row>
    <row r="268" spans="1:6">
      <c r="A268" s="18" t="s">
        <v>77</v>
      </c>
      <c r="B268">
        <v>2014</v>
      </c>
      <c r="C268" t="s">
        <v>128</v>
      </c>
      <c r="D268">
        <v>1</v>
      </c>
      <c r="E268" s="18" t="s">
        <v>16</v>
      </c>
      <c r="F268" s="18" t="s">
        <v>108</v>
      </c>
    </row>
    <row r="269" spans="1:6">
      <c r="A269" s="18" t="s">
        <v>77</v>
      </c>
      <c r="B269">
        <v>2014</v>
      </c>
      <c r="C269" t="s">
        <v>128</v>
      </c>
      <c r="D269">
        <v>1</v>
      </c>
      <c r="E269" s="18" t="s">
        <v>16</v>
      </c>
      <c r="F269" s="18" t="s">
        <v>112</v>
      </c>
    </row>
    <row r="270" spans="1:6">
      <c r="A270" s="18" t="s">
        <v>77</v>
      </c>
      <c r="B270">
        <v>2014</v>
      </c>
      <c r="C270" t="s">
        <v>128</v>
      </c>
      <c r="D270">
        <v>1</v>
      </c>
      <c r="E270" s="18" t="s">
        <v>16</v>
      </c>
      <c r="F270" s="18" t="s">
        <v>113</v>
      </c>
    </row>
    <row r="271" spans="1:6">
      <c r="A271" s="18" t="s">
        <v>77</v>
      </c>
      <c r="B271">
        <v>2014</v>
      </c>
      <c r="C271" t="s">
        <v>128</v>
      </c>
      <c r="D271">
        <v>1</v>
      </c>
      <c r="E271" s="18" t="s">
        <v>16</v>
      </c>
      <c r="F271" s="18" t="s">
        <v>114</v>
      </c>
    </row>
    <row r="272" spans="1:6">
      <c r="A272" s="18" t="s">
        <v>77</v>
      </c>
      <c r="B272">
        <v>2014</v>
      </c>
      <c r="C272" t="s">
        <v>128</v>
      </c>
      <c r="D272">
        <v>1</v>
      </c>
      <c r="E272" s="18" t="s">
        <v>32</v>
      </c>
      <c r="F272" s="18" t="s">
        <v>80</v>
      </c>
    </row>
    <row r="273" spans="1:6">
      <c r="A273" s="18" t="s">
        <v>77</v>
      </c>
      <c r="B273">
        <v>2014</v>
      </c>
      <c r="C273" t="s">
        <v>128</v>
      </c>
      <c r="D273">
        <v>1</v>
      </c>
      <c r="E273" s="18" t="s">
        <v>32</v>
      </c>
      <c r="F273" s="18" t="s">
        <v>108</v>
      </c>
    </row>
    <row r="274" spans="1:6">
      <c r="A274" s="18" t="s">
        <v>77</v>
      </c>
      <c r="B274">
        <v>2014</v>
      </c>
      <c r="C274" t="s">
        <v>128</v>
      </c>
      <c r="D274">
        <v>1</v>
      </c>
      <c r="E274" s="18" t="s">
        <v>32</v>
      </c>
      <c r="F274" s="18" t="s">
        <v>112</v>
      </c>
    </row>
    <row r="275" spans="1:6">
      <c r="A275" s="18" t="s">
        <v>77</v>
      </c>
      <c r="B275">
        <v>2014</v>
      </c>
      <c r="C275" t="s">
        <v>128</v>
      </c>
      <c r="D275">
        <v>1</v>
      </c>
      <c r="E275" s="18" t="s">
        <v>32</v>
      </c>
      <c r="F275" s="18" t="s">
        <v>113</v>
      </c>
    </row>
    <row r="276" spans="1:6">
      <c r="A276" s="18" t="s">
        <v>77</v>
      </c>
      <c r="B276">
        <v>2014</v>
      </c>
      <c r="C276" t="s">
        <v>128</v>
      </c>
      <c r="D276">
        <v>1</v>
      </c>
      <c r="E276" s="18" t="s">
        <v>32</v>
      </c>
      <c r="F276" s="18" t="s">
        <v>114</v>
      </c>
    </row>
    <row r="277" spans="1:6">
      <c r="A277" s="18" t="s">
        <v>78</v>
      </c>
      <c r="B277">
        <v>2014</v>
      </c>
      <c r="C277" t="s">
        <v>129</v>
      </c>
      <c r="D277">
        <v>1</v>
      </c>
      <c r="E277" s="18" t="s">
        <v>30</v>
      </c>
      <c r="F277" s="18" t="s">
        <v>80</v>
      </c>
    </row>
    <row r="278" spans="1:6">
      <c r="A278" s="18" t="s">
        <v>78</v>
      </c>
      <c r="B278">
        <v>2014</v>
      </c>
      <c r="C278" t="s">
        <v>129</v>
      </c>
      <c r="D278">
        <v>1</v>
      </c>
      <c r="E278" s="18" t="s">
        <v>30</v>
      </c>
      <c r="F278" s="18" t="s">
        <v>108</v>
      </c>
    </row>
    <row r="279" spans="1:6">
      <c r="A279" s="18" t="s">
        <v>78</v>
      </c>
      <c r="B279">
        <v>2014</v>
      </c>
      <c r="C279" t="s">
        <v>129</v>
      </c>
      <c r="D279">
        <v>1</v>
      </c>
      <c r="E279" s="18" t="s">
        <v>30</v>
      </c>
      <c r="F279" s="18" t="s">
        <v>112</v>
      </c>
    </row>
    <row r="280" spans="1:6">
      <c r="A280" s="18" t="s">
        <v>78</v>
      </c>
      <c r="B280">
        <v>2014</v>
      </c>
      <c r="C280" t="s">
        <v>129</v>
      </c>
      <c r="D280">
        <v>1</v>
      </c>
      <c r="E280" s="18" t="s">
        <v>30</v>
      </c>
      <c r="F280" s="18" t="s">
        <v>113</v>
      </c>
    </row>
    <row r="281" spans="1:6">
      <c r="A281" s="18" t="s">
        <v>78</v>
      </c>
      <c r="B281">
        <v>2014</v>
      </c>
      <c r="C281" t="s">
        <v>129</v>
      </c>
      <c r="D281">
        <v>1</v>
      </c>
      <c r="E281" s="18" t="s">
        <v>30</v>
      </c>
      <c r="F281" s="18" t="s">
        <v>114</v>
      </c>
    </row>
    <row r="282" spans="1:6">
      <c r="A282" s="18" t="s">
        <v>78</v>
      </c>
      <c r="B282">
        <v>2014</v>
      </c>
      <c r="C282" t="s">
        <v>129</v>
      </c>
      <c r="D282">
        <v>1</v>
      </c>
      <c r="E282" s="18" t="s">
        <v>29</v>
      </c>
      <c r="F282" s="18" t="s">
        <v>80</v>
      </c>
    </row>
    <row r="283" spans="1:6">
      <c r="A283" s="18" t="s">
        <v>78</v>
      </c>
      <c r="B283">
        <v>2014</v>
      </c>
      <c r="C283" t="s">
        <v>129</v>
      </c>
      <c r="D283">
        <v>1</v>
      </c>
      <c r="E283" s="18" t="s">
        <v>29</v>
      </c>
      <c r="F283" s="18" t="s">
        <v>108</v>
      </c>
    </row>
    <row r="284" spans="1:6">
      <c r="A284" s="18" t="s">
        <v>78</v>
      </c>
      <c r="B284">
        <v>2014</v>
      </c>
      <c r="C284" t="s">
        <v>129</v>
      </c>
      <c r="D284">
        <v>1</v>
      </c>
      <c r="E284" s="18" t="s">
        <v>29</v>
      </c>
      <c r="F284" s="18" t="s">
        <v>112</v>
      </c>
    </row>
    <row r="285" spans="1:6">
      <c r="A285" s="18" t="s">
        <v>78</v>
      </c>
      <c r="B285">
        <v>2014</v>
      </c>
      <c r="C285" t="s">
        <v>129</v>
      </c>
      <c r="D285">
        <v>1</v>
      </c>
      <c r="E285" s="18" t="s">
        <v>29</v>
      </c>
      <c r="F285" s="18" t="s">
        <v>113</v>
      </c>
    </row>
    <row r="286" spans="1:6">
      <c r="A286" s="18" t="s">
        <v>78</v>
      </c>
      <c r="B286">
        <v>2014</v>
      </c>
      <c r="C286" t="s">
        <v>129</v>
      </c>
      <c r="D286">
        <v>1</v>
      </c>
      <c r="E286" s="18" t="s">
        <v>29</v>
      </c>
      <c r="F286" s="18" t="s">
        <v>114</v>
      </c>
    </row>
    <row r="287" spans="1:6">
      <c r="A287" s="18" t="s">
        <v>78</v>
      </c>
      <c r="B287">
        <v>2014</v>
      </c>
      <c r="C287" t="s">
        <v>129</v>
      </c>
      <c r="D287">
        <v>1</v>
      </c>
      <c r="E287" s="18" t="s">
        <v>22</v>
      </c>
      <c r="F287" s="18" t="s">
        <v>80</v>
      </c>
    </row>
    <row r="288" spans="1:6">
      <c r="A288" s="18" t="s">
        <v>78</v>
      </c>
      <c r="B288">
        <v>2014</v>
      </c>
      <c r="C288" t="s">
        <v>129</v>
      </c>
      <c r="D288">
        <v>1</v>
      </c>
      <c r="E288" s="18" t="s">
        <v>22</v>
      </c>
      <c r="F288" s="18" t="s">
        <v>108</v>
      </c>
    </row>
    <row r="289" spans="1:6">
      <c r="A289" s="18" t="s">
        <v>78</v>
      </c>
      <c r="B289">
        <v>2014</v>
      </c>
      <c r="C289" t="s">
        <v>129</v>
      </c>
      <c r="D289">
        <v>1</v>
      </c>
      <c r="E289" s="18" t="s">
        <v>22</v>
      </c>
      <c r="F289" s="18" t="s">
        <v>112</v>
      </c>
    </row>
    <row r="290" spans="1:6">
      <c r="A290" s="18" t="s">
        <v>78</v>
      </c>
      <c r="B290">
        <v>2014</v>
      </c>
      <c r="C290" t="s">
        <v>129</v>
      </c>
      <c r="D290">
        <v>1</v>
      </c>
      <c r="E290" s="18" t="s">
        <v>22</v>
      </c>
      <c r="F290" s="18" t="s">
        <v>113</v>
      </c>
    </row>
    <row r="291" spans="1:6">
      <c r="A291" s="18" t="s">
        <v>78</v>
      </c>
      <c r="B291">
        <v>2014</v>
      </c>
      <c r="C291" t="s">
        <v>129</v>
      </c>
      <c r="D291">
        <v>1</v>
      </c>
      <c r="E291" s="18" t="s">
        <v>22</v>
      </c>
      <c r="F291" s="18" t="s">
        <v>114</v>
      </c>
    </row>
    <row r="292" spans="1:6">
      <c r="A292" s="18" t="s">
        <v>78</v>
      </c>
      <c r="B292">
        <v>2014</v>
      </c>
      <c r="C292" t="s">
        <v>129</v>
      </c>
      <c r="D292">
        <v>1</v>
      </c>
      <c r="E292" s="18" t="s">
        <v>16</v>
      </c>
      <c r="F292" s="18" t="s">
        <v>80</v>
      </c>
    </row>
    <row r="293" spans="1:6">
      <c r="A293" s="18" t="s">
        <v>78</v>
      </c>
      <c r="B293">
        <v>2014</v>
      </c>
      <c r="C293" t="s">
        <v>129</v>
      </c>
      <c r="D293">
        <v>1</v>
      </c>
      <c r="E293" s="18" t="s">
        <v>16</v>
      </c>
      <c r="F293" s="18" t="s">
        <v>108</v>
      </c>
    </row>
    <row r="294" spans="1:6">
      <c r="A294" s="18" t="s">
        <v>78</v>
      </c>
      <c r="B294">
        <v>2014</v>
      </c>
      <c r="C294" t="s">
        <v>129</v>
      </c>
      <c r="D294">
        <v>1</v>
      </c>
      <c r="E294" s="18" t="s">
        <v>16</v>
      </c>
      <c r="F294" s="18" t="s">
        <v>112</v>
      </c>
    </row>
    <row r="295" spans="1:6">
      <c r="A295" s="18" t="s">
        <v>78</v>
      </c>
      <c r="B295">
        <v>2014</v>
      </c>
      <c r="C295" t="s">
        <v>129</v>
      </c>
      <c r="D295">
        <v>1</v>
      </c>
      <c r="E295" s="18" t="s">
        <v>16</v>
      </c>
      <c r="F295" s="18" t="s">
        <v>113</v>
      </c>
    </row>
    <row r="296" spans="1:6">
      <c r="A296" s="18" t="s">
        <v>78</v>
      </c>
      <c r="B296">
        <v>2014</v>
      </c>
      <c r="C296" t="s">
        <v>129</v>
      </c>
      <c r="D296">
        <v>1</v>
      </c>
      <c r="E296" s="18" t="s">
        <v>16</v>
      </c>
      <c r="F296" s="18" t="s">
        <v>114</v>
      </c>
    </row>
    <row r="297" spans="1:6">
      <c r="A297" s="18" t="s">
        <v>78</v>
      </c>
      <c r="B297">
        <v>2014</v>
      </c>
      <c r="C297" t="s">
        <v>129</v>
      </c>
      <c r="D297">
        <v>1</v>
      </c>
      <c r="E297" s="18" t="s">
        <v>32</v>
      </c>
      <c r="F297" s="18" t="s">
        <v>80</v>
      </c>
    </row>
    <row r="298" spans="1:6">
      <c r="A298" s="18" t="s">
        <v>78</v>
      </c>
      <c r="B298">
        <v>2014</v>
      </c>
      <c r="C298" t="s">
        <v>129</v>
      </c>
      <c r="D298">
        <v>1</v>
      </c>
      <c r="E298" s="18" t="s">
        <v>32</v>
      </c>
      <c r="F298" s="18" t="s">
        <v>108</v>
      </c>
    </row>
    <row r="299" spans="1:6">
      <c r="A299" s="18" t="s">
        <v>78</v>
      </c>
      <c r="B299">
        <v>2014</v>
      </c>
      <c r="C299" t="s">
        <v>129</v>
      </c>
      <c r="D299">
        <v>1</v>
      </c>
      <c r="E299" s="18" t="s">
        <v>32</v>
      </c>
      <c r="F299" s="18" t="s">
        <v>112</v>
      </c>
    </row>
    <row r="300" spans="1:6">
      <c r="A300" s="18" t="s">
        <v>78</v>
      </c>
      <c r="B300">
        <v>2014</v>
      </c>
      <c r="C300" t="s">
        <v>129</v>
      </c>
      <c r="D300">
        <v>1</v>
      </c>
      <c r="E300" s="18" t="s">
        <v>32</v>
      </c>
      <c r="F300" s="18" t="s">
        <v>113</v>
      </c>
    </row>
    <row r="301" spans="1:6">
      <c r="A301" s="18" t="s">
        <v>78</v>
      </c>
      <c r="B301">
        <v>2014</v>
      </c>
      <c r="C301" t="s">
        <v>129</v>
      </c>
      <c r="D301">
        <v>1</v>
      </c>
      <c r="E301" s="18" t="s">
        <v>32</v>
      </c>
      <c r="F301" s="18" t="s">
        <v>114</v>
      </c>
    </row>
    <row r="302" spans="1:6">
      <c r="A302" s="18" t="s">
        <v>70</v>
      </c>
      <c r="B302">
        <v>2014</v>
      </c>
      <c r="C302" t="s">
        <v>130</v>
      </c>
      <c r="D302">
        <v>1</v>
      </c>
      <c r="E302" s="18" t="s">
        <v>30</v>
      </c>
      <c r="F302" s="18" t="s">
        <v>80</v>
      </c>
    </row>
    <row r="303" spans="1:6">
      <c r="A303" s="18" t="s">
        <v>70</v>
      </c>
      <c r="B303">
        <v>2014</v>
      </c>
      <c r="C303" t="s">
        <v>130</v>
      </c>
      <c r="D303">
        <v>1</v>
      </c>
      <c r="E303" s="18" t="s">
        <v>30</v>
      </c>
      <c r="F303" s="18" t="s">
        <v>108</v>
      </c>
    </row>
    <row r="304" spans="1:6">
      <c r="A304" s="18" t="s">
        <v>70</v>
      </c>
      <c r="B304">
        <v>2014</v>
      </c>
      <c r="C304" t="s">
        <v>130</v>
      </c>
      <c r="D304">
        <v>1</v>
      </c>
      <c r="E304" s="18" t="s">
        <v>30</v>
      </c>
      <c r="F304" s="18" t="s">
        <v>112</v>
      </c>
    </row>
    <row r="305" spans="1:6">
      <c r="A305" s="18" t="s">
        <v>70</v>
      </c>
      <c r="B305">
        <v>2014</v>
      </c>
      <c r="C305" t="s">
        <v>130</v>
      </c>
      <c r="D305">
        <v>1</v>
      </c>
      <c r="E305" s="18" t="s">
        <v>30</v>
      </c>
      <c r="F305" s="18" t="s">
        <v>113</v>
      </c>
    </row>
    <row r="306" spans="1:6">
      <c r="A306" s="18" t="s">
        <v>70</v>
      </c>
      <c r="B306">
        <v>2014</v>
      </c>
      <c r="C306" t="s">
        <v>130</v>
      </c>
      <c r="D306">
        <v>1</v>
      </c>
      <c r="E306" s="18" t="s">
        <v>30</v>
      </c>
      <c r="F306" s="18" t="s">
        <v>114</v>
      </c>
    </row>
    <row r="307" spans="1:6">
      <c r="A307" s="18" t="s">
        <v>70</v>
      </c>
      <c r="B307">
        <v>2014</v>
      </c>
      <c r="C307" t="s">
        <v>130</v>
      </c>
      <c r="D307">
        <v>1</v>
      </c>
      <c r="E307" s="18" t="s">
        <v>29</v>
      </c>
      <c r="F307" s="18" t="s">
        <v>80</v>
      </c>
    </row>
    <row r="308" spans="1:6">
      <c r="A308" s="18" t="s">
        <v>70</v>
      </c>
      <c r="B308">
        <v>2014</v>
      </c>
      <c r="C308" t="s">
        <v>130</v>
      </c>
      <c r="D308">
        <v>1</v>
      </c>
      <c r="E308" s="18" t="s">
        <v>29</v>
      </c>
      <c r="F308" s="18" t="s">
        <v>108</v>
      </c>
    </row>
    <row r="309" spans="1:6">
      <c r="A309" s="18" t="s">
        <v>70</v>
      </c>
      <c r="B309">
        <v>2014</v>
      </c>
      <c r="C309" t="s">
        <v>130</v>
      </c>
      <c r="D309">
        <v>1</v>
      </c>
      <c r="E309" s="18" t="s">
        <v>29</v>
      </c>
      <c r="F309" s="18" t="s">
        <v>112</v>
      </c>
    </row>
    <row r="310" spans="1:6">
      <c r="A310" s="18" t="s">
        <v>70</v>
      </c>
      <c r="B310">
        <v>2014</v>
      </c>
      <c r="C310" t="s">
        <v>130</v>
      </c>
      <c r="D310">
        <v>1</v>
      </c>
      <c r="E310" s="18" t="s">
        <v>29</v>
      </c>
      <c r="F310" s="18" t="s">
        <v>113</v>
      </c>
    </row>
    <row r="311" spans="1:6">
      <c r="A311" s="18" t="s">
        <v>70</v>
      </c>
      <c r="B311">
        <v>2014</v>
      </c>
      <c r="C311" t="s">
        <v>130</v>
      </c>
      <c r="D311">
        <v>1</v>
      </c>
      <c r="E311" s="18" t="s">
        <v>29</v>
      </c>
      <c r="F311" s="18" t="s">
        <v>114</v>
      </c>
    </row>
    <row r="312" spans="1:6">
      <c r="A312" s="18" t="s">
        <v>70</v>
      </c>
      <c r="B312">
        <v>2014</v>
      </c>
      <c r="C312" t="s">
        <v>130</v>
      </c>
      <c r="D312">
        <v>1</v>
      </c>
      <c r="E312" s="18" t="s">
        <v>22</v>
      </c>
      <c r="F312" s="18" t="s">
        <v>80</v>
      </c>
    </row>
    <row r="313" spans="1:6">
      <c r="A313" s="18" t="s">
        <v>70</v>
      </c>
      <c r="B313">
        <v>2014</v>
      </c>
      <c r="C313" t="s">
        <v>130</v>
      </c>
      <c r="D313">
        <v>1</v>
      </c>
      <c r="E313" s="18" t="s">
        <v>22</v>
      </c>
      <c r="F313" s="18" t="s">
        <v>108</v>
      </c>
    </row>
    <row r="314" spans="1:6">
      <c r="A314" s="18" t="s">
        <v>70</v>
      </c>
      <c r="B314">
        <v>2014</v>
      </c>
      <c r="C314" t="s">
        <v>130</v>
      </c>
      <c r="D314">
        <v>1</v>
      </c>
      <c r="E314" s="18" t="s">
        <v>22</v>
      </c>
      <c r="F314" s="18" t="s">
        <v>112</v>
      </c>
    </row>
    <row r="315" spans="1:6">
      <c r="A315" s="18" t="s">
        <v>70</v>
      </c>
      <c r="B315">
        <v>2014</v>
      </c>
      <c r="C315" t="s">
        <v>130</v>
      </c>
      <c r="D315">
        <v>1</v>
      </c>
      <c r="E315" s="18" t="s">
        <v>22</v>
      </c>
      <c r="F315" s="18" t="s">
        <v>113</v>
      </c>
    </row>
    <row r="316" spans="1:6">
      <c r="A316" s="18" t="s">
        <v>70</v>
      </c>
      <c r="B316">
        <v>2014</v>
      </c>
      <c r="C316" t="s">
        <v>130</v>
      </c>
      <c r="D316">
        <v>1</v>
      </c>
      <c r="E316" s="18" t="s">
        <v>22</v>
      </c>
      <c r="F316" s="18" t="s">
        <v>114</v>
      </c>
    </row>
    <row r="317" spans="1:6">
      <c r="A317" s="18" t="s">
        <v>70</v>
      </c>
      <c r="B317">
        <v>2014</v>
      </c>
      <c r="C317" t="s">
        <v>130</v>
      </c>
      <c r="D317">
        <v>1</v>
      </c>
      <c r="E317" s="18" t="s">
        <v>16</v>
      </c>
      <c r="F317" s="18" t="s">
        <v>80</v>
      </c>
    </row>
    <row r="318" spans="1:6">
      <c r="A318" s="18" t="s">
        <v>70</v>
      </c>
      <c r="B318">
        <v>2014</v>
      </c>
      <c r="C318" t="s">
        <v>130</v>
      </c>
      <c r="D318">
        <v>1</v>
      </c>
      <c r="E318" s="18" t="s">
        <v>16</v>
      </c>
      <c r="F318" s="18" t="s">
        <v>108</v>
      </c>
    </row>
    <row r="319" spans="1:6">
      <c r="A319" s="18" t="s">
        <v>70</v>
      </c>
      <c r="B319">
        <v>2014</v>
      </c>
      <c r="C319" t="s">
        <v>130</v>
      </c>
      <c r="D319">
        <v>1</v>
      </c>
      <c r="E319" s="18" t="s">
        <v>16</v>
      </c>
      <c r="F319" s="18" t="s">
        <v>112</v>
      </c>
    </row>
    <row r="320" spans="1:6">
      <c r="A320" s="18" t="s">
        <v>70</v>
      </c>
      <c r="B320">
        <v>2014</v>
      </c>
      <c r="C320" t="s">
        <v>130</v>
      </c>
      <c r="D320">
        <v>1</v>
      </c>
      <c r="E320" s="18" t="s">
        <v>16</v>
      </c>
      <c r="F320" s="18" t="s">
        <v>113</v>
      </c>
    </row>
    <row r="321" spans="1:6">
      <c r="A321" s="18" t="s">
        <v>70</v>
      </c>
      <c r="B321">
        <v>2014</v>
      </c>
      <c r="C321" t="s">
        <v>130</v>
      </c>
      <c r="D321">
        <v>1</v>
      </c>
      <c r="E321" s="18" t="s">
        <v>16</v>
      </c>
      <c r="F321" s="18" t="s">
        <v>114</v>
      </c>
    </row>
    <row r="322" spans="1:6">
      <c r="A322" s="18" t="s">
        <v>70</v>
      </c>
      <c r="B322">
        <v>2014</v>
      </c>
      <c r="C322" t="s">
        <v>130</v>
      </c>
      <c r="D322">
        <v>1</v>
      </c>
      <c r="E322" s="18" t="s">
        <v>32</v>
      </c>
      <c r="F322" s="18" t="s">
        <v>80</v>
      </c>
    </row>
    <row r="323" spans="1:6">
      <c r="A323" s="18" t="s">
        <v>70</v>
      </c>
      <c r="B323">
        <v>2014</v>
      </c>
      <c r="C323" t="s">
        <v>130</v>
      </c>
      <c r="D323">
        <v>1</v>
      </c>
      <c r="E323" s="18" t="s">
        <v>32</v>
      </c>
      <c r="F323" s="18" t="s">
        <v>108</v>
      </c>
    </row>
    <row r="324" spans="1:6">
      <c r="A324" s="18" t="s">
        <v>70</v>
      </c>
      <c r="B324">
        <v>2014</v>
      </c>
      <c r="C324" t="s">
        <v>130</v>
      </c>
      <c r="D324">
        <v>1</v>
      </c>
      <c r="E324" s="18" t="s">
        <v>32</v>
      </c>
      <c r="F324" s="18" t="s">
        <v>112</v>
      </c>
    </row>
    <row r="325" spans="1:6">
      <c r="A325" s="18" t="s">
        <v>70</v>
      </c>
      <c r="B325">
        <v>2014</v>
      </c>
      <c r="C325" t="s">
        <v>130</v>
      </c>
      <c r="D325">
        <v>1</v>
      </c>
      <c r="E325" s="18" t="s">
        <v>32</v>
      </c>
      <c r="F325" s="18" t="s">
        <v>113</v>
      </c>
    </row>
    <row r="326" spans="1:6">
      <c r="A326" s="18" t="s">
        <v>70</v>
      </c>
      <c r="B326">
        <v>2014</v>
      </c>
      <c r="C326" t="s">
        <v>130</v>
      </c>
      <c r="D326">
        <v>1</v>
      </c>
      <c r="E326" s="18" t="s">
        <v>32</v>
      </c>
      <c r="F326" s="18" t="s">
        <v>114</v>
      </c>
    </row>
    <row r="327" spans="1:6">
      <c r="A327" s="18" t="s">
        <v>79</v>
      </c>
      <c r="B327">
        <v>2014</v>
      </c>
      <c r="C327" t="s">
        <v>131</v>
      </c>
      <c r="D327">
        <v>1</v>
      </c>
      <c r="E327" s="18" t="s">
        <v>30</v>
      </c>
      <c r="F327" s="18" t="s">
        <v>80</v>
      </c>
    </row>
    <row r="328" spans="1:6">
      <c r="A328" s="18" t="s">
        <v>79</v>
      </c>
      <c r="B328">
        <v>2014</v>
      </c>
      <c r="C328" t="s">
        <v>131</v>
      </c>
      <c r="D328">
        <v>1</v>
      </c>
      <c r="E328" s="18" t="s">
        <v>30</v>
      </c>
      <c r="F328" s="18" t="s">
        <v>108</v>
      </c>
    </row>
    <row r="329" spans="1:6">
      <c r="A329" s="18" t="s">
        <v>79</v>
      </c>
      <c r="B329">
        <v>2014</v>
      </c>
      <c r="C329" t="s">
        <v>131</v>
      </c>
      <c r="D329">
        <v>1</v>
      </c>
      <c r="E329" s="18" t="s">
        <v>30</v>
      </c>
      <c r="F329" s="18" t="s">
        <v>112</v>
      </c>
    </row>
    <row r="330" spans="1:6">
      <c r="A330" s="18" t="s">
        <v>79</v>
      </c>
      <c r="B330">
        <v>2014</v>
      </c>
      <c r="C330" t="s">
        <v>131</v>
      </c>
      <c r="D330">
        <v>1</v>
      </c>
      <c r="E330" s="18" t="s">
        <v>30</v>
      </c>
      <c r="F330" s="18" t="s">
        <v>113</v>
      </c>
    </row>
    <row r="331" spans="1:6">
      <c r="A331" s="18" t="s">
        <v>79</v>
      </c>
      <c r="B331">
        <v>2014</v>
      </c>
      <c r="C331" t="s">
        <v>131</v>
      </c>
      <c r="D331">
        <v>1</v>
      </c>
      <c r="E331" s="18" t="s">
        <v>30</v>
      </c>
      <c r="F331" s="18" t="s">
        <v>114</v>
      </c>
    </row>
    <row r="332" spans="1:6">
      <c r="A332" s="18" t="s">
        <v>79</v>
      </c>
      <c r="B332">
        <v>2014</v>
      </c>
      <c r="C332" t="s">
        <v>131</v>
      </c>
      <c r="D332">
        <v>1</v>
      </c>
      <c r="E332" s="18" t="s">
        <v>29</v>
      </c>
      <c r="F332" s="18" t="s">
        <v>80</v>
      </c>
    </row>
    <row r="333" spans="1:6">
      <c r="A333" s="18" t="s">
        <v>79</v>
      </c>
      <c r="B333">
        <v>2014</v>
      </c>
      <c r="C333" t="s">
        <v>131</v>
      </c>
      <c r="D333">
        <v>1</v>
      </c>
      <c r="E333" s="18" t="s">
        <v>29</v>
      </c>
      <c r="F333" s="18" t="s">
        <v>108</v>
      </c>
    </row>
    <row r="334" spans="1:6">
      <c r="A334" s="18" t="s">
        <v>79</v>
      </c>
      <c r="B334">
        <v>2014</v>
      </c>
      <c r="C334" t="s">
        <v>131</v>
      </c>
      <c r="D334">
        <v>1</v>
      </c>
      <c r="E334" s="18" t="s">
        <v>29</v>
      </c>
      <c r="F334" s="18" t="s">
        <v>112</v>
      </c>
    </row>
    <row r="335" spans="1:6">
      <c r="A335" s="18" t="s">
        <v>79</v>
      </c>
      <c r="B335">
        <v>2014</v>
      </c>
      <c r="C335" t="s">
        <v>131</v>
      </c>
      <c r="D335">
        <v>1</v>
      </c>
      <c r="E335" s="18" t="s">
        <v>29</v>
      </c>
      <c r="F335" s="18" t="s">
        <v>113</v>
      </c>
    </row>
    <row r="336" spans="1:6">
      <c r="A336" s="18" t="s">
        <v>79</v>
      </c>
      <c r="B336">
        <v>2014</v>
      </c>
      <c r="C336" t="s">
        <v>131</v>
      </c>
      <c r="D336">
        <v>1</v>
      </c>
      <c r="E336" s="18" t="s">
        <v>29</v>
      </c>
      <c r="F336" s="18" t="s">
        <v>114</v>
      </c>
    </row>
    <row r="337" spans="1:6">
      <c r="A337" s="18" t="s">
        <v>79</v>
      </c>
      <c r="B337">
        <v>2014</v>
      </c>
      <c r="C337" t="s">
        <v>131</v>
      </c>
      <c r="D337">
        <v>1</v>
      </c>
      <c r="E337" s="18" t="s">
        <v>22</v>
      </c>
      <c r="F337" s="18" t="s">
        <v>80</v>
      </c>
    </row>
    <row r="338" spans="1:6">
      <c r="A338" s="18" t="s">
        <v>79</v>
      </c>
      <c r="B338">
        <v>2014</v>
      </c>
      <c r="C338" t="s">
        <v>131</v>
      </c>
      <c r="D338">
        <v>1</v>
      </c>
      <c r="E338" s="18" t="s">
        <v>22</v>
      </c>
      <c r="F338" s="18" t="s">
        <v>108</v>
      </c>
    </row>
    <row r="339" spans="1:6">
      <c r="A339" s="18" t="s">
        <v>79</v>
      </c>
      <c r="B339">
        <v>2014</v>
      </c>
      <c r="C339" t="s">
        <v>131</v>
      </c>
      <c r="D339">
        <v>1</v>
      </c>
      <c r="E339" s="18" t="s">
        <v>22</v>
      </c>
      <c r="F339" s="18" t="s">
        <v>112</v>
      </c>
    </row>
    <row r="340" spans="1:6">
      <c r="A340" s="18" t="s">
        <v>79</v>
      </c>
      <c r="B340">
        <v>2014</v>
      </c>
      <c r="C340" t="s">
        <v>131</v>
      </c>
      <c r="D340">
        <v>1</v>
      </c>
      <c r="E340" s="18" t="s">
        <v>22</v>
      </c>
      <c r="F340" s="18" t="s">
        <v>113</v>
      </c>
    </row>
    <row r="341" spans="1:6">
      <c r="A341" s="18" t="s">
        <v>79</v>
      </c>
      <c r="B341">
        <v>2014</v>
      </c>
      <c r="C341" t="s">
        <v>131</v>
      </c>
      <c r="D341">
        <v>1</v>
      </c>
      <c r="E341" s="18" t="s">
        <v>22</v>
      </c>
      <c r="F341" s="18" t="s">
        <v>114</v>
      </c>
    </row>
    <row r="342" spans="1:6">
      <c r="A342" s="18" t="s">
        <v>79</v>
      </c>
      <c r="B342">
        <v>2014</v>
      </c>
      <c r="C342" t="s">
        <v>131</v>
      </c>
      <c r="D342">
        <v>1</v>
      </c>
      <c r="E342" s="18" t="s">
        <v>16</v>
      </c>
      <c r="F342" s="18" t="s">
        <v>80</v>
      </c>
    </row>
    <row r="343" spans="1:6">
      <c r="A343" s="18" t="s">
        <v>79</v>
      </c>
      <c r="B343">
        <v>2014</v>
      </c>
      <c r="C343" t="s">
        <v>131</v>
      </c>
      <c r="D343">
        <v>1</v>
      </c>
      <c r="E343" s="18" t="s">
        <v>16</v>
      </c>
      <c r="F343" s="18" t="s">
        <v>108</v>
      </c>
    </row>
    <row r="344" spans="1:6">
      <c r="A344" s="18" t="s">
        <v>79</v>
      </c>
      <c r="B344">
        <v>2014</v>
      </c>
      <c r="C344" t="s">
        <v>131</v>
      </c>
      <c r="D344">
        <v>1</v>
      </c>
      <c r="E344" s="18" t="s">
        <v>16</v>
      </c>
      <c r="F344" s="18" t="s">
        <v>112</v>
      </c>
    </row>
    <row r="345" spans="1:6">
      <c r="A345" s="18" t="s">
        <v>79</v>
      </c>
      <c r="B345">
        <v>2014</v>
      </c>
      <c r="C345" t="s">
        <v>131</v>
      </c>
      <c r="D345">
        <v>1</v>
      </c>
      <c r="E345" s="18" t="s">
        <v>16</v>
      </c>
      <c r="F345" s="18" t="s">
        <v>113</v>
      </c>
    </row>
    <row r="346" spans="1:6">
      <c r="A346" s="18" t="s">
        <v>79</v>
      </c>
      <c r="B346">
        <v>2014</v>
      </c>
      <c r="C346" t="s">
        <v>131</v>
      </c>
      <c r="D346">
        <v>1</v>
      </c>
      <c r="E346" s="18" t="s">
        <v>16</v>
      </c>
      <c r="F346" s="18" t="s">
        <v>114</v>
      </c>
    </row>
    <row r="347" spans="1:6">
      <c r="A347" s="18" t="s">
        <v>79</v>
      </c>
      <c r="B347">
        <v>2014</v>
      </c>
      <c r="C347" t="s">
        <v>131</v>
      </c>
      <c r="D347">
        <v>1</v>
      </c>
      <c r="E347" s="18" t="s">
        <v>32</v>
      </c>
      <c r="F347" s="18" t="s">
        <v>80</v>
      </c>
    </row>
    <row r="348" spans="1:6">
      <c r="A348" s="18" t="s">
        <v>79</v>
      </c>
      <c r="B348">
        <v>2014</v>
      </c>
      <c r="C348" t="s">
        <v>131</v>
      </c>
      <c r="D348">
        <v>1</v>
      </c>
      <c r="E348" s="18" t="s">
        <v>32</v>
      </c>
      <c r="F348" s="18" t="s">
        <v>108</v>
      </c>
    </row>
    <row r="349" spans="1:6">
      <c r="A349" s="18" t="s">
        <v>79</v>
      </c>
      <c r="B349">
        <v>2014</v>
      </c>
      <c r="C349" t="s">
        <v>131</v>
      </c>
      <c r="D349">
        <v>1</v>
      </c>
      <c r="E349" s="18" t="s">
        <v>32</v>
      </c>
      <c r="F349" s="18" t="s">
        <v>112</v>
      </c>
    </row>
    <row r="350" spans="1:6">
      <c r="A350" s="18" t="s">
        <v>79</v>
      </c>
      <c r="B350">
        <v>2014</v>
      </c>
      <c r="C350" t="s">
        <v>131</v>
      </c>
      <c r="D350">
        <v>1</v>
      </c>
      <c r="E350" s="18" t="s">
        <v>32</v>
      </c>
      <c r="F350" s="18" t="s">
        <v>113</v>
      </c>
    </row>
    <row r="351" spans="1:6">
      <c r="A351" s="18" t="s">
        <v>79</v>
      </c>
      <c r="B351">
        <v>2014</v>
      </c>
      <c r="C351" t="s">
        <v>131</v>
      </c>
      <c r="D351">
        <v>1</v>
      </c>
      <c r="E351" s="18" t="s">
        <v>32</v>
      </c>
      <c r="F351" s="18" t="s">
        <v>114</v>
      </c>
    </row>
    <row r="352" spans="1:6">
      <c r="A352" s="18" t="s">
        <v>68</v>
      </c>
      <c r="B352">
        <v>2014</v>
      </c>
      <c r="C352" t="s">
        <v>132</v>
      </c>
      <c r="D352">
        <v>1</v>
      </c>
      <c r="E352" s="18" t="s">
        <v>30</v>
      </c>
      <c r="F352" s="18" t="s">
        <v>80</v>
      </c>
    </row>
    <row r="353" spans="1:6">
      <c r="A353" s="18" t="s">
        <v>68</v>
      </c>
      <c r="B353">
        <v>2014</v>
      </c>
      <c r="C353" t="s">
        <v>132</v>
      </c>
      <c r="D353">
        <v>1</v>
      </c>
      <c r="E353" s="18" t="s">
        <v>30</v>
      </c>
      <c r="F353" s="18" t="s">
        <v>108</v>
      </c>
    </row>
    <row r="354" spans="1:6">
      <c r="A354" s="18" t="s">
        <v>68</v>
      </c>
      <c r="B354">
        <v>2014</v>
      </c>
      <c r="C354" t="s">
        <v>132</v>
      </c>
      <c r="D354">
        <v>1</v>
      </c>
      <c r="E354" s="18" t="s">
        <v>30</v>
      </c>
      <c r="F354" s="18" t="s">
        <v>112</v>
      </c>
    </row>
    <row r="355" spans="1:6">
      <c r="A355" s="18" t="s">
        <v>68</v>
      </c>
      <c r="B355">
        <v>2014</v>
      </c>
      <c r="C355" t="s">
        <v>132</v>
      </c>
      <c r="D355">
        <v>1</v>
      </c>
      <c r="E355" s="18" t="s">
        <v>30</v>
      </c>
      <c r="F355" s="18" t="s">
        <v>113</v>
      </c>
    </row>
    <row r="356" spans="1:6">
      <c r="A356" s="18" t="s">
        <v>68</v>
      </c>
      <c r="B356">
        <v>2014</v>
      </c>
      <c r="C356" t="s">
        <v>132</v>
      </c>
      <c r="D356">
        <v>1</v>
      </c>
      <c r="E356" s="18" t="s">
        <v>30</v>
      </c>
      <c r="F356" s="18" t="s">
        <v>114</v>
      </c>
    </row>
    <row r="357" spans="1:6">
      <c r="A357" s="18" t="s">
        <v>68</v>
      </c>
      <c r="B357">
        <v>2014</v>
      </c>
      <c r="C357" t="s">
        <v>132</v>
      </c>
      <c r="D357">
        <v>1</v>
      </c>
      <c r="E357" s="18" t="s">
        <v>29</v>
      </c>
      <c r="F357" s="18" t="s">
        <v>80</v>
      </c>
    </row>
    <row r="358" spans="1:6">
      <c r="A358" s="18" t="s">
        <v>68</v>
      </c>
      <c r="B358">
        <v>2014</v>
      </c>
      <c r="C358" t="s">
        <v>132</v>
      </c>
      <c r="D358">
        <v>1</v>
      </c>
      <c r="E358" s="18" t="s">
        <v>29</v>
      </c>
      <c r="F358" s="18" t="s">
        <v>108</v>
      </c>
    </row>
    <row r="359" spans="1:6">
      <c r="A359" s="18" t="s">
        <v>68</v>
      </c>
      <c r="B359">
        <v>2014</v>
      </c>
      <c r="C359" t="s">
        <v>132</v>
      </c>
      <c r="D359">
        <v>1</v>
      </c>
      <c r="E359" s="18" t="s">
        <v>29</v>
      </c>
      <c r="F359" s="18" t="s">
        <v>112</v>
      </c>
    </row>
    <row r="360" spans="1:6">
      <c r="A360" s="18" t="s">
        <v>68</v>
      </c>
      <c r="B360">
        <v>2014</v>
      </c>
      <c r="C360" t="s">
        <v>132</v>
      </c>
      <c r="D360">
        <v>1</v>
      </c>
      <c r="E360" s="18" t="s">
        <v>29</v>
      </c>
      <c r="F360" s="18" t="s">
        <v>113</v>
      </c>
    </row>
    <row r="361" spans="1:6">
      <c r="A361" s="18" t="s">
        <v>68</v>
      </c>
      <c r="B361">
        <v>2014</v>
      </c>
      <c r="C361" t="s">
        <v>132</v>
      </c>
      <c r="D361">
        <v>1</v>
      </c>
      <c r="E361" s="18" t="s">
        <v>29</v>
      </c>
      <c r="F361" s="18" t="s">
        <v>114</v>
      </c>
    </row>
    <row r="362" spans="1:6">
      <c r="A362" s="18" t="s">
        <v>68</v>
      </c>
      <c r="B362">
        <v>2014</v>
      </c>
      <c r="C362" t="s">
        <v>132</v>
      </c>
      <c r="D362">
        <v>1</v>
      </c>
      <c r="E362" s="18" t="s">
        <v>22</v>
      </c>
      <c r="F362" s="18" t="s">
        <v>80</v>
      </c>
    </row>
    <row r="363" spans="1:6">
      <c r="A363" s="18" t="s">
        <v>68</v>
      </c>
      <c r="B363">
        <v>2014</v>
      </c>
      <c r="C363" t="s">
        <v>132</v>
      </c>
      <c r="D363">
        <v>1</v>
      </c>
      <c r="E363" s="18" t="s">
        <v>22</v>
      </c>
      <c r="F363" s="18" t="s">
        <v>108</v>
      </c>
    </row>
    <row r="364" spans="1:6">
      <c r="A364" s="18" t="s">
        <v>68</v>
      </c>
      <c r="B364">
        <v>2014</v>
      </c>
      <c r="C364" t="s">
        <v>132</v>
      </c>
      <c r="D364">
        <v>1</v>
      </c>
      <c r="E364" s="18" t="s">
        <v>22</v>
      </c>
      <c r="F364" s="18" t="s">
        <v>112</v>
      </c>
    </row>
    <row r="365" spans="1:6">
      <c r="A365" s="18" t="s">
        <v>68</v>
      </c>
      <c r="B365">
        <v>2014</v>
      </c>
      <c r="C365" t="s">
        <v>132</v>
      </c>
      <c r="D365">
        <v>1</v>
      </c>
      <c r="E365" s="18" t="s">
        <v>22</v>
      </c>
      <c r="F365" s="18" t="s">
        <v>113</v>
      </c>
    </row>
    <row r="366" spans="1:6">
      <c r="A366" s="18" t="s">
        <v>68</v>
      </c>
      <c r="B366">
        <v>2014</v>
      </c>
      <c r="C366" t="s">
        <v>132</v>
      </c>
      <c r="D366">
        <v>1</v>
      </c>
      <c r="E366" s="18" t="s">
        <v>22</v>
      </c>
      <c r="F366" s="18" t="s">
        <v>114</v>
      </c>
    </row>
    <row r="367" spans="1:6">
      <c r="A367" s="18" t="s">
        <v>68</v>
      </c>
      <c r="B367">
        <v>2014</v>
      </c>
      <c r="C367" t="s">
        <v>132</v>
      </c>
      <c r="D367">
        <v>1</v>
      </c>
      <c r="E367" s="18" t="s">
        <v>16</v>
      </c>
      <c r="F367" s="18" t="s">
        <v>80</v>
      </c>
    </row>
    <row r="368" spans="1:6">
      <c r="A368" s="18" t="s">
        <v>68</v>
      </c>
      <c r="B368">
        <v>2014</v>
      </c>
      <c r="C368" t="s">
        <v>132</v>
      </c>
      <c r="D368">
        <v>1</v>
      </c>
      <c r="E368" s="18" t="s">
        <v>16</v>
      </c>
      <c r="F368" s="18" t="s">
        <v>108</v>
      </c>
    </row>
    <row r="369" spans="1:6">
      <c r="A369" s="18" t="s">
        <v>68</v>
      </c>
      <c r="B369">
        <v>2014</v>
      </c>
      <c r="C369" t="s">
        <v>132</v>
      </c>
      <c r="D369">
        <v>1</v>
      </c>
      <c r="E369" s="18" t="s">
        <v>16</v>
      </c>
      <c r="F369" s="18" t="s">
        <v>112</v>
      </c>
    </row>
    <row r="370" spans="1:6">
      <c r="A370" s="18" t="s">
        <v>68</v>
      </c>
      <c r="B370">
        <v>2014</v>
      </c>
      <c r="C370" t="s">
        <v>132</v>
      </c>
      <c r="D370">
        <v>1</v>
      </c>
      <c r="E370" s="18" t="s">
        <v>16</v>
      </c>
      <c r="F370" s="18" t="s">
        <v>113</v>
      </c>
    </row>
    <row r="371" spans="1:6">
      <c r="A371" s="18" t="s">
        <v>68</v>
      </c>
      <c r="B371">
        <v>2014</v>
      </c>
      <c r="C371" t="s">
        <v>132</v>
      </c>
      <c r="D371">
        <v>1</v>
      </c>
      <c r="E371" s="18" t="s">
        <v>16</v>
      </c>
      <c r="F371" s="18" t="s">
        <v>114</v>
      </c>
    </row>
    <row r="372" spans="1:6">
      <c r="A372" s="18" t="s">
        <v>68</v>
      </c>
      <c r="B372">
        <v>2014</v>
      </c>
      <c r="C372" t="s">
        <v>132</v>
      </c>
      <c r="D372">
        <v>1</v>
      </c>
      <c r="E372" s="18" t="s">
        <v>32</v>
      </c>
      <c r="F372" s="18" t="s">
        <v>80</v>
      </c>
    </row>
    <row r="373" spans="1:6">
      <c r="A373" s="18" t="s">
        <v>68</v>
      </c>
      <c r="B373">
        <v>2014</v>
      </c>
      <c r="C373" t="s">
        <v>132</v>
      </c>
      <c r="D373">
        <v>1</v>
      </c>
      <c r="E373" s="18" t="s">
        <v>32</v>
      </c>
      <c r="F373" s="18" t="s">
        <v>108</v>
      </c>
    </row>
    <row r="374" spans="1:6">
      <c r="A374" s="18" t="s">
        <v>68</v>
      </c>
      <c r="B374">
        <v>2014</v>
      </c>
      <c r="C374" t="s">
        <v>132</v>
      </c>
      <c r="D374">
        <v>1</v>
      </c>
      <c r="E374" s="18" t="s">
        <v>32</v>
      </c>
      <c r="F374" s="18" t="s">
        <v>112</v>
      </c>
    </row>
    <row r="375" spans="1:6">
      <c r="A375" s="18" t="s">
        <v>68</v>
      </c>
      <c r="B375">
        <v>2014</v>
      </c>
      <c r="C375" t="s">
        <v>132</v>
      </c>
      <c r="D375">
        <v>1</v>
      </c>
      <c r="E375" s="18" t="s">
        <v>32</v>
      </c>
      <c r="F375" s="18" t="s">
        <v>113</v>
      </c>
    </row>
    <row r="376" spans="1:6">
      <c r="A376" s="18" t="s">
        <v>68</v>
      </c>
      <c r="B376">
        <v>2014</v>
      </c>
      <c r="C376" t="s">
        <v>132</v>
      </c>
      <c r="D376">
        <v>1</v>
      </c>
      <c r="E376" s="18" t="s">
        <v>32</v>
      </c>
      <c r="F376" s="18" t="s">
        <v>114</v>
      </c>
    </row>
    <row r="377" spans="1:6">
      <c r="A377" s="18" t="s">
        <v>69</v>
      </c>
      <c r="B377">
        <v>2014</v>
      </c>
      <c r="C377" t="s">
        <v>133</v>
      </c>
      <c r="D377">
        <v>1</v>
      </c>
      <c r="E377" s="18" t="s">
        <v>30</v>
      </c>
      <c r="F377" s="18" t="s">
        <v>80</v>
      </c>
    </row>
    <row r="378" spans="1:6">
      <c r="A378" s="18" t="s">
        <v>69</v>
      </c>
      <c r="B378">
        <v>2014</v>
      </c>
      <c r="C378" t="s">
        <v>133</v>
      </c>
      <c r="D378">
        <v>1</v>
      </c>
      <c r="E378" s="18" t="s">
        <v>30</v>
      </c>
      <c r="F378" s="18" t="s">
        <v>108</v>
      </c>
    </row>
    <row r="379" spans="1:6">
      <c r="A379" s="18" t="s">
        <v>69</v>
      </c>
      <c r="B379">
        <v>2014</v>
      </c>
      <c r="C379" t="s">
        <v>133</v>
      </c>
      <c r="D379">
        <v>1</v>
      </c>
      <c r="E379" s="18" t="s">
        <v>30</v>
      </c>
      <c r="F379" s="18" t="s">
        <v>112</v>
      </c>
    </row>
    <row r="380" spans="1:6">
      <c r="A380" s="18" t="s">
        <v>69</v>
      </c>
      <c r="B380">
        <v>2014</v>
      </c>
      <c r="C380" t="s">
        <v>133</v>
      </c>
      <c r="D380">
        <v>1</v>
      </c>
      <c r="E380" s="18" t="s">
        <v>30</v>
      </c>
      <c r="F380" s="18" t="s">
        <v>113</v>
      </c>
    </row>
    <row r="381" spans="1:6">
      <c r="A381" s="18" t="s">
        <v>69</v>
      </c>
      <c r="B381">
        <v>2014</v>
      </c>
      <c r="C381" t="s">
        <v>133</v>
      </c>
      <c r="D381">
        <v>1</v>
      </c>
      <c r="E381" s="18" t="s">
        <v>30</v>
      </c>
      <c r="F381" s="18" t="s">
        <v>114</v>
      </c>
    </row>
    <row r="382" spans="1:6">
      <c r="A382" s="18" t="s">
        <v>69</v>
      </c>
      <c r="B382">
        <v>2014</v>
      </c>
      <c r="C382" t="s">
        <v>133</v>
      </c>
      <c r="D382">
        <v>1</v>
      </c>
      <c r="E382" s="18" t="s">
        <v>29</v>
      </c>
      <c r="F382" s="18" t="s">
        <v>80</v>
      </c>
    </row>
    <row r="383" spans="1:6">
      <c r="A383" s="18" t="s">
        <v>69</v>
      </c>
      <c r="B383">
        <v>2014</v>
      </c>
      <c r="C383" t="s">
        <v>133</v>
      </c>
      <c r="D383">
        <v>1</v>
      </c>
      <c r="E383" s="18" t="s">
        <v>29</v>
      </c>
      <c r="F383" s="18" t="s">
        <v>108</v>
      </c>
    </row>
    <row r="384" spans="1:6">
      <c r="A384" s="18" t="s">
        <v>69</v>
      </c>
      <c r="B384">
        <v>2014</v>
      </c>
      <c r="C384" t="s">
        <v>133</v>
      </c>
      <c r="D384">
        <v>1</v>
      </c>
      <c r="E384" s="18" t="s">
        <v>29</v>
      </c>
      <c r="F384" s="18" t="s">
        <v>112</v>
      </c>
    </row>
    <row r="385" spans="1:6">
      <c r="A385" s="18" t="s">
        <v>69</v>
      </c>
      <c r="B385">
        <v>2014</v>
      </c>
      <c r="C385" t="s">
        <v>133</v>
      </c>
      <c r="D385">
        <v>1</v>
      </c>
      <c r="E385" s="18" t="s">
        <v>29</v>
      </c>
      <c r="F385" s="18" t="s">
        <v>113</v>
      </c>
    </row>
    <row r="386" spans="1:6">
      <c r="A386" s="18" t="s">
        <v>69</v>
      </c>
      <c r="B386">
        <v>2014</v>
      </c>
      <c r="C386" t="s">
        <v>133</v>
      </c>
      <c r="D386">
        <v>1</v>
      </c>
      <c r="E386" s="18" t="s">
        <v>29</v>
      </c>
      <c r="F386" s="18" t="s">
        <v>114</v>
      </c>
    </row>
    <row r="387" spans="1:6">
      <c r="A387" s="18" t="s">
        <v>69</v>
      </c>
      <c r="B387">
        <v>2014</v>
      </c>
      <c r="C387" t="s">
        <v>133</v>
      </c>
      <c r="D387">
        <v>1</v>
      </c>
      <c r="E387" s="18" t="s">
        <v>22</v>
      </c>
      <c r="F387" s="18" t="s">
        <v>80</v>
      </c>
    </row>
    <row r="388" spans="1:6">
      <c r="A388" s="18" t="s">
        <v>69</v>
      </c>
      <c r="B388">
        <v>2014</v>
      </c>
      <c r="C388" t="s">
        <v>133</v>
      </c>
      <c r="D388">
        <v>1</v>
      </c>
      <c r="E388" s="18" t="s">
        <v>22</v>
      </c>
      <c r="F388" s="18" t="s">
        <v>108</v>
      </c>
    </row>
    <row r="389" spans="1:6">
      <c r="A389" s="18" t="s">
        <v>69</v>
      </c>
      <c r="B389">
        <v>2014</v>
      </c>
      <c r="C389" t="s">
        <v>133</v>
      </c>
      <c r="D389">
        <v>1</v>
      </c>
      <c r="E389" s="18" t="s">
        <v>22</v>
      </c>
      <c r="F389" s="18" t="s">
        <v>112</v>
      </c>
    </row>
    <row r="390" spans="1:6">
      <c r="A390" s="18" t="s">
        <v>69</v>
      </c>
      <c r="B390">
        <v>2014</v>
      </c>
      <c r="C390" t="s">
        <v>133</v>
      </c>
      <c r="D390">
        <v>1</v>
      </c>
      <c r="E390" s="18" t="s">
        <v>22</v>
      </c>
      <c r="F390" s="18" t="s">
        <v>113</v>
      </c>
    </row>
    <row r="391" spans="1:6">
      <c r="A391" s="18" t="s">
        <v>69</v>
      </c>
      <c r="B391">
        <v>2014</v>
      </c>
      <c r="C391" t="s">
        <v>133</v>
      </c>
      <c r="D391">
        <v>1</v>
      </c>
      <c r="E391" s="18" t="s">
        <v>22</v>
      </c>
      <c r="F391" s="18" t="s">
        <v>114</v>
      </c>
    </row>
    <row r="392" spans="1:6">
      <c r="A392" s="18" t="s">
        <v>69</v>
      </c>
      <c r="B392">
        <v>2014</v>
      </c>
      <c r="C392" t="s">
        <v>133</v>
      </c>
      <c r="D392">
        <v>1</v>
      </c>
      <c r="E392" s="18" t="s">
        <v>16</v>
      </c>
      <c r="F392" s="18" t="s">
        <v>80</v>
      </c>
    </row>
    <row r="393" spans="1:6">
      <c r="A393" s="18" t="s">
        <v>69</v>
      </c>
      <c r="B393">
        <v>2014</v>
      </c>
      <c r="C393" t="s">
        <v>133</v>
      </c>
      <c r="D393">
        <v>1</v>
      </c>
      <c r="E393" s="18" t="s">
        <v>16</v>
      </c>
      <c r="F393" s="18" t="s">
        <v>108</v>
      </c>
    </row>
    <row r="394" spans="1:6">
      <c r="A394" s="18" t="s">
        <v>69</v>
      </c>
      <c r="B394">
        <v>2014</v>
      </c>
      <c r="C394" t="s">
        <v>133</v>
      </c>
      <c r="D394">
        <v>1</v>
      </c>
      <c r="E394" s="18" t="s">
        <v>16</v>
      </c>
      <c r="F394" s="18" t="s">
        <v>112</v>
      </c>
    </row>
    <row r="395" spans="1:6">
      <c r="A395" s="18" t="s">
        <v>69</v>
      </c>
      <c r="B395">
        <v>2014</v>
      </c>
      <c r="C395" t="s">
        <v>133</v>
      </c>
      <c r="D395">
        <v>1</v>
      </c>
      <c r="E395" s="18" t="s">
        <v>16</v>
      </c>
      <c r="F395" s="18" t="s">
        <v>113</v>
      </c>
    </row>
    <row r="396" spans="1:6">
      <c r="A396" s="18" t="s">
        <v>69</v>
      </c>
      <c r="B396">
        <v>2014</v>
      </c>
      <c r="C396" t="s">
        <v>133</v>
      </c>
      <c r="D396">
        <v>1</v>
      </c>
      <c r="E396" s="18" t="s">
        <v>16</v>
      </c>
      <c r="F396" s="18" t="s">
        <v>114</v>
      </c>
    </row>
    <row r="397" spans="1:6">
      <c r="A397" s="18" t="s">
        <v>69</v>
      </c>
      <c r="B397">
        <v>2014</v>
      </c>
      <c r="C397" t="s">
        <v>133</v>
      </c>
      <c r="D397">
        <v>1</v>
      </c>
      <c r="E397" s="18" t="s">
        <v>32</v>
      </c>
      <c r="F397" s="18" t="s">
        <v>80</v>
      </c>
    </row>
    <row r="398" spans="1:6">
      <c r="A398" s="18" t="s">
        <v>69</v>
      </c>
      <c r="B398">
        <v>2014</v>
      </c>
      <c r="C398" t="s">
        <v>133</v>
      </c>
      <c r="D398">
        <v>1</v>
      </c>
      <c r="E398" s="18" t="s">
        <v>32</v>
      </c>
      <c r="F398" s="18" t="s">
        <v>108</v>
      </c>
    </row>
    <row r="399" spans="1:6">
      <c r="A399" s="18" t="s">
        <v>69</v>
      </c>
      <c r="B399">
        <v>2014</v>
      </c>
      <c r="C399" t="s">
        <v>133</v>
      </c>
      <c r="D399">
        <v>1</v>
      </c>
      <c r="E399" s="18" t="s">
        <v>32</v>
      </c>
      <c r="F399" s="18" t="s">
        <v>112</v>
      </c>
    </row>
    <row r="400" spans="1:6">
      <c r="A400" s="18" t="s">
        <v>69</v>
      </c>
      <c r="B400">
        <v>2014</v>
      </c>
      <c r="C400" t="s">
        <v>133</v>
      </c>
      <c r="D400">
        <v>1</v>
      </c>
      <c r="E400" s="18" t="s">
        <v>32</v>
      </c>
      <c r="F400" s="18" t="s">
        <v>113</v>
      </c>
    </row>
    <row r="401" spans="1:6">
      <c r="A401" s="18" t="s">
        <v>69</v>
      </c>
      <c r="B401">
        <v>2014</v>
      </c>
      <c r="C401" t="s">
        <v>133</v>
      </c>
      <c r="D401">
        <v>1</v>
      </c>
      <c r="E401" s="18" t="s">
        <v>32</v>
      </c>
      <c r="F401" s="18" t="s">
        <v>114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B1987-15EF-4707-B2C8-FFBC654B4DC7}">
  <dimension ref="A1:E81"/>
  <sheetViews>
    <sheetView workbookViewId="0"/>
  </sheetViews>
  <sheetFormatPr defaultRowHeight="14.4"/>
  <cols>
    <col min="1" max="1" width="9.77734375" bestFit="1" customWidth="1"/>
    <col min="2" max="2" width="6.88671875" bestFit="1" customWidth="1"/>
    <col min="3" max="3" width="14.21875" bestFit="1" customWidth="1"/>
    <col min="4" max="4" width="6.21875" bestFit="1" customWidth="1"/>
    <col min="5" max="5" width="15" bestFit="1" customWidth="1"/>
  </cols>
  <sheetData>
    <row r="1" spans="1:5">
      <c r="A1" t="s">
        <v>63</v>
      </c>
      <c r="B1" t="s">
        <v>15</v>
      </c>
      <c r="C1" t="s">
        <v>116</v>
      </c>
      <c r="D1" t="s">
        <v>117</v>
      </c>
      <c r="E1" t="s">
        <v>0</v>
      </c>
    </row>
    <row r="2" spans="1:5">
      <c r="A2" s="18" t="s">
        <v>70</v>
      </c>
      <c r="B2">
        <v>2013</v>
      </c>
      <c r="C2" t="s">
        <v>118</v>
      </c>
      <c r="D2">
        <v>1</v>
      </c>
      <c r="E2" s="18" t="s">
        <v>30</v>
      </c>
    </row>
    <row r="3" spans="1:5">
      <c r="A3" s="18" t="s">
        <v>70</v>
      </c>
      <c r="B3">
        <v>2013</v>
      </c>
      <c r="C3" t="s">
        <v>118</v>
      </c>
      <c r="D3">
        <v>1</v>
      </c>
      <c r="E3" s="18" t="s">
        <v>29</v>
      </c>
    </row>
    <row r="4" spans="1:5">
      <c r="A4" s="18" t="s">
        <v>70</v>
      </c>
      <c r="B4">
        <v>2013</v>
      </c>
      <c r="C4" t="s">
        <v>118</v>
      </c>
      <c r="D4">
        <v>1</v>
      </c>
      <c r="E4" s="18" t="s">
        <v>22</v>
      </c>
    </row>
    <row r="5" spans="1:5">
      <c r="A5" s="18" t="s">
        <v>70</v>
      </c>
      <c r="B5">
        <v>2013</v>
      </c>
      <c r="C5" t="s">
        <v>118</v>
      </c>
      <c r="D5">
        <v>1</v>
      </c>
      <c r="E5" s="18" t="s">
        <v>16</v>
      </c>
    </row>
    <row r="6" spans="1:5">
      <c r="A6" s="18" t="s">
        <v>70</v>
      </c>
      <c r="B6">
        <v>2013</v>
      </c>
      <c r="C6" t="s">
        <v>118</v>
      </c>
      <c r="D6">
        <v>1</v>
      </c>
      <c r="E6" s="18" t="s">
        <v>32</v>
      </c>
    </row>
    <row r="7" spans="1:5">
      <c r="A7" s="18" t="s">
        <v>35</v>
      </c>
      <c r="B7">
        <v>2013</v>
      </c>
      <c r="C7" t="s">
        <v>119</v>
      </c>
      <c r="D7">
        <v>1</v>
      </c>
      <c r="E7" s="18" t="s">
        <v>30</v>
      </c>
    </row>
    <row r="8" spans="1:5">
      <c r="A8" s="18" t="s">
        <v>35</v>
      </c>
      <c r="B8">
        <v>2013</v>
      </c>
      <c r="C8" t="s">
        <v>119</v>
      </c>
      <c r="D8">
        <v>1</v>
      </c>
      <c r="E8" s="18" t="s">
        <v>29</v>
      </c>
    </row>
    <row r="9" spans="1:5">
      <c r="A9" s="18" t="s">
        <v>35</v>
      </c>
      <c r="B9">
        <v>2013</v>
      </c>
      <c r="C9" t="s">
        <v>119</v>
      </c>
      <c r="D9">
        <v>1</v>
      </c>
      <c r="E9" s="18" t="s">
        <v>22</v>
      </c>
    </row>
    <row r="10" spans="1:5">
      <c r="A10" s="18" t="s">
        <v>35</v>
      </c>
      <c r="B10">
        <v>2013</v>
      </c>
      <c r="C10" t="s">
        <v>119</v>
      </c>
      <c r="D10">
        <v>1</v>
      </c>
      <c r="E10" s="18" t="s">
        <v>16</v>
      </c>
    </row>
    <row r="11" spans="1:5">
      <c r="A11" s="18" t="s">
        <v>35</v>
      </c>
      <c r="B11">
        <v>2013</v>
      </c>
      <c r="C11" t="s">
        <v>119</v>
      </c>
      <c r="D11">
        <v>1</v>
      </c>
      <c r="E11" s="18" t="s">
        <v>32</v>
      </c>
    </row>
    <row r="12" spans="1:5">
      <c r="A12" s="18" t="s">
        <v>68</v>
      </c>
      <c r="B12">
        <v>2013</v>
      </c>
      <c r="C12" t="s">
        <v>120</v>
      </c>
      <c r="D12">
        <v>1</v>
      </c>
      <c r="E12" s="18" t="s">
        <v>30</v>
      </c>
    </row>
    <row r="13" spans="1:5">
      <c r="A13" s="18" t="s">
        <v>68</v>
      </c>
      <c r="B13">
        <v>2013</v>
      </c>
      <c r="C13" t="s">
        <v>120</v>
      </c>
      <c r="D13">
        <v>1</v>
      </c>
      <c r="E13" s="18" t="s">
        <v>29</v>
      </c>
    </row>
    <row r="14" spans="1:5">
      <c r="A14" s="18" t="s">
        <v>68</v>
      </c>
      <c r="B14">
        <v>2013</v>
      </c>
      <c r="C14" t="s">
        <v>120</v>
      </c>
      <c r="D14">
        <v>1</v>
      </c>
      <c r="E14" s="18" t="s">
        <v>22</v>
      </c>
    </row>
    <row r="15" spans="1:5">
      <c r="A15" s="18" t="s">
        <v>68</v>
      </c>
      <c r="B15">
        <v>2013</v>
      </c>
      <c r="C15" t="s">
        <v>120</v>
      </c>
      <c r="D15">
        <v>1</v>
      </c>
      <c r="E15" s="18" t="s">
        <v>16</v>
      </c>
    </row>
    <row r="16" spans="1:5">
      <c r="A16" s="18" t="s">
        <v>68</v>
      </c>
      <c r="B16">
        <v>2013</v>
      </c>
      <c r="C16" t="s">
        <v>120</v>
      </c>
      <c r="D16">
        <v>1</v>
      </c>
      <c r="E16" s="18" t="s">
        <v>32</v>
      </c>
    </row>
    <row r="17" spans="1:5">
      <c r="A17" s="18" t="s">
        <v>69</v>
      </c>
      <c r="B17">
        <v>2013</v>
      </c>
      <c r="C17" t="s">
        <v>121</v>
      </c>
      <c r="D17">
        <v>1</v>
      </c>
      <c r="E17" s="18" t="s">
        <v>30</v>
      </c>
    </row>
    <row r="18" spans="1:5">
      <c r="A18" s="18" t="s">
        <v>69</v>
      </c>
      <c r="B18">
        <v>2013</v>
      </c>
      <c r="C18" t="s">
        <v>121</v>
      </c>
      <c r="D18">
        <v>1</v>
      </c>
      <c r="E18" s="18" t="s">
        <v>29</v>
      </c>
    </row>
    <row r="19" spans="1:5">
      <c r="A19" s="18" t="s">
        <v>69</v>
      </c>
      <c r="B19">
        <v>2013</v>
      </c>
      <c r="C19" t="s">
        <v>121</v>
      </c>
      <c r="D19">
        <v>1</v>
      </c>
      <c r="E19" s="18" t="s">
        <v>22</v>
      </c>
    </row>
    <row r="20" spans="1:5">
      <c r="A20" s="18" t="s">
        <v>69</v>
      </c>
      <c r="B20">
        <v>2013</v>
      </c>
      <c r="C20" t="s">
        <v>121</v>
      </c>
      <c r="D20">
        <v>1</v>
      </c>
      <c r="E20" s="18" t="s">
        <v>16</v>
      </c>
    </row>
    <row r="21" spans="1:5">
      <c r="A21" s="18" t="s">
        <v>69</v>
      </c>
      <c r="B21">
        <v>2013</v>
      </c>
      <c r="C21" t="s">
        <v>121</v>
      </c>
      <c r="D21">
        <v>1</v>
      </c>
      <c r="E21" s="18" t="s">
        <v>32</v>
      </c>
    </row>
    <row r="22" spans="1:5">
      <c r="A22" s="18" t="s">
        <v>71</v>
      </c>
      <c r="B22">
        <v>2014</v>
      </c>
      <c r="C22" t="s">
        <v>122</v>
      </c>
      <c r="D22">
        <v>1</v>
      </c>
      <c r="E22" s="18" t="s">
        <v>30</v>
      </c>
    </row>
    <row r="23" spans="1:5">
      <c r="A23" s="18" t="s">
        <v>71</v>
      </c>
      <c r="B23">
        <v>2014</v>
      </c>
      <c r="C23" t="s">
        <v>122</v>
      </c>
      <c r="D23">
        <v>1</v>
      </c>
      <c r="E23" s="18" t="s">
        <v>29</v>
      </c>
    </row>
    <row r="24" spans="1:5">
      <c r="A24" s="18" t="s">
        <v>71</v>
      </c>
      <c r="B24">
        <v>2014</v>
      </c>
      <c r="C24" t="s">
        <v>122</v>
      </c>
      <c r="D24">
        <v>1</v>
      </c>
      <c r="E24" s="18" t="s">
        <v>22</v>
      </c>
    </row>
    <row r="25" spans="1:5">
      <c r="A25" s="18" t="s">
        <v>71</v>
      </c>
      <c r="B25">
        <v>2014</v>
      </c>
      <c r="C25" t="s">
        <v>122</v>
      </c>
      <c r="D25">
        <v>1</v>
      </c>
      <c r="E25" s="18" t="s">
        <v>16</v>
      </c>
    </row>
    <row r="26" spans="1:5">
      <c r="A26" s="18" t="s">
        <v>71</v>
      </c>
      <c r="B26">
        <v>2014</v>
      </c>
      <c r="C26" t="s">
        <v>122</v>
      </c>
      <c r="D26">
        <v>1</v>
      </c>
      <c r="E26" s="18" t="s">
        <v>32</v>
      </c>
    </row>
    <row r="27" spans="1:5">
      <c r="A27" s="18" t="s">
        <v>72</v>
      </c>
      <c r="B27">
        <v>2014</v>
      </c>
      <c r="C27" t="s">
        <v>123</v>
      </c>
      <c r="D27">
        <v>1</v>
      </c>
      <c r="E27" s="18" t="s">
        <v>30</v>
      </c>
    </row>
    <row r="28" spans="1:5">
      <c r="A28" s="18" t="s">
        <v>72</v>
      </c>
      <c r="B28">
        <v>2014</v>
      </c>
      <c r="C28" t="s">
        <v>123</v>
      </c>
      <c r="D28">
        <v>1</v>
      </c>
      <c r="E28" s="18" t="s">
        <v>29</v>
      </c>
    </row>
    <row r="29" spans="1:5">
      <c r="A29" s="18" t="s">
        <v>72</v>
      </c>
      <c r="B29">
        <v>2014</v>
      </c>
      <c r="C29" t="s">
        <v>123</v>
      </c>
      <c r="D29">
        <v>1</v>
      </c>
      <c r="E29" s="18" t="s">
        <v>22</v>
      </c>
    </row>
    <row r="30" spans="1:5">
      <c r="A30" s="18" t="s">
        <v>72</v>
      </c>
      <c r="B30">
        <v>2014</v>
      </c>
      <c r="C30" t="s">
        <v>123</v>
      </c>
      <c r="D30">
        <v>1</v>
      </c>
      <c r="E30" s="18" t="s">
        <v>16</v>
      </c>
    </row>
    <row r="31" spans="1:5">
      <c r="A31" s="18" t="s">
        <v>72</v>
      </c>
      <c r="B31">
        <v>2014</v>
      </c>
      <c r="C31" t="s">
        <v>123</v>
      </c>
      <c r="D31">
        <v>1</v>
      </c>
      <c r="E31" s="18" t="s">
        <v>32</v>
      </c>
    </row>
    <row r="32" spans="1:5">
      <c r="A32" s="18" t="s">
        <v>73</v>
      </c>
      <c r="B32">
        <v>2014</v>
      </c>
      <c r="C32" t="s">
        <v>124</v>
      </c>
      <c r="D32">
        <v>1</v>
      </c>
      <c r="E32" s="18" t="s">
        <v>30</v>
      </c>
    </row>
    <row r="33" spans="1:5">
      <c r="A33" s="18" t="s">
        <v>73</v>
      </c>
      <c r="B33">
        <v>2014</v>
      </c>
      <c r="C33" t="s">
        <v>124</v>
      </c>
      <c r="D33">
        <v>1</v>
      </c>
      <c r="E33" s="18" t="s">
        <v>29</v>
      </c>
    </row>
    <row r="34" spans="1:5">
      <c r="A34" s="18" t="s">
        <v>73</v>
      </c>
      <c r="B34">
        <v>2014</v>
      </c>
      <c r="C34" t="s">
        <v>124</v>
      </c>
      <c r="D34">
        <v>1</v>
      </c>
      <c r="E34" s="18" t="s">
        <v>22</v>
      </c>
    </row>
    <row r="35" spans="1:5">
      <c r="A35" s="18" t="s">
        <v>73</v>
      </c>
      <c r="B35">
        <v>2014</v>
      </c>
      <c r="C35" t="s">
        <v>124</v>
      </c>
      <c r="D35">
        <v>1</v>
      </c>
      <c r="E35" s="18" t="s">
        <v>16</v>
      </c>
    </row>
    <row r="36" spans="1:5">
      <c r="A36" s="18" t="s">
        <v>73</v>
      </c>
      <c r="B36">
        <v>2014</v>
      </c>
      <c r="C36" t="s">
        <v>124</v>
      </c>
      <c r="D36">
        <v>1</v>
      </c>
      <c r="E36" s="18" t="s">
        <v>32</v>
      </c>
    </row>
    <row r="37" spans="1:5">
      <c r="A37" s="18" t="s">
        <v>74</v>
      </c>
      <c r="B37">
        <v>2014</v>
      </c>
      <c r="C37" t="s">
        <v>125</v>
      </c>
      <c r="D37">
        <v>1</v>
      </c>
      <c r="E37" s="18" t="s">
        <v>30</v>
      </c>
    </row>
    <row r="38" spans="1:5">
      <c r="A38" s="18" t="s">
        <v>74</v>
      </c>
      <c r="B38">
        <v>2014</v>
      </c>
      <c r="C38" t="s">
        <v>125</v>
      </c>
      <c r="D38">
        <v>1</v>
      </c>
      <c r="E38" s="18" t="s">
        <v>29</v>
      </c>
    </row>
    <row r="39" spans="1:5">
      <c r="A39" s="18" t="s">
        <v>74</v>
      </c>
      <c r="B39">
        <v>2014</v>
      </c>
      <c r="C39" t="s">
        <v>125</v>
      </c>
      <c r="D39">
        <v>1</v>
      </c>
      <c r="E39" s="18" t="s">
        <v>22</v>
      </c>
    </row>
    <row r="40" spans="1:5">
      <c r="A40" s="18" t="s">
        <v>74</v>
      </c>
      <c r="B40">
        <v>2014</v>
      </c>
      <c r="C40" t="s">
        <v>125</v>
      </c>
      <c r="D40">
        <v>1</v>
      </c>
      <c r="E40" s="18" t="s">
        <v>16</v>
      </c>
    </row>
    <row r="41" spans="1:5">
      <c r="A41" s="18" t="s">
        <v>74</v>
      </c>
      <c r="B41">
        <v>2014</v>
      </c>
      <c r="C41" t="s">
        <v>125</v>
      </c>
      <c r="D41">
        <v>1</v>
      </c>
      <c r="E41" s="18" t="s">
        <v>32</v>
      </c>
    </row>
    <row r="42" spans="1:5">
      <c r="A42" s="18" t="s">
        <v>75</v>
      </c>
      <c r="B42">
        <v>2014</v>
      </c>
      <c r="C42" t="s">
        <v>126</v>
      </c>
      <c r="D42">
        <v>1</v>
      </c>
      <c r="E42" s="18" t="s">
        <v>30</v>
      </c>
    </row>
    <row r="43" spans="1:5">
      <c r="A43" s="18" t="s">
        <v>75</v>
      </c>
      <c r="B43">
        <v>2014</v>
      </c>
      <c r="C43" t="s">
        <v>126</v>
      </c>
      <c r="D43">
        <v>1</v>
      </c>
      <c r="E43" s="18" t="s">
        <v>29</v>
      </c>
    </row>
    <row r="44" spans="1:5">
      <c r="A44" s="18" t="s">
        <v>75</v>
      </c>
      <c r="B44">
        <v>2014</v>
      </c>
      <c r="C44" t="s">
        <v>126</v>
      </c>
      <c r="D44">
        <v>1</v>
      </c>
      <c r="E44" s="18" t="s">
        <v>22</v>
      </c>
    </row>
    <row r="45" spans="1:5">
      <c r="A45" s="18" t="s">
        <v>75</v>
      </c>
      <c r="B45">
        <v>2014</v>
      </c>
      <c r="C45" t="s">
        <v>126</v>
      </c>
      <c r="D45">
        <v>1</v>
      </c>
      <c r="E45" s="18" t="s">
        <v>16</v>
      </c>
    </row>
    <row r="46" spans="1:5">
      <c r="A46" s="18" t="s">
        <v>75</v>
      </c>
      <c r="B46">
        <v>2014</v>
      </c>
      <c r="C46" t="s">
        <v>126</v>
      </c>
      <c r="D46">
        <v>1</v>
      </c>
      <c r="E46" s="18" t="s">
        <v>32</v>
      </c>
    </row>
    <row r="47" spans="1:5">
      <c r="A47" s="18" t="s">
        <v>76</v>
      </c>
      <c r="B47">
        <v>2014</v>
      </c>
      <c r="C47" t="s">
        <v>127</v>
      </c>
      <c r="D47">
        <v>1</v>
      </c>
      <c r="E47" s="18" t="s">
        <v>30</v>
      </c>
    </row>
    <row r="48" spans="1:5">
      <c r="A48" s="18" t="s">
        <v>76</v>
      </c>
      <c r="B48">
        <v>2014</v>
      </c>
      <c r="C48" t="s">
        <v>127</v>
      </c>
      <c r="D48">
        <v>1</v>
      </c>
      <c r="E48" s="18" t="s">
        <v>29</v>
      </c>
    </row>
    <row r="49" spans="1:5">
      <c r="A49" s="18" t="s">
        <v>76</v>
      </c>
      <c r="B49">
        <v>2014</v>
      </c>
      <c r="C49" t="s">
        <v>127</v>
      </c>
      <c r="D49">
        <v>1</v>
      </c>
      <c r="E49" s="18" t="s">
        <v>22</v>
      </c>
    </row>
    <row r="50" spans="1:5">
      <c r="A50" s="18" t="s">
        <v>76</v>
      </c>
      <c r="B50">
        <v>2014</v>
      </c>
      <c r="C50" t="s">
        <v>127</v>
      </c>
      <c r="D50">
        <v>1</v>
      </c>
      <c r="E50" s="18" t="s">
        <v>16</v>
      </c>
    </row>
    <row r="51" spans="1:5">
      <c r="A51" s="18" t="s">
        <v>76</v>
      </c>
      <c r="B51">
        <v>2014</v>
      </c>
      <c r="C51" t="s">
        <v>127</v>
      </c>
      <c r="D51">
        <v>1</v>
      </c>
      <c r="E51" s="18" t="s">
        <v>32</v>
      </c>
    </row>
    <row r="52" spans="1:5">
      <c r="A52" s="18" t="s">
        <v>77</v>
      </c>
      <c r="B52">
        <v>2014</v>
      </c>
      <c r="C52" t="s">
        <v>128</v>
      </c>
      <c r="D52">
        <v>1</v>
      </c>
      <c r="E52" s="18" t="s">
        <v>30</v>
      </c>
    </row>
    <row r="53" spans="1:5">
      <c r="A53" s="18" t="s">
        <v>77</v>
      </c>
      <c r="B53">
        <v>2014</v>
      </c>
      <c r="C53" t="s">
        <v>128</v>
      </c>
      <c r="D53">
        <v>1</v>
      </c>
      <c r="E53" s="18" t="s">
        <v>29</v>
      </c>
    </row>
    <row r="54" spans="1:5">
      <c r="A54" s="18" t="s">
        <v>77</v>
      </c>
      <c r="B54">
        <v>2014</v>
      </c>
      <c r="C54" t="s">
        <v>128</v>
      </c>
      <c r="D54">
        <v>1</v>
      </c>
      <c r="E54" s="18" t="s">
        <v>22</v>
      </c>
    </row>
    <row r="55" spans="1:5">
      <c r="A55" s="18" t="s">
        <v>77</v>
      </c>
      <c r="B55">
        <v>2014</v>
      </c>
      <c r="C55" t="s">
        <v>128</v>
      </c>
      <c r="D55">
        <v>1</v>
      </c>
      <c r="E55" s="18" t="s">
        <v>16</v>
      </c>
    </row>
    <row r="56" spans="1:5">
      <c r="A56" s="18" t="s">
        <v>77</v>
      </c>
      <c r="B56">
        <v>2014</v>
      </c>
      <c r="C56" t="s">
        <v>128</v>
      </c>
      <c r="D56">
        <v>1</v>
      </c>
      <c r="E56" s="18" t="s">
        <v>32</v>
      </c>
    </row>
    <row r="57" spans="1:5">
      <c r="A57" s="18" t="s">
        <v>78</v>
      </c>
      <c r="B57">
        <v>2014</v>
      </c>
      <c r="C57" t="s">
        <v>129</v>
      </c>
      <c r="D57">
        <v>1</v>
      </c>
      <c r="E57" s="18" t="s">
        <v>30</v>
      </c>
    </row>
    <row r="58" spans="1:5">
      <c r="A58" s="18" t="s">
        <v>78</v>
      </c>
      <c r="B58">
        <v>2014</v>
      </c>
      <c r="C58" t="s">
        <v>129</v>
      </c>
      <c r="D58">
        <v>1</v>
      </c>
      <c r="E58" s="18" t="s">
        <v>29</v>
      </c>
    </row>
    <row r="59" spans="1:5">
      <c r="A59" s="18" t="s">
        <v>78</v>
      </c>
      <c r="B59">
        <v>2014</v>
      </c>
      <c r="C59" t="s">
        <v>129</v>
      </c>
      <c r="D59">
        <v>1</v>
      </c>
      <c r="E59" s="18" t="s">
        <v>22</v>
      </c>
    </row>
    <row r="60" spans="1:5">
      <c r="A60" s="18" t="s">
        <v>78</v>
      </c>
      <c r="B60">
        <v>2014</v>
      </c>
      <c r="C60" t="s">
        <v>129</v>
      </c>
      <c r="D60">
        <v>1</v>
      </c>
      <c r="E60" s="18" t="s">
        <v>16</v>
      </c>
    </row>
    <row r="61" spans="1:5">
      <c r="A61" s="18" t="s">
        <v>78</v>
      </c>
      <c r="B61">
        <v>2014</v>
      </c>
      <c r="C61" t="s">
        <v>129</v>
      </c>
      <c r="D61">
        <v>1</v>
      </c>
      <c r="E61" s="18" t="s">
        <v>32</v>
      </c>
    </row>
    <row r="62" spans="1:5">
      <c r="A62" s="18" t="s">
        <v>70</v>
      </c>
      <c r="B62">
        <v>2014</v>
      </c>
      <c r="C62" t="s">
        <v>130</v>
      </c>
      <c r="D62">
        <v>1</v>
      </c>
      <c r="E62" s="18" t="s">
        <v>30</v>
      </c>
    </row>
    <row r="63" spans="1:5">
      <c r="A63" s="18" t="s">
        <v>70</v>
      </c>
      <c r="B63">
        <v>2014</v>
      </c>
      <c r="C63" t="s">
        <v>130</v>
      </c>
      <c r="D63">
        <v>1</v>
      </c>
      <c r="E63" s="18" t="s">
        <v>29</v>
      </c>
    </row>
    <row r="64" spans="1:5">
      <c r="A64" s="18" t="s">
        <v>70</v>
      </c>
      <c r="B64">
        <v>2014</v>
      </c>
      <c r="C64" t="s">
        <v>130</v>
      </c>
      <c r="D64">
        <v>1</v>
      </c>
      <c r="E64" s="18" t="s">
        <v>22</v>
      </c>
    </row>
    <row r="65" spans="1:5">
      <c r="A65" s="18" t="s">
        <v>70</v>
      </c>
      <c r="B65">
        <v>2014</v>
      </c>
      <c r="C65" t="s">
        <v>130</v>
      </c>
      <c r="D65">
        <v>1</v>
      </c>
      <c r="E65" s="18" t="s">
        <v>16</v>
      </c>
    </row>
    <row r="66" spans="1:5">
      <c r="A66" s="18" t="s">
        <v>70</v>
      </c>
      <c r="B66">
        <v>2014</v>
      </c>
      <c r="C66" t="s">
        <v>130</v>
      </c>
      <c r="D66">
        <v>1</v>
      </c>
      <c r="E66" s="18" t="s">
        <v>32</v>
      </c>
    </row>
    <row r="67" spans="1:5">
      <c r="A67" s="18" t="s">
        <v>79</v>
      </c>
      <c r="B67">
        <v>2014</v>
      </c>
      <c r="C67" t="s">
        <v>131</v>
      </c>
      <c r="D67">
        <v>1</v>
      </c>
      <c r="E67" s="18" t="s">
        <v>30</v>
      </c>
    </row>
    <row r="68" spans="1:5">
      <c r="A68" s="18" t="s">
        <v>79</v>
      </c>
      <c r="B68">
        <v>2014</v>
      </c>
      <c r="C68" t="s">
        <v>131</v>
      </c>
      <c r="D68">
        <v>1</v>
      </c>
      <c r="E68" s="18" t="s">
        <v>29</v>
      </c>
    </row>
    <row r="69" spans="1:5">
      <c r="A69" s="18" t="s">
        <v>79</v>
      </c>
      <c r="B69">
        <v>2014</v>
      </c>
      <c r="C69" t="s">
        <v>131</v>
      </c>
      <c r="D69">
        <v>1</v>
      </c>
      <c r="E69" s="18" t="s">
        <v>22</v>
      </c>
    </row>
    <row r="70" spans="1:5">
      <c r="A70" s="18" t="s">
        <v>79</v>
      </c>
      <c r="B70">
        <v>2014</v>
      </c>
      <c r="C70" t="s">
        <v>131</v>
      </c>
      <c r="D70">
        <v>1</v>
      </c>
      <c r="E70" s="18" t="s">
        <v>16</v>
      </c>
    </row>
    <row r="71" spans="1:5">
      <c r="A71" s="18" t="s">
        <v>79</v>
      </c>
      <c r="B71">
        <v>2014</v>
      </c>
      <c r="C71" t="s">
        <v>131</v>
      </c>
      <c r="D71">
        <v>1</v>
      </c>
      <c r="E71" s="18" t="s">
        <v>32</v>
      </c>
    </row>
    <row r="72" spans="1:5">
      <c r="A72" s="18" t="s">
        <v>68</v>
      </c>
      <c r="B72">
        <v>2014</v>
      </c>
      <c r="C72" t="s">
        <v>132</v>
      </c>
      <c r="D72">
        <v>1</v>
      </c>
      <c r="E72" s="18" t="s">
        <v>30</v>
      </c>
    </row>
    <row r="73" spans="1:5">
      <c r="A73" s="18" t="s">
        <v>68</v>
      </c>
      <c r="B73">
        <v>2014</v>
      </c>
      <c r="C73" t="s">
        <v>132</v>
      </c>
      <c r="D73">
        <v>1</v>
      </c>
      <c r="E73" s="18" t="s">
        <v>29</v>
      </c>
    </row>
    <row r="74" spans="1:5">
      <c r="A74" s="18" t="s">
        <v>68</v>
      </c>
      <c r="B74">
        <v>2014</v>
      </c>
      <c r="C74" t="s">
        <v>132</v>
      </c>
      <c r="D74">
        <v>1</v>
      </c>
      <c r="E74" s="18" t="s">
        <v>22</v>
      </c>
    </row>
    <row r="75" spans="1:5">
      <c r="A75" s="18" t="s">
        <v>68</v>
      </c>
      <c r="B75">
        <v>2014</v>
      </c>
      <c r="C75" t="s">
        <v>132</v>
      </c>
      <c r="D75">
        <v>1</v>
      </c>
      <c r="E75" s="18" t="s">
        <v>16</v>
      </c>
    </row>
    <row r="76" spans="1:5">
      <c r="A76" s="18" t="s">
        <v>68</v>
      </c>
      <c r="B76">
        <v>2014</v>
      </c>
      <c r="C76" t="s">
        <v>132</v>
      </c>
      <c r="D76">
        <v>1</v>
      </c>
      <c r="E76" s="18" t="s">
        <v>32</v>
      </c>
    </row>
    <row r="77" spans="1:5">
      <c r="A77" s="18" t="s">
        <v>69</v>
      </c>
      <c r="B77">
        <v>2014</v>
      </c>
      <c r="C77" t="s">
        <v>133</v>
      </c>
      <c r="D77">
        <v>1</v>
      </c>
      <c r="E77" s="18" t="s">
        <v>30</v>
      </c>
    </row>
    <row r="78" spans="1:5">
      <c r="A78" s="18" t="s">
        <v>69</v>
      </c>
      <c r="B78">
        <v>2014</v>
      </c>
      <c r="C78" t="s">
        <v>133</v>
      </c>
      <c r="D78">
        <v>1</v>
      </c>
      <c r="E78" s="18" t="s">
        <v>29</v>
      </c>
    </row>
    <row r="79" spans="1:5">
      <c r="A79" s="18" t="s">
        <v>69</v>
      </c>
      <c r="B79">
        <v>2014</v>
      </c>
      <c r="C79" t="s">
        <v>133</v>
      </c>
      <c r="D79">
        <v>1</v>
      </c>
      <c r="E79" s="18" t="s">
        <v>22</v>
      </c>
    </row>
    <row r="80" spans="1:5">
      <c r="A80" s="18" t="s">
        <v>69</v>
      </c>
      <c r="B80">
        <v>2014</v>
      </c>
      <c r="C80" t="s">
        <v>133</v>
      </c>
      <c r="D80">
        <v>1</v>
      </c>
      <c r="E80" s="18" t="s">
        <v>16</v>
      </c>
    </row>
    <row r="81" spans="1:5">
      <c r="A81" s="18" t="s">
        <v>69</v>
      </c>
      <c r="B81">
        <v>2014</v>
      </c>
      <c r="C81" t="s">
        <v>133</v>
      </c>
      <c r="D81">
        <v>1</v>
      </c>
      <c r="E81" s="18" t="s">
        <v>32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7F59B-5BCF-4A04-BF10-238BD00C4BAA}">
  <dimension ref="A1:D17"/>
  <sheetViews>
    <sheetView workbookViewId="0">
      <selection activeCell="Q13" sqref="Q13"/>
    </sheetView>
  </sheetViews>
  <sheetFormatPr defaultRowHeight="14.4"/>
  <cols>
    <col min="1" max="1" width="9.77734375" bestFit="1" customWidth="1"/>
    <col min="2" max="2" width="6.88671875" bestFit="1" customWidth="1"/>
    <col min="3" max="3" width="14.21875" bestFit="1" customWidth="1"/>
    <col min="4" max="4" width="6.21875" bestFit="1" customWidth="1"/>
  </cols>
  <sheetData>
    <row r="1" spans="1:4">
      <c r="A1" t="s">
        <v>63</v>
      </c>
      <c r="B1" t="s">
        <v>15</v>
      </c>
      <c r="C1" t="s">
        <v>116</v>
      </c>
      <c r="D1" t="s">
        <v>117</v>
      </c>
    </row>
    <row r="2" spans="1:4">
      <c r="A2" s="18" t="s">
        <v>70</v>
      </c>
      <c r="B2">
        <v>2013</v>
      </c>
      <c r="C2" t="s">
        <v>118</v>
      </c>
      <c r="D2">
        <v>1</v>
      </c>
    </row>
    <row r="3" spans="1:4">
      <c r="A3" s="18" t="s">
        <v>35</v>
      </c>
      <c r="B3">
        <v>2013</v>
      </c>
      <c r="C3" t="s">
        <v>119</v>
      </c>
      <c r="D3">
        <v>1</v>
      </c>
    </row>
    <row r="4" spans="1:4">
      <c r="A4" s="18" t="s">
        <v>68</v>
      </c>
      <c r="B4">
        <v>2013</v>
      </c>
      <c r="C4" t="s">
        <v>120</v>
      </c>
      <c r="D4">
        <v>1</v>
      </c>
    </row>
    <row r="5" spans="1:4">
      <c r="A5" s="18" t="s">
        <v>69</v>
      </c>
      <c r="B5">
        <v>2013</v>
      </c>
      <c r="C5" t="s">
        <v>121</v>
      </c>
      <c r="D5">
        <v>1</v>
      </c>
    </row>
    <row r="6" spans="1:4">
      <c r="A6" s="18" t="s">
        <v>71</v>
      </c>
      <c r="B6">
        <v>2014</v>
      </c>
      <c r="C6" t="s">
        <v>122</v>
      </c>
      <c r="D6">
        <v>1</v>
      </c>
    </row>
    <row r="7" spans="1:4">
      <c r="A7" s="18" t="s">
        <v>72</v>
      </c>
      <c r="B7">
        <v>2014</v>
      </c>
      <c r="C7" t="s">
        <v>123</v>
      </c>
      <c r="D7">
        <v>1</v>
      </c>
    </row>
    <row r="8" spans="1:4">
      <c r="A8" s="18" t="s">
        <v>73</v>
      </c>
      <c r="B8">
        <v>2014</v>
      </c>
      <c r="C8" t="s">
        <v>124</v>
      </c>
      <c r="D8">
        <v>1</v>
      </c>
    </row>
    <row r="9" spans="1:4">
      <c r="A9" s="18" t="s">
        <v>74</v>
      </c>
      <c r="B9">
        <v>2014</v>
      </c>
      <c r="C9" t="s">
        <v>125</v>
      </c>
      <c r="D9">
        <v>1</v>
      </c>
    </row>
    <row r="10" spans="1:4">
      <c r="A10" s="18" t="s">
        <v>75</v>
      </c>
      <c r="B10">
        <v>2014</v>
      </c>
      <c r="C10" t="s">
        <v>126</v>
      </c>
      <c r="D10">
        <v>1</v>
      </c>
    </row>
    <row r="11" spans="1:4">
      <c r="A11" s="18" t="s">
        <v>76</v>
      </c>
      <c r="B11">
        <v>2014</v>
      </c>
      <c r="C11" t="s">
        <v>127</v>
      </c>
      <c r="D11">
        <v>1</v>
      </c>
    </row>
    <row r="12" spans="1:4">
      <c r="A12" s="18" t="s">
        <v>77</v>
      </c>
      <c r="B12">
        <v>2014</v>
      </c>
      <c r="C12" t="s">
        <v>128</v>
      </c>
      <c r="D12">
        <v>1</v>
      </c>
    </row>
    <row r="13" spans="1:4">
      <c r="A13" s="18" t="s">
        <v>78</v>
      </c>
      <c r="B13">
        <v>2014</v>
      </c>
      <c r="C13" t="s">
        <v>129</v>
      </c>
      <c r="D13">
        <v>1</v>
      </c>
    </row>
    <row r="14" spans="1:4">
      <c r="A14" s="18" t="s">
        <v>70</v>
      </c>
      <c r="B14">
        <v>2014</v>
      </c>
      <c r="C14" t="s">
        <v>130</v>
      </c>
      <c r="D14">
        <v>1</v>
      </c>
    </row>
    <row r="15" spans="1:4">
      <c r="A15" s="18" t="s">
        <v>79</v>
      </c>
      <c r="B15">
        <v>2014</v>
      </c>
      <c r="C15" t="s">
        <v>131</v>
      </c>
      <c r="D15">
        <v>1</v>
      </c>
    </row>
    <row r="16" spans="1:4">
      <c r="A16" s="18" t="s">
        <v>68</v>
      </c>
      <c r="B16">
        <v>2014</v>
      </c>
      <c r="C16" t="s">
        <v>132</v>
      </c>
      <c r="D16">
        <v>1</v>
      </c>
    </row>
    <row r="17" spans="1:4">
      <c r="A17" s="18" t="s">
        <v>69</v>
      </c>
      <c r="B17">
        <v>2014</v>
      </c>
      <c r="C17" t="s">
        <v>133</v>
      </c>
      <c r="D17">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3CE3-D53D-43A5-BBA1-85EE5B0FFC59}">
  <dimension ref="A1:B6"/>
  <sheetViews>
    <sheetView workbookViewId="0">
      <selection activeCell="M11" sqref="M11"/>
    </sheetView>
  </sheetViews>
  <sheetFormatPr defaultRowHeight="14.4"/>
  <cols>
    <col min="1" max="1" width="20.77734375" bestFit="1" customWidth="1"/>
    <col min="2" max="2" width="6.21875" bestFit="1" customWidth="1"/>
  </cols>
  <sheetData>
    <row r="1" spans="1:2">
      <c r="A1" t="s">
        <v>1</v>
      </c>
      <c r="B1" t="s">
        <v>117</v>
      </c>
    </row>
    <row r="2" spans="1:2">
      <c r="A2" s="18" t="s">
        <v>36</v>
      </c>
      <c r="B2">
        <v>1</v>
      </c>
    </row>
    <row r="3" spans="1:2">
      <c r="A3" s="18" t="s">
        <v>23</v>
      </c>
      <c r="B3">
        <v>1</v>
      </c>
    </row>
    <row r="4" spans="1:2">
      <c r="A4" s="18" t="s">
        <v>21</v>
      </c>
      <c r="B4">
        <v>1</v>
      </c>
    </row>
    <row r="5" spans="1:2">
      <c r="A5" s="18" t="s">
        <v>25</v>
      </c>
      <c r="B5">
        <v>1</v>
      </c>
    </row>
    <row r="6" spans="1:2">
      <c r="A6" s="18" t="s">
        <v>17</v>
      </c>
      <c r="B6">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5325A-BCFA-420B-9960-8A69EFF20222}">
  <dimension ref="A1:B6"/>
  <sheetViews>
    <sheetView workbookViewId="0"/>
  </sheetViews>
  <sheetFormatPr defaultRowHeight="14.4"/>
  <cols>
    <col min="1" max="1" width="15" bestFit="1" customWidth="1"/>
    <col min="2" max="2" width="6.21875" bestFit="1" customWidth="1"/>
  </cols>
  <sheetData>
    <row r="1" spans="1:2">
      <c r="A1" t="s">
        <v>0</v>
      </c>
      <c r="B1" t="s">
        <v>117</v>
      </c>
    </row>
    <row r="2" spans="1:2">
      <c r="A2" s="18" t="s">
        <v>30</v>
      </c>
      <c r="B2">
        <v>1</v>
      </c>
    </row>
    <row r="3" spans="1:2">
      <c r="A3" s="18" t="s">
        <v>29</v>
      </c>
      <c r="B3">
        <v>1</v>
      </c>
    </row>
    <row r="4" spans="1:2">
      <c r="A4" s="18" t="s">
        <v>22</v>
      </c>
      <c r="B4">
        <v>1</v>
      </c>
    </row>
    <row r="5" spans="1:2">
      <c r="A5" s="18" t="s">
        <v>16</v>
      </c>
      <c r="B5">
        <v>1</v>
      </c>
    </row>
    <row r="6" spans="1:2">
      <c r="A6" s="18" t="s">
        <v>32</v>
      </c>
      <c r="B6">
        <v>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FA264-7729-4599-995B-9B02A8C51ABD}">
  <dimension ref="A1:B6"/>
  <sheetViews>
    <sheetView workbookViewId="0"/>
  </sheetViews>
  <sheetFormatPr defaultRowHeight="14.4"/>
  <cols>
    <col min="1" max="1" width="9.77734375" bestFit="1" customWidth="1"/>
    <col min="2" max="2" width="6.21875" bestFit="1" customWidth="1"/>
  </cols>
  <sheetData>
    <row r="1" spans="1:2">
      <c r="A1" t="s">
        <v>64</v>
      </c>
      <c r="B1" t="s">
        <v>117</v>
      </c>
    </row>
    <row r="2" spans="1:2">
      <c r="A2" s="18" t="s">
        <v>80</v>
      </c>
      <c r="B2">
        <v>1</v>
      </c>
    </row>
    <row r="3" spans="1:2">
      <c r="A3" s="18" t="s">
        <v>108</v>
      </c>
      <c r="B3">
        <v>1</v>
      </c>
    </row>
    <row r="4" spans="1:2">
      <c r="A4" s="18" t="s">
        <v>112</v>
      </c>
      <c r="B4">
        <v>1</v>
      </c>
    </row>
    <row r="5" spans="1:2">
      <c r="A5" s="18" t="s">
        <v>113</v>
      </c>
      <c r="B5">
        <v>1</v>
      </c>
    </row>
    <row r="6" spans="1:2">
      <c r="A6" s="18" t="s">
        <v>114</v>
      </c>
      <c r="B6">
        <v>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E2B54-93DB-4661-8F9F-030CFF6C7070}">
  <dimension ref="A1:E17"/>
  <sheetViews>
    <sheetView workbookViewId="0">
      <selection activeCell="E1" sqref="E1:E6"/>
    </sheetView>
  </sheetViews>
  <sheetFormatPr defaultRowHeight="14.4"/>
  <cols>
    <col min="3" max="3" width="9.33203125" style="13" customWidth="1"/>
    <col min="4" max="4" width="16.5546875" style="13" customWidth="1"/>
    <col min="5" max="5" width="9.44140625" customWidth="1"/>
  </cols>
  <sheetData>
    <row r="1" spans="1:5">
      <c r="A1" t="s">
        <v>63</v>
      </c>
      <c r="B1" t="s">
        <v>15</v>
      </c>
      <c r="C1" s="13" t="s">
        <v>1</v>
      </c>
      <c r="D1" s="13" t="s">
        <v>0</v>
      </c>
      <c r="E1" t="s">
        <v>64</v>
      </c>
    </row>
    <row r="2" spans="1:5" ht="43.2">
      <c r="A2" t="s">
        <v>70</v>
      </c>
      <c r="B2" s="9">
        <v>2013</v>
      </c>
      <c r="C2" s="13" t="s">
        <v>36</v>
      </c>
      <c r="D2" s="13" t="s">
        <v>30</v>
      </c>
      <c r="E2" t="s">
        <v>80</v>
      </c>
    </row>
    <row r="3" spans="1:5">
      <c r="A3" t="s">
        <v>35</v>
      </c>
      <c r="B3" s="9">
        <v>2013</v>
      </c>
      <c r="C3" s="13" t="s">
        <v>23</v>
      </c>
      <c r="D3" s="13" t="s">
        <v>29</v>
      </c>
      <c r="E3" t="s">
        <v>108</v>
      </c>
    </row>
    <row r="4" spans="1:5">
      <c r="A4" t="s">
        <v>68</v>
      </c>
      <c r="B4" s="9">
        <v>2013</v>
      </c>
      <c r="C4" s="13" t="s">
        <v>21</v>
      </c>
      <c r="D4" s="13" t="s">
        <v>22</v>
      </c>
      <c r="E4" t="s">
        <v>112</v>
      </c>
    </row>
    <row r="5" spans="1:5">
      <c r="A5" t="s">
        <v>69</v>
      </c>
      <c r="B5" s="9">
        <v>2013</v>
      </c>
      <c r="C5" s="13" t="s">
        <v>25</v>
      </c>
      <c r="D5" s="13" t="s">
        <v>16</v>
      </c>
      <c r="E5" t="s">
        <v>113</v>
      </c>
    </row>
    <row r="6" spans="1:5">
      <c r="A6" t="s">
        <v>71</v>
      </c>
      <c r="B6" s="9">
        <v>2014</v>
      </c>
      <c r="C6" s="13" t="s">
        <v>17</v>
      </c>
      <c r="D6" s="13" t="s">
        <v>32</v>
      </c>
      <c r="E6" t="s">
        <v>114</v>
      </c>
    </row>
    <row r="7" spans="1:5">
      <c r="A7" t="s">
        <v>72</v>
      </c>
      <c r="B7" s="9">
        <v>2014</v>
      </c>
      <c r="E7" t="s">
        <v>115</v>
      </c>
    </row>
    <row r="8" spans="1:5">
      <c r="A8" t="s">
        <v>73</v>
      </c>
      <c r="B8" s="9">
        <v>2014</v>
      </c>
    </row>
    <row r="9" spans="1:5">
      <c r="A9" t="s">
        <v>74</v>
      </c>
      <c r="B9" s="9">
        <v>2014</v>
      </c>
    </row>
    <row r="10" spans="1:5">
      <c r="A10" t="s">
        <v>75</v>
      </c>
      <c r="B10" s="9">
        <v>2014</v>
      </c>
    </row>
    <row r="11" spans="1:5">
      <c r="A11" t="s">
        <v>76</v>
      </c>
      <c r="B11" s="9">
        <v>2014</v>
      </c>
    </row>
    <row r="12" spans="1:5">
      <c r="A12" t="s">
        <v>77</v>
      </c>
      <c r="B12" s="9">
        <v>2014</v>
      </c>
    </row>
    <row r="13" spans="1:5">
      <c r="A13" t="s">
        <v>78</v>
      </c>
      <c r="B13" s="9">
        <v>2014</v>
      </c>
    </row>
    <row r="14" spans="1:5">
      <c r="A14" t="s">
        <v>70</v>
      </c>
      <c r="B14" s="9">
        <v>2014</v>
      </c>
    </row>
    <row r="15" spans="1:5">
      <c r="A15" t="s">
        <v>79</v>
      </c>
      <c r="B15" s="9">
        <v>2014</v>
      </c>
    </row>
    <row r="16" spans="1:5">
      <c r="A16" t="s">
        <v>68</v>
      </c>
      <c r="B16" s="9">
        <v>2014</v>
      </c>
    </row>
    <row r="17" spans="1:2">
      <c r="A17" t="s">
        <v>69</v>
      </c>
      <c r="B17" s="9">
        <v>2014</v>
      </c>
    </row>
  </sheetData>
  <dataValidations count="1">
    <dataValidation type="list" allowBlank="1" showInputMessage="1" showErrorMessage="1" sqref="C2:C6" xr:uid="{EBA3C3D9-DB12-400C-9B3D-9CFB8E540F6F}">
      <formula1>"Canada, France, Germany, Mexico, United States of America"</formula1>
    </dataValidation>
  </dataValidations>
  <pageMargins left="0.7" right="0.7" top="0.75" bottom="0.75" header="0.3" footer="0.3"/>
  <tableParts count="4">
    <tablePart r:id="rId1"/>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EB598-9EED-44F3-92AC-0178B9FB3739}">
  <dimension ref="A1:T10"/>
  <sheetViews>
    <sheetView workbookViewId="0">
      <selection activeCell="C4" sqref="C4:C8"/>
    </sheetView>
  </sheetViews>
  <sheetFormatPr defaultRowHeight="14.4"/>
  <cols>
    <col min="1" max="1" width="8.88671875" customWidth="1"/>
    <col min="3" max="3" width="15.44140625" customWidth="1"/>
    <col min="4" max="4" width="14.6640625" customWidth="1"/>
    <col min="5" max="5" width="13.6640625" customWidth="1"/>
    <col min="6" max="6" width="10.21875" customWidth="1"/>
    <col min="7" max="7" width="11.33203125" customWidth="1"/>
    <col min="8" max="8" width="11.21875" customWidth="1"/>
    <col min="9" max="9" width="12.109375" customWidth="1"/>
    <col min="10" max="10" width="15" customWidth="1"/>
    <col min="11" max="11" width="13.109375" customWidth="1"/>
    <col min="12" max="12" width="13.21875" customWidth="1"/>
    <col min="13" max="13" width="14" customWidth="1"/>
    <col min="14" max="14" width="11.5546875" customWidth="1"/>
    <col min="15" max="15" width="17.44140625" customWidth="1"/>
    <col min="16" max="16" width="12.5546875" customWidth="1"/>
    <col min="17" max="17" width="9.77734375" customWidth="1"/>
    <col min="19" max="19" width="10.77734375" customWidth="1"/>
    <col min="20" max="20" width="13.6640625" customWidth="1"/>
  </cols>
  <sheetData>
    <row r="1" spans="1:20" ht="28.8">
      <c r="A1" t="s">
        <v>63</v>
      </c>
      <c r="B1" t="s">
        <v>15</v>
      </c>
      <c r="C1" t="s">
        <v>0</v>
      </c>
      <c r="D1" t="s">
        <v>1</v>
      </c>
      <c r="E1" t="s">
        <v>64</v>
      </c>
      <c r="F1" t="s">
        <v>50</v>
      </c>
      <c r="G1" t="s">
        <v>51</v>
      </c>
      <c r="H1" t="s">
        <v>52</v>
      </c>
      <c r="I1" t="s">
        <v>54</v>
      </c>
      <c r="J1" s="13" t="s">
        <v>86</v>
      </c>
      <c r="K1" t="s">
        <v>109</v>
      </c>
      <c r="L1" s="13" t="s">
        <v>67</v>
      </c>
      <c r="M1" s="13" t="s">
        <v>81</v>
      </c>
      <c r="N1" s="13" t="s">
        <v>82</v>
      </c>
      <c r="O1" s="13" t="s">
        <v>101</v>
      </c>
      <c r="P1" s="13" t="s">
        <v>93</v>
      </c>
      <c r="Q1" s="13" t="s">
        <v>57</v>
      </c>
      <c r="R1" s="13" t="s">
        <v>96</v>
      </c>
      <c r="S1" s="13" t="s">
        <v>98</v>
      </c>
      <c r="T1" t="s">
        <v>102</v>
      </c>
    </row>
    <row r="2" spans="1:20">
      <c r="A2" t="s">
        <v>70</v>
      </c>
      <c r="B2">
        <v>2013</v>
      </c>
      <c r="C2" s="9" t="s">
        <v>30</v>
      </c>
      <c r="D2" t="s">
        <v>36</v>
      </c>
      <c r="E2" t="s">
        <v>108</v>
      </c>
      <c r="F2" t="str">
        <f>Assumptions!$B$2</f>
        <v>Worst</v>
      </c>
      <c r="G2">
        <f>_xlfn.XLOOKUP(Assumptions!$B$2,Assumptions!$F$4:$H$4,Assumptions!$F$5:$H$5)</f>
        <v>1200</v>
      </c>
      <c r="H2">
        <f>_xlfn.XLOOKUP(Assumptions!$B$2,Assumptions!$F$4:$H$4,Assumptions!$F$6:$H$6)</f>
        <v>17</v>
      </c>
      <c r="I2">
        <f>_xlfn.XLOOKUP(Assumptions!$B$2,Assumptions!$F$4:$H$4,Assumptions!$F$8:$H$8)</f>
        <v>0.1</v>
      </c>
      <c r="J2">
        <f>Revenue!I2</f>
        <v>20400</v>
      </c>
      <c r="K2" s="15">
        <f>_xlfn.XLOOKUP(Assumptions!$B$2, Assumptions!$F$4:$H$4,Assumptions!$F$8:$H$8)</f>
        <v>0.1</v>
      </c>
      <c r="L2">
        <f>J2*(1-K2)</f>
        <v>18360</v>
      </c>
      <c r="M2" s="5">
        <f>Cost!$K$2</f>
        <v>3672</v>
      </c>
      <c r="N2" s="5">
        <f>Cost!$L$2</f>
        <v>18000</v>
      </c>
      <c r="O2" s="5">
        <f>M2+N2</f>
        <v>21672</v>
      </c>
      <c r="P2" s="5">
        <f>L2-O2</f>
        <v>-3312</v>
      </c>
      <c r="Q2">
        <f>_xlfn.XLOOKUP(Assumptions!$B$2,Assumptions!$F$4:$H$4,Assumptions!$F$11:$H$11)</f>
        <v>0.3</v>
      </c>
      <c r="R2">
        <f>P2*Q2</f>
        <v>-993.59999999999991</v>
      </c>
      <c r="S2" s="5">
        <f>P2-R2</f>
        <v>-2318.4</v>
      </c>
      <c r="T2" s="12">
        <f>S2/L2</f>
        <v>-0.12627450980392158</v>
      </c>
    </row>
    <row r="3" spans="1:20">
      <c r="A3" t="s">
        <v>35</v>
      </c>
      <c r="B3">
        <v>2013</v>
      </c>
      <c r="C3" s="9" t="s">
        <v>32</v>
      </c>
      <c r="D3" t="s">
        <v>23</v>
      </c>
      <c r="E3" t="s">
        <v>108</v>
      </c>
      <c r="F3" t="str">
        <f>Assumptions!$B$2</f>
        <v>Worst</v>
      </c>
      <c r="G3">
        <f>_xlfn.XLOOKUP(Assumptions!$B$2,Assumptions!$F$4:$H$4,Assumptions!$F$5:$H$5)</f>
        <v>1200</v>
      </c>
      <c r="H3">
        <f>_xlfn.XLOOKUP(Assumptions!$B$2,Assumptions!$F$4:$H$4,Assumptions!$F$6:$H$6)</f>
        <v>17</v>
      </c>
      <c r="I3">
        <f>_xlfn.XLOOKUP(Assumptions!$B$2,Assumptions!$F$4:$H$4,Assumptions!$F$8:$H$8)</f>
        <v>0.1</v>
      </c>
      <c r="J3">
        <f>Revenue!I3</f>
        <v>20400</v>
      </c>
      <c r="K3" s="15">
        <f>_xlfn.XLOOKUP(Assumptions!$B$2, Assumptions!$F$4:$H$4,Assumptions!$F$8:$H$8)</f>
        <v>0.1</v>
      </c>
      <c r="L3">
        <f>J3*(1-K3)</f>
        <v>18360</v>
      </c>
      <c r="M3" s="5">
        <f>Cost!$K$2</f>
        <v>3672</v>
      </c>
      <c r="N3" s="5">
        <f>Cost!$L$2</f>
        <v>18000</v>
      </c>
      <c r="O3" s="5">
        <f>M3+N3</f>
        <v>21672</v>
      </c>
      <c r="P3" s="5">
        <f>L3-O3</f>
        <v>-3312</v>
      </c>
      <c r="Q3">
        <f>_xlfn.XLOOKUP(Assumptions!$B$2,Assumptions!$F$4:$H$4,Assumptions!$F$11:$H$11)</f>
        <v>0.3</v>
      </c>
      <c r="R3">
        <f>P3*Q3</f>
        <v>-993.59999999999991</v>
      </c>
      <c r="S3" s="5">
        <f>P3-R3</f>
        <v>-2318.4</v>
      </c>
      <c r="T3" s="12">
        <f>S3/L3</f>
        <v>-0.12627450980392158</v>
      </c>
    </row>
    <row r="4" spans="1:20">
      <c r="A4" t="s">
        <v>68</v>
      </c>
      <c r="B4">
        <v>2013</v>
      </c>
      <c r="C4" s="9" t="s">
        <v>30</v>
      </c>
      <c r="D4" t="s">
        <v>21</v>
      </c>
      <c r="E4" t="s">
        <v>80</v>
      </c>
      <c r="F4" t="str">
        <f>Assumptions!$B$2</f>
        <v>Worst</v>
      </c>
      <c r="G4">
        <f>_xlfn.XLOOKUP(Assumptions!$B$2,Assumptions!$F$4:$H$4,Assumptions!$F$5:$H$5)</f>
        <v>1200</v>
      </c>
      <c r="H4">
        <f>_xlfn.XLOOKUP(Assumptions!$B$2,Assumptions!$F$4:$H$4,Assumptions!$F$6:$H$6)</f>
        <v>17</v>
      </c>
      <c r="I4">
        <f>_xlfn.XLOOKUP(Assumptions!$B$2,Assumptions!$F$4:$H$4,Assumptions!$F$8:$H$8)</f>
        <v>0.1</v>
      </c>
      <c r="J4">
        <f>Revenue!I4</f>
        <v>20400</v>
      </c>
      <c r="K4" s="15">
        <f>_xlfn.XLOOKUP(Assumptions!$B$2, Assumptions!$F$4:$H$4,Assumptions!$F$8:$H$8)</f>
        <v>0.1</v>
      </c>
      <c r="L4">
        <f t="shared" ref="L4:L5" si="0">J4*(1-K4)</f>
        <v>18360</v>
      </c>
      <c r="M4" s="5">
        <f>Cost!$K$2</f>
        <v>3672</v>
      </c>
      <c r="N4" s="5">
        <f>Cost!$L$2</f>
        <v>18000</v>
      </c>
      <c r="O4" s="5">
        <f t="shared" ref="O4:O5" si="1">M4+N4</f>
        <v>21672</v>
      </c>
      <c r="P4" s="5">
        <f t="shared" ref="P4:P5" si="2">L4-O4</f>
        <v>-3312</v>
      </c>
      <c r="Q4">
        <f>_xlfn.XLOOKUP(Assumptions!$B$2,Assumptions!$F$4:$H$4,Assumptions!$F$11:$H$11)</f>
        <v>0.3</v>
      </c>
      <c r="R4">
        <f t="shared" ref="R4:R5" si="3">P4*Q4</f>
        <v>-993.59999999999991</v>
      </c>
      <c r="S4" s="5">
        <f t="shared" ref="S4:S5" si="4">P4-R4</f>
        <v>-2318.4</v>
      </c>
      <c r="T4" s="12">
        <f t="shared" ref="T4:T5" si="5">S4/L4</f>
        <v>-0.12627450980392158</v>
      </c>
    </row>
    <row r="5" spans="1:20">
      <c r="A5" t="s">
        <v>69</v>
      </c>
      <c r="B5">
        <v>2013</v>
      </c>
      <c r="C5" s="9" t="s">
        <v>29</v>
      </c>
      <c r="D5" t="s">
        <v>25</v>
      </c>
      <c r="E5" t="s">
        <v>80</v>
      </c>
      <c r="F5" t="str">
        <f>Assumptions!$B$2</f>
        <v>Worst</v>
      </c>
      <c r="G5">
        <f>_xlfn.XLOOKUP(Assumptions!$B$2,Assumptions!$F$4:$H$4,Assumptions!$F$5:$H$5)</f>
        <v>1200</v>
      </c>
      <c r="H5">
        <f>_xlfn.XLOOKUP(Assumptions!$B$2,Assumptions!$F$4:$H$4,Assumptions!$F$6:$H$6)</f>
        <v>17</v>
      </c>
      <c r="I5">
        <f>_xlfn.XLOOKUP(Assumptions!$B$2,Assumptions!$F$4:$H$4,Assumptions!$F$8:$H$8)</f>
        <v>0.1</v>
      </c>
      <c r="J5">
        <f>Revenue!I5</f>
        <v>20400</v>
      </c>
      <c r="K5" s="15">
        <f>_xlfn.XLOOKUP(Assumptions!$B$2, Assumptions!$F$4:$H$4,Assumptions!$F$8:$H$8)</f>
        <v>0.1</v>
      </c>
      <c r="L5">
        <f t="shared" si="0"/>
        <v>18360</v>
      </c>
      <c r="M5" s="5">
        <f>Cost!$K$2</f>
        <v>3672</v>
      </c>
      <c r="N5" s="5">
        <f>Cost!$L$2</f>
        <v>18000</v>
      </c>
      <c r="O5" s="5">
        <f t="shared" si="1"/>
        <v>21672</v>
      </c>
      <c r="P5" s="5">
        <f t="shared" si="2"/>
        <v>-3312</v>
      </c>
      <c r="Q5">
        <f>_xlfn.XLOOKUP(Assumptions!$B$2,Assumptions!$F$4:$H$4,Assumptions!$F$11:$H$11)</f>
        <v>0.3</v>
      </c>
      <c r="R5">
        <f t="shared" si="3"/>
        <v>-993.59999999999991</v>
      </c>
      <c r="S5" s="5">
        <f t="shared" si="4"/>
        <v>-2318.4</v>
      </c>
      <c r="T5" s="12">
        <f t="shared" si="5"/>
        <v>-0.12627450980392158</v>
      </c>
    </row>
    <row r="6" spans="1:20">
      <c r="C6" s="9" t="s">
        <v>22</v>
      </c>
      <c r="D6" t="s">
        <v>17</v>
      </c>
      <c r="E6" t="s">
        <v>108</v>
      </c>
    </row>
    <row r="7" spans="1:20">
      <c r="C7" s="9" t="s">
        <v>16</v>
      </c>
      <c r="E7" t="s">
        <v>112</v>
      </c>
    </row>
    <row r="8" spans="1:20">
      <c r="C8" s="9" t="s">
        <v>32</v>
      </c>
      <c r="E8" t="s">
        <v>113</v>
      </c>
    </row>
    <row r="9" spans="1:20">
      <c r="C9" s="9"/>
      <c r="E9" t="s">
        <v>114</v>
      </c>
    </row>
    <row r="10" spans="1:20">
      <c r="C10" s="9"/>
      <c r="E10" t="s">
        <v>115</v>
      </c>
    </row>
  </sheetData>
  <dataValidations count="3">
    <dataValidation type="list" allowBlank="1" showInputMessage="1" showErrorMessage="1" sqref="C2:C8" xr:uid="{6E4B30C0-7196-478E-8343-038C49FCD3A1}">
      <formula1>"Small Business, Channel Partners, Midmarket, Government, Enterprise"</formula1>
    </dataValidation>
    <dataValidation type="list" allowBlank="1" showInputMessage="1" showErrorMessage="1" sqref="D2:D10" xr:uid="{5F724AE4-C823-41E9-B78C-8C42E7BF2610}">
      <formula1>"Canada, France, Germany, Mexico, United States of America"</formula1>
    </dataValidation>
    <dataValidation type="list" allowBlank="1" showInputMessage="1" showErrorMessage="1" sqref="E2:E10" xr:uid="{6DA30096-F462-4FBA-956C-D1ABC68180FB}">
      <formula1>"Amarilla, Carretera, Montana, Paseo, Velo, VTT"</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E25A35-6B2E-4940-883A-D80B5E300A49}">
  <ds:schemaRefs>
    <ds:schemaRef ds:uri="http://schemas.microsoft.com/DataMashup"/>
  </ds:schemaRefs>
</ds:datastoreItem>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Financials</vt:lpstr>
      <vt:lpstr>Final Table</vt:lpstr>
      <vt:lpstr>Sheet15</vt:lpstr>
      <vt:lpstr>Assumptions</vt:lpstr>
      <vt:lpstr>Revenue</vt:lpstr>
      <vt:lpstr>Cost</vt:lpstr>
      <vt:lpstr>P&amp;L</vt:lpstr>
      <vt:lpstr>Cash Statement</vt:lpstr>
      <vt:lpstr>Month Year Segment Product</vt:lpstr>
      <vt:lpstr>Month Year Segment</vt:lpstr>
      <vt:lpstr>MonthYearTable</vt:lpstr>
      <vt:lpstr>CountryTable</vt:lpstr>
      <vt:lpstr>SegmentTable</vt:lpstr>
      <vt:lpstr>ProductTable</vt:lpstr>
      <vt:lpstr>Sheet10</vt:lpstr>
      <vt:lpstr>Unified Data Sheet</vt:lpstr>
    </vt:vector>
  </TitlesOfParts>
  <Company>Siemens Digital Industries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Burande, Prerna (DI SW PLM DM ST&amp;PFM SLC)</dc:creator>
  <cp:lastModifiedBy>Burande, Prerna (DI SW PLM DM ST&amp;PFM SLC)</cp:lastModifiedBy>
  <dcterms:created xsi:type="dcterms:W3CDTF">2025-03-29T10:28:34Z</dcterms:created>
  <dcterms:modified xsi:type="dcterms:W3CDTF">2025-03-30T19:00:13Z</dcterms:modified>
</cp:coreProperties>
</file>