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30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31.xml"/>
  <Override ContentType="application/vnd.openxmlformats-officedocument.drawingml.chart+xml" PartName="/xl/charts/chart26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29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33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32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lvedData" sheetId="2" r:id="rId5"/>
    <sheet state="visible" name="MAC vs FC SS" sheetId="3" r:id="rId6"/>
    <sheet state="visible" name="MAC vs FC AS" sheetId="4" r:id="rId7"/>
    <sheet state="visible" name="Var Sel Heuristic SS" sheetId="5" r:id="rId8"/>
    <sheet state="visible" name="Var Sel Heuristic AS" sheetId="6" r:id="rId9"/>
    <sheet state="visible" name="Val Sel Heuristic SS" sheetId="7" r:id="rId10"/>
    <sheet state="visible" name="Val Sel Heuristic AS" sheetId="8" r:id="rId11"/>
    <sheet state="visible" name="Queens SS" sheetId="9" r:id="rId12"/>
    <sheet state="visible" name="Queens AS" sheetId="10" r:id="rId13"/>
    <sheet state="visible" name="Langfords SS" sheetId="11" r:id="rId14"/>
    <sheet state="visible" name="Langfords AS" sheetId="12" r:id="rId15"/>
    <sheet state="visible" name="Sudoku SS" sheetId="13" r:id="rId16"/>
  </sheets>
  <definedNames/>
  <calcPr/>
</workbook>
</file>

<file path=xl/sharedStrings.xml><?xml version="1.0" encoding="utf-8"?>
<sst xmlns="http://schemas.openxmlformats.org/spreadsheetml/2006/main" count="3106" uniqueCount="44">
  <si>
    <t>Instance</t>
  </si>
  <si>
    <t>Solver Type</t>
  </si>
  <si>
    <t>Solutions To Find</t>
  </si>
  <si>
    <t>Variable Ordering</t>
  </si>
  <si>
    <t>Value Ordering</t>
  </si>
  <si>
    <t>Solutions Found</t>
  </si>
  <si>
    <t>Nodes Explored</t>
  </si>
  <si>
    <t>Revisions Done</t>
  </si>
  <si>
    <t>Time Taken</t>
  </si>
  <si>
    <t>When Sorting, Use Instance ASC, Solver Type DESC, Variable Ordering ASC, Value Ordering ASC</t>
  </si>
  <si>
    <t>10Queens.csp</t>
  </si>
  <si>
    <t>MAC</t>
  </si>
  <si>
    <t>ASCENDING</t>
  </si>
  <si>
    <t>MIN_CONFLICTS</t>
  </si>
  <si>
    <t>SMALLEST_DOMAIN</t>
  </si>
  <si>
    <t>FC</t>
  </si>
  <si>
    <t>11Queens.csp</t>
  </si>
  <si>
    <t>12Queens.csp</t>
  </si>
  <si>
    <t>13Queens.csp</t>
  </si>
  <si>
    <t>14Queens.csp</t>
  </si>
  <si>
    <t>15Queens.csp</t>
  </si>
  <si>
    <t>16Queens.csp</t>
  </si>
  <si>
    <t>17Queens.csp</t>
  </si>
  <si>
    <t>186Sudoku.csp</t>
  </si>
  <si>
    <t>18Queens.csp</t>
  </si>
  <si>
    <t>198Sudoku.csp</t>
  </si>
  <si>
    <t>435Sudoku.csp</t>
  </si>
  <si>
    <t>489Sudoku.csp</t>
  </si>
  <si>
    <t>4Queens.csp</t>
  </si>
  <si>
    <t>5Queens.csp</t>
  </si>
  <si>
    <t>6Queens.csp</t>
  </si>
  <si>
    <t>7Queens.csp</t>
  </si>
  <si>
    <t>8Queens.csp</t>
  </si>
  <si>
    <t>9Queens.csp</t>
  </si>
  <si>
    <t>langfords2_11.csp</t>
  </si>
  <si>
    <t>langfords2_12.csp</t>
  </si>
  <si>
    <t>langfords2_3.csp</t>
  </si>
  <si>
    <t>langfords2_4.csp</t>
  </si>
  <si>
    <t>langfords2_7.csp</t>
  </si>
  <si>
    <t>langfords2_8.csp</t>
  </si>
  <si>
    <t>langfords3_10.csp</t>
  </si>
  <si>
    <t>langfords3_9.csp</t>
  </si>
  <si>
    <t>SimonisSudoku.csp</t>
  </si>
  <si>
    <t>Number of Instances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</si>
</sst>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theme="1"/>
      <name val="&quot;Liberation Sans&quot;"/>
    </font>
    <font>
      <color theme="1"/>
      <name val="Arial"/>
      <scheme val="minor"/>
    </font>
    <font>
      <sz val="8.0"/>
      <color theme="1"/>
      <name val="Arial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MAC vs FC Nodes Explored (Single Solution)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'MAC vs FC SS'!$A$2:$A$16</c:f>
            </c:strRef>
          </c:cat>
          <c:val>
            <c:numRef>
              <c:f>'MAC vs FC SS'!$G$2:$G$16</c:f>
              <c:numCache/>
            </c:numRef>
          </c:val>
        </c:ser>
        <c:ser>
          <c:idx val="1"/>
          <c:order val="1"/>
          <c:tx>
            <c:v>Forward Checking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'MAC vs FC SS'!$A$2:$A$16</c:f>
            </c:strRef>
          </c:cat>
          <c:val>
            <c:numRef>
              <c:f>'MAC vs FC SS'!$Q$2:$Q$16</c:f>
              <c:numCache/>
            </c:numRef>
          </c:val>
        </c:ser>
        <c:axId val="938866454"/>
        <c:axId val="2130166607"/>
      </c:barChart>
      <c:catAx>
        <c:axId val="9388664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0166607"/>
      </c:catAx>
      <c:valAx>
        <c:axId val="21301666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88664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MAC vs FC Revisions Done (Single Solution)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'MAC vs FC SS'!$A$2:$A$16</c:f>
            </c:strRef>
          </c:cat>
          <c:val>
            <c:numRef>
              <c:f>'MAC vs FC SS'!$H$41:$H$55</c:f>
              <c:numCache/>
            </c:numRef>
          </c:val>
        </c:ser>
        <c:ser>
          <c:idx val="1"/>
          <c:order val="1"/>
          <c:tx>
            <c:v>Forward Checking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'MAC vs FC SS'!$A$2:$A$16</c:f>
            </c:strRef>
          </c:cat>
          <c:val>
            <c:numRef>
              <c:f>'MAC vs FC SS'!$R$41:$R$55</c:f>
              <c:numCache/>
            </c:numRef>
          </c:val>
        </c:ser>
        <c:axId val="1430611151"/>
        <c:axId val="2031450500"/>
      </c:barChart>
      <c:catAx>
        <c:axId val="1430611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1450500"/>
      </c:catAx>
      <c:valAx>
        <c:axId val="20314505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06111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MAC vs FC Time Taken [ms] (Single Solution)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'MAC vs FC SS'!$A$2:$A$16</c:f>
            </c:strRef>
          </c:cat>
          <c:val>
            <c:numRef>
              <c:f>'MAC vs FC SS'!$I$61:$I$75</c:f>
              <c:numCache/>
            </c:numRef>
          </c:val>
        </c:ser>
        <c:ser>
          <c:idx val="1"/>
          <c:order val="1"/>
          <c:tx>
            <c:v>Forward Checking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'MAC vs FC SS'!$A$2:$A$16</c:f>
            </c:strRef>
          </c:cat>
          <c:val>
            <c:numRef>
              <c:f>'MAC vs FC SS'!$S$61:$S$75</c:f>
              <c:numCache/>
            </c:numRef>
          </c:val>
        </c:ser>
        <c:axId val="1568226588"/>
        <c:axId val="448992704"/>
      </c:barChart>
      <c:catAx>
        <c:axId val="15682265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8992704"/>
      </c:catAx>
      <c:valAx>
        <c:axId val="4489927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82265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MAC vs FC Nodes Explored (All Solutions)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'MAC vs FC AS'!$A$2:$A$15</c:f>
            </c:strRef>
          </c:cat>
          <c:val>
            <c:numRef>
              <c:f>'MAC vs FC AS'!$G$2:$G$15</c:f>
              <c:numCache/>
            </c:numRef>
          </c:val>
        </c:ser>
        <c:ser>
          <c:idx val="1"/>
          <c:order val="1"/>
          <c:tx>
            <c:v>Forward Checking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'MAC vs FC AS'!$A$2:$A$15</c:f>
            </c:strRef>
          </c:cat>
          <c:val>
            <c:numRef>
              <c:f>'MAC vs FC AS'!$Q$2:$Q$15</c:f>
              <c:numCache/>
            </c:numRef>
          </c:val>
        </c:ser>
        <c:axId val="1372703598"/>
        <c:axId val="269147110"/>
      </c:barChart>
      <c:catAx>
        <c:axId val="13727035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9147110"/>
      </c:catAx>
      <c:valAx>
        <c:axId val="2691471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27035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MAC vs FC Revisions Done (All Solutions)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'MAC vs FC AS'!$A$2:$A$15</c:f>
            </c:strRef>
          </c:cat>
          <c:val>
            <c:numRef>
              <c:f>'MAC vs FC AS'!$H$41:$H$55</c:f>
              <c:numCache/>
            </c:numRef>
          </c:val>
        </c:ser>
        <c:ser>
          <c:idx val="1"/>
          <c:order val="1"/>
          <c:tx>
            <c:v>Forward Checking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'MAC vs FC AS'!$A$2:$A$15</c:f>
            </c:strRef>
          </c:cat>
          <c:val>
            <c:numRef>
              <c:f>'MAC vs FC AS'!$R$41:$R$55</c:f>
              <c:numCache/>
            </c:numRef>
          </c:val>
        </c:ser>
        <c:axId val="1820783143"/>
        <c:axId val="1993714177"/>
      </c:barChart>
      <c:catAx>
        <c:axId val="1820783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3714177"/>
      </c:catAx>
      <c:valAx>
        <c:axId val="19937141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07831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MAC vs FC Time Taken [ms] (All Solutions)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'MAC vs FC AS'!$A$2:$A$15</c:f>
            </c:strRef>
          </c:cat>
          <c:val>
            <c:numRef>
              <c:f>'MAC vs FC AS'!$I$61:$I$75</c:f>
              <c:numCache/>
            </c:numRef>
          </c:val>
        </c:ser>
        <c:ser>
          <c:idx val="1"/>
          <c:order val="1"/>
          <c:tx>
            <c:v>Forward Checking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'MAC vs FC AS'!$A$2:$A$15</c:f>
            </c:strRef>
          </c:cat>
          <c:val>
            <c:numRef>
              <c:f>'MAC vs FC AS'!$S$61:$S$75</c:f>
              <c:numCache/>
            </c:numRef>
          </c:val>
        </c:ser>
        <c:axId val="2052236113"/>
        <c:axId val="68722952"/>
      </c:barChart>
      <c:catAx>
        <c:axId val="2052236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722952"/>
      </c:catAx>
      <c:valAx>
        <c:axId val="687229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22361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Asc vs Smallest Domain Nodes Explored (Single Solution)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Ascending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'Var Sel Heuristic SS'!$A$2:$A$16</c:f>
            </c:strRef>
          </c:cat>
          <c:val>
            <c:numRef>
              <c:f>'Var Sel Heuristic SS'!$G$2:$G$16</c:f>
              <c:numCache/>
            </c:numRef>
          </c:val>
        </c:ser>
        <c:ser>
          <c:idx val="1"/>
          <c:order val="1"/>
          <c:tx>
            <c:v>Smallest Domain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'Var Sel Heuristic SS'!$A$2:$A$16</c:f>
            </c:strRef>
          </c:cat>
          <c:val>
            <c:numRef>
              <c:f>'Var Sel Heuristic SS'!$Q$2:$Q$16</c:f>
              <c:numCache/>
            </c:numRef>
          </c:val>
        </c:ser>
        <c:axId val="349274822"/>
        <c:axId val="248352048"/>
      </c:barChart>
      <c:catAx>
        <c:axId val="3492748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8352048"/>
      </c:catAx>
      <c:valAx>
        <c:axId val="2483520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92748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Asc vs Smallest Domain Revisions Done (Single Solution)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Ascending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'Var Sel Heuristic SS'!$A$2:$A$16</c:f>
            </c:strRef>
          </c:cat>
          <c:val>
            <c:numRef>
              <c:f>'Var Sel Heuristic SS'!$H$41:$H$55</c:f>
              <c:numCache/>
            </c:numRef>
          </c:val>
        </c:ser>
        <c:ser>
          <c:idx val="1"/>
          <c:order val="1"/>
          <c:tx>
            <c:v>Smallest Domain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'Var Sel Heuristic SS'!$A$2:$A$16</c:f>
            </c:strRef>
          </c:cat>
          <c:val>
            <c:numRef>
              <c:f>'Var Sel Heuristic SS'!$R$41:$R$55</c:f>
              <c:numCache/>
            </c:numRef>
          </c:val>
        </c:ser>
        <c:axId val="598898995"/>
        <c:axId val="582865766"/>
      </c:barChart>
      <c:catAx>
        <c:axId val="5988989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2865766"/>
      </c:catAx>
      <c:valAx>
        <c:axId val="5828657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88989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Asc vs Smallest Domain Time Taken [ms] (Single Solution)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Ascending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'Var Sel Heuristic SS'!$A$2:$A$16</c:f>
            </c:strRef>
          </c:cat>
          <c:val>
            <c:numRef>
              <c:f>'Var Sel Heuristic SS'!$I$61:$I$75</c:f>
              <c:numCache/>
            </c:numRef>
          </c:val>
        </c:ser>
        <c:ser>
          <c:idx val="1"/>
          <c:order val="1"/>
          <c:tx>
            <c:v>Smallest Domain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'Var Sel Heuristic SS'!$A$2:$A$16</c:f>
            </c:strRef>
          </c:cat>
          <c:val>
            <c:numRef>
              <c:f>'Var Sel Heuristic SS'!$S$61:$S$75</c:f>
              <c:numCache/>
            </c:numRef>
          </c:val>
        </c:ser>
        <c:axId val="1588140577"/>
        <c:axId val="268367469"/>
      </c:barChart>
      <c:catAx>
        <c:axId val="15881405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8367469"/>
      </c:catAx>
      <c:valAx>
        <c:axId val="2683674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81405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Asc vs Smallest Domain Nodes Explored (All Solutions)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Ascending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'Var Sel Heuristic AS'!$A$2:$A$15</c:f>
            </c:strRef>
          </c:cat>
          <c:val>
            <c:numRef>
              <c:f>'Var Sel Heuristic AS'!$G$2:$G$15</c:f>
              <c:numCache/>
            </c:numRef>
          </c:val>
        </c:ser>
        <c:ser>
          <c:idx val="1"/>
          <c:order val="1"/>
          <c:tx>
            <c:v>Smallest Domain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'Var Sel Heuristic AS'!$A$2:$A$15</c:f>
            </c:strRef>
          </c:cat>
          <c:val>
            <c:numRef>
              <c:f>'Var Sel Heuristic AS'!$Q$2:$Q$15</c:f>
              <c:numCache/>
            </c:numRef>
          </c:val>
        </c:ser>
        <c:axId val="45846333"/>
        <c:axId val="1560940525"/>
      </c:barChart>
      <c:catAx>
        <c:axId val="458463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0940525"/>
      </c:catAx>
      <c:valAx>
        <c:axId val="15609405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8463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Asc vs Smallest Domain Revisions Done (All Solutions)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Ascending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'Var Sel Heuristic AS'!$A$2:$A$15</c:f>
            </c:strRef>
          </c:cat>
          <c:val>
            <c:numRef>
              <c:f>'Var Sel Heuristic AS'!$H$41:$H$55</c:f>
              <c:numCache/>
            </c:numRef>
          </c:val>
        </c:ser>
        <c:ser>
          <c:idx val="1"/>
          <c:order val="1"/>
          <c:tx>
            <c:v>Smallest Domain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'Var Sel Heuristic AS'!$A$2:$A$15</c:f>
            </c:strRef>
          </c:cat>
          <c:val>
            <c:numRef>
              <c:f>'Var Sel Heuristic AS'!$R$41:$R$55</c:f>
              <c:numCache/>
            </c:numRef>
          </c:val>
        </c:ser>
        <c:axId val="853832287"/>
        <c:axId val="49709298"/>
      </c:barChart>
      <c:catAx>
        <c:axId val="8538322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709298"/>
      </c:catAx>
      <c:valAx>
        <c:axId val="497092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38322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Asc vs Smallest Domain Time Taken [ms] (All Solutions)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Ascending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'Var Sel Heuristic AS'!$A$2:$A$15</c:f>
            </c:strRef>
          </c:cat>
          <c:val>
            <c:numRef>
              <c:f>'Var Sel Heuristic AS'!$I$61:$I$75</c:f>
              <c:numCache/>
            </c:numRef>
          </c:val>
        </c:ser>
        <c:ser>
          <c:idx val="1"/>
          <c:order val="1"/>
          <c:tx>
            <c:v>Smallest Domain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'Var Sel Heuristic AS'!$A$2:$A$15</c:f>
            </c:strRef>
          </c:cat>
          <c:val>
            <c:numRef>
              <c:f>'Var Sel Heuristic AS'!$S$61:$S$75</c:f>
              <c:numCache/>
            </c:numRef>
          </c:val>
        </c:ser>
        <c:axId val="430399863"/>
        <c:axId val="1465658672"/>
      </c:barChart>
      <c:catAx>
        <c:axId val="430399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5658672"/>
      </c:catAx>
      <c:valAx>
        <c:axId val="14656586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03998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Asc vs Min Conflicts Nodes Explored (Single Solution)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Ascending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'Val Sel Heuristic SS'!$A$2:$A$16</c:f>
            </c:strRef>
          </c:cat>
          <c:val>
            <c:numRef>
              <c:f>'Val Sel Heuristic SS'!$G$2:$G$16</c:f>
              <c:numCache/>
            </c:numRef>
          </c:val>
        </c:ser>
        <c:ser>
          <c:idx val="1"/>
          <c:order val="1"/>
          <c:tx>
            <c:v>Minimum Conflicts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'Val Sel Heuristic SS'!$A$2:$A$16</c:f>
            </c:strRef>
          </c:cat>
          <c:val>
            <c:numRef>
              <c:f>'Val Sel Heuristic SS'!$Q$2:$Q$16</c:f>
              <c:numCache/>
            </c:numRef>
          </c:val>
        </c:ser>
        <c:axId val="1078043542"/>
        <c:axId val="1291054335"/>
      </c:barChart>
      <c:catAx>
        <c:axId val="10780435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1054335"/>
      </c:catAx>
      <c:valAx>
        <c:axId val="12910543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80435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Asc vs Min Conflicts Revisions Done (Single Solution)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Ascending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'Val Sel Heuristic SS'!$A$2:$A$16</c:f>
            </c:strRef>
          </c:cat>
          <c:val>
            <c:numRef>
              <c:f>'Val Sel Heuristic SS'!$H$41:$H$55</c:f>
              <c:numCache/>
            </c:numRef>
          </c:val>
        </c:ser>
        <c:ser>
          <c:idx val="1"/>
          <c:order val="1"/>
          <c:tx>
            <c:v>Minimum Conflicts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'Val Sel Heuristic SS'!$A$2:$A$16</c:f>
            </c:strRef>
          </c:cat>
          <c:val>
            <c:numRef>
              <c:f>'Val Sel Heuristic SS'!$R$41:$R$55</c:f>
              <c:numCache/>
            </c:numRef>
          </c:val>
        </c:ser>
        <c:axId val="375633771"/>
        <c:axId val="1365691278"/>
      </c:barChart>
      <c:catAx>
        <c:axId val="3756337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5691278"/>
      </c:catAx>
      <c:valAx>
        <c:axId val="13656912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56337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Asc vs Min Conflicts Time Taken [ms] (Single Solution)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Ascending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'Val Sel Heuristic SS'!$A$2:$A$16</c:f>
            </c:strRef>
          </c:cat>
          <c:val>
            <c:numRef>
              <c:f>'Val Sel Heuristic SS'!$I$61:$I$75</c:f>
              <c:numCache/>
            </c:numRef>
          </c:val>
        </c:ser>
        <c:ser>
          <c:idx val="1"/>
          <c:order val="1"/>
          <c:tx>
            <c:v>Minimum Conflicts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'Val Sel Heuristic SS'!$A$2:$A$16</c:f>
            </c:strRef>
          </c:cat>
          <c:val>
            <c:numRef>
              <c:f>'Val Sel Heuristic SS'!$S$61:$S$75</c:f>
              <c:numCache/>
            </c:numRef>
          </c:val>
        </c:ser>
        <c:axId val="1175107314"/>
        <c:axId val="1928800305"/>
      </c:barChart>
      <c:catAx>
        <c:axId val="11751073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8800305"/>
      </c:catAx>
      <c:valAx>
        <c:axId val="19288003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51073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Asc vs Min Conflicts Nodes Explored (All Solutions)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Ascending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'Val Sel Heuristic AS'!$A$2:$A$15</c:f>
            </c:strRef>
          </c:cat>
          <c:val>
            <c:numRef>
              <c:f>'Val Sel Heuristic AS'!$G$2:$G$15</c:f>
              <c:numCache/>
            </c:numRef>
          </c:val>
        </c:ser>
        <c:ser>
          <c:idx val="1"/>
          <c:order val="1"/>
          <c:tx>
            <c:v>Minimum Conflicts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'Val Sel Heuristic AS'!$A$2:$A$15</c:f>
            </c:strRef>
          </c:cat>
          <c:val>
            <c:numRef>
              <c:f>'Val Sel Heuristic AS'!$Q$2:$Q$15</c:f>
              <c:numCache/>
            </c:numRef>
          </c:val>
        </c:ser>
        <c:axId val="306890539"/>
        <c:axId val="351430111"/>
      </c:barChart>
      <c:catAx>
        <c:axId val="3068905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1430111"/>
      </c:catAx>
      <c:valAx>
        <c:axId val="3514301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68905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Asc vs Min Conflicts Revisions Done (All Solutions)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Ascending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'Val Sel Heuristic AS'!$A$2:$A$15</c:f>
            </c:strRef>
          </c:cat>
          <c:val>
            <c:numRef>
              <c:f>'Val Sel Heuristic AS'!$H$41:$H$55</c:f>
              <c:numCache/>
            </c:numRef>
          </c:val>
        </c:ser>
        <c:ser>
          <c:idx val="1"/>
          <c:order val="1"/>
          <c:tx>
            <c:v>Minimum Conflicts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'Val Sel Heuristic AS'!$A$2:$A$15</c:f>
            </c:strRef>
          </c:cat>
          <c:val>
            <c:numRef>
              <c:f>'Val Sel Heuristic AS'!$R$41:$R$55</c:f>
              <c:numCache/>
            </c:numRef>
          </c:val>
        </c:ser>
        <c:axId val="1263483588"/>
        <c:axId val="1855676034"/>
      </c:barChart>
      <c:catAx>
        <c:axId val="12634835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5676034"/>
      </c:catAx>
      <c:valAx>
        <c:axId val="18556760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34835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Asc vs Min Conflicts Time Taken [ms] (All Solutions)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'Val Sel Heuristic AS'!$A$2:$A$15</c:f>
            </c:strRef>
          </c:cat>
          <c:val>
            <c:numRef>
              <c:f>'Val Sel Heuristic AS'!$I$61:$I$75</c:f>
              <c:numCache/>
            </c:numRef>
          </c:val>
        </c:ser>
        <c:ser>
          <c:idx val="1"/>
          <c:order val="1"/>
          <c:tx>
            <c:v>Minimum Conflicts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'Val Sel Heuristic AS'!$A$2:$A$15</c:f>
            </c:strRef>
          </c:cat>
          <c:val>
            <c:numRef>
              <c:f>'Val Sel Heuristic AS'!$S$61:$S$75</c:f>
              <c:numCache/>
            </c:numRef>
          </c:val>
        </c:ser>
        <c:axId val="894110178"/>
        <c:axId val="1634801122"/>
      </c:barChart>
      <c:catAx>
        <c:axId val="8941101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4801122"/>
      </c:catAx>
      <c:valAx>
        <c:axId val="16348011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41101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n-queens Nodes Explored (Single Solution)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'Queens SS'!$A$2:$A$15</c:f>
            </c:strRef>
          </c:cat>
          <c:val>
            <c:numRef>
              <c:f>'Queens SS'!$G$2:$G$15</c:f>
              <c:numCache/>
            </c:numRef>
          </c:val>
        </c:ser>
        <c:axId val="1632831792"/>
        <c:axId val="144015391"/>
      </c:barChart>
      <c:catAx>
        <c:axId val="1632831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015391"/>
      </c:catAx>
      <c:valAx>
        <c:axId val="1440153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28317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n-queens Revisions Done (Single Solution)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'Queens SS'!$A$2:$A$15</c:f>
            </c:strRef>
          </c:cat>
          <c:val>
            <c:numRef>
              <c:f>'Queens SS'!$H$41:$H$55</c:f>
              <c:numCache/>
            </c:numRef>
          </c:val>
        </c:ser>
        <c:axId val="1557095485"/>
        <c:axId val="224171292"/>
      </c:barChart>
      <c:catAx>
        <c:axId val="15570954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4171292"/>
      </c:catAx>
      <c:valAx>
        <c:axId val="2241712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70954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n-queens Time Taken [ms] (Single Solution)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'Queens SS'!$A$2:$A$15</c:f>
            </c:strRef>
          </c:cat>
          <c:val>
            <c:numRef>
              <c:f>'Queens SS'!$I$61:$I$75</c:f>
              <c:numCache/>
            </c:numRef>
          </c:val>
        </c:ser>
        <c:axId val="297777927"/>
        <c:axId val="355963187"/>
      </c:barChart>
      <c:catAx>
        <c:axId val="297777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5963187"/>
      </c:catAx>
      <c:valAx>
        <c:axId val="3559631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77779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n-queens Nodes Explored (All Solutions)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'Queens AS'!$A$2:$A$15</c:f>
            </c:strRef>
          </c:cat>
          <c:val>
            <c:numRef>
              <c:f>'Queens AS'!$G$2:$G$15</c:f>
              <c:numCache/>
            </c:numRef>
          </c:val>
        </c:ser>
        <c:axId val="1652094303"/>
        <c:axId val="121726878"/>
      </c:barChart>
      <c:catAx>
        <c:axId val="16520943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726878"/>
      </c:catAx>
      <c:valAx>
        <c:axId val="1217268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20943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n-queens Revisions Done (All Solutions)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'Queens AS'!$A$2:$A$15</c:f>
            </c:strRef>
          </c:cat>
          <c:val>
            <c:numRef>
              <c:f>'Queens AS'!$H$41:$H$55</c:f>
              <c:numCache/>
            </c:numRef>
          </c:val>
        </c:ser>
        <c:axId val="736906839"/>
        <c:axId val="1296097634"/>
      </c:barChart>
      <c:catAx>
        <c:axId val="736906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6097634"/>
      </c:catAx>
      <c:valAx>
        <c:axId val="12960976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69068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n-queens Time Taken [ms] (All Solutions)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'Queens AS'!$A$2:$A$15</c:f>
            </c:strRef>
          </c:cat>
          <c:val>
            <c:numRef>
              <c:f>'Queens AS'!$I$61:$I$75</c:f>
              <c:numCache/>
            </c:numRef>
          </c:val>
        </c:ser>
        <c:axId val="109677478"/>
        <c:axId val="1200618041"/>
      </c:barChart>
      <c:catAx>
        <c:axId val="109677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0618041"/>
      </c:catAx>
      <c:valAx>
        <c:axId val="12006180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6774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Langford Nodes Explored (Single Solution)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'Langfords SS'!$A$2:$A$15</c:f>
            </c:strRef>
          </c:cat>
          <c:val>
            <c:numRef>
              <c:f>'Langfords SS'!$G$2:$G$15</c:f>
              <c:numCache/>
            </c:numRef>
          </c:val>
        </c:ser>
        <c:axId val="28673434"/>
        <c:axId val="1383567574"/>
      </c:barChart>
      <c:catAx>
        <c:axId val="286734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3567574"/>
      </c:catAx>
      <c:valAx>
        <c:axId val="13835675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6734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Langford Revisions Done (Single Solution)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'Langfords SS'!$A$2:$A$15</c:f>
            </c:strRef>
          </c:cat>
          <c:val>
            <c:numRef>
              <c:f>'Langfords SS'!$H$41:$H$55</c:f>
              <c:numCache/>
            </c:numRef>
          </c:val>
        </c:ser>
        <c:axId val="1883900566"/>
        <c:axId val="1220271674"/>
      </c:barChart>
      <c:catAx>
        <c:axId val="18839005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0271674"/>
      </c:catAx>
      <c:valAx>
        <c:axId val="12202716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39005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Langford Time Taken [ms] (Single Solution)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'Langfords SS'!$A$2:$A$15</c:f>
            </c:strRef>
          </c:cat>
          <c:val>
            <c:numRef>
              <c:f>'Langfords SS'!$I$61:$I$75</c:f>
              <c:numCache/>
            </c:numRef>
          </c:val>
        </c:ser>
        <c:axId val="1081461491"/>
        <c:axId val="1538943548"/>
      </c:barChart>
      <c:catAx>
        <c:axId val="10814614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8943548"/>
      </c:catAx>
      <c:valAx>
        <c:axId val="15389435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14614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Langford Nodes Explored (All Solutions)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'Langfords AS'!$A$2:$A$15</c:f>
            </c:strRef>
          </c:cat>
          <c:val>
            <c:numRef>
              <c:f>'Langfords AS'!$G$2:$G$15</c:f>
              <c:numCache/>
            </c:numRef>
          </c:val>
        </c:ser>
        <c:axId val="1242732713"/>
        <c:axId val="38894070"/>
      </c:barChart>
      <c:catAx>
        <c:axId val="12427327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894070"/>
      </c:catAx>
      <c:valAx>
        <c:axId val="388940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27327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Langford Revisions Done (All Solutions)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'Langfords AS'!$A$2:$A$15</c:f>
            </c:strRef>
          </c:cat>
          <c:val>
            <c:numRef>
              <c:f>'Langfords AS'!$H$41:$H$55</c:f>
              <c:numCache/>
            </c:numRef>
          </c:val>
        </c:ser>
        <c:axId val="1195083325"/>
        <c:axId val="2044785142"/>
      </c:barChart>
      <c:catAx>
        <c:axId val="11950833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4785142"/>
      </c:catAx>
      <c:valAx>
        <c:axId val="20447851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50833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Langford Time Taken [ms] (All Solutions)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'Langfords AS'!$A$2:$A$15</c:f>
            </c:strRef>
          </c:cat>
          <c:val>
            <c:numRef>
              <c:f>'Langfords AS'!$I$61:$I$75</c:f>
              <c:numCache/>
            </c:numRef>
          </c:val>
        </c:ser>
        <c:axId val="1574932674"/>
        <c:axId val="389878793"/>
      </c:barChart>
      <c:catAx>
        <c:axId val="15749326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9878793"/>
      </c:catAx>
      <c:valAx>
        <c:axId val="3898787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49326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Sudoku Nodes Explored (Single Solution)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'Sudoku SS'!$A$2:$A$15</c:f>
            </c:strRef>
          </c:cat>
          <c:val>
            <c:numRef>
              <c:f>'Sudoku SS'!$G$2:$G$15</c:f>
              <c:numCache/>
            </c:numRef>
          </c:val>
        </c:ser>
        <c:axId val="218246355"/>
        <c:axId val="1774905290"/>
      </c:barChart>
      <c:catAx>
        <c:axId val="2182463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4905290"/>
      </c:catAx>
      <c:valAx>
        <c:axId val="17749052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82463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Sudoku Revisions Done (Single Solution)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'Sudoku SS'!$A$2:$A$15</c:f>
            </c:strRef>
          </c:cat>
          <c:val>
            <c:numRef>
              <c:f>'Sudoku SS'!$H$41:$H$55</c:f>
              <c:numCache/>
            </c:numRef>
          </c:val>
        </c:ser>
        <c:axId val="771957681"/>
        <c:axId val="1903015758"/>
      </c:barChart>
      <c:catAx>
        <c:axId val="7719576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3015758"/>
      </c:catAx>
      <c:valAx>
        <c:axId val="19030157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19576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Sudoku Time Taken [ms] (Single Solution)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Maintaining Arc Consistency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'Sudoku SS'!$A$2:$A$15</c:f>
            </c:strRef>
          </c:cat>
          <c:val>
            <c:numRef>
              <c:f>'Sudoku SS'!$I$61:$I$75</c:f>
              <c:numCache/>
            </c:numRef>
          </c:val>
        </c:ser>
        <c:axId val="132158635"/>
        <c:axId val="1165786656"/>
      </c:barChart>
      <c:catAx>
        <c:axId val="1321586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5786656"/>
      </c:catAx>
      <c:valAx>
        <c:axId val="11657866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1586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Relationship Id="rId3" Type="http://schemas.openxmlformats.org/officeDocument/2006/relationships/chart" Target="../charts/chart30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16</xdr:row>
      <xdr:rowOff>28575</xdr:rowOff>
    </xdr:from>
    <xdr:ext cx="466725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76200</xdr:colOff>
      <xdr:row>16</xdr:row>
      <xdr:rowOff>28575</xdr:rowOff>
    </xdr:from>
    <xdr:ext cx="478155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95250</xdr:colOff>
      <xdr:row>16</xdr:row>
      <xdr:rowOff>28575</xdr:rowOff>
    </xdr:from>
    <xdr:ext cx="459105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16</xdr:row>
      <xdr:rowOff>85725</xdr:rowOff>
    </xdr:from>
    <xdr:ext cx="462915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95250</xdr:colOff>
      <xdr:row>16</xdr:row>
      <xdr:rowOff>85725</xdr:rowOff>
    </xdr:from>
    <xdr:ext cx="4772025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95250</xdr:colOff>
      <xdr:row>16</xdr:row>
      <xdr:rowOff>85725</xdr:rowOff>
    </xdr:from>
    <xdr:ext cx="459105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16</xdr:row>
      <xdr:rowOff>19050</xdr:rowOff>
    </xdr:from>
    <xdr:ext cx="4657725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66675</xdr:colOff>
      <xdr:row>16</xdr:row>
      <xdr:rowOff>19050</xdr:rowOff>
    </xdr:from>
    <xdr:ext cx="481965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66675</xdr:colOff>
      <xdr:row>16</xdr:row>
      <xdr:rowOff>19050</xdr:rowOff>
    </xdr:from>
    <xdr:ext cx="470535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16</xdr:row>
      <xdr:rowOff>57150</xdr:rowOff>
    </xdr:from>
    <xdr:ext cx="46482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76200</xdr:colOff>
      <xdr:row>16</xdr:row>
      <xdr:rowOff>57150</xdr:rowOff>
    </xdr:from>
    <xdr:ext cx="478155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57150</xdr:colOff>
      <xdr:row>16</xdr:row>
      <xdr:rowOff>57150</xdr:rowOff>
    </xdr:from>
    <xdr:ext cx="46482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16</xdr:row>
      <xdr:rowOff>38100</xdr:rowOff>
    </xdr:from>
    <xdr:ext cx="4676775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95250</xdr:colOff>
      <xdr:row>16</xdr:row>
      <xdr:rowOff>38100</xdr:rowOff>
    </xdr:from>
    <xdr:ext cx="48006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85725</xdr:colOff>
      <xdr:row>16</xdr:row>
      <xdr:rowOff>38100</xdr:rowOff>
    </xdr:from>
    <xdr:ext cx="459105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16</xdr:row>
      <xdr:rowOff>38100</xdr:rowOff>
    </xdr:from>
    <xdr:ext cx="470535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76200</xdr:colOff>
      <xdr:row>16</xdr:row>
      <xdr:rowOff>38100</xdr:rowOff>
    </xdr:from>
    <xdr:ext cx="4752975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47625</xdr:colOff>
      <xdr:row>16</xdr:row>
      <xdr:rowOff>38100</xdr:rowOff>
    </xdr:from>
    <xdr:ext cx="4667250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16</xdr:row>
      <xdr:rowOff>47625</xdr:rowOff>
    </xdr:from>
    <xdr:ext cx="4657725" cy="35337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95250</xdr:colOff>
      <xdr:row>16</xdr:row>
      <xdr:rowOff>47625</xdr:rowOff>
    </xdr:from>
    <xdr:ext cx="4772025" cy="35337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76200</xdr:colOff>
      <xdr:row>16</xdr:row>
      <xdr:rowOff>47625</xdr:rowOff>
    </xdr:from>
    <xdr:ext cx="4600575" cy="353377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16</xdr:row>
      <xdr:rowOff>28575</xdr:rowOff>
    </xdr:from>
    <xdr:ext cx="4667250" cy="3533775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38100</xdr:colOff>
      <xdr:row>16</xdr:row>
      <xdr:rowOff>28575</xdr:rowOff>
    </xdr:from>
    <xdr:ext cx="4800600" cy="3533775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66675</xdr:colOff>
      <xdr:row>16</xdr:row>
      <xdr:rowOff>28575</xdr:rowOff>
    </xdr:from>
    <xdr:ext cx="4629150" cy="3533775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16</xdr:row>
      <xdr:rowOff>38100</xdr:rowOff>
    </xdr:from>
    <xdr:ext cx="4638675" cy="3533775"/>
    <xdr:graphicFrame>
      <xdr:nvGraphicFramePr>
        <xdr:cNvPr id="25" name="Chart 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95250</xdr:colOff>
      <xdr:row>16</xdr:row>
      <xdr:rowOff>38100</xdr:rowOff>
    </xdr:from>
    <xdr:ext cx="4781550" cy="3533775"/>
    <xdr:graphicFrame>
      <xdr:nvGraphicFramePr>
        <xdr:cNvPr id="26" name="Chart 2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57150</xdr:colOff>
      <xdr:row>16</xdr:row>
      <xdr:rowOff>38100</xdr:rowOff>
    </xdr:from>
    <xdr:ext cx="4638675" cy="3533775"/>
    <xdr:graphicFrame>
      <xdr:nvGraphicFramePr>
        <xdr:cNvPr id="27" name="Chart 2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16</xdr:row>
      <xdr:rowOff>38100</xdr:rowOff>
    </xdr:from>
    <xdr:ext cx="4629150" cy="3533775"/>
    <xdr:graphicFrame>
      <xdr:nvGraphicFramePr>
        <xdr:cNvPr id="28" name="Chart 2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57150</xdr:colOff>
      <xdr:row>16</xdr:row>
      <xdr:rowOff>38100</xdr:rowOff>
    </xdr:from>
    <xdr:ext cx="4810125" cy="3533775"/>
    <xdr:graphicFrame>
      <xdr:nvGraphicFramePr>
        <xdr:cNvPr id="29" name="Chart 2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66675</xdr:colOff>
      <xdr:row>16</xdr:row>
      <xdr:rowOff>38100</xdr:rowOff>
    </xdr:from>
    <xdr:ext cx="4629150" cy="3533775"/>
    <xdr:graphicFrame>
      <xdr:nvGraphicFramePr>
        <xdr:cNvPr id="30" name="Chart 3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16</xdr:row>
      <xdr:rowOff>66675</xdr:rowOff>
    </xdr:from>
    <xdr:ext cx="4552950" cy="3533775"/>
    <xdr:graphicFrame>
      <xdr:nvGraphicFramePr>
        <xdr:cNvPr id="31" name="Chart 3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104775</xdr:colOff>
      <xdr:row>16</xdr:row>
      <xdr:rowOff>66675</xdr:rowOff>
    </xdr:from>
    <xdr:ext cx="4762500" cy="3533775"/>
    <xdr:graphicFrame>
      <xdr:nvGraphicFramePr>
        <xdr:cNvPr id="32" name="Chart 3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66675</xdr:colOff>
      <xdr:row>16</xdr:row>
      <xdr:rowOff>66675</xdr:rowOff>
    </xdr:from>
    <xdr:ext cx="4629150" cy="3533775"/>
    <xdr:graphicFrame>
      <xdr:nvGraphicFramePr>
        <xdr:cNvPr id="33" name="Chart 3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3">
        <v>1.0</v>
      </c>
      <c r="D2" s="1" t="s">
        <v>12</v>
      </c>
      <c r="E2" s="1" t="s">
        <v>12</v>
      </c>
      <c r="F2" s="3">
        <v>1.0</v>
      </c>
      <c r="G2" s="3">
        <v>36.0</v>
      </c>
      <c r="H2" s="3">
        <v>1507.0</v>
      </c>
      <c r="I2" s="3">
        <v>51.0</v>
      </c>
    </row>
    <row r="3">
      <c r="A3" s="1" t="s">
        <v>10</v>
      </c>
      <c r="B3" s="1" t="s">
        <v>11</v>
      </c>
      <c r="C3" s="3">
        <v>0.0</v>
      </c>
      <c r="D3" s="1" t="s">
        <v>12</v>
      </c>
      <c r="E3" s="1" t="s">
        <v>12</v>
      </c>
      <c r="F3" s="3">
        <v>724.0</v>
      </c>
      <c r="G3" s="3">
        <v>16454.0</v>
      </c>
      <c r="H3" s="3">
        <v>399132.0</v>
      </c>
      <c r="I3" s="3">
        <v>2516.0</v>
      </c>
    </row>
    <row r="4">
      <c r="A4" s="1" t="s">
        <v>10</v>
      </c>
      <c r="B4" s="1" t="s">
        <v>11</v>
      </c>
      <c r="C4" s="3">
        <v>1.0</v>
      </c>
      <c r="D4" s="1" t="s">
        <v>12</v>
      </c>
      <c r="E4" s="1" t="s">
        <v>13</v>
      </c>
      <c r="F4" s="3">
        <v>1.0</v>
      </c>
      <c r="G4" s="3">
        <v>10.0</v>
      </c>
      <c r="H4" s="3">
        <v>518.0</v>
      </c>
      <c r="I4" s="3">
        <v>59.0</v>
      </c>
    </row>
    <row r="5">
      <c r="A5" s="1" t="s">
        <v>10</v>
      </c>
      <c r="B5" s="1" t="s">
        <v>11</v>
      </c>
      <c r="C5" s="3">
        <v>0.0</v>
      </c>
      <c r="D5" s="1" t="s">
        <v>12</v>
      </c>
      <c r="E5" s="1" t="s">
        <v>13</v>
      </c>
      <c r="F5" s="3">
        <v>724.0</v>
      </c>
      <c r="G5" s="3">
        <v>16058.0</v>
      </c>
      <c r="H5" s="3">
        <v>401467.0</v>
      </c>
      <c r="I5" s="3">
        <v>2450.0</v>
      </c>
    </row>
    <row r="6">
      <c r="A6" s="1" t="s">
        <v>10</v>
      </c>
      <c r="B6" s="1" t="s">
        <v>11</v>
      </c>
      <c r="C6" s="3">
        <v>1.0</v>
      </c>
      <c r="D6" s="1" t="s">
        <v>14</v>
      </c>
      <c r="E6" s="1" t="s">
        <v>12</v>
      </c>
      <c r="F6" s="3">
        <v>1.0</v>
      </c>
      <c r="G6" s="3">
        <v>22.0</v>
      </c>
      <c r="H6" s="3">
        <v>929.0</v>
      </c>
      <c r="I6" s="3">
        <v>115.0</v>
      </c>
    </row>
    <row r="7">
      <c r="A7" s="1" t="s">
        <v>10</v>
      </c>
      <c r="B7" s="1" t="s">
        <v>11</v>
      </c>
      <c r="C7" s="3">
        <v>0.0</v>
      </c>
      <c r="D7" s="1" t="s">
        <v>14</v>
      </c>
      <c r="E7" s="1" t="s">
        <v>12</v>
      </c>
      <c r="F7" s="3">
        <v>724.0</v>
      </c>
      <c r="G7" s="3">
        <v>15250.0</v>
      </c>
      <c r="H7" s="3">
        <v>364256.0</v>
      </c>
      <c r="I7" s="3">
        <v>2456.0</v>
      </c>
    </row>
    <row r="8">
      <c r="A8" s="1" t="s">
        <v>10</v>
      </c>
      <c r="B8" s="1" t="s">
        <v>11</v>
      </c>
      <c r="C8" s="3">
        <v>1.0</v>
      </c>
      <c r="D8" s="1" t="s">
        <v>14</v>
      </c>
      <c r="E8" s="1" t="s">
        <v>13</v>
      </c>
      <c r="F8" s="3">
        <v>1.0</v>
      </c>
      <c r="G8" s="3">
        <v>10.0</v>
      </c>
      <c r="H8" s="3">
        <v>536.0</v>
      </c>
      <c r="I8" s="3">
        <v>205.0</v>
      </c>
    </row>
    <row r="9">
      <c r="A9" s="1" t="s">
        <v>10</v>
      </c>
      <c r="B9" s="1" t="s">
        <v>11</v>
      </c>
      <c r="C9" s="3">
        <v>0.0</v>
      </c>
      <c r="D9" s="1" t="s">
        <v>14</v>
      </c>
      <c r="E9" s="1" t="s">
        <v>13</v>
      </c>
      <c r="F9" s="3">
        <v>724.0</v>
      </c>
      <c r="G9" s="3">
        <v>14810.0</v>
      </c>
      <c r="H9" s="3">
        <v>365505.0</v>
      </c>
      <c r="I9" s="3">
        <v>2430.0</v>
      </c>
    </row>
    <row r="10">
      <c r="A10" s="1" t="s">
        <v>10</v>
      </c>
      <c r="B10" s="1" t="s">
        <v>15</v>
      </c>
      <c r="C10" s="3">
        <v>1.0</v>
      </c>
      <c r="D10" s="1" t="s">
        <v>12</v>
      </c>
      <c r="E10" s="1" t="s">
        <v>12</v>
      </c>
      <c r="F10" s="3">
        <v>1.0</v>
      </c>
      <c r="G10" s="3">
        <v>150.0</v>
      </c>
      <c r="H10" s="3">
        <v>415.0</v>
      </c>
      <c r="I10" s="3">
        <v>222.0</v>
      </c>
    </row>
    <row r="11">
      <c r="A11" s="1" t="s">
        <v>10</v>
      </c>
      <c r="B11" s="1" t="s">
        <v>15</v>
      </c>
      <c r="C11" s="3">
        <v>0.0</v>
      </c>
      <c r="D11" s="1" t="s">
        <v>12</v>
      </c>
      <c r="E11" s="1" t="s">
        <v>12</v>
      </c>
      <c r="F11" s="3">
        <v>724.0</v>
      </c>
      <c r="G11" s="3">
        <v>50274.0</v>
      </c>
      <c r="H11" s="3">
        <v>119049.0</v>
      </c>
      <c r="I11" s="3">
        <v>2644.0</v>
      </c>
    </row>
    <row r="12">
      <c r="A12" s="1" t="s">
        <v>10</v>
      </c>
      <c r="B12" s="1" t="s">
        <v>15</v>
      </c>
      <c r="C12" s="3">
        <v>1.0</v>
      </c>
      <c r="D12" s="1" t="s">
        <v>12</v>
      </c>
      <c r="E12" s="1" t="s">
        <v>13</v>
      </c>
      <c r="F12" s="3">
        <v>1.0</v>
      </c>
      <c r="G12" s="3">
        <v>10.0</v>
      </c>
      <c r="H12" s="3">
        <v>45.0</v>
      </c>
      <c r="I12" s="3">
        <v>149.0</v>
      </c>
    </row>
    <row r="13">
      <c r="A13" s="1" t="s">
        <v>10</v>
      </c>
      <c r="B13" s="1" t="s">
        <v>15</v>
      </c>
      <c r="C13" s="3">
        <v>0.0</v>
      </c>
      <c r="D13" s="1" t="s">
        <v>12</v>
      </c>
      <c r="E13" s="1" t="s">
        <v>13</v>
      </c>
      <c r="F13" s="3">
        <v>724.0</v>
      </c>
      <c r="G13" s="3">
        <v>47940.0</v>
      </c>
      <c r="H13" s="3">
        <v>115257.0</v>
      </c>
      <c r="I13" s="3">
        <v>2609.0</v>
      </c>
    </row>
    <row r="14">
      <c r="A14" s="1" t="s">
        <v>10</v>
      </c>
      <c r="B14" s="1" t="s">
        <v>15</v>
      </c>
      <c r="C14" s="3">
        <v>1.0</v>
      </c>
      <c r="D14" s="1" t="s">
        <v>14</v>
      </c>
      <c r="E14" s="1" t="s">
        <v>12</v>
      </c>
      <c r="F14" s="3">
        <v>1.0</v>
      </c>
      <c r="G14" s="3">
        <v>60.0</v>
      </c>
      <c r="H14" s="3">
        <v>183.0</v>
      </c>
      <c r="I14" s="3">
        <v>205.0</v>
      </c>
    </row>
    <row r="15">
      <c r="A15" s="1" t="s">
        <v>10</v>
      </c>
      <c r="B15" s="1" t="s">
        <v>15</v>
      </c>
      <c r="C15" s="3">
        <v>0.0</v>
      </c>
      <c r="D15" s="1" t="s">
        <v>14</v>
      </c>
      <c r="E15" s="1" t="s">
        <v>12</v>
      </c>
      <c r="F15" s="3">
        <v>724.0</v>
      </c>
      <c r="G15" s="3">
        <v>38658.0</v>
      </c>
      <c r="H15" s="3">
        <v>87719.0</v>
      </c>
      <c r="I15" s="3">
        <v>2448.0</v>
      </c>
    </row>
    <row r="16">
      <c r="A16" s="1" t="s">
        <v>10</v>
      </c>
      <c r="B16" s="1" t="s">
        <v>15</v>
      </c>
      <c r="C16" s="3">
        <v>1.0</v>
      </c>
      <c r="D16" s="1" t="s">
        <v>14</v>
      </c>
      <c r="E16" s="1" t="s">
        <v>13</v>
      </c>
      <c r="F16" s="3">
        <v>1.0</v>
      </c>
      <c r="G16" s="3">
        <v>10.0</v>
      </c>
      <c r="H16" s="3">
        <v>45.0</v>
      </c>
      <c r="I16" s="3">
        <v>27.0</v>
      </c>
    </row>
    <row r="17">
      <c r="A17" s="1" t="s">
        <v>10</v>
      </c>
      <c r="B17" s="1" t="s">
        <v>15</v>
      </c>
      <c r="C17" s="3">
        <v>0.0</v>
      </c>
      <c r="D17" s="1" t="s">
        <v>14</v>
      </c>
      <c r="E17" s="1" t="s">
        <v>13</v>
      </c>
      <c r="F17" s="3">
        <v>724.0</v>
      </c>
      <c r="G17" s="3">
        <v>38358.0</v>
      </c>
      <c r="H17" s="3">
        <v>86865.0</v>
      </c>
      <c r="I17" s="3">
        <v>2445.0</v>
      </c>
    </row>
    <row r="18">
      <c r="A18" s="1" t="s">
        <v>16</v>
      </c>
      <c r="B18" s="1" t="s">
        <v>11</v>
      </c>
      <c r="C18" s="3">
        <v>1.0</v>
      </c>
      <c r="D18" s="1" t="s">
        <v>12</v>
      </c>
      <c r="E18" s="1" t="s">
        <v>12</v>
      </c>
      <c r="F18" s="3">
        <v>1.0</v>
      </c>
      <c r="G18" s="3">
        <v>17.0</v>
      </c>
      <c r="H18" s="3">
        <v>941.0</v>
      </c>
      <c r="I18" s="3">
        <v>183.0</v>
      </c>
    </row>
    <row r="19">
      <c r="A19" s="1" t="s">
        <v>16</v>
      </c>
      <c r="B19" s="1" t="s">
        <v>11</v>
      </c>
      <c r="C19" s="3">
        <v>0.0</v>
      </c>
      <c r="D19" s="1" t="s">
        <v>12</v>
      </c>
      <c r="E19" s="1" t="s">
        <v>12</v>
      </c>
      <c r="F19" s="3">
        <v>2680.0</v>
      </c>
      <c r="G19" s="3">
        <v>68570.0</v>
      </c>
      <c r="H19" s="3">
        <v>1988391.0</v>
      </c>
      <c r="I19" s="3">
        <v>7773.0</v>
      </c>
    </row>
    <row r="20">
      <c r="A20" s="1" t="s">
        <v>16</v>
      </c>
      <c r="B20" s="1" t="s">
        <v>11</v>
      </c>
      <c r="C20" s="3">
        <v>1.0</v>
      </c>
      <c r="D20" s="1" t="s">
        <v>12</v>
      </c>
      <c r="E20" s="1" t="s">
        <v>13</v>
      </c>
      <c r="F20" s="3">
        <v>1.0</v>
      </c>
      <c r="G20" s="3">
        <v>77.0</v>
      </c>
      <c r="H20" s="3">
        <v>4217.0</v>
      </c>
      <c r="I20" s="3">
        <v>736.0</v>
      </c>
    </row>
    <row r="21">
      <c r="A21" s="1" t="s">
        <v>16</v>
      </c>
      <c r="B21" s="1" t="s">
        <v>11</v>
      </c>
      <c r="C21" s="3">
        <v>0.0</v>
      </c>
      <c r="D21" s="1" t="s">
        <v>12</v>
      </c>
      <c r="E21" s="1" t="s">
        <v>13</v>
      </c>
      <c r="F21" s="3">
        <v>2680.0</v>
      </c>
      <c r="G21" s="3">
        <v>66732.0</v>
      </c>
      <c r="H21" s="3">
        <v>2000293.0</v>
      </c>
      <c r="I21" s="3">
        <v>7949.0</v>
      </c>
    </row>
    <row r="22">
      <c r="A22" s="1" t="s">
        <v>16</v>
      </c>
      <c r="B22" s="1" t="s">
        <v>11</v>
      </c>
      <c r="C22" s="3">
        <v>1.0</v>
      </c>
      <c r="D22" s="1" t="s">
        <v>14</v>
      </c>
      <c r="E22" s="1" t="s">
        <v>12</v>
      </c>
      <c r="F22" s="3">
        <v>1.0</v>
      </c>
      <c r="G22" s="3">
        <v>33.0</v>
      </c>
      <c r="H22" s="3">
        <v>1791.0</v>
      </c>
      <c r="I22" s="3">
        <v>270.0</v>
      </c>
    </row>
    <row r="23">
      <c r="A23" s="1" t="s">
        <v>16</v>
      </c>
      <c r="B23" s="1" t="s">
        <v>11</v>
      </c>
      <c r="C23" s="3">
        <v>0.0</v>
      </c>
      <c r="D23" s="1" t="s">
        <v>14</v>
      </c>
      <c r="E23" s="1" t="s">
        <v>12</v>
      </c>
      <c r="F23" s="3">
        <v>2680.0</v>
      </c>
      <c r="G23" s="3">
        <v>62410.0</v>
      </c>
      <c r="H23" s="3">
        <v>1766954.0</v>
      </c>
      <c r="I23" s="3">
        <v>7173.0</v>
      </c>
    </row>
    <row r="24">
      <c r="A24" s="1" t="s">
        <v>16</v>
      </c>
      <c r="B24" s="1" t="s">
        <v>11</v>
      </c>
      <c r="C24" s="3">
        <v>1.0</v>
      </c>
      <c r="D24" s="1" t="s">
        <v>14</v>
      </c>
      <c r="E24" s="1" t="s">
        <v>13</v>
      </c>
      <c r="F24" s="3">
        <v>1.0</v>
      </c>
      <c r="G24" s="3">
        <v>69.0</v>
      </c>
      <c r="H24" s="3">
        <v>4002.0</v>
      </c>
      <c r="I24" s="3">
        <v>295.0</v>
      </c>
    </row>
    <row r="25">
      <c r="A25" s="1" t="s">
        <v>16</v>
      </c>
      <c r="B25" s="1" t="s">
        <v>11</v>
      </c>
      <c r="C25" s="3">
        <v>0.0</v>
      </c>
      <c r="D25" s="1" t="s">
        <v>14</v>
      </c>
      <c r="E25" s="1" t="s">
        <v>13</v>
      </c>
      <c r="F25" s="3">
        <v>2680.0</v>
      </c>
      <c r="G25" s="3">
        <v>60638.0</v>
      </c>
      <c r="H25" s="3">
        <v>1774077.0</v>
      </c>
      <c r="I25" s="3">
        <v>7277.0</v>
      </c>
    </row>
    <row r="26">
      <c r="A26" s="1" t="s">
        <v>16</v>
      </c>
      <c r="B26" s="1" t="s">
        <v>15</v>
      </c>
      <c r="C26" s="3">
        <v>1.0</v>
      </c>
      <c r="D26" s="1" t="s">
        <v>12</v>
      </c>
      <c r="E26" s="1" t="s">
        <v>12</v>
      </c>
      <c r="F26" s="3">
        <v>1.0</v>
      </c>
      <c r="G26" s="3">
        <v>59.0</v>
      </c>
      <c r="H26" s="3">
        <v>216.0</v>
      </c>
      <c r="I26" s="3">
        <v>162.0</v>
      </c>
    </row>
    <row r="27">
      <c r="A27" s="1" t="s">
        <v>16</v>
      </c>
      <c r="B27" s="1" t="s">
        <v>15</v>
      </c>
      <c r="C27" s="3">
        <v>0.0</v>
      </c>
      <c r="D27" s="1" t="s">
        <v>12</v>
      </c>
      <c r="E27" s="1" t="s">
        <v>12</v>
      </c>
      <c r="F27" s="3">
        <v>2680.0</v>
      </c>
      <c r="G27" s="3">
        <v>228120.0</v>
      </c>
      <c r="H27" s="3">
        <v>567030.0</v>
      </c>
      <c r="I27" s="3">
        <v>12873.0</v>
      </c>
    </row>
    <row r="28">
      <c r="A28" s="1" t="s">
        <v>16</v>
      </c>
      <c r="B28" s="1" t="s">
        <v>15</v>
      </c>
      <c r="C28" s="3">
        <v>1.0</v>
      </c>
      <c r="D28" s="1" t="s">
        <v>12</v>
      </c>
      <c r="E28" s="1" t="s">
        <v>13</v>
      </c>
      <c r="F28" s="3">
        <v>1.0</v>
      </c>
      <c r="G28" s="3">
        <v>411.0</v>
      </c>
      <c r="H28" s="3">
        <v>1117.0</v>
      </c>
      <c r="I28" s="3">
        <v>685.0</v>
      </c>
    </row>
    <row r="29">
      <c r="A29" s="1" t="s">
        <v>16</v>
      </c>
      <c r="B29" s="1" t="s">
        <v>15</v>
      </c>
      <c r="C29" s="3">
        <v>0.0</v>
      </c>
      <c r="D29" s="1" t="s">
        <v>12</v>
      </c>
      <c r="E29" s="1" t="s">
        <v>13</v>
      </c>
      <c r="F29" s="3">
        <v>2680.0</v>
      </c>
      <c r="G29" s="3">
        <v>216786.0</v>
      </c>
      <c r="H29" s="3">
        <v>547445.0</v>
      </c>
      <c r="I29" s="3">
        <v>12717.0</v>
      </c>
    </row>
    <row r="30">
      <c r="A30" s="1" t="s">
        <v>16</v>
      </c>
      <c r="B30" s="1" t="s">
        <v>15</v>
      </c>
      <c r="C30" s="3">
        <v>1.0</v>
      </c>
      <c r="D30" s="1" t="s">
        <v>14</v>
      </c>
      <c r="E30" s="1" t="s">
        <v>12</v>
      </c>
      <c r="F30" s="3">
        <v>1.0</v>
      </c>
      <c r="G30" s="3">
        <v>101.0</v>
      </c>
      <c r="H30" s="3">
        <v>316.0</v>
      </c>
      <c r="I30" s="3">
        <v>348.0</v>
      </c>
    </row>
    <row r="31">
      <c r="A31" s="1" t="s">
        <v>16</v>
      </c>
      <c r="B31" s="1" t="s">
        <v>15</v>
      </c>
      <c r="C31" s="3">
        <v>0.0</v>
      </c>
      <c r="D31" s="1" t="s">
        <v>14</v>
      </c>
      <c r="E31" s="1" t="s">
        <v>12</v>
      </c>
      <c r="F31" s="3">
        <v>2680.0</v>
      </c>
      <c r="G31" s="3">
        <v>167384.0</v>
      </c>
      <c r="H31" s="3">
        <v>395654.0</v>
      </c>
      <c r="I31" s="3">
        <v>10187.0</v>
      </c>
    </row>
    <row r="32">
      <c r="A32" s="1" t="s">
        <v>16</v>
      </c>
      <c r="B32" s="1" t="s">
        <v>15</v>
      </c>
      <c r="C32" s="3">
        <v>1.0</v>
      </c>
      <c r="D32" s="1" t="s">
        <v>14</v>
      </c>
      <c r="E32" s="1" t="s">
        <v>13</v>
      </c>
      <c r="F32" s="3">
        <v>1.0</v>
      </c>
      <c r="G32" s="3">
        <v>299.0</v>
      </c>
      <c r="H32" s="3">
        <v>836.0</v>
      </c>
      <c r="I32" s="3">
        <v>508.0</v>
      </c>
    </row>
    <row r="33">
      <c r="A33" s="1" t="s">
        <v>16</v>
      </c>
      <c r="B33" s="1" t="s">
        <v>15</v>
      </c>
      <c r="C33" s="3">
        <v>0.0</v>
      </c>
      <c r="D33" s="1" t="s">
        <v>14</v>
      </c>
      <c r="E33" s="1" t="s">
        <v>13</v>
      </c>
      <c r="F33" s="3">
        <v>2680.0</v>
      </c>
      <c r="G33" s="3">
        <v>165904.0</v>
      </c>
      <c r="H33" s="3">
        <v>392280.0</v>
      </c>
      <c r="I33" s="3">
        <v>10371.0</v>
      </c>
    </row>
    <row r="34">
      <c r="A34" s="1" t="s">
        <v>17</v>
      </c>
      <c r="B34" s="1" t="s">
        <v>11</v>
      </c>
      <c r="C34" s="3">
        <v>1.0</v>
      </c>
      <c r="D34" s="1" t="s">
        <v>12</v>
      </c>
      <c r="E34" s="1" t="s">
        <v>12</v>
      </c>
      <c r="F34" s="3">
        <v>1.0</v>
      </c>
      <c r="G34" s="3">
        <v>60.0</v>
      </c>
      <c r="H34" s="3">
        <v>3759.0</v>
      </c>
      <c r="I34" s="3">
        <v>635.0</v>
      </c>
    </row>
    <row r="35">
      <c r="A35" s="1" t="s">
        <v>17</v>
      </c>
      <c r="B35" s="1" t="s">
        <v>11</v>
      </c>
      <c r="C35" s="3">
        <v>0.0</v>
      </c>
      <c r="D35" s="1" t="s">
        <v>12</v>
      </c>
      <c r="E35" s="1" t="s">
        <v>12</v>
      </c>
      <c r="F35" s="3">
        <v>14200.0</v>
      </c>
      <c r="G35" s="3">
        <v>348466.0</v>
      </c>
      <c r="H35" s="3">
        <v>1.0844028E7</v>
      </c>
      <c r="I35" s="3">
        <v>25879.0</v>
      </c>
    </row>
    <row r="36">
      <c r="A36" s="1" t="s">
        <v>17</v>
      </c>
      <c r="B36" s="1" t="s">
        <v>11</v>
      </c>
      <c r="C36" s="3">
        <v>1.0</v>
      </c>
      <c r="D36" s="1" t="s">
        <v>12</v>
      </c>
      <c r="E36" s="1" t="s">
        <v>13</v>
      </c>
      <c r="F36" s="3">
        <v>1.0</v>
      </c>
      <c r="G36" s="3">
        <v>52.0</v>
      </c>
      <c r="H36" s="3">
        <v>3501.0</v>
      </c>
      <c r="I36" s="3">
        <v>438.0</v>
      </c>
    </row>
    <row r="37">
      <c r="A37" s="1" t="s">
        <v>17</v>
      </c>
      <c r="B37" s="1" t="s">
        <v>11</v>
      </c>
      <c r="C37" s="3">
        <v>0.0</v>
      </c>
      <c r="D37" s="1" t="s">
        <v>12</v>
      </c>
      <c r="E37" s="1" t="s">
        <v>13</v>
      </c>
      <c r="F37" s="3">
        <v>14200.0</v>
      </c>
      <c r="G37" s="3">
        <v>338896.0</v>
      </c>
      <c r="H37" s="3">
        <v>1.0913473E7</v>
      </c>
      <c r="I37" s="3">
        <v>26237.0</v>
      </c>
    </row>
    <row r="38">
      <c r="A38" s="1" t="s">
        <v>17</v>
      </c>
      <c r="B38" s="1" t="s">
        <v>11</v>
      </c>
      <c r="C38" s="3">
        <v>1.0</v>
      </c>
      <c r="D38" s="1" t="s">
        <v>14</v>
      </c>
      <c r="E38" s="1" t="s">
        <v>12</v>
      </c>
      <c r="F38" s="3">
        <v>1.0</v>
      </c>
      <c r="G38" s="3">
        <v>72.0</v>
      </c>
      <c r="H38" s="3">
        <v>4086.0</v>
      </c>
      <c r="I38" s="3">
        <v>752.0</v>
      </c>
    </row>
    <row r="39">
      <c r="A39" s="1" t="s">
        <v>17</v>
      </c>
      <c r="B39" s="1" t="s">
        <v>11</v>
      </c>
      <c r="C39" s="3">
        <v>0.0</v>
      </c>
      <c r="D39" s="1" t="s">
        <v>14</v>
      </c>
      <c r="E39" s="1" t="s">
        <v>12</v>
      </c>
      <c r="F39" s="3">
        <v>14200.0</v>
      </c>
      <c r="G39" s="3">
        <v>313580.0</v>
      </c>
      <c r="H39" s="3">
        <v>9482646.0</v>
      </c>
      <c r="I39" s="3">
        <v>23589.0</v>
      </c>
    </row>
    <row r="40">
      <c r="A40" s="1" t="s">
        <v>17</v>
      </c>
      <c r="B40" s="1" t="s">
        <v>11</v>
      </c>
      <c r="C40" s="3">
        <v>1.0</v>
      </c>
      <c r="D40" s="1" t="s">
        <v>14</v>
      </c>
      <c r="E40" s="1" t="s">
        <v>13</v>
      </c>
      <c r="F40" s="3">
        <v>1.0</v>
      </c>
      <c r="G40" s="3">
        <v>18.0</v>
      </c>
      <c r="H40" s="3">
        <v>1278.0</v>
      </c>
      <c r="I40" s="3">
        <v>421.0</v>
      </c>
    </row>
    <row r="41">
      <c r="A41" s="1" t="s">
        <v>17</v>
      </c>
      <c r="B41" s="1" t="s">
        <v>11</v>
      </c>
      <c r="C41" s="3">
        <v>0.0</v>
      </c>
      <c r="D41" s="1" t="s">
        <v>14</v>
      </c>
      <c r="E41" s="1" t="s">
        <v>13</v>
      </c>
      <c r="F41" s="3">
        <v>14200.0</v>
      </c>
      <c r="G41" s="3">
        <v>303952.0</v>
      </c>
      <c r="H41" s="3">
        <v>9478753.0</v>
      </c>
      <c r="I41" s="3">
        <v>24073.0</v>
      </c>
    </row>
    <row r="42">
      <c r="A42" s="1" t="s">
        <v>17</v>
      </c>
      <c r="B42" s="1" t="s">
        <v>15</v>
      </c>
      <c r="C42" s="3">
        <v>1.0</v>
      </c>
      <c r="D42" s="1" t="s">
        <v>12</v>
      </c>
      <c r="E42" s="1" t="s">
        <v>12</v>
      </c>
      <c r="F42" s="3">
        <v>1.0</v>
      </c>
      <c r="G42" s="3">
        <v>326.0</v>
      </c>
      <c r="H42" s="3">
        <v>1048.0</v>
      </c>
      <c r="I42" s="3">
        <v>867.0</v>
      </c>
    </row>
    <row r="43">
      <c r="A43" s="1" t="s">
        <v>17</v>
      </c>
      <c r="B43" s="1" t="s">
        <v>15</v>
      </c>
      <c r="C43" s="3">
        <v>0.0</v>
      </c>
      <c r="D43" s="1" t="s">
        <v>12</v>
      </c>
      <c r="E43" s="1" t="s">
        <v>12</v>
      </c>
      <c r="F43" s="3">
        <v>14200.0</v>
      </c>
      <c r="G43" s="3">
        <v>1145464.0</v>
      </c>
      <c r="H43" s="3">
        <v>2938054.0</v>
      </c>
      <c r="I43" s="3">
        <v>39394.0</v>
      </c>
    </row>
    <row r="44">
      <c r="A44" s="1" t="s">
        <v>17</v>
      </c>
      <c r="B44" s="1" t="s">
        <v>15</v>
      </c>
      <c r="C44" s="3">
        <v>1.0</v>
      </c>
      <c r="D44" s="1" t="s">
        <v>12</v>
      </c>
      <c r="E44" s="1" t="s">
        <v>13</v>
      </c>
      <c r="F44" s="3">
        <v>1.0</v>
      </c>
      <c r="G44" s="3">
        <v>346.0</v>
      </c>
      <c r="H44" s="3">
        <v>971.0</v>
      </c>
      <c r="I44" s="3">
        <v>509.0</v>
      </c>
    </row>
    <row r="45">
      <c r="A45" s="1" t="s">
        <v>17</v>
      </c>
      <c r="B45" s="1" t="s">
        <v>15</v>
      </c>
      <c r="C45" s="3">
        <v>0.0</v>
      </c>
      <c r="D45" s="1" t="s">
        <v>12</v>
      </c>
      <c r="E45" s="1" t="s">
        <v>13</v>
      </c>
      <c r="F45" s="3">
        <v>14200.0</v>
      </c>
      <c r="G45" s="3">
        <v>1088132.0</v>
      </c>
      <c r="H45" s="3">
        <v>2834905.0</v>
      </c>
      <c r="I45" s="3">
        <v>39994.0</v>
      </c>
    </row>
    <row r="46">
      <c r="A46" s="1" t="s">
        <v>17</v>
      </c>
      <c r="B46" s="1" t="s">
        <v>15</v>
      </c>
      <c r="C46" s="3">
        <v>1.0</v>
      </c>
      <c r="D46" s="1" t="s">
        <v>14</v>
      </c>
      <c r="E46" s="1" t="s">
        <v>12</v>
      </c>
      <c r="F46" s="3">
        <v>1.0</v>
      </c>
      <c r="G46" s="3">
        <v>294.0</v>
      </c>
      <c r="H46" s="3">
        <v>888.0</v>
      </c>
      <c r="I46" s="3">
        <v>640.0</v>
      </c>
    </row>
    <row r="47">
      <c r="A47" s="1" t="s">
        <v>17</v>
      </c>
      <c r="B47" s="1" t="s">
        <v>15</v>
      </c>
      <c r="C47" s="3">
        <v>0.0</v>
      </c>
      <c r="D47" s="1" t="s">
        <v>14</v>
      </c>
      <c r="E47" s="1" t="s">
        <v>12</v>
      </c>
      <c r="F47" s="3">
        <v>14200.0</v>
      </c>
      <c r="G47" s="3">
        <v>809438.0</v>
      </c>
      <c r="H47" s="3">
        <v>1954095.0</v>
      </c>
      <c r="I47" s="3">
        <v>32686.0</v>
      </c>
    </row>
    <row r="48">
      <c r="A48" s="1" t="s">
        <v>17</v>
      </c>
      <c r="B48" s="1" t="s">
        <v>15</v>
      </c>
      <c r="C48" s="3">
        <v>1.0</v>
      </c>
      <c r="D48" s="1" t="s">
        <v>14</v>
      </c>
      <c r="E48" s="1" t="s">
        <v>13</v>
      </c>
      <c r="F48" s="3">
        <v>1.0</v>
      </c>
      <c r="G48" s="3">
        <v>54.0</v>
      </c>
      <c r="H48" s="3">
        <v>181.0</v>
      </c>
      <c r="I48" s="3">
        <v>105.0</v>
      </c>
    </row>
    <row r="49">
      <c r="A49" s="1" t="s">
        <v>17</v>
      </c>
      <c r="B49" s="1" t="s">
        <v>15</v>
      </c>
      <c r="C49" s="3">
        <v>0.0</v>
      </c>
      <c r="D49" s="1" t="s">
        <v>14</v>
      </c>
      <c r="E49" s="1" t="s">
        <v>13</v>
      </c>
      <c r="F49" s="3">
        <v>14200.0</v>
      </c>
      <c r="G49" s="3">
        <v>798664.0</v>
      </c>
      <c r="H49" s="3">
        <v>1929278.0</v>
      </c>
      <c r="I49" s="3">
        <v>32562.0</v>
      </c>
    </row>
    <row r="50">
      <c r="A50" s="1" t="s">
        <v>18</v>
      </c>
      <c r="B50" s="1" t="s">
        <v>11</v>
      </c>
      <c r="C50" s="3">
        <v>1.0</v>
      </c>
      <c r="D50" s="1" t="s">
        <v>12</v>
      </c>
      <c r="E50" s="1" t="s">
        <v>12</v>
      </c>
      <c r="F50" s="3">
        <v>1.0</v>
      </c>
      <c r="G50" s="3">
        <v>39.0</v>
      </c>
      <c r="H50" s="3">
        <v>2443.0</v>
      </c>
      <c r="I50" s="3">
        <v>382.0</v>
      </c>
    </row>
    <row r="51">
      <c r="A51" s="1" t="s">
        <v>18</v>
      </c>
      <c r="B51" s="1" t="s">
        <v>11</v>
      </c>
      <c r="C51" s="3">
        <v>0.0</v>
      </c>
      <c r="D51" s="1" t="s">
        <v>12</v>
      </c>
      <c r="E51" s="1" t="s">
        <v>12</v>
      </c>
      <c r="F51" s="3">
        <v>73712.0</v>
      </c>
      <c r="G51" s="3">
        <v>1838678.0</v>
      </c>
      <c r="H51" s="3">
        <v>6.260204E7</v>
      </c>
      <c r="I51" s="3">
        <v>89520.0</v>
      </c>
    </row>
    <row r="52">
      <c r="A52" s="1" t="s">
        <v>18</v>
      </c>
      <c r="B52" s="1" t="s">
        <v>11</v>
      </c>
      <c r="C52" s="3">
        <v>1.0</v>
      </c>
      <c r="D52" s="1" t="s">
        <v>12</v>
      </c>
      <c r="E52" s="1" t="s">
        <v>13</v>
      </c>
      <c r="F52" s="3">
        <v>1.0</v>
      </c>
      <c r="G52" s="3">
        <v>131.0</v>
      </c>
      <c r="H52" s="3">
        <v>8346.0</v>
      </c>
      <c r="I52" s="3">
        <v>1278.0</v>
      </c>
    </row>
    <row r="53">
      <c r="A53" s="1" t="s">
        <v>18</v>
      </c>
      <c r="B53" s="1" t="s">
        <v>11</v>
      </c>
      <c r="C53" s="3">
        <v>0.0</v>
      </c>
      <c r="D53" s="1" t="s">
        <v>12</v>
      </c>
      <c r="E53" s="1" t="s">
        <v>13</v>
      </c>
      <c r="F53" s="3">
        <v>73712.0</v>
      </c>
      <c r="G53" s="3">
        <v>1789108.0</v>
      </c>
      <c r="H53" s="3">
        <v>6.2949026E7</v>
      </c>
      <c r="I53" s="3">
        <v>90652.0</v>
      </c>
    </row>
    <row r="54">
      <c r="A54" s="1" t="s">
        <v>18</v>
      </c>
      <c r="B54" s="1" t="s">
        <v>11</v>
      </c>
      <c r="C54" s="3">
        <v>1.0</v>
      </c>
      <c r="D54" s="1" t="s">
        <v>14</v>
      </c>
      <c r="E54" s="1" t="s">
        <v>12</v>
      </c>
      <c r="F54" s="3">
        <v>1.0</v>
      </c>
      <c r="G54" s="3">
        <v>89.0</v>
      </c>
      <c r="H54" s="3">
        <v>5798.0</v>
      </c>
      <c r="I54" s="3">
        <v>596.0</v>
      </c>
    </row>
    <row r="55">
      <c r="A55" s="1" t="s">
        <v>18</v>
      </c>
      <c r="B55" s="1" t="s">
        <v>11</v>
      </c>
      <c r="C55" s="3">
        <v>0.0</v>
      </c>
      <c r="D55" s="1" t="s">
        <v>14</v>
      </c>
      <c r="E55" s="1" t="s">
        <v>12</v>
      </c>
      <c r="F55" s="3">
        <v>73712.0</v>
      </c>
      <c r="G55" s="3">
        <v>1634164.0</v>
      </c>
      <c r="H55" s="3">
        <v>5.3706577E7</v>
      </c>
      <c r="I55" s="3">
        <v>79263.0</v>
      </c>
    </row>
    <row r="56">
      <c r="A56" s="1" t="s">
        <v>18</v>
      </c>
      <c r="B56" s="1" t="s">
        <v>11</v>
      </c>
      <c r="C56" s="3">
        <v>1.0</v>
      </c>
      <c r="D56" s="1" t="s">
        <v>14</v>
      </c>
      <c r="E56" s="1" t="s">
        <v>13</v>
      </c>
      <c r="F56" s="3">
        <v>1.0</v>
      </c>
      <c r="G56" s="3">
        <v>115.0</v>
      </c>
      <c r="H56" s="3">
        <v>7938.0</v>
      </c>
      <c r="I56" s="3">
        <v>1029.0</v>
      </c>
    </row>
    <row r="57">
      <c r="A57" s="1" t="s">
        <v>18</v>
      </c>
      <c r="B57" s="1" t="s">
        <v>11</v>
      </c>
      <c r="C57" s="3">
        <v>0.0</v>
      </c>
      <c r="D57" s="1" t="s">
        <v>14</v>
      </c>
      <c r="E57" s="1" t="s">
        <v>13</v>
      </c>
      <c r="F57" s="3">
        <v>73712.0</v>
      </c>
      <c r="G57" s="3">
        <v>1583212.0</v>
      </c>
      <c r="H57" s="3">
        <v>5.3760642E7</v>
      </c>
      <c r="I57" s="3">
        <v>81530.0</v>
      </c>
    </row>
    <row r="58">
      <c r="A58" s="1" t="s">
        <v>18</v>
      </c>
      <c r="B58" s="1" t="s">
        <v>15</v>
      </c>
      <c r="C58" s="3">
        <v>1.0</v>
      </c>
      <c r="D58" s="1" t="s">
        <v>12</v>
      </c>
      <c r="E58" s="1" t="s">
        <v>12</v>
      </c>
      <c r="F58" s="3">
        <v>1.0</v>
      </c>
      <c r="G58" s="3">
        <v>145.0</v>
      </c>
      <c r="H58" s="3">
        <v>525.0</v>
      </c>
      <c r="I58" s="3">
        <v>321.0</v>
      </c>
    </row>
    <row r="59">
      <c r="A59" s="1" t="s">
        <v>18</v>
      </c>
      <c r="B59" s="1" t="s">
        <v>15</v>
      </c>
      <c r="C59" s="3">
        <v>0.0</v>
      </c>
      <c r="D59" s="1" t="s">
        <v>12</v>
      </c>
      <c r="E59" s="1" t="s">
        <v>12</v>
      </c>
      <c r="F59" s="3">
        <v>73712.0</v>
      </c>
      <c r="G59" s="3">
        <v>6171402.0</v>
      </c>
      <c r="H59" s="3">
        <v>1.6247936E7</v>
      </c>
      <c r="I59" s="3">
        <v>124929.0</v>
      </c>
    </row>
    <row r="60">
      <c r="A60" s="1" t="s">
        <v>18</v>
      </c>
      <c r="B60" s="1" t="s">
        <v>15</v>
      </c>
      <c r="C60" s="3">
        <v>1.0</v>
      </c>
      <c r="D60" s="1" t="s">
        <v>12</v>
      </c>
      <c r="E60" s="1" t="s">
        <v>13</v>
      </c>
      <c r="F60" s="3">
        <v>1.0</v>
      </c>
      <c r="G60" s="3">
        <v>851.0</v>
      </c>
      <c r="H60" s="3">
        <v>2503.0</v>
      </c>
      <c r="I60" s="3">
        <v>1324.0</v>
      </c>
    </row>
    <row r="61">
      <c r="A61" s="1" t="s">
        <v>18</v>
      </c>
      <c r="B61" s="1" t="s">
        <v>15</v>
      </c>
      <c r="C61" s="3">
        <v>0.0</v>
      </c>
      <c r="D61" s="1" t="s">
        <v>12</v>
      </c>
      <c r="E61" s="1" t="s">
        <v>13</v>
      </c>
      <c r="F61" s="3">
        <v>73712.0</v>
      </c>
      <c r="G61" s="3">
        <v>5859300.0</v>
      </c>
      <c r="H61" s="3">
        <v>1.5662935E7</v>
      </c>
      <c r="I61" s="3">
        <v>129962.0</v>
      </c>
    </row>
    <row r="62">
      <c r="A62" s="1" t="s">
        <v>18</v>
      </c>
      <c r="B62" s="1" t="s">
        <v>15</v>
      </c>
      <c r="C62" s="3">
        <v>1.0</v>
      </c>
      <c r="D62" s="1" t="s">
        <v>14</v>
      </c>
      <c r="E62" s="1" t="s">
        <v>12</v>
      </c>
      <c r="F62" s="3">
        <v>1.0</v>
      </c>
      <c r="G62" s="3">
        <v>331.0</v>
      </c>
      <c r="H62" s="3">
        <v>1076.0</v>
      </c>
      <c r="I62" s="3">
        <v>906.0</v>
      </c>
    </row>
    <row r="63">
      <c r="A63" s="1" t="s">
        <v>18</v>
      </c>
      <c r="B63" s="1" t="s">
        <v>15</v>
      </c>
      <c r="C63" s="3">
        <v>0.0</v>
      </c>
      <c r="D63" s="1" t="s">
        <v>14</v>
      </c>
      <c r="E63" s="1" t="s">
        <v>12</v>
      </c>
      <c r="F63" s="3">
        <v>73712.0</v>
      </c>
      <c r="G63" s="3">
        <v>4184244.0</v>
      </c>
      <c r="H63" s="3">
        <v>1.0306278E7</v>
      </c>
      <c r="I63" s="3">
        <v>97742.0</v>
      </c>
    </row>
    <row r="64">
      <c r="A64" s="1" t="s">
        <v>18</v>
      </c>
      <c r="B64" s="1" t="s">
        <v>15</v>
      </c>
      <c r="C64" s="3">
        <v>1.0</v>
      </c>
      <c r="D64" s="1" t="s">
        <v>14</v>
      </c>
      <c r="E64" s="1" t="s">
        <v>13</v>
      </c>
      <c r="F64" s="3">
        <v>1.0</v>
      </c>
      <c r="G64" s="3">
        <v>617.0</v>
      </c>
      <c r="H64" s="3">
        <v>1739.0</v>
      </c>
      <c r="I64" s="3">
        <v>1164.0</v>
      </c>
    </row>
    <row r="65">
      <c r="A65" s="1" t="s">
        <v>18</v>
      </c>
      <c r="B65" s="1" t="s">
        <v>15</v>
      </c>
      <c r="C65" s="3">
        <v>0.0</v>
      </c>
      <c r="D65" s="1" t="s">
        <v>14</v>
      </c>
      <c r="E65" s="1" t="s">
        <v>13</v>
      </c>
      <c r="F65" s="3">
        <v>73712.0</v>
      </c>
      <c r="G65" s="3">
        <v>4149920.0</v>
      </c>
      <c r="H65" s="3">
        <v>1.0226299E7</v>
      </c>
      <c r="I65" s="3">
        <v>100556.0</v>
      </c>
    </row>
    <row r="66">
      <c r="A66" s="1" t="s">
        <v>19</v>
      </c>
      <c r="B66" s="1" t="s">
        <v>11</v>
      </c>
      <c r="C66" s="3">
        <v>1.0</v>
      </c>
      <c r="D66" s="1" t="s">
        <v>12</v>
      </c>
      <c r="E66" s="1" t="s">
        <v>12</v>
      </c>
      <c r="F66" s="3">
        <v>1.0</v>
      </c>
      <c r="G66" s="3">
        <v>476.0</v>
      </c>
      <c r="H66" s="3">
        <v>30491.0</v>
      </c>
      <c r="I66" s="3">
        <v>1774.0</v>
      </c>
    </row>
    <row r="67">
      <c r="A67" s="1" t="s">
        <v>19</v>
      </c>
      <c r="B67" s="1" t="s">
        <v>11</v>
      </c>
      <c r="C67" s="3">
        <v>1.0</v>
      </c>
      <c r="D67" s="1" t="s">
        <v>12</v>
      </c>
      <c r="E67" s="1" t="s">
        <v>13</v>
      </c>
      <c r="F67" s="3">
        <v>1.0</v>
      </c>
      <c r="G67" s="3">
        <v>50.0</v>
      </c>
      <c r="H67" s="3">
        <v>3830.0</v>
      </c>
      <c r="I67" s="3">
        <v>726.0</v>
      </c>
    </row>
    <row r="68">
      <c r="A68" s="1" t="s">
        <v>19</v>
      </c>
      <c r="B68" s="1" t="s">
        <v>11</v>
      </c>
      <c r="C68" s="3">
        <v>1.0</v>
      </c>
      <c r="D68" s="1" t="s">
        <v>14</v>
      </c>
      <c r="E68" s="1" t="s">
        <v>12</v>
      </c>
      <c r="F68" s="3">
        <v>1.0</v>
      </c>
      <c r="G68" s="3">
        <v>50.0</v>
      </c>
      <c r="H68" s="3">
        <v>4252.0</v>
      </c>
      <c r="I68" s="3">
        <v>740.0</v>
      </c>
    </row>
    <row r="69">
      <c r="A69" s="1" t="s">
        <v>19</v>
      </c>
      <c r="B69" s="1" t="s">
        <v>11</v>
      </c>
      <c r="C69" s="3">
        <v>1.0</v>
      </c>
      <c r="D69" s="1" t="s">
        <v>14</v>
      </c>
      <c r="E69" s="1" t="s">
        <v>13</v>
      </c>
      <c r="F69" s="3">
        <v>1.0</v>
      </c>
      <c r="G69" s="3">
        <v>28.0</v>
      </c>
      <c r="H69" s="3">
        <v>2120.0</v>
      </c>
      <c r="I69" s="3">
        <v>614.0</v>
      </c>
    </row>
    <row r="70">
      <c r="A70" s="1" t="s">
        <v>19</v>
      </c>
      <c r="B70" s="1" t="s">
        <v>15</v>
      </c>
      <c r="C70" s="3">
        <v>1.0</v>
      </c>
      <c r="D70" s="1" t="s">
        <v>12</v>
      </c>
      <c r="E70" s="1" t="s">
        <v>12</v>
      </c>
      <c r="F70" s="3">
        <v>1.0</v>
      </c>
      <c r="G70" s="3">
        <v>2644.0</v>
      </c>
      <c r="H70" s="3">
        <v>8735.0</v>
      </c>
      <c r="I70" s="3">
        <v>1527.0</v>
      </c>
    </row>
    <row r="71">
      <c r="A71" s="1" t="s">
        <v>19</v>
      </c>
      <c r="B71" s="1" t="s">
        <v>15</v>
      </c>
      <c r="C71" s="3">
        <v>1.0</v>
      </c>
      <c r="D71" s="1" t="s">
        <v>12</v>
      </c>
      <c r="E71" s="1" t="s">
        <v>13</v>
      </c>
      <c r="F71" s="3">
        <v>1.0</v>
      </c>
      <c r="G71" s="3">
        <v>264.0</v>
      </c>
      <c r="H71" s="3">
        <v>871.0</v>
      </c>
      <c r="I71" s="3">
        <v>703.0</v>
      </c>
    </row>
    <row r="72">
      <c r="A72" s="1" t="s">
        <v>19</v>
      </c>
      <c r="B72" s="1" t="s">
        <v>15</v>
      </c>
      <c r="C72" s="3">
        <v>1.0</v>
      </c>
      <c r="D72" s="1" t="s">
        <v>14</v>
      </c>
      <c r="E72" s="1" t="s">
        <v>12</v>
      </c>
      <c r="F72" s="3">
        <v>1.0</v>
      </c>
      <c r="G72" s="3">
        <v>188.0</v>
      </c>
      <c r="H72" s="3">
        <v>724.0</v>
      </c>
      <c r="I72" s="3">
        <v>742.0</v>
      </c>
    </row>
    <row r="73">
      <c r="A73" s="1" t="s">
        <v>19</v>
      </c>
      <c r="B73" s="1" t="s">
        <v>15</v>
      </c>
      <c r="C73" s="3">
        <v>1.0</v>
      </c>
      <c r="D73" s="1" t="s">
        <v>14</v>
      </c>
      <c r="E73" s="1" t="s">
        <v>13</v>
      </c>
      <c r="F73" s="3">
        <v>1.0</v>
      </c>
      <c r="G73" s="3">
        <v>84.0</v>
      </c>
      <c r="H73" s="3">
        <v>251.0</v>
      </c>
      <c r="I73" s="3">
        <v>404.0</v>
      </c>
    </row>
    <row r="74">
      <c r="A74" s="1" t="s">
        <v>20</v>
      </c>
      <c r="B74" s="1" t="s">
        <v>11</v>
      </c>
      <c r="C74" s="3">
        <v>1.0</v>
      </c>
      <c r="D74" s="1" t="s">
        <v>12</v>
      </c>
      <c r="E74" s="1" t="s">
        <v>12</v>
      </c>
      <c r="F74" s="3">
        <v>1.0</v>
      </c>
      <c r="G74" s="3">
        <v>297.0</v>
      </c>
      <c r="H74" s="3">
        <v>22803.0</v>
      </c>
      <c r="I74" s="3">
        <v>1647.0</v>
      </c>
    </row>
    <row r="75">
      <c r="A75" s="1" t="s">
        <v>20</v>
      </c>
      <c r="B75" s="1" t="s">
        <v>11</v>
      </c>
      <c r="C75" s="3">
        <v>1.0</v>
      </c>
      <c r="D75" s="1" t="s">
        <v>12</v>
      </c>
      <c r="E75" s="1" t="s">
        <v>13</v>
      </c>
      <c r="F75" s="3">
        <v>1.0</v>
      </c>
      <c r="G75" s="3">
        <v>23.0</v>
      </c>
      <c r="H75" s="3">
        <v>2160.0</v>
      </c>
      <c r="I75" s="3">
        <v>587.0</v>
      </c>
    </row>
    <row r="76">
      <c r="A76" s="1" t="s">
        <v>20</v>
      </c>
      <c r="B76" s="1" t="s">
        <v>11</v>
      </c>
      <c r="C76" s="3">
        <v>1.0</v>
      </c>
      <c r="D76" s="1" t="s">
        <v>14</v>
      </c>
      <c r="E76" s="1" t="s">
        <v>12</v>
      </c>
      <c r="F76" s="3">
        <v>1.0</v>
      </c>
      <c r="G76" s="3">
        <v>17.0</v>
      </c>
      <c r="H76" s="3">
        <v>1873.0</v>
      </c>
      <c r="I76" s="3">
        <v>430.0</v>
      </c>
    </row>
    <row r="77">
      <c r="A77" s="1" t="s">
        <v>20</v>
      </c>
      <c r="B77" s="1" t="s">
        <v>11</v>
      </c>
      <c r="C77" s="3">
        <v>1.0</v>
      </c>
      <c r="D77" s="1" t="s">
        <v>14</v>
      </c>
      <c r="E77" s="1" t="s">
        <v>13</v>
      </c>
      <c r="F77" s="3">
        <v>1.0</v>
      </c>
      <c r="G77" s="3">
        <v>17.0</v>
      </c>
      <c r="H77" s="3">
        <v>1778.0</v>
      </c>
      <c r="I77" s="3">
        <v>213.0</v>
      </c>
    </row>
    <row r="78">
      <c r="A78" s="1" t="s">
        <v>20</v>
      </c>
      <c r="B78" s="1" t="s">
        <v>15</v>
      </c>
      <c r="C78" s="3">
        <v>1.0</v>
      </c>
      <c r="D78" s="1" t="s">
        <v>12</v>
      </c>
      <c r="E78" s="1" t="s">
        <v>12</v>
      </c>
      <c r="F78" s="3">
        <v>1.0</v>
      </c>
      <c r="G78" s="3">
        <v>1853.0</v>
      </c>
      <c r="H78" s="3">
        <v>6715.0</v>
      </c>
      <c r="I78" s="3">
        <v>1704.0</v>
      </c>
    </row>
    <row r="79">
      <c r="A79" s="1" t="s">
        <v>20</v>
      </c>
      <c r="B79" s="1" t="s">
        <v>15</v>
      </c>
      <c r="C79" s="3">
        <v>1.0</v>
      </c>
      <c r="D79" s="1" t="s">
        <v>12</v>
      </c>
      <c r="E79" s="1" t="s">
        <v>13</v>
      </c>
      <c r="F79" s="3">
        <v>1.0</v>
      </c>
      <c r="G79" s="3">
        <v>73.0</v>
      </c>
      <c r="H79" s="3">
        <v>296.0</v>
      </c>
      <c r="I79" s="3">
        <v>422.0</v>
      </c>
    </row>
    <row r="80">
      <c r="A80" s="1" t="s">
        <v>20</v>
      </c>
      <c r="B80" s="1" t="s">
        <v>15</v>
      </c>
      <c r="C80" s="3">
        <v>1.0</v>
      </c>
      <c r="D80" s="1" t="s">
        <v>14</v>
      </c>
      <c r="E80" s="1" t="s">
        <v>12</v>
      </c>
      <c r="F80" s="3">
        <v>1.0</v>
      </c>
      <c r="G80" s="3">
        <v>53.0</v>
      </c>
      <c r="H80" s="3">
        <v>204.0</v>
      </c>
      <c r="I80" s="3">
        <v>162.0</v>
      </c>
    </row>
    <row r="81">
      <c r="A81" s="1" t="s">
        <v>20</v>
      </c>
      <c r="B81" s="1" t="s">
        <v>15</v>
      </c>
      <c r="C81" s="3">
        <v>1.0</v>
      </c>
      <c r="D81" s="1" t="s">
        <v>14</v>
      </c>
      <c r="E81" s="1" t="s">
        <v>13</v>
      </c>
      <c r="F81" s="3">
        <v>1.0</v>
      </c>
      <c r="G81" s="3">
        <v>15.0</v>
      </c>
      <c r="H81" s="3">
        <v>105.0</v>
      </c>
      <c r="I81" s="3">
        <v>62.0</v>
      </c>
    </row>
    <row r="82">
      <c r="A82" s="1" t="s">
        <v>21</v>
      </c>
      <c r="B82" s="1" t="s">
        <v>11</v>
      </c>
      <c r="C82" s="3">
        <v>1.0</v>
      </c>
      <c r="D82" s="1" t="s">
        <v>12</v>
      </c>
      <c r="E82" s="1" t="s">
        <v>12</v>
      </c>
      <c r="F82" s="3">
        <v>1.0</v>
      </c>
      <c r="G82" s="3">
        <v>2054.0</v>
      </c>
      <c r="H82" s="3">
        <v>172394.0</v>
      </c>
      <c r="I82" s="3">
        <v>1724.0</v>
      </c>
    </row>
    <row r="83">
      <c r="A83" s="1" t="s">
        <v>21</v>
      </c>
      <c r="B83" s="1" t="s">
        <v>11</v>
      </c>
      <c r="C83" s="3">
        <v>1.0</v>
      </c>
      <c r="D83" s="1" t="s">
        <v>12</v>
      </c>
      <c r="E83" s="1" t="s">
        <v>13</v>
      </c>
      <c r="F83" s="3">
        <v>1.0</v>
      </c>
      <c r="G83" s="3">
        <v>530.0</v>
      </c>
      <c r="H83" s="3">
        <v>44408.0</v>
      </c>
      <c r="I83" s="3">
        <v>1697.0</v>
      </c>
    </row>
    <row r="84">
      <c r="A84" s="1" t="s">
        <v>21</v>
      </c>
      <c r="B84" s="1" t="s">
        <v>11</v>
      </c>
      <c r="C84" s="3">
        <v>1.0</v>
      </c>
      <c r="D84" s="1" t="s">
        <v>14</v>
      </c>
      <c r="E84" s="1" t="s">
        <v>12</v>
      </c>
      <c r="F84" s="3">
        <v>1.0</v>
      </c>
      <c r="G84" s="3">
        <v>24.0</v>
      </c>
      <c r="H84" s="3">
        <v>2666.0</v>
      </c>
      <c r="I84" s="3">
        <v>403.0</v>
      </c>
    </row>
    <row r="85">
      <c r="A85" s="1" t="s">
        <v>21</v>
      </c>
      <c r="B85" s="1" t="s">
        <v>11</v>
      </c>
      <c r="C85" s="3">
        <v>1.0</v>
      </c>
      <c r="D85" s="1" t="s">
        <v>14</v>
      </c>
      <c r="E85" s="1" t="s">
        <v>13</v>
      </c>
      <c r="F85" s="3">
        <v>1.0</v>
      </c>
      <c r="G85" s="3">
        <v>170.0</v>
      </c>
      <c r="H85" s="3">
        <v>13706.0</v>
      </c>
      <c r="I85" s="3">
        <v>1161.0</v>
      </c>
    </row>
    <row r="86">
      <c r="A86" s="1" t="s">
        <v>21</v>
      </c>
      <c r="B86" s="1" t="s">
        <v>15</v>
      </c>
      <c r="C86" s="3">
        <v>1.0</v>
      </c>
      <c r="D86" s="1" t="s">
        <v>12</v>
      </c>
      <c r="E86" s="1" t="s">
        <v>12</v>
      </c>
      <c r="F86" s="3">
        <v>1.0</v>
      </c>
      <c r="G86" s="3">
        <v>13730.0</v>
      </c>
      <c r="H86" s="3">
        <v>49333.0</v>
      </c>
      <c r="I86" s="3">
        <v>1728.0</v>
      </c>
    </row>
    <row r="87">
      <c r="A87" s="1" t="s">
        <v>21</v>
      </c>
      <c r="B87" s="1" t="s">
        <v>15</v>
      </c>
      <c r="C87" s="3">
        <v>1.0</v>
      </c>
      <c r="D87" s="1" t="s">
        <v>12</v>
      </c>
      <c r="E87" s="1" t="s">
        <v>13</v>
      </c>
      <c r="F87" s="3">
        <v>1.0</v>
      </c>
      <c r="G87" s="3">
        <v>3286.0</v>
      </c>
      <c r="H87" s="3">
        <v>10755.0</v>
      </c>
      <c r="I87" s="3">
        <v>1436.0</v>
      </c>
    </row>
    <row r="88">
      <c r="A88" s="1" t="s">
        <v>21</v>
      </c>
      <c r="B88" s="1" t="s">
        <v>15</v>
      </c>
      <c r="C88" s="3">
        <v>1.0</v>
      </c>
      <c r="D88" s="1" t="s">
        <v>14</v>
      </c>
      <c r="E88" s="1" t="s">
        <v>12</v>
      </c>
      <c r="F88" s="3">
        <v>1.0</v>
      </c>
      <c r="G88" s="3">
        <v>62.0</v>
      </c>
      <c r="H88" s="3">
        <v>272.0</v>
      </c>
      <c r="I88" s="3">
        <v>326.0</v>
      </c>
    </row>
    <row r="89">
      <c r="A89" s="1" t="s">
        <v>21</v>
      </c>
      <c r="B89" s="1" t="s">
        <v>15</v>
      </c>
      <c r="C89" s="3">
        <v>1.0</v>
      </c>
      <c r="D89" s="1" t="s">
        <v>14</v>
      </c>
      <c r="E89" s="1" t="s">
        <v>13</v>
      </c>
      <c r="F89" s="3">
        <v>1.0</v>
      </c>
      <c r="G89" s="3">
        <v>680.0</v>
      </c>
      <c r="H89" s="3">
        <v>2008.0</v>
      </c>
      <c r="I89" s="3">
        <v>1208.0</v>
      </c>
    </row>
    <row r="90">
      <c r="A90" s="1" t="s">
        <v>22</v>
      </c>
      <c r="B90" s="1" t="s">
        <v>11</v>
      </c>
      <c r="C90" s="3">
        <v>1.0</v>
      </c>
      <c r="D90" s="1" t="s">
        <v>12</v>
      </c>
      <c r="E90" s="1" t="s">
        <v>12</v>
      </c>
      <c r="F90" s="3">
        <v>1.0</v>
      </c>
      <c r="G90" s="3">
        <v>1203.0</v>
      </c>
      <c r="H90" s="3">
        <v>107553.0</v>
      </c>
      <c r="I90" s="3">
        <v>1369.0</v>
      </c>
    </row>
    <row r="91">
      <c r="A91" s="1" t="s">
        <v>22</v>
      </c>
      <c r="B91" s="1" t="s">
        <v>11</v>
      </c>
      <c r="C91" s="3">
        <v>1.0</v>
      </c>
      <c r="D91" s="1" t="s">
        <v>12</v>
      </c>
      <c r="E91" s="1" t="s">
        <v>13</v>
      </c>
      <c r="F91" s="3">
        <v>1.0</v>
      </c>
      <c r="G91" s="3">
        <v>159.0</v>
      </c>
      <c r="H91" s="3">
        <v>15950.0</v>
      </c>
      <c r="I91" s="3">
        <v>1245.0</v>
      </c>
    </row>
    <row r="92">
      <c r="A92" s="1" t="s">
        <v>22</v>
      </c>
      <c r="B92" s="1" t="s">
        <v>11</v>
      </c>
      <c r="C92" s="3">
        <v>1.0</v>
      </c>
      <c r="D92" s="1" t="s">
        <v>14</v>
      </c>
      <c r="E92" s="1" t="s">
        <v>12</v>
      </c>
      <c r="F92" s="3">
        <v>1.0</v>
      </c>
      <c r="G92" s="3">
        <v>27.0</v>
      </c>
      <c r="H92" s="3">
        <v>3884.0</v>
      </c>
      <c r="I92" s="3">
        <v>430.0</v>
      </c>
    </row>
    <row r="93">
      <c r="A93" s="1" t="s">
        <v>22</v>
      </c>
      <c r="B93" s="1" t="s">
        <v>11</v>
      </c>
      <c r="C93" s="3">
        <v>1.0</v>
      </c>
      <c r="D93" s="1" t="s">
        <v>14</v>
      </c>
      <c r="E93" s="1" t="s">
        <v>13</v>
      </c>
      <c r="F93" s="3">
        <v>1.0</v>
      </c>
      <c r="G93" s="3">
        <v>81.0</v>
      </c>
      <c r="H93" s="3">
        <v>8020.0</v>
      </c>
      <c r="I93" s="3">
        <v>955.0</v>
      </c>
    </row>
    <row r="94">
      <c r="A94" s="1" t="s">
        <v>22</v>
      </c>
      <c r="B94" s="1" t="s">
        <v>15</v>
      </c>
      <c r="C94" s="3">
        <v>1.0</v>
      </c>
      <c r="D94" s="1" t="s">
        <v>12</v>
      </c>
      <c r="E94" s="1" t="s">
        <v>12</v>
      </c>
      <c r="F94" s="3">
        <v>1.0</v>
      </c>
      <c r="G94" s="3">
        <v>7811.0</v>
      </c>
      <c r="H94" s="3">
        <v>30008.0</v>
      </c>
      <c r="I94" s="3">
        <v>1625.0</v>
      </c>
    </row>
    <row r="95">
      <c r="A95" s="1" t="s">
        <v>22</v>
      </c>
      <c r="B95" s="1" t="s">
        <v>15</v>
      </c>
      <c r="C95" s="3">
        <v>1.0</v>
      </c>
      <c r="D95" s="1" t="s">
        <v>12</v>
      </c>
      <c r="E95" s="1" t="s">
        <v>13</v>
      </c>
      <c r="F95" s="3">
        <v>1.0</v>
      </c>
      <c r="G95" s="3">
        <v>949.0</v>
      </c>
      <c r="H95" s="3">
        <v>3382.0</v>
      </c>
      <c r="I95" s="3">
        <v>1277.0</v>
      </c>
    </row>
    <row r="96">
      <c r="A96" s="1" t="s">
        <v>22</v>
      </c>
      <c r="B96" s="1" t="s">
        <v>15</v>
      </c>
      <c r="C96" s="3">
        <v>1.0</v>
      </c>
      <c r="D96" s="1" t="s">
        <v>14</v>
      </c>
      <c r="E96" s="1" t="s">
        <v>12</v>
      </c>
      <c r="F96" s="3">
        <v>1.0</v>
      </c>
      <c r="G96" s="3">
        <v>109.0</v>
      </c>
      <c r="H96" s="3">
        <v>418.0</v>
      </c>
      <c r="I96" s="3">
        <v>512.0</v>
      </c>
    </row>
    <row r="97">
      <c r="A97" s="1" t="s">
        <v>22</v>
      </c>
      <c r="B97" s="1" t="s">
        <v>15</v>
      </c>
      <c r="C97" s="3">
        <v>1.0</v>
      </c>
      <c r="D97" s="1" t="s">
        <v>14</v>
      </c>
      <c r="E97" s="1" t="s">
        <v>13</v>
      </c>
      <c r="F97" s="3">
        <v>1.0</v>
      </c>
      <c r="G97" s="3">
        <v>329.0</v>
      </c>
      <c r="H97" s="3">
        <v>1104.0</v>
      </c>
      <c r="I97" s="3">
        <v>1145.0</v>
      </c>
    </row>
    <row r="98">
      <c r="A98" s="1" t="s">
        <v>23</v>
      </c>
      <c r="B98" s="1" t="s">
        <v>11</v>
      </c>
      <c r="C98" s="3">
        <v>1.0</v>
      </c>
      <c r="D98" s="1" t="s">
        <v>14</v>
      </c>
      <c r="E98" s="1" t="s">
        <v>12</v>
      </c>
      <c r="F98" s="3">
        <v>1.0</v>
      </c>
      <c r="G98" s="3">
        <v>81.0</v>
      </c>
      <c r="H98" s="3">
        <v>10126.0</v>
      </c>
      <c r="I98" s="3">
        <v>713.0</v>
      </c>
    </row>
    <row r="99">
      <c r="A99" s="1" t="s">
        <v>23</v>
      </c>
      <c r="B99" s="1" t="s">
        <v>11</v>
      </c>
      <c r="C99" s="3">
        <v>1.0</v>
      </c>
      <c r="D99" s="1" t="s">
        <v>14</v>
      </c>
      <c r="E99" s="1" t="s">
        <v>13</v>
      </c>
      <c r="F99" s="3">
        <v>1.0</v>
      </c>
      <c r="G99" s="3">
        <v>81.0</v>
      </c>
      <c r="H99" s="3">
        <v>10126.0</v>
      </c>
      <c r="I99" s="3">
        <v>738.0</v>
      </c>
    </row>
    <row r="100">
      <c r="A100" s="1" t="s">
        <v>23</v>
      </c>
      <c r="B100" s="1" t="s">
        <v>15</v>
      </c>
      <c r="C100" s="3">
        <v>1.0</v>
      </c>
      <c r="D100" s="1" t="s">
        <v>14</v>
      </c>
      <c r="E100" s="1" t="s">
        <v>12</v>
      </c>
      <c r="F100" s="3">
        <v>1.0</v>
      </c>
      <c r="G100" s="3">
        <v>81.0</v>
      </c>
      <c r="H100" s="3">
        <v>3240.0</v>
      </c>
      <c r="I100" s="3">
        <v>754.0</v>
      </c>
    </row>
    <row r="101">
      <c r="A101" s="1" t="s">
        <v>23</v>
      </c>
      <c r="B101" s="1" t="s">
        <v>15</v>
      </c>
      <c r="C101" s="3">
        <v>1.0</v>
      </c>
      <c r="D101" s="1" t="s">
        <v>14</v>
      </c>
      <c r="E101" s="1" t="s">
        <v>13</v>
      </c>
      <c r="F101" s="3">
        <v>1.0</v>
      </c>
      <c r="G101" s="3">
        <v>81.0</v>
      </c>
      <c r="H101" s="3">
        <v>3240.0</v>
      </c>
      <c r="I101" s="3">
        <v>727.0</v>
      </c>
    </row>
    <row r="102">
      <c r="A102" s="1" t="s">
        <v>24</v>
      </c>
      <c r="B102" s="1" t="s">
        <v>11</v>
      </c>
      <c r="C102" s="3">
        <v>1.0</v>
      </c>
      <c r="D102" s="1" t="s">
        <v>12</v>
      </c>
      <c r="E102" s="1" t="s">
        <v>12</v>
      </c>
      <c r="F102" s="3">
        <v>1.0</v>
      </c>
      <c r="G102" s="3">
        <v>8452.0</v>
      </c>
      <c r="H102" s="3">
        <v>784097.0</v>
      </c>
      <c r="I102" s="3">
        <v>2066.0</v>
      </c>
    </row>
    <row r="103">
      <c r="A103" s="1" t="s">
        <v>24</v>
      </c>
      <c r="B103" s="1" t="s">
        <v>11</v>
      </c>
      <c r="C103" s="3">
        <v>1.0</v>
      </c>
      <c r="D103" s="1" t="s">
        <v>12</v>
      </c>
      <c r="E103" s="1" t="s">
        <v>13</v>
      </c>
      <c r="F103" s="3">
        <v>1.0</v>
      </c>
      <c r="G103" s="3">
        <v>40.0</v>
      </c>
      <c r="H103" s="3">
        <v>4851.0</v>
      </c>
      <c r="I103" s="3">
        <v>491.0</v>
      </c>
    </row>
    <row r="104">
      <c r="A104" s="1" t="s">
        <v>24</v>
      </c>
      <c r="B104" s="1" t="s">
        <v>11</v>
      </c>
      <c r="C104" s="3">
        <v>1.0</v>
      </c>
      <c r="D104" s="1" t="s">
        <v>14</v>
      </c>
      <c r="E104" s="1" t="s">
        <v>12</v>
      </c>
      <c r="F104" s="3">
        <v>1.0</v>
      </c>
      <c r="G104" s="3">
        <v>46.0</v>
      </c>
      <c r="H104" s="3">
        <v>5816.0</v>
      </c>
      <c r="I104" s="3">
        <v>668.0</v>
      </c>
    </row>
    <row r="105">
      <c r="A105" s="1" t="s">
        <v>24</v>
      </c>
      <c r="B105" s="1" t="s">
        <v>11</v>
      </c>
      <c r="C105" s="3">
        <v>1.0</v>
      </c>
      <c r="D105" s="1" t="s">
        <v>14</v>
      </c>
      <c r="E105" s="1" t="s">
        <v>13</v>
      </c>
      <c r="F105" s="3">
        <v>1.0</v>
      </c>
      <c r="G105" s="3">
        <v>34.0</v>
      </c>
      <c r="H105" s="3">
        <v>4163.0</v>
      </c>
      <c r="I105" s="3">
        <v>516.0</v>
      </c>
    </row>
    <row r="106">
      <c r="A106" s="1" t="s">
        <v>24</v>
      </c>
      <c r="B106" s="1" t="s">
        <v>15</v>
      </c>
      <c r="C106" s="3">
        <v>1.0</v>
      </c>
      <c r="D106" s="1" t="s">
        <v>12</v>
      </c>
      <c r="E106" s="1" t="s">
        <v>12</v>
      </c>
      <c r="F106" s="3">
        <v>1.0</v>
      </c>
      <c r="G106" s="3">
        <v>54908.0</v>
      </c>
      <c r="H106" s="3">
        <v>211828.0</v>
      </c>
      <c r="I106" s="3">
        <v>2579.0</v>
      </c>
    </row>
    <row r="107">
      <c r="A107" s="1" t="s">
        <v>24</v>
      </c>
      <c r="B107" s="1" t="s">
        <v>15</v>
      </c>
      <c r="C107" s="3">
        <v>1.0</v>
      </c>
      <c r="D107" s="1" t="s">
        <v>12</v>
      </c>
      <c r="E107" s="1" t="s">
        <v>13</v>
      </c>
      <c r="F107" s="3">
        <v>1.0</v>
      </c>
      <c r="G107" s="3">
        <v>224.0</v>
      </c>
      <c r="H107" s="3">
        <v>783.0</v>
      </c>
      <c r="I107" s="3">
        <v>827.0</v>
      </c>
    </row>
    <row r="108">
      <c r="A108" s="1" t="s">
        <v>24</v>
      </c>
      <c r="B108" s="1" t="s">
        <v>15</v>
      </c>
      <c r="C108" s="3">
        <v>1.0</v>
      </c>
      <c r="D108" s="1" t="s">
        <v>14</v>
      </c>
      <c r="E108" s="1" t="s">
        <v>12</v>
      </c>
      <c r="F108" s="3">
        <v>1.0</v>
      </c>
      <c r="G108" s="3">
        <v>114.0</v>
      </c>
      <c r="H108" s="3">
        <v>455.0</v>
      </c>
      <c r="I108" s="3">
        <v>592.0</v>
      </c>
    </row>
    <row r="109">
      <c r="A109" s="1" t="s">
        <v>24</v>
      </c>
      <c r="B109" s="1" t="s">
        <v>15</v>
      </c>
      <c r="C109" s="3">
        <v>1.0</v>
      </c>
      <c r="D109" s="1" t="s">
        <v>14</v>
      </c>
      <c r="E109" s="1" t="s">
        <v>13</v>
      </c>
      <c r="F109" s="3">
        <v>1.0</v>
      </c>
      <c r="G109" s="3">
        <v>108.0</v>
      </c>
      <c r="H109" s="3">
        <v>393.0</v>
      </c>
      <c r="I109" s="3">
        <v>667.0</v>
      </c>
    </row>
    <row r="110">
      <c r="A110" s="1" t="s">
        <v>25</v>
      </c>
      <c r="B110" s="1" t="s">
        <v>11</v>
      </c>
      <c r="C110" s="3">
        <v>1.0</v>
      </c>
      <c r="D110" s="1" t="s">
        <v>14</v>
      </c>
      <c r="E110" s="1" t="s">
        <v>12</v>
      </c>
      <c r="F110" s="3">
        <v>1.0</v>
      </c>
      <c r="G110" s="3">
        <v>83.0</v>
      </c>
      <c r="H110" s="3">
        <v>12253.0</v>
      </c>
      <c r="I110" s="3">
        <v>744.0</v>
      </c>
    </row>
    <row r="111">
      <c r="A111" s="1" t="s">
        <v>25</v>
      </c>
      <c r="B111" s="1" t="s">
        <v>11</v>
      </c>
      <c r="C111" s="3">
        <v>1.0</v>
      </c>
      <c r="D111" s="1" t="s">
        <v>14</v>
      </c>
      <c r="E111" s="1" t="s">
        <v>13</v>
      </c>
      <c r="F111" s="3">
        <v>1.0</v>
      </c>
      <c r="G111" s="3">
        <v>81.0</v>
      </c>
      <c r="H111" s="3">
        <v>11969.0</v>
      </c>
      <c r="I111" s="3">
        <v>762.0</v>
      </c>
    </row>
    <row r="112">
      <c r="A112" s="1" t="s">
        <v>25</v>
      </c>
      <c r="B112" s="1" t="s">
        <v>15</v>
      </c>
      <c r="C112" s="3">
        <v>1.0</v>
      </c>
      <c r="D112" s="1" t="s">
        <v>14</v>
      </c>
      <c r="E112" s="1" t="s">
        <v>12</v>
      </c>
      <c r="F112" s="3">
        <v>1.0</v>
      </c>
      <c r="G112" s="3">
        <v>113.0</v>
      </c>
      <c r="H112" s="3">
        <v>3884.0</v>
      </c>
      <c r="I112" s="3">
        <v>766.0</v>
      </c>
    </row>
    <row r="113">
      <c r="A113" s="1" t="s">
        <v>25</v>
      </c>
      <c r="B113" s="1" t="s">
        <v>15</v>
      </c>
      <c r="C113" s="3">
        <v>1.0</v>
      </c>
      <c r="D113" s="1" t="s">
        <v>14</v>
      </c>
      <c r="E113" s="1" t="s">
        <v>13</v>
      </c>
      <c r="F113" s="3">
        <v>1.0</v>
      </c>
      <c r="G113" s="3">
        <v>81.0</v>
      </c>
      <c r="H113" s="3">
        <v>3240.0</v>
      </c>
      <c r="I113" s="3">
        <v>697.0</v>
      </c>
    </row>
    <row r="114">
      <c r="A114" s="1" t="s">
        <v>26</v>
      </c>
      <c r="B114" s="1" t="s">
        <v>11</v>
      </c>
      <c r="C114" s="3">
        <v>1.0</v>
      </c>
      <c r="D114" s="1" t="s">
        <v>12</v>
      </c>
      <c r="E114" s="1" t="s">
        <v>12</v>
      </c>
      <c r="F114" s="3">
        <v>1.0</v>
      </c>
      <c r="G114" s="3">
        <v>81.0</v>
      </c>
      <c r="H114" s="3">
        <v>10127.0</v>
      </c>
      <c r="I114" s="3">
        <v>491.0</v>
      </c>
    </row>
    <row r="115">
      <c r="A115" s="1" t="s">
        <v>26</v>
      </c>
      <c r="B115" s="1" t="s">
        <v>11</v>
      </c>
      <c r="C115" s="3">
        <v>1.0</v>
      </c>
      <c r="D115" s="1" t="s">
        <v>12</v>
      </c>
      <c r="E115" s="1" t="s">
        <v>13</v>
      </c>
      <c r="F115" s="3">
        <v>1.0</v>
      </c>
      <c r="G115" s="3">
        <v>81.0</v>
      </c>
      <c r="H115" s="3">
        <v>10127.0</v>
      </c>
      <c r="I115" s="3">
        <v>550.0</v>
      </c>
    </row>
    <row r="116">
      <c r="A116" s="1" t="s">
        <v>26</v>
      </c>
      <c r="B116" s="1" t="s">
        <v>11</v>
      </c>
      <c r="C116" s="3">
        <v>1.0</v>
      </c>
      <c r="D116" s="1" t="s">
        <v>14</v>
      </c>
      <c r="E116" s="1" t="s">
        <v>12</v>
      </c>
      <c r="F116" s="3">
        <v>1.0</v>
      </c>
      <c r="G116" s="3">
        <v>81.0</v>
      </c>
      <c r="H116" s="3">
        <v>10127.0</v>
      </c>
      <c r="I116" s="3">
        <v>514.0</v>
      </c>
    </row>
    <row r="117">
      <c r="A117" s="1" t="s">
        <v>26</v>
      </c>
      <c r="B117" s="1" t="s">
        <v>11</v>
      </c>
      <c r="C117" s="3">
        <v>1.0</v>
      </c>
      <c r="D117" s="1" t="s">
        <v>14</v>
      </c>
      <c r="E117" s="1" t="s">
        <v>13</v>
      </c>
      <c r="F117" s="3">
        <v>1.0</v>
      </c>
      <c r="G117" s="3">
        <v>81.0</v>
      </c>
      <c r="H117" s="3">
        <v>10127.0</v>
      </c>
      <c r="I117" s="3">
        <v>544.0</v>
      </c>
    </row>
    <row r="118">
      <c r="A118" s="1" t="s">
        <v>26</v>
      </c>
      <c r="B118" s="1" t="s">
        <v>15</v>
      </c>
      <c r="C118" s="3">
        <v>1.0</v>
      </c>
      <c r="D118" s="1" t="s">
        <v>12</v>
      </c>
      <c r="E118" s="1" t="s">
        <v>12</v>
      </c>
      <c r="F118" s="3">
        <v>1.0</v>
      </c>
      <c r="G118" s="3">
        <v>201.0</v>
      </c>
      <c r="H118" s="3">
        <v>7030.0</v>
      </c>
      <c r="I118" s="3">
        <v>612.0</v>
      </c>
    </row>
    <row r="119">
      <c r="A119" s="1" t="s">
        <v>26</v>
      </c>
      <c r="B119" s="1" t="s">
        <v>15</v>
      </c>
      <c r="C119" s="3">
        <v>1.0</v>
      </c>
      <c r="D119" s="1" t="s">
        <v>12</v>
      </c>
      <c r="E119" s="1" t="s">
        <v>13</v>
      </c>
      <c r="F119" s="3">
        <v>1.0</v>
      </c>
      <c r="G119" s="3">
        <v>179.0</v>
      </c>
      <c r="H119" s="3">
        <v>6116.0</v>
      </c>
      <c r="I119" s="3">
        <v>674.0</v>
      </c>
    </row>
    <row r="120">
      <c r="A120" s="1" t="s">
        <v>26</v>
      </c>
      <c r="B120" s="1" t="s">
        <v>15</v>
      </c>
      <c r="C120" s="3">
        <v>1.0</v>
      </c>
      <c r="D120" s="1" t="s">
        <v>14</v>
      </c>
      <c r="E120" s="1" t="s">
        <v>12</v>
      </c>
      <c r="F120" s="3">
        <v>1.0</v>
      </c>
      <c r="G120" s="3">
        <v>81.0</v>
      </c>
      <c r="H120" s="3">
        <v>3240.0</v>
      </c>
      <c r="I120" s="3">
        <v>511.0</v>
      </c>
    </row>
    <row r="121">
      <c r="A121" s="1" t="s">
        <v>26</v>
      </c>
      <c r="B121" s="1" t="s">
        <v>15</v>
      </c>
      <c r="C121" s="3">
        <v>1.0</v>
      </c>
      <c r="D121" s="1" t="s">
        <v>14</v>
      </c>
      <c r="E121" s="1" t="s">
        <v>13</v>
      </c>
      <c r="F121" s="3">
        <v>1.0</v>
      </c>
      <c r="G121" s="3">
        <v>81.0</v>
      </c>
      <c r="H121" s="3">
        <v>3240.0</v>
      </c>
      <c r="I121" s="3">
        <v>543.0</v>
      </c>
    </row>
    <row r="122">
      <c r="A122" s="1" t="s">
        <v>27</v>
      </c>
      <c r="B122" s="1" t="s">
        <v>11</v>
      </c>
      <c r="C122" s="3">
        <v>1.0</v>
      </c>
      <c r="D122" s="1" t="s">
        <v>14</v>
      </c>
      <c r="E122" s="1" t="s">
        <v>12</v>
      </c>
      <c r="F122" s="3">
        <v>1.0</v>
      </c>
      <c r="G122" s="3">
        <v>105.0</v>
      </c>
      <c r="H122" s="3">
        <v>16206.0</v>
      </c>
      <c r="I122" s="3">
        <v>837.0</v>
      </c>
    </row>
    <row r="123">
      <c r="A123" s="1" t="s">
        <v>27</v>
      </c>
      <c r="B123" s="1" t="s">
        <v>11</v>
      </c>
      <c r="C123" s="3">
        <v>1.0</v>
      </c>
      <c r="D123" s="1" t="s">
        <v>14</v>
      </c>
      <c r="E123" s="1" t="s">
        <v>13</v>
      </c>
      <c r="F123" s="3">
        <v>1.0</v>
      </c>
      <c r="G123" s="3">
        <v>87.0</v>
      </c>
      <c r="H123" s="3">
        <v>14593.0</v>
      </c>
      <c r="I123" s="3">
        <v>837.0</v>
      </c>
    </row>
    <row r="124">
      <c r="A124" s="1" t="s">
        <v>27</v>
      </c>
      <c r="B124" s="1" t="s">
        <v>15</v>
      </c>
      <c r="C124" s="3">
        <v>1.0</v>
      </c>
      <c r="D124" s="1" t="s">
        <v>14</v>
      </c>
      <c r="E124" s="1" t="s">
        <v>12</v>
      </c>
      <c r="F124" s="3">
        <v>1.0</v>
      </c>
      <c r="G124" s="3">
        <v>139.0</v>
      </c>
      <c r="H124" s="3">
        <v>4664.0</v>
      </c>
      <c r="I124" s="3">
        <v>796.0</v>
      </c>
    </row>
    <row r="125">
      <c r="A125" s="1" t="s">
        <v>27</v>
      </c>
      <c r="B125" s="1" t="s">
        <v>15</v>
      </c>
      <c r="C125" s="3">
        <v>1.0</v>
      </c>
      <c r="D125" s="1" t="s">
        <v>14</v>
      </c>
      <c r="E125" s="1" t="s">
        <v>13</v>
      </c>
      <c r="F125" s="3">
        <v>1.0</v>
      </c>
      <c r="G125" s="3">
        <v>219.0</v>
      </c>
      <c r="H125" s="3">
        <v>5776.0</v>
      </c>
      <c r="I125" s="3">
        <v>811.0</v>
      </c>
    </row>
    <row r="126">
      <c r="A126" s="1" t="s">
        <v>28</v>
      </c>
      <c r="B126" s="1" t="s">
        <v>11</v>
      </c>
      <c r="C126" s="3">
        <v>1.0</v>
      </c>
      <c r="D126" s="1" t="s">
        <v>12</v>
      </c>
      <c r="E126" s="1" t="s">
        <v>12</v>
      </c>
      <c r="F126" s="3">
        <v>1.0</v>
      </c>
      <c r="G126" s="3">
        <v>6.0</v>
      </c>
      <c r="H126" s="3">
        <v>48.0</v>
      </c>
      <c r="I126" s="3">
        <v>2.0</v>
      </c>
    </row>
    <row r="127">
      <c r="A127" s="1" t="s">
        <v>28</v>
      </c>
      <c r="B127" s="1" t="s">
        <v>11</v>
      </c>
      <c r="C127" s="3">
        <v>0.0</v>
      </c>
      <c r="D127" s="1" t="s">
        <v>12</v>
      </c>
      <c r="E127" s="1" t="s">
        <v>12</v>
      </c>
      <c r="F127" s="3">
        <v>2.0</v>
      </c>
      <c r="G127" s="3">
        <v>18.0</v>
      </c>
      <c r="H127" s="3">
        <v>80.0</v>
      </c>
      <c r="I127" s="3">
        <v>10.0</v>
      </c>
    </row>
    <row r="128">
      <c r="A128" s="1" t="s">
        <v>28</v>
      </c>
      <c r="B128" s="1" t="s">
        <v>11</v>
      </c>
      <c r="C128" s="3">
        <v>1.0</v>
      </c>
      <c r="D128" s="1" t="s">
        <v>12</v>
      </c>
      <c r="E128" s="1" t="s">
        <v>13</v>
      </c>
      <c r="F128" s="3">
        <v>1.0</v>
      </c>
      <c r="G128" s="3">
        <v>6.0</v>
      </c>
      <c r="H128" s="3">
        <v>48.0</v>
      </c>
      <c r="I128" s="3">
        <v>7.0</v>
      </c>
    </row>
    <row r="129">
      <c r="A129" s="1" t="s">
        <v>28</v>
      </c>
      <c r="B129" s="1" t="s">
        <v>11</v>
      </c>
      <c r="C129" s="3">
        <v>0.0</v>
      </c>
      <c r="D129" s="1" t="s">
        <v>12</v>
      </c>
      <c r="E129" s="1" t="s">
        <v>13</v>
      </c>
      <c r="F129" s="3">
        <v>2.0</v>
      </c>
      <c r="G129" s="3">
        <v>18.0</v>
      </c>
      <c r="H129" s="3">
        <v>80.0</v>
      </c>
      <c r="I129" s="3">
        <v>13.0</v>
      </c>
    </row>
    <row r="130">
      <c r="A130" s="1" t="s">
        <v>28</v>
      </c>
      <c r="B130" s="1" t="s">
        <v>11</v>
      </c>
      <c r="C130" s="3">
        <v>1.0</v>
      </c>
      <c r="D130" s="1" t="s">
        <v>14</v>
      </c>
      <c r="E130" s="1" t="s">
        <v>12</v>
      </c>
      <c r="F130" s="3">
        <v>1.0</v>
      </c>
      <c r="G130" s="3">
        <v>6.0</v>
      </c>
      <c r="H130" s="3">
        <v>48.0</v>
      </c>
      <c r="I130" s="3">
        <v>25.0</v>
      </c>
    </row>
    <row r="131">
      <c r="A131" s="1" t="s">
        <v>28</v>
      </c>
      <c r="B131" s="1" t="s">
        <v>11</v>
      </c>
      <c r="C131" s="3">
        <v>0.0</v>
      </c>
      <c r="D131" s="1" t="s">
        <v>14</v>
      </c>
      <c r="E131" s="1" t="s">
        <v>12</v>
      </c>
      <c r="F131" s="3">
        <v>2.0</v>
      </c>
      <c r="G131" s="3">
        <v>18.0</v>
      </c>
      <c r="H131" s="3">
        <v>80.0</v>
      </c>
      <c r="I131" s="3">
        <v>11.0</v>
      </c>
    </row>
    <row r="132">
      <c r="A132" s="1" t="s">
        <v>28</v>
      </c>
      <c r="B132" s="1" t="s">
        <v>11</v>
      </c>
      <c r="C132" s="3">
        <v>1.0</v>
      </c>
      <c r="D132" s="1" t="s">
        <v>14</v>
      </c>
      <c r="E132" s="1" t="s">
        <v>13</v>
      </c>
      <c r="F132" s="3">
        <v>1.0</v>
      </c>
      <c r="G132" s="3">
        <v>6.0</v>
      </c>
      <c r="H132" s="3">
        <v>48.0</v>
      </c>
      <c r="I132" s="3">
        <v>79.0</v>
      </c>
    </row>
    <row r="133">
      <c r="A133" s="1" t="s">
        <v>28</v>
      </c>
      <c r="B133" s="1" t="s">
        <v>11</v>
      </c>
      <c r="C133" s="3">
        <v>0.0</v>
      </c>
      <c r="D133" s="1" t="s">
        <v>14</v>
      </c>
      <c r="E133" s="1" t="s">
        <v>13</v>
      </c>
      <c r="F133" s="3">
        <v>2.0</v>
      </c>
      <c r="G133" s="3">
        <v>18.0</v>
      </c>
      <c r="H133" s="3">
        <v>80.0</v>
      </c>
      <c r="I133" s="3">
        <v>22.0</v>
      </c>
    </row>
    <row r="134">
      <c r="A134" s="1" t="s">
        <v>28</v>
      </c>
      <c r="B134" s="1" t="s">
        <v>15</v>
      </c>
      <c r="C134" s="3">
        <v>1.0</v>
      </c>
      <c r="D134" s="1" t="s">
        <v>12</v>
      </c>
      <c r="E134" s="1" t="s">
        <v>12</v>
      </c>
      <c r="F134" s="3">
        <v>1.0</v>
      </c>
      <c r="G134" s="3">
        <v>12.0</v>
      </c>
      <c r="H134" s="3">
        <v>18.0</v>
      </c>
      <c r="I134" s="3">
        <v>15.0</v>
      </c>
    </row>
    <row r="135">
      <c r="A135" s="1" t="s">
        <v>28</v>
      </c>
      <c r="B135" s="1" t="s">
        <v>15</v>
      </c>
      <c r="C135" s="3">
        <v>0.0</v>
      </c>
      <c r="D135" s="1" t="s">
        <v>12</v>
      </c>
      <c r="E135" s="1" t="s">
        <v>12</v>
      </c>
      <c r="F135" s="3">
        <v>2.0</v>
      </c>
      <c r="G135" s="3">
        <v>30.0</v>
      </c>
      <c r="H135" s="3">
        <v>37.0</v>
      </c>
      <c r="I135" s="3">
        <v>17.0</v>
      </c>
    </row>
    <row r="136">
      <c r="A136" s="1" t="s">
        <v>28</v>
      </c>
      <c r="B136" s="1" t="s">
        <v>15</v>
      </c>
      <c r="C136" s="3">
        <v>1.0</v>
      </c>
      <c r="D136" s="1" t="s">
        <v>12</v>
      </c>
      <c r="E136" s="1" t="s">
        <v>13</v>
      </c>
      <c r="F136" s="3">
        <v>1.0</v>
      </c>
      <c r="G136" s="3">
        <v>10.0</v>
      </c>
      <c r="H136" s="3">
        <v>16.0</v>
      </c>
      <c r="I136" s="3">
        <v>0.0</v>
      </c>
    </row>
    <row r="137">
      <c r="A137" s="1" t="s">
        <v>28</v>
      </c>
      <c r="B137" s="1" t="s">
        <v>15</v>
      </c>
      <c r="C137" s="3">
        <v>0.0</v>
      </c>
      <c r="D137" s="1" t="s">
        <v>12</v>
      </c>
      <c r="E137" s="1" t="s">
        <v>13</v>
      </c>
      <c r="F137" s="3">
        <v>2.0</v>
      </c>
      <c r="G137" s="3">
        <v>28.0</v>
      </c>
      <c r="H137" s="3">
        <v>35.0</v>
      </c>
      <c r="I137" s="3">
        <v>7.0</v>
      </c>
    </row>
    <row r="138">
      <c r="A138" s="1" t="s">
        <v>28</v>
      </c>
      <c r="B138" s="1" t="s">
        <v>15</v>
      </c>
      <c r="C138" s="3">
        <v>1.0</v>
      </c>
      <c r="D138" s="1" t="s">
        <v>14</v>
      </c>
      <c r="E138" s="1" t="s">
        <v>12</v>
      </c>
      <c r="F138" s="3">
        <v>1.0</v>
      </c>
      <c r="G138" s="3">
        <v>12.0</v>
      </c>
      <c r="H138" s="3">
        <v>18.0</v>
      </c>
      <c r="I138" s="3">
        <v>4.0</v>
      </c>
    </row>
    <row r="139">
      <c r="A139" s="1" t="s">
        <v>28</v>
      </c>
      <c r="B139" s="1" t="s">
        <v>15</v>
      </c>
      <c r="C139" s="3">
        <v>0.0</v>
      </c>
      <c r="D139" s="1" t="s">
        <v>14</v>
      </c>
      <c r="E139" s="1" t="s">
        <v>12</v>
      </c>
      <c r="F139" s="3">
        <v>2.0</v>
      </c>
      <c r="G139" s="3">
        <v>30.0</v>
      </c>
      <c r="H139" s="3">
        <v>37.0</v>
      </c>
      <c r="I139" s="3">
        <v>15.0</v>
      </c>
    </row>
    <row r="140">
      <c r="A140" s="1" t="s">
        <v>28</v>
      </c>
      <c r="B140" s="1" t="s">
        <v>15</v>
      </c>
      <c r="C140" s="3">
        <v>1.0</v>
      </c>
      <c r="D140" s="1" t="s">
        <v>14</v>
      </c>
      <c r="E140" s="1" t="s">
        <v>13</v>
      </c>
      <c r="F140" s="3">
        <v>1.0</v>
      </c>
      <c r="G140" s="3">
        <v>10.0</v>
      </c>
      <c r="H140" s="3">
        <v>16.0</v>
      </c>
      <c r="I140" s="3">
        <v>0.0</v>
      </c>
    </row>
    <row r="141">
      <c r="A141" s="1" t="s">
        <v>28</v>
      </c>
      <c r="B141" s="1" t="s">
        <v>15</v>
      </c>
      <c r="C141" s="3">
        <v>0.0</v>
      </c>
      <c r="D141" s="1" t="s">
        <v>14</v>
      </c>
      <c r="E141" s="1" t="s">
        <v>13</v>
      </c>
      <c r="F141" s="3">
        <v>2.0</v>
      </c>
      <c r="G141" s="3">
        <v>28.0</v>
      </c>
      <c r="H141" s="3">
        <v>35.0</v>
      </c>
      <c r="I141" s="3">
        <v>6.0</v>
      </c>
    </row>
    <row r="142">
      <c r="A142" s="1" t="s">
        <v>29</v>
      </c>
      <c r="B142" s="1" t="s">
        <v>11</v>
      </c>
      <c r="C142" s="3">
        <v>1.0</v>
      </c>
      <c r="D142" s="1" t="s">
        <v>12</v>
      </c>
      <c r="E142" s="1" t="s">
        <v>12</v>
      </c>
      <c r="F142" s="3">
        <v>1.0</v>
      </c>
      <c r="G142" s="3">
        <v>5.0</v>
      </c>
      <c r="H142" s="3">
        <v>66.0</v>
      </c>
      <c r="I142" s="3">
        <v>2.0</v>
      </c>
    </row>
    <row r="143">
      <c r="A143" s="1" t="s">
        <v>29</v>
      </c>
      <c r="B143" s="1" t="s">
        <v>11</v>
      </c>
      <c r="C143" s="3">
        <v>0.0</v>
      </c>
      <c r="D143" s="1" t="s">
        <v>12</v>
      </c>
      <c r="E143" s="1" t="s">
        <v>12</v>
      </c>
      <c r="F143" s="3">
        <v>10.0</v>
      </c>
      <c r="G143" s="3">
        <v>92.0</v>
      </c>
      <c r="H143" s="3">
        <v>386.0</v>
      </c>
      <c r="I143" s="3">
        <v>31.0</v>
      </c>
    </row>
    <row r="144">
      <c r="A144" s="1" t="s">
        <v>29</v>
      </c>
      <c r="B144" s="1" t="s">
        <v>11</v>
      </c>
      <c r="C144" s="3">
        <v>1.0</v>
      </c>
      <c r="D144" s="1" t="s">
        <v>12</v>
      </c>
      <c r="E144" s="1" t="s">
        <v>13</v>
      </c>
      <c r="F144" s="3">
        <v>1.0</v>
      </c>
      <c r="G144" s="3">
        <v>5.0</v>
      </c>
      <c r="H144" s="3">
        <v>66.0</v>
      </c>
      <c r="I144" s="3">
        <v>11.0</v>
      </c>
    </row>
    <row r="145">
      <c r="A145" s="1" t="s">
        <v>29</v>
      </c>
      <c r="B145" s="1" t="s">
        <v>11</v>
      </c>
      <c r="C145" s="3">
        <v>0.0</v>
      </c>
      <c r="D145" s="1" t="s">
        <v>12</v>
      </c>
      <c r="E145" s="1" t="s">
        <v>13</v>
      </c>
      <c r="F145" s="3">
        <v>10.0</v>
      </c>
      <c r="G145" s="3">
        <v>92.0</v>
      </c>
      <c r="H145" s="3">
        <v>386.0</v>
      </c>
      <c r="I145" s="3">
        <v>28.0</v>
      </c>
    </row>
    <row r="146">
      <c r="A146" s="1" t="s">
        <v>29</v>
      </c>
      <c r="B146" s="1" t="s">
        <v>11</v>
      </c>
      <c r="C146" s="3">
        <v>1.0</v>
      </c>
      <c r="D146" s="1" t="s">
        <v>14</v>
      </c>
      <c r="E146" s="1" t="s">
        <v>12</v>
      </c>
      <c r="F146" s="3">
        <v>1.0</v>
      </c>
      <c r="G146" s="3">
        <v>5.0</v>
      </c>
      <c r="H146" s="3">
        <v>66.0</v>
      </c>
      <c r="I146" s="3">
        <v>8.0</v>
      </c>
    </row>
    <row r="147">
      <c r="A147" s="1" t="s">
        <v>29</v>
      </c>
      <c r="B147" s="1" t="s">
        <v>11</v>
      </c>
      <c r="C147" s="3">
        <v>0.0</v>
      </c>
      <c r="D147" s="1" t="s">
        <v>14</v>
      </c>
      <c r="E147" s="1" t="s">
        <v>12</v>
      </c>
      <c r="F147" s="3">
        <v>10.0</v>
      </c>
      <c r="G147" s="3">
        <v>90.0</v>
      </c>
      <c r="H147" s="3">
        <v>368.0</v>
      </c>
      <c r="I147" s="3">
        <v>17.0</v>
      </c>
    </row>
    <row r="148">
      <c r="A148" s="1" t="s">
        <v>29</v>
      </c>
      <c r="B148" s="1" t="s">
        <v>11</v>
      </c>
      <c r="C148" s="3">
        <v>1.0</v>
      </c>
      <c r="D148" s="1" t="s">
        <v>14</v>
      </c>
      <c r="E148" s="1" t="s">
        <v>13</v>
      </c>
      <c r="F148" s="3">
        <v>1.0</v>
      </c>
      <c r="G148" s="3">
        <v>5.0</v>
      </c>
      <c r="H148" s="3">
        <v>66.0</v>
      </c>
      <c r="I148" s="3">
        <v>3.0</v>
      </c>
    </row>
    <row r="149">
      <c r="A149" s="1" t="s">
        <v>29</v>
      </c>
      <c r="B149" s="1" t="s">
        <v>11</v>
      </c>
      <c r="C149" s="3">
        <v>0.0</v>
      </c>
      <c r="D149" s="1" t="s">
        <v>14</v>
      </c>
      <c r="E149" s="1" t="s">
        <v>13</v>
      </c>
      <c r="F149" s="3">
        <v>10.0</v>
      </c>
      <c r="G149" s="3">
        <v>90.0</v>
      </c>
      <c r="H149" s="3">
        <v>368.0</v>
      </c>
      <c r="I149" s="3">
        <v>23.0</v>
      </c>
    </row>
    <row r="150">
      <c r="A150" s="1" t="s">
        <v>29</v>
      </c>
      <c r="B150" s="1" t="s">
        <v>15</v>
      </c>
      <c r="C150" s="3">
        <v>1.0</v>
      </c>
      <c r="D150" s="1" t="s">
        <v>12</v>
      </c>
      <c r="E150" s="1" t="s">
        <v>12</v>
      </c>
      <c r="F150" s="3">
        <v>1.0</v>
      </c>
      <c r="G150" s="3">
        <v>5.0</v>
      </c>
      <c r="H150" s="3">
        <v>10.0</v>
      </c>
      <c r="I150" s="3">
        <v>14.0</v>
      </c>
    </row>
    <row r="151">
      <c r="A151" s="1" t="s">
        <v>29</v>
      </c>
      <c r="B151" s="1" t="s">
        <v>15</v>
      </c>
      <c r="C151" s="3">
        <v>0.0</v>
      </c>
      <c r="D151" s="1" t="s">
        <v>12</v>
      </c>
      <c r="E151" s="1" t="s">
        <v>12</v>
      </c>
      <c r="F151" s="3">
        <v>10.0</v>
      </c>
      <c r="G151" s="3">
        <v>106.0</v>
      </c>
      <c r="H151" s="3">
        <v>135.0</v>
      </c>
      <c r="I151" s="3">
        <v>25.0</v>
      </c>
    </row>
    <row r="152">
      <c r="A152" s="1" t="s">
        <v>29</v>
      </c>
      <c r="B152" s="1" t="s">
        <v>15</v>
      </c>
      <c r="C152" s="3">
        <v>1.0</v>
      </c>
      <c r="D152" s="1" t="s">
        <v>12</v>
      </c>
      <c r="E152" s="1" t="s">
        <v>13</v>
      </c>
      <c r="F152" s="3">
        <v>1.0</v>
      </c>
      <c r="G152" s="3">
        <v>5.0</v>
      </c>
      <c r="H152" s="3">
        <v>10.0</v>
      </c>
      <c r="I152" s="3">
        <v>0.0</v>
      </c>
    </row>
    <row r="153">
      <c r="A153" s="1" t="s">
        <v>29</v>
      </c>
      <c r="B153" s="1" t="s">
        <v>15</v>
      </c>
      <c r="C153" s="3">
        <v>0.0</v>
      </c>
      <c r="D153" s="1" t="s">
        <v>12</v>
      </c>
      <c r="E153" s="1" t="s">
        <v>13</v>
      </c>
      <c r="F153" s="3">
        <v>10.0</v>
      </c>
      <c r="G153" s="3">
        <v>106.0</v>
      </c>
      <c r="H153" s="3">
        <v>135.0</v>
      </c>
      <c r="I153" s="3">
        <v>22.0</v>
      </c>
    </row>
    <row r="154">
      <c r="A154" s="1" t="s">
        <v>29</v>
      </c>
      <c r="B154" s="1" t="s">
        <v>15</v>
      </c>
      <c r="C154" s="3">
        <v>1.0</v>
      </c>
      <c r="D154" s="1" t="s">
        <v>14</v>
      </c>
      <c r="E154" s="1" t="s">
        <v>12</v>
      </c>
      <c r="F154" s="3">
        <v>1.0</v>
      </c>
      <c r="G154" s="3">
        <v>5.0</v>
      </c>
      <c r="H154" s="3">
        <v>10.0</v>
      </c>
      <c r="I154" s="3">
        <v>1.0</v>
      </c>
    </row>
    <row r="155">
      <c r="A155" s="1" t="s">
        <v>29</v>
      </c>
      <c r="B155" s="1" t="s">
        <v>15</v>
      </c>
      <c r="C155" s="3">
        <v>0.0</v>
      </c>
      <c r="D155" s="1" t="s">
        <v>14</v>
      </c>
      <c r="E155" s="1" t="s">
        <v>12</v>
      </c>
      <c r="F155" s="3">
        <v>10.0</v>
      </c>
      <c r="G155" s="3">
        <v>102.0</v>
      </c>
      <c r="H155" s="3">
        <v>128.0</v>
      </c>
      <c r="I155" s="3">
        <v>44.0</v>
      </c>
    </row>
    <row r="156">
      <c r="A156" s="1" t="s">
        <v>29</v>
      </c>
      <c r="B156" s="1" t="s">
        <v>15</v>
      </c>
      <c r="C156" s="3">
        <v>1.0</v>
      </c>
      <c r="D156" s="1" t="s">
        <v>14</v>
      </c>
      <c r="E156" s="1" t="s">
        <v>13</v>
      </c>
      <c r="F156" s="3">
        <v>1.0</v>
      </c>
      <c r="G156" s="3">
        <v>5.0</v>
      </c>
      <c r="H156" s="3">
        <v>10.0</v>
      </c>
      <c r="I156" s="3">
        <v>4.0</v>
      </c>
    </row>
    <row r="157">
      <c r="A157" s="1" t="s">
        <v>29</v>
      </c>
      <c r="B157" s="1" t="s">
        <v>15</v>
      </c>
      <c r="C157" s="3">
        <v>0.0</v>
      </c>
      <c r="D157" s="1" t="s">
        <v>14</v>
      </c>
      <c r="E157" s="1" t="s">
        <v>13</v>
      </c>
      <c r="F157" s="3">
        <v>10.0</v>
      </c>
      <c r="G157" s="3">
        <v>98.0</v>
      </c>
      <c r="H157" s="3">
        <v>121.0</v>
      </c>
      <c r="I157" s="3">
        <v>48.0</v>
      </c>
    </row>
    <row r="158">
      <c r="A158" s="1" t="s">
        <v>30</v>
      </c>
      <c r="B158" s="1" t="s">
        <v>11</v>
      </c>
      <c r="C158" s="3">
        <v>1.0</v>
      </c>
      <c r="D158" s="1" t="s">
        <v>12</v>
      </c>
      <c r="E158" s="1" t="s">
        <v>12</v>
      </c>
      <c r="F158" s="3">
        <v>1.0</v>
      </c>
      <c r="G158" s="3">
        <v>12.0</v>
      </c>
      <c r="H158" s="3">
        <v>258.0</v>
      </c>
      <c r="I158" s="3">
        <v>28.0</v>
      </c>
    </row>
    <row r="159">
      <c r="A159" s="1" t="s">
        <v>30</v>
      </c>
      <c r="B159" s="1" t="s">
        <v>11</v>
      </c>
      <c r="C159" s="3">
        <v>0.0</v>
      </c>
      <c r="D159" s="1" t="s">
        <v>12</v>
      </c>
      <c r="E159" s="1" t="s">
        <v>12</v>
      </c>
      <c r="F159" s="3">
        <v>4.0</v>
      </c>
      <c r="G159" s="3">
        <v>76.0</v>
      </c>
      <c r="H159" s="3">
        <v>976.0</v>
      </c>
      <c r="I159" s="3">
        <v>96.0</v>
      </c>
    </row>
    <row r="160">
      <c r="A160" s="1" t="s">
        <v>30</v>
      </c>
      <c r="B160" s="1" t="s">
        <v>11</v>
      </c>
      <c r="C160" s="3">
        <v>1.0</v>
      </c>
      <c r="D160" s="1" t="s">
        <v>12</v>
      </c>
      <c r="E160" s="1" t="s">
        <v>13</v>
      </c>
      <c r="F160" s="3">
        <v>1.0</v>
      </c>
      <c r="G160" s="3">
        <v>18.0</v>
      </c>
      <c r="H160" s="3">
        <v>345.0</v>
      </c>
      <c r="I160" s="3">
        <v>12.0</v>
      </c>
    </row>
    <row r="161">
      <c r="A161" s="1" t="s">
        <v>30</v>
      </c>
      <c r="B161" s="1" t="s">
        <v>11</v>
      </c>
      <c r="C161" s="3">
        <v>0.0</v>
      </c>
      <c r="D161" s="1" t="s">
        <v>12</v>
      </c>
      <c r="E161" s="1" t="s">
        <v>13</v>
      </c>
      <c r="F161" s="3">
        <v>4.0</v>
      </c>
      <c r="G161" s="3">
        <v>78.0</v>
      </c>
      <c r="H161" s="3">
        <v>1013.0</v>
      </c>
      <c r="I161" s="3">
        <v>57.0</v>
      </c>
    </row>
    <row r="162">
      <c r="A162" s="1" t="s">
        <v>30</v>
      </c>
      <c r="B162" s="1" t="s">
        <v>11</v>
      </c>
      <c r="C162" s="3">
        <v>1.0</v>
      </c>
      <c r="D162" s="1" t="s">
        <v>14</v>
      </c>
      <c r="E162" s="1" t="s">
        <v>12</v>
      </c>
      <c r="F162" s="3">
        <v>1.0</v>
      </c>
      <c r="G162" s="3">
        <v>12.0</v>
      </c>
      <c r="H162" s="3">
        <v>258.0</v>
      </c>
      <c r="I162" s="3">
        <v>19.0</v>
      </c>
    </row>
    <row r="163">
      <c r="A163" s="1" t="s">
        <v>30</v>
      </c>
      <c r="B163" s="1" t="s">
        <v>11</v>
      </c>
      <c r="C163" s="3">
        <v>0.0</v>
      </c>
      <c r="D163" s="1" t="s">
        <v>14</v>
      </c>
      <c r="E163" s="1" t="s">
        <v>12</v>
      </c>
      <c r="F163" s="3">
        <v>4.0</v>
      </c>
      <c r="G163" s="3">
        <v>76.0</v>
      </c>
      <c r="H163" s="3">
        <v>976.0</v>
      </c>
      <c r="I163" s="3">
        <v>52.0</v>
      </c>
    </row>
    <row r="164">
      <c r="A164" s="1" t="s">
        <v>30</v>
      </c>
      <c r="B164" s="1" t="s">
        <v>11</v>
      </c>
      <c r="C164" s="3">
        <v>1.0</v>
      </c>
      <c r="D164" s="1" t="s">
        <v>14</v>
      </c>
      <c r="E164" s="1" t="s">
        <v>13</v>
      </c>
      <c r="F164" s="3">
        <v>1.0</v>
      </c>
      <c r="G164" s="3">
        <v>18.0</v>
      </c>
      <c r="H164" s="3">
        <v>345.0</v>
      </c>
      <c r="I164" s="3">
        <v>71.0</v>
      </c>
    </row>
    <row r="165">
      <c r="A165" s="1" t="s">
        <v>30</v>
      </c>
      <c r="B165" s="1" t="s">
        <v>11</v>
      </c>
      <c r="C165" s="3">
        <v>0.0</v>
      </c>
      <c r="D165" s="1" t="s">
        <v>14</v>
      </c>
      <c r="E165" s="1" t="s">
        <v>13</v>
      </c>
      <c r="F165" s="3">
        <v>4.0</v>
      </c>
      <c r="G165" s="3">
        <v>78.0</v>
      </c>
      <c r="H165" s="3">
        <v>1013.0</v>
      </c>
      <c r="I165" s="3">
        <v>82.0</v>
      </c>
    </row>
    <row r="166">
      <c r="A166" s="1" t="s">
        <v>30</v>
      </c>
      <c r="B166" s="1" t="s">
        <v>15</v>
      </c>
      <c r="C166" s="3">
        <v>1.0</v>
      </c>
      <c r="D166" s="1" t="s">
        <v>12</v>
      </c>
      <c r="E166" s="1" t="s">
        <v>12</v>
      </c>
      <c r="F166" s="3">
        <v>1.0</v>
      </c>
      <c r="G166" s="3">
        <v>46.0</v>
      </c>
      <c r="H166" s="3">
        <v>96.0</v>
      </c>
      <c r="I166" s="3">
        <v>17.0</v>
      </c>
    </row>
    <row r="167">
      <c r="A167" s="1" t="s">
        <v>30</v>
      </c>
      <c r="B167" s="1" t="s">
        <v>15</v>
      </c>
      <c r="C167" s="3">
        <v>0.0</v>
      </c>
      <c r="D167" s="1" t="s">
        <v>12</v>
      </c>
      <c r="E167" s="1" t="s">
        <v>12</v>
      </c>
      <c r="F167" s="3">
        <v>4.0</v>
      </c>
      <c r="G167" s="3">
        <v>244.0</v>
      </c>
      <c r="H167" s="3">
        <v>448.0</v>
      </c>
      <c r="I167" s="3">
        <v>48.0</v>
      </c>
    </row>
    <row r="168">
      <c r="A168" s="1" t="s">
        <v>30</v>
      </c>
      <c r="B168" s="1" t="s">
        <v>15</v>
      </c>
      <c r="C168" s="3">
        <v>1.0</v>
      </c>
      <c r="D168" s="1" t="s">
        <v>12</v>
      </c>
      <c r="E168" s="1" t="s">
        <v>13</v>
      </c>
      <c r="F168" s="3">
        <v>1.0</v>
      </c>
      <c r="G168" s="3">
        <v>66.0</v>
      </c>
      <c r="H168" s="3">
        <v>135.0</v>
      </c>
      <c r="I168" s="3">
        <v>69.0</v>
      </c>
    </row>
    <row r="169">
      <c r="A169" s="1" t="s">
        <v>30</v>
      </c>
      <c r="B169" s="1" t="s">
        <v>15</v>
      </c>
      <c r="C169" s="3">
        <v>0.0</v>
      </c>
      <c r="D169" s="1" t="s">
        <v>12</v>
      </c>
      <c r="E169" s="1" t="s">
        <v>13</v>
      </c>
      <c r="F169" s="3">
        <v>4.0</v>
      </c>
      <c r="G169" s="3">
        <v>236.0</v>
      </c>
      <c r="H169" s="3">
        <v>441.0</v>
      </c>
      <c r="I169" s="3">
        <v>96.0</v>
      </c>
    </row>
    <row r="170">
      <c r="A170" s="1" t="s">
        <v>30</v>
      </c>
      <c r="B170" s="1" t="s">
        <v>15</v>
      </c>
      <c r="C170" s="3">
        <v>1.0</v>
      </c>
      <c r="D170" s="1" t="s">
        <v>14</v>
      </c>
      <c r="E170" s="1" t="s">
        <v>12</v>
      </c>
      <c r="F170" s="3">
        <v>1.0</v>
      </c>
      <c r="G170" s="3">
        <v>46.0</v>
      </c>
      <c r="H170" s="3">
        <v>96.0</v>
      </c>
      <c r="I170" s="3">
        <v>12.0</v>
      </c>
    </row>
    <row r="171">
      <c r="A171" s="1" t="s">
        <v>30</v>
      </c>
      <c r="B171" s="1" t="s">
        <v>15</v>
      </c>
      <c r="C171" s="3">
        <v>0.0</v>
      </c>
      <c r="D171" s="1" t="s">
        <v>14</v>
      </c>
      <c r="E171" s="1" t="s">
        <v>12</v>
      </c>
      <c r="F171" s="3">
        <v>4.0</v>
      </c>
      <c r="G171" s="3">
        <v>228.0</v>
      </c>
      <c r="H171" s="3">
        <v>421.0</v>
      </c>
      <c r="I171" s="3">
        <v>114.0</v>
      </c>
    </row>
    <row r="172">
      <c r="A172" s="1" t="s">
        <v>30</v>
      </c>
      <c r="B172" s="1" t="s">
        <v>15</v>
      </c>
      <c r="C172" s="3">
        <v>1.0</v>
      </c>
      <c r="D172" s="1" t="s">
        <v>14</v>
      </c>
      <c r="E172" s="1" t="s">
        <v>13</v>
      </c>
      <c r="F172" s="3">
        <v>1.0</v>
      </c>
      <c r="G172" s="3">
        <v>64.0</v>
      </c>
      <c r="H172" s="3">
        <v>131.0</v>
      </c>
      <c r="I172" s="3">
        <v>6.0</v>
      </c>
    </row>
    <row r="173">
      <c r="A173" s="1" t="s">
        <v>30</v>
      </c>
      <c r="B173" s="1" t="s">
        <v>15</v>
      </c>
      <c r="C173" s="3">
        <v>0.0</v>
      </c>
      <c r="D173" s="1" t="s">
        <v>14</v>
      </c>
      <c r="E173" s="1" t="s">
        <v>13</v>
      </c>
      <c r="F173" s="3">
        <v>4.0</v>
      </c>
      <c r="G173" s="3">
        <v>228.0</v>
      </c>
      <c r="H173" s="3">
        <v>421.0</v>
      </c>
      <c r="I173" s="3">
        <v>99.0</v>
      </c>
    </row>
    <row r="174">
      <c r="A174" s="1" t="s">
        <v>31</v>
      </c>
      <c r="B174" s="1" t="s">
        <v>11</v>
      </c>
      <c r="C174" s="3">
        <v>1.0</v>
      </c>
      <c r="D174" s="1" t="s">
        <v>12</v>
      </c>
      <c r="E174" s="1" t="s">
        <v>12</v>
      </c>
      <c r="F174" s="3">
        <v>1.0</v>
      </c>
      <c r="G174" s="3">
        <v>7.0</v>
      </c>
      <c r="H174" s="3">
        <v>168.0</v>
      </c>
      <c r="I174" s="3">
        <v>20.0</v>
      </c>
    </row>
    <row r="175">
      <c r="A175" s="1" t="s">
        <v>31</v>
      </c>
      <c r="B175" s="1" t="s">
        <v>11</v>
      </c>
      <c r="C175" s="3">
        <v>1.0</v>
      </c>
      <c r="D175" s="1" t="s">
        <v>12</v>
      </c>
      <c r="E175" s="1" t="s">
        <v>13</v>
      </c>
      <c r="F175" s="3">
        <v>1.0</v>
      </c>
      <c r="G175" s="3">
        <v>7.0</v>
      </c>
      <c r="H175" s="3">
        <v>178.0</v>
      </c>
      <c r="I175" s="3">
        <v>54.0</v>
      </c>
    </row>
    <row r="176">
      <c r="A176" s="1" t="s">
        <v>31</v>
      </c>
      <c r="B176" s="1" t="s">
        <v>11</v>
      </c>
      <c r="C176" s="3">
        <v>1.0</v>
      </c>
      <c r="D176" s="1" t="s">
        <v>14</v>
      </c>
      <c r="E176" s="1" t="s">
        <v>12</v>
      </c>
      <c r="F176" s="3">
        <v>1.0</v>
      </c>
      <c r="G176" s="3">
        <v>9.0</v>
      </c>
      <c r="H176" s="3">
        <v>200.0</v>
      </c>
      <c r="I176" s="3">
        <v>13.0</v>
      </c>
    </row>
    <row r="177">
      <c r="A177" s="1" t="s">
        <v>31</v>
      </c>
      <c r="B177" s="1" t="s">
        <v>11</v>
      </c>
      <c r="C177" s="3">
        <v>1.0</v>
      </c>
      <c r="D177" s="1" t="s">
        <v>14</v>
      </c>
      <c r="E177" s="1" t="s">
        <v>13</v>
      </c>
      <c r="F177" s="3">
        <v>1.0</v>
      </c>
      <c r="G177" s="3">
        <v>7.0</v>
      </c>
      <c r="H177" s="3">
        <v>178.0</v>
      </c>
      <c r="I177" s="3">
        <v>67.0</v>
      </c>
    </row>
    <row r="178">
      <c r="A178" s="1" t="s">
        <v>31</v>
      </c>
      <c r="B178" s="1" t="s">
        <v>15</v>
      </c>
      <c r="C178" s="3">
        <v>1.0</v>
      </c>
      <c r="D178" s="1" t="s">
        <v>12</v>
      </c>
      <c r="E178" s="1" t="s">
        <v>12</v>
      </c>
      <c r="F178" s="3">
        <v>1.0</v>
      </c>
      <c r="G178" s="3">
        <v>9.0</v>
      </c>
      <c r="H178" s="3">
        <v>26.0</v>
      </c>
      <c r="I178" s="3">
        <v>67.0</v>
      </c>
    </row>
    <row r="179">
      <c r="A179" s="1" t="s">
        <v>31</v>
      </c>
      <c r="B179" s="1" t="s">
        <v>15</v>
      </c>
      <c r="C179" s="3">
        <v>1.0</v>
      </c>
      <c r="D179" s="1" t="s">
        <v>12</v>
      </c>
      <c r="E179" s="1" t="s">
        <v>13</v>
      </c>
      <c r="F179" s="3">
        <v>1.0</v>
      </c>
      <c r="G179" s="3">
        <v>7.0</v>
      </c>
      <c r="H179" s="3">
        <v>21.0</v>
      </c>
      <c r="I179" s="3">
        <v>5.0</v>
      </c>
    </row>
    <row r="180">
      <c r="A180" s="1" t="s">
        <v>31</v>
      </c>
      <c r="B180" s="1" t="s">
        <v>15</v>
      </c>
      <c r="C180" s="3">
        <v>1.0</v>
      </c>
      <c r="D180" s="1" t="s">
        <v>14</v>
      </c>
      <c r="E180" s="1" t="s">
        <v>12</v>
      </c>
      <c r="F180" s="3">
        <v>1.0</v>
      </c>
      <c r="G180" s="3">
        <v>7.0</v>
      </c>
      <c r="H180" s="3">
        <v>21.0</v>
      </c>
      <c r="I180" s="3">
        <v>1.0</v>
      </c>
    </row>
    <row r="181">
      <c r="A181" s="1" t="s">
        <v>31</v>
      </c>
      <c r="B181" s="1" t="s">
        <v>15</v>
      </c>
      <c r="C181" s="3">
        <v>1.0</v>
      </c>
      <c r="D181" s="1" t="s">
        <v>14</v>
      </c>
      <c r="E181" s="1" t="s">
        <v>13</v>
      </c>
      <c r="F181" s="3">
        <v>1.0</v>
      </c>
      <c r="G181" s="3">
        <v>7.0</v>
      </c>
      <c r="H181" s="3">
        <v>21.0</v>
      </c>
      <c r="I181" s="3">
        <v>5.0</v>
      </c>
    </row>
    <row r="182">
      <c r="A182" s="1" t="s">
        <v>32</v>
      </c>
      <c r="B182" s="1" t="s">
        <v>11</v>
      </c>
      <c r="C182" s="3">
        <v>1.0</v>
      </c>
      <c r="D182" s="1" t="s">
        <v>12</v>
      </c>
      <c r="E182" s="1" t="s">
        <v>12</v>
      </c>
      <c r="F182" s="3">
        <v>1.0</v>
      </c>
      <c r="G182" s="3">
        <v>28.0</v>
      </c>
      <c r="H182" s="3">
        <v>1000.0</v>
      </c>
      <c r="I182" s="3">
        <v>72.0</v>
      </c>
    </row>
    <row r="183">
      <c r="A183" s="1" t="s">
        <v>32</v>
      </c>
      <c r="B183" s="1" t="s">
        <v>11</v>
      </c>
      <c r="C183" s="3">
        <v>0.0</v>
      </c>
      <c r="D183" s="1" t="s">
        <v>12</v>
      </c>
      <c r="E183" s="1" t="s">
        <v>12</v>
      </c>
      <c r="F183" s="3">
        <v>92.0</v>
      </c>
      <c r="G183" s="3">
        <v>1374.0</v>
      </c>
      <c r="H183" s="3">
        <v>19603.0</v>
      </c>
      <c r="I183" s="3">
        <v>1313.0</v>
      </c>
    </row>
    <row r="184">
      <c r="A184" s="1" t="s">
        <v>32</v>
      </c>
      <c r="B184" s="1" t="s">
        <v>11</v>
      </c>
      <c r="C184" s="3">
        <v>1.0</v>
      </c>
      <c r="D184" s="1" t="s">
        <v>12</v>
      </c>
      <c r="E184" s="1" t="s">
        <v>13</v>
      </c>
      <c r="F184" s="3">
        <v>1.0</v>
      </c>
      <c r="G184" s="3">
        <v>18.0</v>
      </c>
      <c r="H184" s="3">
        <v>594.0</v>
      </c>
      <c r="I184" s="3">
        <v>69.0</v>
      </c>
    </row>
    <row r="185">
      <c r="A185" s="1" t="s">
        <v>32</v>
      </c>
      <c r="B185" s="1" t="s">
        <v>11</v>
      </c>
      <c r="C185" s="3">
        <v>0.0</v>
      </c>
      <c r="D185" s="1" t="s">
        <v>12</v>
      </c>
      <c r="E185" s="1" t="s">
        <v>13</v>
      </c>
      <c r="F185" s="3">
        <v>92.0</v>
      </c>
      <c r="G185" s="3">
        <v>1352.0</v>
      </c>
      <c r="H185" s="3">
        <v>19669.0</v>
      </c>
      <c r="I185" s="3">
        <v>1231.0</v>
      </c>
    </row>
    <row r="186">
      <c r="A186" s="1" t="s">
        <v>32</v>
      </c>
      <c r="B186" s="1" t="s">
        <v>11</v>
      </c>
      <c r="C186" s="3">
        <v>1.0</v>
      </c>
      <c r="D186" s="1" t="s">
        <v>14</v>
      </c>
      <c r="E186" s="1" t="s">
        <v>12</v>
      </c>
      <c r="F186" s="3">
        <v>1.0</v>
      </c>
      <c r="G186" s="3">
        <v>28.0</v>
      </c>
      <c r="H186" s="3">
        <v>1000.0</v>
      </c>
      <c r="I186" s="3">
        <v>99.0</v>
      </c>
    </row>
    <row r="187">
      <c r="A187" s="1" t="s">
        <v>32</v>
      </c>
      <c r="B187" s="1" t="s">
        <v>11</v>
      </c>
      <c r="C187" s="3">
        <v>0.0</v>
      </c>
      <c r="D187" s="1" t="s">
        <v>14</v>
      </c>
      <c r="E187" s="1" t="s">
        <v>12</v>
      </c>
      <c r="F187" s="3">
        <v>92.0</v>
      </c>
      <c r="G187" s="3">
        <v>1332.0</v>
      </c>
      <c r="H187" s="3">
        <v>19030.0</v>
      </c>
      <c r="I187" s="3">
        <v>1205.0</v>
      </c>
    </row>
    <row r="188">
      <c r="A188" s="1" t="s">
        <v>32</v>
      </c>
      <c r="B188" s="1" t="s">
        <v>11</v>
      </c>
      <c r="C188" s="3">
        <v>1.0</v>
      </c>
      <c r="D188" s="1" t="s">
        <v>14</v>
      </c>
      <c r="E188" s="1" t="s">
        <v>13</v>
      </c>
      <c r="F188" s="3">
        <v>1.0</v>
      </c>
      <c r="G188" s="3">
        <v>18.0</v>
      </c>
      <c r="H188" s="3">
        <v>594.0</v>
      </c>
      <c r="I188" s="3">
        <v>107.0</v>
      </c>
    </row>
    <row r="189">
      <c r="A189" s="1" t="s">
        <v>32</v>
      </c>
      <c r="B189" s="1" t="s">
        <v>11</v>
      </c>
      <c r="C189" s="3">
        <v>0.0</v>
      </c>
      <c r="D189" s="1" t="s">
        <v>14</v>
      </c>
      <c r="E189" s="1" t="s">
        <v>13</v>
      </c>
      <c r="F189" s="3">
        <v>92.0</v>
      </c>
      <c r="G189" s="3">
        <v>1288.0</v>
      </c>
      <c r="H189" s="3">
        <v>19119.0</v>
      </c>
      <c r="I189" s="3">
        <v>1280.0</v>
      </c>
    </row>
    <row r="190">
      <c r="A190" s="1" t="s">
        <v>32</v>
      </c>
      <c r="B190" s="1" t="s">
        <v>15</v>
      </c>
      <c r="C190" s="3">
        <v>1.0</v>
      </c>
      <c r="D190" s="1" t="s">
        <v>12</v>
      </c>
      <c r="E190" s="1" t="s">
        <v>12</v>
      </c>
      <c r="F190" s="3">
        <v>1.0</v>
      </c>
      <c r="G190" s="3">
        <v>152.0</v>
      </c>
      <c r="H190" s="3">
        <v>366.0</v>
      </c>
      <c r="I190" s="3">
        <v>150.0</v>
      </c>
    </row>
    <row r="191">
      <c r="A191" s="1" t="s">
        <v>32</v>
      </c>
      <c r="B191" s="1" t="s">
        <v>15</v>
      </c>
      <c r="C191" s="3">
        <v>0.0</v>
      </c>
      <c r="D191" s="1" t="s">
        <v>12</v>
      </c>
      <c r="E191" s="1" t="s">
        <v>12</v>
      </c>
      <c r="F191" s="3">
        <v>92.0</v>
      </c>
      <c r="G191" s="3">
        <v>3134.0</v>
      </c>
      <c r="H191" s="3">
        <v>6315.0</v>
      </c>
      <c r="I191" s="3">
        <v>1173.0</v>
      </c>
    </row>
    <row r="192">
      <c r="A192" s="1" t="s">
        <v>32</v>
      </c>
      <c r="B192" s="1" t="s">
        <v>15</v>
      </c>
      <c r="C192" s="3">
        <v>1.0</v>
      </c>
      <c r="D192" s="1" t="s">
        <v>12</v>
      </c>
      <c r="E192" s="1" t="s">
        <v>13</v>
      </c>
      <c r="F192" s="3">
        <v>1.0</v>
      </c>
      <c r="G192" s="3">
        <v>70.0</v>
      </c>
      <c r="H192" s="3">
        <v>172.0</v>
      </c>
      <c r="I192" s="3">
        <v>36.0</v>
      </c>
    </row>
    <row r="193">
      <c r="A193" s="1" t="s">
        <v>32</v>
      </c>
      <c r="B193" s="1" t="s">
        <v>15</v>
      </c>
      <c r="C193" s="3">
        <v>0.0</v>
      </c>
      <c r="D193" s="1" t="s">
        <v>12</v>
      </c>
      <c r="E193" s="1" t="s">
        <v>13</v>
      </c>
      <c r="F193" s="3">
        <v>92.0</v>
      </c>
      <c r="G193" s="3">
        <v>3004.0</v>
      </c>
      <c r="H193" s="3">
        <v>6135.0</v>
      </c>
      <c r="I193" s="3">
        <v>1271.0</v>
      </c>
    </row>
    <row r="194">
      <c r="A194" s="1" t="s">
        <v>32</v>
      </c>
      <c r="B194" s="1" t="s">
        <v>15</v>
      </c>
      <c r="C194" s="3">
        <v>1.0</v>
      </c>
      <c r="D194" s="1" t="s">
        <v>14</v>
      </c>
      <c r="E194" s="1" t="s">
        <v>12</v>
      </c>
      <c r="F194" s="3">
        <v>1.0</v>
      </c>
      <c r="G194" s="3">
        <v>136.0</v>
      </c>
      <c r="H194" s="3">
        <v>324.0</v>
      </c>
      <c r="I194" s="3">
        <v>171.0</v>
      </c>
    </row>
    <row r="195">
      <c r="A195" s="1" t="s">
        <v>32</v>
      </c>
      <c r="B195" s="1" t="s">
        <v>15</v>
      </c>
      <c r="C195" s="3">
        <v>0.0</v>
      </c>
      <c r="D195" s="1" t="s">
        <v>14</v>
      </c>
      <c r="E195" s="1" t="s">
        <v>12</v>
      </c>
      <c r="F195" s="3">
        <v>92.0</v>
      </c>
      <c r="G195" s="3">
        <v>2614.0</v>
      </c>
      <c r="H195" s="3">
        <v>5159.0</v>
      </c>
      <c r="I195" s="3">
        <v>1234.0</v>
      </c>
    </row>
    <row r="196">
      <c r="A196" s="1" t="s">
        <v>32</v>
      </c>
      <c r="B196" s="1" t="s">
        <v>15</v>
      </c>
      <c r="C196" s="3">
        <v>1.0</v>
      </c>
      <c r="D196" s="1" t="s">
        <v>14</v>
      </c>
      <c r="E196" s="1" t="s">
        <v>13</v>
      </c>
      <c r="F196" s="3">
        <v>1.0</v>
      </c>
      <c r="G196" s="3">
        <v>62.0</v>
      </c>
      <c r="H196" s="3">
        <v>145.0</v>
      </c>
      <c r="I196" s="3">
        <v>38.0</v>
      </c>
    </row>
    <row r="197">
      <c r="A197" s="1" t="s">
        <v>32</v>
      </c>
      <c r="B197" s="1" t="s">
        <v>15</v>
      </c>
      <c r="C197" s="3">
        <v>0.0</v>
      </c>
      <c r="D197" s="1" t="s">
        <v>14</v>
      </c>
      <c r="E197" s="1" t="s">
        <v>13</v>
      </c>
      <c r="F197" s="3">
        <v>92.0</v>
      </c>
      <c r="G197" s="3">
        <v>2614.0</v>
      </c>
      <c r="H197" s="3">
        <v>5135.0</v>
      </c>
      <c r="I197" s="3">
        <v>1149.0</v>
      </c>
    </row>
    <row r="198">
      <c r="A198" s="1" t="s">
        <v>33</v>
      </c>
      <c r="B198" s="1" t="s">
        <v>11</v>
      </c>
      <c r="C198" s="3">
        <v>1.0</v>
      </c>
      <c r="D198" s="1" t="s">
        <v>12</v>
      </c>
      <c r="E198" s="1" t="s">
        <v>12</v>
      </c>
      <c r="F198" s="3">
        <v>1.0</v>
      </c>
      <c r="G198" s="3">
        <v>17.0</v>
      </c>
      <c r="H198" s="3">
        <v>605.0</v>
      </c>
      <c r="I198" s="3">
        <v>44.0</v>
      </c>
    </row>
    <row r="199">
      <c r="A199" s="1" t="s">
        <v>33</v>
      </c>
      <c r="B199" s="1" t="s">
        <v>11</v>
      </c>
      <c r="C199" s="3">
        <v>1.0</v>
      </c>
      <c r="D199" s="1" t="s">
        <v>12</v>
      </c>
      <c r="E199" s="1" t="s">
        <v>13</v>
      </c>
      <c r="F199" s="3">
        <v>1.0</v>
      </c>
      <c r="G199" s="3">
        <v>15.0</v>
      </c>
      <c r="H199" s="3">
        <v>546.0</v>
      </c>
      <c r="I199" s="3">
        <v>23.0</v>
      </c>
    </row>
    <row r="200">
      <c r="A200" s="1" t="s">
        <v>33</v>
      </c>
      <c r="B200" s="1" t="s">
        <v>11</v>
      </c>
      <c r="C200" s="3">
        <v>1.0</v>
      </c>
      <c r="D200" s="1" t="s">
        <v>14</v>
      </c>
      <c r="E200" s="1" t="s">
        <v>12</v>
      </c>
      <c r="F200" s="3">
        <v>1.0</v>
      </c>
      <c r="G200" s="3">
        <v>15.0</v>
      </c>
      <c r="H200" s="3">
        <v>606.0</v>
      </c>
      <c r="I200" s="3">
        <v>20.0</v>
      </c>
    </row>
    <row r="201">
      <c r="A201" s="1" t="s">
        <v>33</v>
      </c>
      <c r="B201" s="1" t="s">
        <v>11</v>
      </c>
      <c r="C201" s="3">
        <v>1.0</v>
      </c>
      <c r="D201" s="1" t="s">
        <v>14</v>
      </c>
      <c r="E201" s="1" t="s">
        <v>13</v>
      </c>
      <c r="F201" s="3">
        <v>1.0</v>
      </c>
      <c r="G201" s="3">
        <v>15.0</v>
      </c>
      <c r="H201" s="3">
        <v>546.0</v>
      </c>
      <c r="I201" s="3">
        <v>262.0</v>
      </c>
    </row>
    <row r="202">
      <c r="A202" s="1" t="s">
        <v>33</v>
      </c>
      <c r="B202" s="1" t="s">
        <v>15</v>
      </c>
      <c r="C202" s="3">
        <v>1.0</v>
      </c>
      <c r="D202" s="1" t="s">
        <v>12</v>
      </c>
      <c r="E202" s="1" t="s">
        <v>12</v>
      </c>
      <c r="F202" s="3">
        <v>1.0</v>
      </c>
      <c r="G202" s="3">
        <v>51.0</v>
      </c>
      <c r="H202" s="3">
        <v>150.0</v>
      </c>
      <c r="I202" s="3">
        <v>282.0</v>
      </c>
    </row>
    <row r="203">
      <c r="A203" s="1" t="s">
        <v>33</v>
      </c>
      <c r="B203" s="1" t="s">
        <v>15</v>
      </c>
      <c r="C203" s="3">
        <v>1.0</v>
      </c>
      <c r="D203" s="1" t="s">
        <v>12</v>
      </c>
      <c r="E203" s="1" t="s">
        <v>13</v>
      </c>
      <c r="F203" s="3">
        <v>1.0</v>
      </c>
      <c r="G203" s="3">
        <v>31.0</v>
      </c>
      <c r="H203" s="3">
        <v>95.0</v>
      </c>
      <c r="I203" s="3">
        <v>93.0</v>
      </c>
    </row>
    <row r="204">
      <c r="A204" s="1" t="s">
        <v>33</v>
      </c>
      <c r="B204" s="1" t="s">
        <v>15</v>
      </c>
      <c r="C204" s="3">
        <v>1.0</v>
      </c>
      <c r="D204" s="1" t="s">
        <v>14</v>
      </c>
      <c r="E204" s="1" t="s">
        <v>12</v>
      </c>
      <c r="F204" s="3">
        <v>1.0</v>
      </c>
      <c r="G204" s="3">
        <v>39.0</v>
      </c>
      <c r="H204" s="3">
        <v>115.0</v>
      </c>
      <c r="I204" s="3">
        <v>58.0</v>
      </c>
    </row>
    <row r="205">
      <c r="A205" s="1" t="s">
        <v>33</v>
      </c>
      <c r="B205" s="1" t="s">
        <v>15</v>
      </c>
      <c r="C205" s="3">
        <v>1.0</v>
      </c>
      <c r="D205" s="1" t="s">
        <v>14</v>
      </c>
      <c r="E205" s="1" t="s">
        <v>13</v>
      </c>
      <c r="F205" s="3">
        <v>1.0</v>
      </c>
      <c r="G205" s="3">
        <v>27.0</v>
      </c>
      <c r="H205" s="3">
        <v>87.0</v>
      </c>
      <c r="I205" s="3">
        <v>18.0</v>
      </c>
    </row>
    <row r="206">
      <c r="A206" s="1" t="s">
        <v>34</v>
      </c>
      <c r="B206" s="1" t="s">
        <v>11</v>
      </c>
      <c r="C206" s="3">
        <v>1.0</v>
      </c>
      <c r="D206" s="1" t="s">
        <v>12</v>
      </c>
      <c r="E206" s="1" t="s">
        <v>12</v>
      </c>
      <c r="F206" s="3">
        <v>1.0</v>
      </c>
      <c r="G206" s="3">
        <v>2570.0</v>
      </c>
      <c r="H206" s="3">
        <v>309569.0</v>
      </c>
      <c r="I206" s="3">
        <v>2125.0</v>
      </c>
    </row>
    <row r="207">
      <c r="A207" s="1" t="s">
        <v>34</v>
      </c>
      <c r="B207" s="1" t="s">
        <v>11</v>
      </c>
      <c r="C207" s="3">
        <v>1.0</v>
      </c>
      <c r="D207" s="1" t="s">
        <v>12</v>
      </c>
      <c r="E207" s="1" t="s">
        <v>13</v>
      </c>
      <c r="F207" s="3">
        <v>1.0</v>
      </c>
      <c r="G207" s="3">
        <v>2500.0</v>
      </c>
      <c r="H207" s="3">
        <v>313622.0</v>
      </c>
      <c r="I207" s="3">
        <v>2153.0</v>
      </c>
    </row>
    <row r="208">
      <c r="A208" s="1" t="s">
        <v>34</v>
      </c>
      <c r="B208" s="1" t="s">
        <v>11</v>
      </c>
      <c r="C208" s="3">
        <v>1.0</v>
      </c>
      <c r="D208" s="1" t="s">
        <v>14</v>
      </c>
      <c r="E208" s="1" t="s">
        <v>12</v>
      </c>
      <c r="F208" s="3">
        <v>1.0</v>
      </c>
      <c r="G208" s="3">
        <v>54.0</v>
      </c>
      <c r="H208" s="3">
        <v>11334.0</v>
      </c>
      <c r="I208" s="3">
        <v>820.0</v>
      </c>
    </row>
    <row r="209">
      <c r="A209" s="1" t="s">
        <v>34</v>
      </c>
      <c r="B209" s="1" t="s">
        <v>11</v>
      </c>
      <c r="C209" s="3">
        <v>1.0</v>
      </c>
      <c r="D209" s="1" t="s">
        <v>14</v>
      </c>
      <c r="E209" s="1" t="s">
        <v>13</v>
      </c>
      <c r="F209" s="3">
        <v>1.0</v>
      </c>
      <c r="G209" s="3">
        <v>34.0</v>
      </c>
      <c r="H209" s="3">
        <v>7173.0</v>
      </c>
      <c r="I209" s="3">
        <v>146.0</v>
      </c>
    </row>
    <row r="210">
      <c r="A210" s="1" t="s">
        <v>34</v>
      </c>
      <c r="B210" s="1" t="s">
        <v>15</v>
      </c>
      <c r="C210" s="3">
        <v>1.0</v>
      </c>
      <c r="D210" s="1" t="s">
        <v>12</v>
      </c>
      <c r="E210" s="1" t="s">
        <v>12</v>
      </c>
      <c r="F210" s="3">
        <v>1.0</v>
      </c>
      <c r="G210" s="3">
        <v>39264.0</v>
      </c>
      <c r="H210" s="3">
        <v>146739.0</v>
      </c>
      <c r="I210" s="3">
        <v>7396.0</v>
      </c>
    </row>
    <row r="211">
      <c r="A211" s="1" t="s">
        <v>34</v>
      </c>
      <c r="B211" s="1" t="s">
        <v>15</v>
      </c>
      <c r="C211" s="3">
        <v>1.0</v>
      </c>
      <c r="D211" s="1" t="s">
        <v>12</v>
      </c>
      <c r="E211" s="1" t="s">
        <v>13</v>
      </c>
      <c r="F211" s="3">
        <v>1.0</v>
      </c>
      <c r="G211" s="3">
        <v>33270.0</v>
      </c>
      <c r="H211" s="3">
        <v>122605.0</v>
      </c>
      <c r="I211" s="3">
        <v>7812.0</v>
      </c>
    </row>
    <row r="212">
      <c r="A212" s="1" t="s">
        <v>34</v>
      </c>
      <c r="B212" s="1" t="s">
        <v>15</v>
      </c>
      <c r="C212" s="3">
        <v>1.0</v>
      </c>
      <c r="D212" s="1" t="s">
        <v>14</v>
      </c>
      <c r="E212" s="1" t="s">
        <v>12</v>
      </c>
      <c r="F212" s="3">
        <v>1.0</v>
      </c>
      <c r="G212" s="3">
        <v>38168.0</v>
      </c>
      <c r="H212" s="3">
        <v>137905.0</v>
      </c>
      <c r="I212" s="3">
        <v>7360.0</v>
      </c>
    </row>
    <row r="213">
      <c r="A213" s="1" t="s">
        <v>34</v>
      </c>
      <c r="B213" s="1" t="s">
        <v>15</v>
      </c>
      <c r="C213" s="3">
        <v>1.0</v>
      </c>
      <c r="D213" s="1" t="s">
        <v>14</v>
      </c>
      <c r="E213" s="1" t="s">
        <v>13</v>
      </c>
      <c r="F213" s="3">
        <v>1.0</v>
      </c>
      <c r="G213" s="3">
        <v>33270.0</v>
      </c>
      <c r="H213" s="3">
        <v>120785.0</v>
      </c>
      <c r="I213" s="3">
        <v>7104.0</v>
      </c>
    </row>
    <row r="214">
      <c r="A214" s="1" t="s">
        <v>35</v>
      </c>
      <c r="B214" s="1" t="s">
        <v>11</v>
      </c>
      <c r="C214" s="3">
        <v>1.0</v>
      </c>
      <c r="D214" s="1" t="s">
        <v>12</v>
      </c>
      <c r="E214" s="1" t="s">
        <v>12</v>
      </c>
      <c r="F214" s="3">
        <v>1.0</v>
      </c>
      <c r="G214" s="3">
        <v>2890.0</v>
      </c>
      <c r="H214" s="3">
        <v>392092.0</v>
      </c>
      <c r="I214" s="3">
        <v>2306.0</v>
      </c>
    </row>
    <row r="215">
      <c r="A215" s="1" t="s">
        <v>35</v>
      </c>
      <c r="B215" s="1" t="s">
        <v>11</v>
      </c>
      <c r="C215" s="3">
        <v>1.0</v>
      </c>
      <c r="D215" s="1" t="s">
        <v>12</v>
      </c>
      <c r="E215" s="1" t="s">
        <v>13</v>
      </c>
      <c r="F215" s="3">
        <v>1.0</v>
      </c>
      <c r="G215" s="3">
        <v>296.0</v>
      </c>
      <c r="H215" s="3">
        <v>39739.0</v>
      </c>
      <c r="I215" s="3">
        <v>800.0</v>
      </c>
    </row>
    <row r="216">
      <c r="A216" s="1" t="s">
        <v>35</v>
      </c>
      <c r="B216" s="1" t="s">
        <v>11</v>
      </c>
      <c r="C216" s="3">
        <v>1.0</v>
      </c>
      <c r="D216" s="1" t="s">
        <v>14</v>
      </c>
      <c r="E216" s="1" t="s">
        <v>12</v>
      </c>
      <c r="F216" s="3">
        <v>1.0</v>
      </c>
      <c r="G216" s="3">
        <v>42.0</v>
      </c>
      <c r="H216" s="3">
        <v>10737.0</v>
      </c>
      <c r="I216" s="3">
        <v>707.0</v>
      </c>
    </row>
    <row r="217">
      <c r="A217" s="1" t="s">
        <v>35</v>
      </c>
      <c r="B217" s="1" t="s">
        <v>11</v>
      </c>
      <c r="C217" s="3">
        <v>1.0</v>
      </c>
      <c r="D217" s="1" t="s">
        <v>14</v>
      </c>
      <c r="E217" s="1" t="s">
        <v>13</v>
      </c>
      <c r="F217" s="3">
        <v>1.0</v>
      </c>
      <c r="G217" s="3">
        <v>202.0</v>
      </c>
      <c r="H217" s="3">
        <v>33174.0</v>
      </c>
      <c r="I217" s="3">
        <v>804.0</v>
      </c>
    </row>
    <row r="218">
      <c r="A218" s="1" t="s">
        <v>35</v>
      </c>
      <c r="B218" s="1" t="s">
        <v>15</v>
      </c>
      <c r="C218" s="3">
        <v>1.0</v>
      </c>
      <c r="D218" s="1" t="s">
        <v>12</v>
      </c>
      <c r="E218" s="1" t="s">
        <v>12</v>
      </c>
      <c r="F218" s="3">
        <v>1.0</v>
      </c>
      <c r="G218" s="3">
        <v>49842.0</v>
      </c>
      <c r="H218" s="3">
        <v>194898.0</v>
      </c>
      <c r="I218" s="3">
        <v>9466.0</v>
      </c>
    </row>
    <row r="219">
      <c r="A219" s="1" t="s">
        <v>35</v>
      </c>
      <c r="B219" s="1" t="s">
        <v>15</v>
      </c>
      <c r="C219" s="3">
        <v>1.0</v>
      </c>
      <c r="D219" s="1" t="s">
        <v>12</v>
      </c>
      <c r="E219" s="1" t="s">
        <v>13</v>
      </c>
      <c r="F219" s="3">
        <v>1.0</v>
      </c>
      <c r="G219" s="3">
        <v>43580.0</v>
      </c>
      <c r="H219" s="3">
        <v>168034.0</v>
      </c>
      <c r="I219" s="3">
        <v>9439.0</v>
      </c>
    </row>
    <row r="220">
      <c r="A220" s="1" t="s">
        <v>35</v>
      </c>
      <c r="B220" s="1" t="s">
        <v>15</v>
      </c>
      <c r="C220" s="3">
        <v>1.0</v>
      </c>
      <c r="D220" s="1" t="s">
        <v>14</v>
      </c>
      <c r="E220" s="1" t="s">
        <v>12</v>
      </c>
      <c r="F220" s="3">
        <v>1.0</v>
      </c>
      <c r="G220" s="3">
        <v>49498.0</v>
      </c>
      <c r="H220" s="3">
        <v>187987.0</v>
      </c>
      <c r="I220" s="3">
        <v>8752.0</v>
      </c>
    </row>
    <row r="221">
      <c r="A221" s="1" t="s">
        <v>35</v>
      </c>
      <c r="B221" s="1" t="s">
        <v>15</v>
      </c>
      <c r="C221" s="3">
        <v>1.0</v>
      </c>
      <c r="D221" s="1" t="s">
        <v>14</v>
      </c>
      <c r="E221" s="1" t="s">
        <v>13</v>
      </c>
      <c r="F221" s="3">
        <v>1.0</v>
      </c>
      <c r="G221" s="3">
        <v>43580.0</v>
      </c>
      <c r="H221" s="3">
        <v>165709.0</v>
      </c>
      <c r="I221" s="3">
        <v>8538.0</v>
      </c>
    </row>
    <row r="222">
      <c r="A222" s="1" t="s">
        <v>36</v>
      </c>
      <c r="B222" s="1" t="s">
        <v>11</v>
      </c>
      <c r="C222" s="3">
        <v>1.0</v>
      </c>
      <c r="D222" s="1" t="s">
        <v>12</v>
      </c>
      <c r="E222" s="1" t="s">
        <v>12</v>
      </c>
      <c r="F222" s="3">
        <v>1.0</v>
      </c>
      <c r="G222" s="3">
        <v>8.0</v>
      </c>
      <c r="H222" s="3">
        <v>123.0</v>
      </c>
      <c r="I222" s="3">
        <v>32.0</v>
      </c>
    </row>
    <row r="223">
      <c r="A223" s="1" t="s">
        <v>36</v>
      </c>
      <c r="B223" s="1" t="s">
        <v>11</v>
      </c>
      <c r="C223" s="3">
        <v>0.0</v>
      </c>
      <c r="D223" s="1" t="s">
        <v>12</v>
      </c>
      <c r="E223" s="1" t="s">
        <v>12</v>
      </c>
      <c r="F223" s="3">
        <v>2.0</v>
      </c>
      <c r="G223" s="3">
        <v>26.0</v>
      </c>
      <c r="H223" s="3">
        <v>193.0</v>
      </c>
      <c r="I223" s="3">
        <v>26.0</v>
      </c>
    </row>
    <row r="224">
      <c r="A224" s="1" t="s">
        <v>36</v>
      </c>
      <c r="B224" s="1" t="s">
        <v>11</v>
      </c>
      <c r="C224" s="3">
        <v>1.0</v>
      </c>
      <c r="D224" s="1" t="s">
        <v>12</v>
      </c>
      <c r="E224" s="1" t="s">
        <v>13</v>
      </c>
      <c r="F224" s="3">
        <v>1.0</v>
      </c>
      <c r="G224" s="3">
        <v>6.0</v>
      </c>
      <c r="H224" s="3">
        <v>92.0</v>
      </c>
      <c r="I224" s="3">
        <v>25.0</v>
      </c>
    </row>
    <row r="225">
      <c r="A225" s="1" t="s">
        <v>36</v>
      </c>
      <c r="B225" s="1" t="s">
        <v>11</v>
      </c>
      <c r="C225" s="3">
        <v>0.0</v>
      </c>
      <c r="D225" s="1" t="s">
        <v>12</v>
      </c>
      <c r="E225" s="1" t="s">
        <v>13</v>
      </c>
      <c r="F225" s="3">
        <v>2.0</v>
      </c>
      <c r="G225" s="3">
        <v>28.0</v>
      </c>
      <c r="H225" s="3">
        <v>193.0</v>
      </c>
      <c r="I225" s="3">
        <v>41.0</v>
      </c>
    </row>
    <row r="226">
      <c r="A226" s="1" t="s">
        <v>36</v>
      </c>
      <c r="B226" s="1" t="s">
        <v>11</v>
      </c>
      <c r="C226" s="3">
        <v>1.0</v>
      </c>
      <c r="D226" s="1" t="s">
        <v>14</v>
      </c>
      <c r="E226" s="1" t="s">
        <v>12</v>
      </c>
      <c r="F226" s="3">
        <v>1.0</v>
      </c>
      <c r="G226" s="3">
        <v>6.0</v>
      </c>
      <c r="H226" s="3">
        <v>104.0</v>
      </c>
      <c r="I226" s="3">
        <v>8.0</v>
      </c>
    </row>
    <row r="227">
      <c r="A227" s="1" t="s">
        <v>36</v>
      </c>
      <c r="B227" s="1" t="s">
        <v>11</v>
      </c>
      <c r="C227" s="3">
        <v>0.0</v>
      </c>
      <c r="D227" s="1" t="s">
        <v>14</v>
      </c>
      <c r="E227" s="1" t="s">
        <v>12</v>
      </c>
      <c r="F227" s="3">
        <v>2.0</v>
      </c>
      <c r="G227" s="3">
        <v>24.0</v>
      </c>
      <c r="H227" s="3">
        <v>158.0</v>
      </c>
      <c r="I227" s="3">
        <v>27.0</v>
      </c>
    </row>
    <row r="228">
      <c r="A228" s="1" t="s">
        <v>36</v>
      </c>
      <c r="B228" s="1" t="s">
        <v>11</v>
      </c>
      <c r="C228" s="3">
        <v>1.0</v>
      </c>
      <c r="D228" s="1" t="s">
        <v>14</v>
      </c>
      <c r="E228" s="1" t="s">
        <v>13</v>
      </c>
      <c r="F228" s="3">
        <v>1.0</v>
      </c>
      <c r="G228" s="3">
        <v>6.0</v>
      </c>
      <c r="H228" s="3">
        <v>104.0</v>
      </c>
      <c r="I228" s="3">
        <v>22.0</v>
      </c>
    </row>
    <row r="229">
      <c r="A229" s="1" t="s">
        <v>36</v>
      </c>
      <c r="B229" s="1" t="s">
        <v>11</v>
      </c>
      <c r="C229" s="3">
        <v>0.0</v>
      </c>
      <c r="D229" s="1" t="s">
        <v>14</v>
      </c>
      <c r="E229" s="1" t="s">
        <v>13</v>
      </c>
      <c r="F229" s="3">
        <v>2.0</v>
      </c>
      <c r="G229" s="3">
        <v>24.0</v>
      </c>
      <c r="H229" s="3">
        <v>158.0</v>
      </c>
      <c r="I229" s="3">
        <v>32.0</v>
      </c>
    </row>
    <row r="230">
      <c r="A230" s="1" t="s">
        <v>36</v>
      </c>
      <c r="B230" s="1" t="s">
        <v>15</v>
      </c>
      <c r="C230" s="3">
        <v>1.0</v>
      </c>
      <c r="D230" s="1" t="s">
        <v>12</v>
      </c>
      <c r="E230" s="1" t="s">
        <v>12</v>
      </c>
      <c r="F230" s="3">
        <v>1.0</v>
      </c>
      <c r="G230" s="3">
        <v>18.0</v>
      </c>
      <c r="H230" s="3">
        <v>41.0</v>
      </c>
      <c r="I230" s="3">
        <v>38.0</v>
      </c>
    </row>
    <row r="231">
      <c r="A231" s="1" t="s">
        <v>36</v>
      </c>
      <c r="B231" s="1" t="s">
        <v>15</v>
      </c>
      <c r="C231" s="3">
        <v>0.0</v>
      </c>
      <c r="D231" s="1" t="s">
        <v>12</v>
      </c>
      <c r="E231" s="1" t="s">
        <v>12</v>
      </c>
      <c r="F231" s="3">
        <v>2.0</v>
      </c>
      <c r="G231" s="3">
        <v>48.0</v>
      </c>
      <c r="H231" s="3">
        <v>92.0</v>
      </c>
      <c r="I231" s="3">
        <v>35.0</v>
      </c>
    </row>
    <row r="232">
      <c r="A232" s="1" t="s">
        <v>36</v>
      </c>
      <c r="B232" s="1" t="s">
        <v>15</v>
      </c>
      <c r="C232" s="3">
        <v>1.0</v>
      </c>
      <c r="D232" s="1" t="s">
        <v>12</v>
      </c>
      <c r="E232" s="1" t="s">
        <v>13</v>
      </c>
      <c r="F232" s="3">
        <v>1.0</v>
      </c>
      <c r="G232" s="3">
        <v>16.0</v>
      </c>
      <c r="H232" s="3">
        <v>37.0</v>
      </c>
      <c r="I232" s="3">
        <v>49.0</v>
      </c>
    </row>
    <row r="233">
      <c r="A233" s="1" t="s">
        <v>36</v>
      </c>
      <c r="B233" s="1" t="s">
        <v>15</v>
      </c>
      <c r="C233" s="3">
        <v>0.0</v>
      </c>
      <c r="D233" s="1" t="s">
        <v>12</v>
      </c>
      <c r="E233" s="1" t="s">
        <v>13</v>
      </c>
      <c r="F233" s="3">
        <v>2.0</v>
      </c>
      <c r="G233" s="3">
        <v>44.0</v>
      </c>
      <c r="H233" s="3">
        <v>84.0</v>
      </c>
      <c r="I233" s="3">
        <v>67.0</v>
      </c>
    </row>
    <row r="234">
      <c r="A234" s="1" t="s">
        <v>36</v>
      </c>
      <c r="B234" s="1" t="s">
        <v>15</v>
      </c>
      <c r="C234" s="3">
        <v>1.0</v>
      </c>
      <c r="D234" s="1" t="s">
        <v>14</v>
      </c>
      <c r="E234" s="1" t="s">
        <v>12</v>
      </c>
      <c r="F234" s="3">
        <v>1.0</v>
      </c>
      <c r="G234" s="3">
        <v>18.0</v>
      </c>
      <c r="H234" s="3">
        <v>41.0</v>
      </c>
      <c r="I234" s="3">
        <v>35.0</v>
      </c>
    </row>
    <row r="235">
      <c r="A235" s="1" t="s">
        <v>36</v>
      </c>
      <c r="B235" s="1" t="s">
        <v>15</v>
      </c>
      <c r="C235" s="3">
        <v>0.0</v>
      </c>
      <c r="D235" s="1" t="s">
        <v>14</v>
      </c>
      <c r="E235" s="1" t="s">
        <v>12</v>
      </c>
      <c r="F235" s="3">
        <v>2.0</v>
      </c>
      <c r="G235" s="3">
        <v>50.0</v>
      </c>
      <c r="H235" s="3">
        <v>92.0</v>
      </c>
      <c r="I235" s="3">
        <v>33.0</v>
      </c>
    </row>
    <row r="236">
      <c r="A236" s="1" t="s">
        <v>36</v>
      </c>
      <c r="B236" s="1" t="s">
        <v>15</v>
      </c>
      <c r="C236" s="3">
        <v>1.0</v>
      </c>
      <c r="D236" s="1" t="s">
        <v>14</v>
      </c>
      <c r="E236" s="1" t="s">
        <v>13</v>
      </c>
      <c r="F236" s="3">
        <v>1.0</v>
      </c>
      <c r="G236" s="3">
        <v>16.0</v>
      </c>
      <c r="H236" s="3">
        <v>37.0</v>
      </c>
      <c r="I236" s="3">
        <v>69.0</v>
      </c>
    </row>
    <row r="237">
      <c r="A237" s="1" t="s">
        <v>36</v>
      </c>
      <c r="B237" s="1" t="s">
        <v>15</v>
      </c>
      <c r="C237" s="3">
        <v>0.0</v>
      </c>
      <c r="D237" s="1" t="s">
        <v>14</v>
      </c>
      <c r="E237" s="1" t="s">
        <v>13</v>
      </c>
      <c r="F237" s="3">
        <v>2.0</v>
      </c>
      <c r="G237" s="3">
        <v>44.0</v>
      </c>
      <c r="H237" s="3">
        <v>83.0</v>
      </c>
      <c r="I237" s="3">
        <v>13.0</v>
      </c>
    </row>
    <row r="238">
      <c r="A238" s="1" t="s">
        <v>37</v>
      </c>
      <c r="B238" s="1" t="s">
        <v>11</v>
      </c>
      <c r="C238" s="3">
        <v>1.0</v>
      </c>
      <c r="D238" s="1" t="s">
        <v>12</v>
      </c>
      <c r="E238" s="1" t="s">
        <v>12</v>
      </c>
      <c r="F238" s="3">
        <v>1.0</v>
      </c>
      <c r="G238" s="3">
        <v>12.0</v>
      </c>
      <c r="H238" s="3">
        <v>344.0</v>
      </c>
      <c r="I238" s="3">
        <v>139.0</v>
      </c>
    </row>
    <row r="239">
      <c r="A239" s="1" t="s">
        <v>37</v>
      </c>
      <c r="B239" s="1" t="s">
        <v>11</v>
      </c>
      <c r="C239" s="3">
        <v>0.0</v>
      </c>
      <c r="D239" s="1" t="s">
        <v>12</v>
      </c>
      <c r="E239" s="1" t="s">
        <v>12</v>
      </c>
      <c r="F239" s="3">
        <v>2.0</v>
      </c>
      <c r="G239" s="3">
        <v>48.0</v>
      </c>
      <c r="H239" s="3">
        <v>908.0</v>
      </c>
      <c r="I239" s="3">
        <v>47.0</v>
      </c>
    </row>
    <row r="240">
      <c r="A240" s="1" t="s">
        <v>37</v>
      </c>
      <c r="B240" s="1" t="s">
        <v>11</v>
      </c>
      <c r="C240" s="3">
        <v>1.0</v>
      </c>
      <c r="D240" s="1" t="s">
        <v>12</v>
      </c>
      <c r="E240" s="1" t="s">
        <v>13</v>
      </c>
      <c r="F240" s="3">
        <v>1.0</v>
      </c>
      <c r="G240" s="3">
        <v>10.0</v>
      </c>
      <c r="H240" s="3">
        <v>319.0</v>
      </c>
      <c r="I240" s="3">
        <v>144.0</v>
      </c>
    </row>
    <row r="241">
      <c r="A241" s="1" t="s">
        <v>37</v>
      </c>
      <c r="B241" s="1" t="s">
        <v>11</v>
      </c>
      <c r="C241" s="3">
        <v>0.0</v>
      </c>
      <c r="D241" s="1" t="s">
        <v>12</v>
      </c>
      <c r="E241" s="1" t="s">
        <v>13</v>
      </c>
      <c r="F241" s="3">
        <v>2.0</v>
      </c>
      <c r="G241" s="3">
        <v>46.0</v>
      </c>
      <c r="H241" s="3">
        <v>908.0</v>
      </c>
      <c r="I241" s="3">
        <v>74.0</v>
      </c>
    </row>
    <row r="242">
      <c r="A242" s="1" t="s">
        <v>37</v>
      </c>
      <c r="B242" s="1" t="s">
        <v>11</v>
      </c>
      <c r="C242" s="3">
        <v>1.0</v>
      </c>
      <c r="D242" s="1" t="s">
        <v>14</v>
      </c>
      <c r="E242" s="1" t="s">
        <v>12</v>
      </c>
      <c r="F242" s="3">
        <v>1.0</v>
      </c>
      <c r="G242" s="3">
        <v>8.0</v>
      </c>
      <c r="H242" s="3">
        <v>276.0</v>
      </c>
      <c r="I242" s="3">
        <v>44.0</v>
      </c>
    </row>
    <row r="243">
      <c r="A243" s="1" t="s">
        <v>37</v>
      </c>
      <c r="B243" s="1" t="s">
        <v>11</v>
      </c>
      <c r="C243" s="3">
        <v>0.0</v>
      </c>
      <c r="D243" s="1" t="s">
        <v>14</v>
      </c>
      <c r="E243" s="1" t="s">
        <v>12</v>
      </c>
      <c r="F243" s="3">
        <v>2.0</v>
      </c>
      <c r="G243" s="3">
        <v>40.0</v>
      </c>
      <c r="H243" s="3">
        <v>806.0</v>
      </c>
      <c r="I243" s="3">
        <v>68.0</v>
      </c>
    </row>
    <row r="244">
      <c r="A244" s="1" t="s">
        <v>37</v>
      </c>
      <c r="B244" s="1" t="s">
        <v>11</v>
      </c>
      <c r="C244" s="3">
        <v>1.0</v>
      </c>
      <c r="D244" s="1" t="s">
        <v>14</v>
      </c>
      <c r="E244" s="1" t="s">
        <v>13</v>
      </c>
      <c r="F244" s="3">
        <v>1.0</v>
      </c>
      <c r="G244" s="3">
        <v>8.0</v>
      </c>
      <c r="H244" s="3">
        <v>276.0</v>
      </c>
      <c r="I244" s="3">
        <v>56.0</v>
      </c>
    </row>
    <row r="245">
      <c r="A245" s="1" t="s">
        <v>37</v>
      </c>
      <c r="B245" s="1" t="s">
        <v>11</v>
      </c>
      <c r="C245" s="3">
        <v>0.0</v>
      </c>
      <c r="D245" s="1" t="s">
        <v>14</v>
      </c>
      <c r="E245" s="1" t="s">
        <v>13</v>
      </c>
      <c r="F245" s="3">
        <v>2.0</v>
      </c>
      <c r="G245" s="3">
        <v>40.0</v>
      </c>
      <c r="H245" s="3">
        <v>806.0</v>
      </c>
      <c r="I245" s="3">
        <v>103.0</v>
      </c>
    </row>
    <row r="246">
      <c r="A246" s="1" t="s">
        <v>37</v>
      </c>
      <c r="B246" s="1" t="s">
        <v>15</v>
      </c>
      <c r="C246" s="3">
        <v>1.0</v>
      </c>
      <c r="D246" s="1" t="s">
        <v>12</v>
      </c>
      <c r="E246" s="1" t="s">
        <v>12</v>
      </c>
      <c r="F246" s="3">
        <v>1.0</v>
      </c>
      <c r="G246" s="3">
        <v>56.0</v>
      </c>
      <c r="H246" s="3">
        <v>142.0</v>
      </c>
      <c r="I246" s="3">
        <v>54.0</v>
      </c>
    </row>
    <row r="247">
      <c r="A247" s="1" t="s">
        <v>37</v>
      </c>
      <c r="B247" s="1" t="s">
        <v>15</v>
      </c>
      <c r="C247" s="3">
        <v>0.0</v>
      </c>
      <c r="D247" s="1" t="s">
        <v>12</v>
      </c>
      <c r="E247" s="1" t="s">
        <v>12</v>
      </c>
      <c r="F247" s="3">
        <v>2.0</v>
      </c>
      <c r="G247" s="3">
        <v>198.0</v>
      </c>
      <c r="H247" s="3">
        <v>470.0</v>
      </c>
      <c r="I247" s="3">
        <v>162.0</v>
      </c>
    </row>
    <row r="248">
      <c r="A248" s="1" t="s">
        <v>37</v>
      </c>
      <c r="B248" s="1" t="s">
        <v>15</v>
      </c>
      <c r="C248" s="3">
        <v>1.0</v>
      </c>
      <c r="D248" s="1" t="s">
        <v>12</v>
      </c>
      <c r="E248" s="1" t="s">
        <v>13</v>
      </c>
      <c r="F248" s="3">
        <v>1.0</v>
      </c>
      <c r="G248" s="3">
        <v>52.0</v>
      </c>
      <c r="H248" s="3">
        <v>132.0</v>
      </c>
      <c r="I248" s="3">
        <v>44.0</v>
      </c>
    </row>
    <row r="249">
      <c r="A249" s="1" t="s">
        <v>37</v>
      </c>
      <c r="B249" s="1" t="s">
        <v>15</v>
      </c>
      <c r="C249" s="3">
        <v>0.0</v>
      </c>
      <c r="D249" s="1" t="s">
        <v>12</v>
      </c>
      <c r="E249" s="1" t="s">
        <v>13</v>
      </c>
      <c r="F249" s="3">
        <v>2.0</v>
      </c>
      <c r="G249" s="3">
        <v>168.0</v>
      </c>
      <c r="H249" s="3">
        <v>398.0</v>
      </c>
      <c r="I249" s="3">
        <v>230.0</v>
      </c>
    </row>
    <row r="250">
      <c r="A250" s="1" t="s">
        <v>37</v>
      </c>
      <c r="B250" s="1" t="s">
        <v>15</v>
      </c>
      <c r="C250" s="3">
        <v>1.0</v>
      </c>
      <c r="D250" s="1" t="s">
        <v>14</v>
      </c>
      <c r="E250" s="1" t="s">
        <v>12</v>
      </c>
      <c r="F250" s="3">
        <v>1.0</v>
      </c>
      <c r="G250" s="3">
        <v>56.0</v>
      </c>
      <c r="H250" s="3">
        <v>141.0</v>
      </c>
      <c r="I250" s="3">
        <v>53.0</v>
      </c>
    </row>
    <row r="251">
      <c r="A251" s="1" t="s">
        <v>37</v>
      </c>
      <c r="B251" s="1" t="s">
        <v>15</v>
      </c>
      <c r="C251" s="3">
        <v>0.0</v>
      </c>
      <c r="D251" s="1" t="s">
        <v>14</v>
      </c>
      <c r="E251" s="1" t="s">
        <v>12</v>
      </c>
      <c r="F251" s="3">
        <v>2.0</v>
      </c>
      <c r="G251" s="3">
        <v>194.0</v>
      </c>
      <c r="H251" s="3">
        <v>439.0</v>
      </c>
      <c r="I251" s="3">
        <v>133.0</v>
      </c>
    </row>
    <row r="252">
      <c r="A252" s="1" t="s">
        <v>37</v>
      </c>
      <c r="B252" s="1" t="s">
        <v>15</v>
      </c>
      <c r="C252" s="3">
        <v>1.0</v>
      </c>
      <c r="D252" s="1" t="s">
        <v>14</v>
      </c>
      <c r="E252" s="1" t="s">
        <v>13</v>
      </c>
      <c r="F252" s="3">
        <v>1.0</v>
      </c>
      <c r="G252" s="3">
        <v>52.0</v>
      </c>
      <c r="H252" s="3">
        <v>131.0</v>
      </c>
      <c r="I252" s="3">
        <v>106.0</v>
      </c>
    </row>
    <row r="253">
      <c r="A253" s="1" t="s">
        <v>37</v>
      </c>
      <c r="B253" s="1" t="s">
        <v>15</v>
      </c>
      <c r="C253" s="3">
        <v>0.0</v>
      </c>
      <c r="D253" s="1" t="s">
        <v>14</v>
      </c>
      <c r="E253" s="1" t="s">
        <v>13</v>
      </c>
      <c r="F253" s="3">
        <v>2.0</v>
      </c>
      <c r="G253" s="3">
        <v>168.0</v>
      </c>
      <c r="H253" s="3">
        <v>391.0</v>
      </c>
      <c r="I253" s="3">
        <v>176.0</v>
      </c>
    </row>
    <row r="254">
      <c r="A254" s="1" t="s">
        <v>38</v>
      </c>
      <c r="B254" s="1" t="s">
        <v>11</v>
      </c>
      <c r="C254" s="3">
        <v>1.0</v>
      </c>
      <c r="D254" s="1" t="s">
        <v>12</v>
      </c>
      <c r="E254" s="1" t="s">
        <v>12</v>
      </c>
      <c r="F254" s="3">
        <v>1.0</v>
      </c>
      <c r="G254" s="3">
        <v>38.0</v>
      </c>
      <c r="H254" s="3">
        <v>3416.0</v>
      </c>
      <c r="I254" s="3">
        <v>408.0</v>
      </c>
    </row>
    <row r="255">
      <c r="A255" s="1" t="s">
        <v>38</v>
      </c>
      <c r="B255" s="1" t="s">
        <v>11</v>
      </c>
      <c r="C255" s="3">
        <v>0.0</v>
      </c>
      <c r="D255" s="1" t="s">
        <v>12</v>
      </c>
      <c r="E255" s="1" t="s">
        <v>12</v>
      </c>
      <c r="F255" s="3">
        <v>52.0</v>
      </c>
      <c r="G255" s="3">
        <v>2702.0</v>
      </c>
      <c r="H255" s="3">
        <v>136436.0</v>
      </c>
      <c r="I255" s="3">
        <v>1390.0</v>
      </c>
    </row>
    <row r="256">
      <c r="A256" s="1" t="s">
        <v>38</v>
      </c>
      <c r="B256" s="1" t="s">
        <v>11</v>
      </c>
      <c r="C256" s="3">
        <v>1.0</v>
      </c>
      <c r="D256" s="1" t="s">
        <v>12</v>
      </c>
      <c r="E256" s="1" t="s">
        <v>13</v>
      </c>
      <c r="F256" s="3">
        <v>1.0</v>
      </c>
      <c r="G256" s="3">
        <v>70.0</v>
      </c>
      <c r="H256" s="3">
        <v>5075.0</v>
      </c>
      <c r="I256" s="3">
        <v>743.0</v>
      </c>
    </row>
    <row r="257">
      <c r="A257" s="1" t="s">
        <v>38</v>
      </c>
      <c r="B257" s="1" t="s">
        <v>11</v>
      </c>
      <c r="C257" s="3">
        <v>0.0</v>
      </c>
      <c r="D257" s="1" t="s">
        <v>12</v>
      </c>
      <c r="E257" s="1" t="s">
        <v>13</v>
      </c>
      <c r="F257" s="3">
        <v>52.0</v>
      </c>
      <c r="G257" s="3">
        <v>2690.0</v>
      </c>
      <c r="H257" s="3">
        <v>136436.0</v>
      </c>
      <c r="I257" s="3">
        <v>1409.0</v>
      </c>
    </row>
    <row r="258">
      <c r="A258" s="1" t="s">
        <v>38</v>
      </c>
      <c r="B258" s="1" t="s">
        <v>11</v>
      </c>
      <c r="C258" s="3">
        <v>1.0</v>
      </c>
      <c r="D258" s="1" t="s">
        <v>14</v>
      </c>
      <c r="E258" s="1" t="s">
        <v>12</v>
      </c>
      <c r="F258" s="3">
        <v>1.0</v>
      </c>
      <c r="G258" s="3">
        <v>16.0</v>
      </c>
      <c r="H258" s="3">
        <v>1664.0</v>
      </c>
      <c r="I258" s="3">
        <v>181.0</v>
      </c>
    </row>
    <row r="259">
      <c r="A259" s="1" t="s">
        <v>38</v>
      </c>
      <c r="B259" s="1" t="s">
        <v>11</v>
      </c>
      <c r="C259" s="3">
        <v>0.0</v>
      </c>
      <c r="D259" s="1" t="s">
        <v>14</v>
      </c>
      <c r="E259" s="1" t="s">
        <v>12</v>
      </c>
      <c r="F259" s="3">
        <v>52.0</v>
      </c>
      <c r="G259" s="3">
        <v>1810.0</v>
      </c>
      <c r="H259" s="3">
        <v>86659.0</v>
      </c>
      <c r="I259" s="3">
        <v>1270.0</v>
      </c>
    </row>
    <row r="260">
      <c r="A260" s="1" t="s">
        <v>38</v>
      </c>
      <c r="B260" s="1" t="s">
        <v>11</v>
      </c>
      <c r="C260" s="3">
        <v>1.0</v>
      </c>
      <c r="D260" s="1" t="s">
        <v>14</v>
      </c>
      <c r="E260" s="1" t="s">
        <v>13</v>
      </c>
      <c r="F260" s="3">
        <v>1.0</v>
      </c>
      <c r="G260" s="3">
        <v>16.0</v>
      </c>
      <c r="H260" s="3">
        <v>1594.0</v>
      </c>
      <c r="I260" s="3">
        <v>129.0</v>
      </c>
    </row>
    <row r="261">
      <c r="A261" s="1" t="s">
        <v>38</v>
      </c>
      <c r="B261" s="1" t="s">
        <v>11</v>
      </c>
      <c r="C261" s="3">
        <v>0.0</v>
      </c>
      <c r="D261" s="1" t="s">
        <v>14</v>
      </c>
      <c r="E261" s="1" t="s">
        <v>13</v>
      </c>
      <c r="F261" s="3">
        <v>52.0</v>
      </c>
      <c r="G261" s="3">
        <v>1814.0</v>
      </c>
      <c r="H261" s="3">
        <v>86793.0</v>
      </c>
      <c r="I261" s="3">
        <v>1234.0</v>
      </c>
    </row>
    <row r="262">
      <c r="A262" s="1" t="s">
        <v>38</v>
      </c>
      <c r="B262" s="1" t="s">
        <v>15</v>
      </c>
      <c r="C262" s="3">
        <v>1.0</v>
      </c>
      <c r="D262" s="1" t="s">
        <v>12</v>
      </c>
      <c r="E262" s="1" t="s">
        <v>12</v>
      </c>
      <c r="F262" s="3">
        <v>1.0</v>
      </c>
      <c r="G262" s="3">
        <v>472.0</v>
      </c>
      <c r="H262" s="3">
        <v>1531.0</v>
      </c>
      <c r="I262" s="3">
        <v>670.0</v>
      </c>
    </row>
    <row r="263">
      <c r="A263" s="1" t="s">
        <v>38</v>
      </c>
      <c r="B263" s="1" t="s">
        <v>15</v>
      </c>
      <c r="C263" s="3">
        <v>0.0</v>
      </c>
      <c r="D263" s="1" t="s">
        <v>12</v>
      </c>
      <c r="E263" s="1" t="s">
        <v>12</v>
      </c>
      <c r="F263" s="3">
        <v>52.0</v>
      </c>
      <c r="G263" s="3">
        <v>20112.0</v>
      </c>
      <c r="H263" s="3">
        <v>65822.0</v>
      </c>
      <c r="I263" s="3">
        <v>2384.0</v>
      </c>
    </row>
    <row r="264">
      <c r="A264" s="1" t="s">
        <v>38</v>
      </c>
      <c r="B264" s="1" t="s">
        <v>15</v>
      </c>
      <c r="C264" s="3">
        <v>1.0</v>
      </c>
      <c r="D264" s="1" t="s">
        <v>12</v>
      </c>
      <c r="E264" s="1" t="s">
        <v>13</v>
      </c>
      <c r="F264" s="3">
        <v>1.0</v>
      </c>
      <c r="G264" s="3">
        <v>434.0</v>
      </c>
      <c r="H264" s="3">
        <v>1405.0</v>
      </c>
      <c r="I264" s="3">
        <v>782.0</v>
      </c>
    </row>
    <row r="265">
      <c r="A265" s="1" t="s">
        <v>38</v>
      </c>
      <c r="B265" s="1" t="s">
        <v>15</v>
      </c>
      <c r="C265" s="3">
        <v>0.0</v>
      </c>
      <c r="D265" s="1" t="s">
        <v>12</v>
      </c>
      <c r="E265" s="1" t="s">
        <v>13</v>
      </c>
      <c r="F265" s="3">
        <v>52.0</v>
      </c>
      <c r="G265" s="3">
        <v>15944.0</v>
      </c>
      <c r="H265" s="3">
        <v>51544.0</v>
      </c>
      <c r="I265" s="3">
        <v>2370.0</v>
      </c>
    </row>
    <row r="266">
      <c r="A266" s="1" t="s">
        <v>38</v>
      </c>
      <c r="B266" s="1" t="s">
        <v>15</v>
      </c>
      <c r="C266" s="3">
        <v>1.0</v>
      </c>
      <c r="D266" s="1" t="s">
        <v>14</v>
      </c>
      <c r="E266" s="1" t="s">
        <v>12</v>
      </c>
      <c r="F266" s="3">
        <v>1.0</v>
      </c>
      <c r="G266" s="3">
        <v>480.0</v>
      </c>
      <c r="H266" s="3">
        <v>1529.0</v>
      </c>
      <c r="I266" s="3">
        <v>706.0</v>
      </c>
    </row>
    <row r="267">
      <c r="A267" s="1" t="s">
        <v>38</v>
      </c>
      <c r="B267" s="1" t="s">
        <v>15</v>
      </c>
      <c r="C267" s="3">
        <v>0.0</v>
      </c>
      <c r="D267" s="1" t="s">
        <v>14</v>
      </c>
      <c r="E267" s="1" t="s">
        <v>12</v>
      </c>
      <c r="F267" s="3">
        <v>52.0</v>
      </c>
      <c r="G267" s="3">
        <v>18496.0</v>
      </c>
      <c r="H267" s="3">
        <v>57984.0</v>
      </c>
      <c r="I267" s="3">
        <v>2247.0</v>
      </c>
    </row>
    <row r="268">
      <c r="A268" s="1" t="s">
        <v>38</v>
      </c>
      <c r="B268" s="1" t="s">
        <v>15</v>
      </c>
      <c r="C268" s="3">
        <v>1.0</v>
      </c>
      <c r="D268" s="1" t="s">
        <v>14</v>
      </c>
      <c r="E268" s="1" t="s">
        <v>13</v>
      </c>
      <c r="F268" s="3">
        <v>1.0</v>
      </c>
      <c r="G268" s="3">
        <v>434.0</v>
      </c>
      <c r="H268" s="3">
        <v>1383.0</v>
      </c>
      <c r="I268" s="3">
        <v>879.0</v>
      </c>
    </row>
    <row r="269">
      <c r="A269" s="1" t="s">
        <v>38</v>
      </c>
      <c r="B269" s="1" t="s">
        <v>15</v>
      </c>
      <c r="C269" s="3">
        <v>0.0</v>
      </c>
      <c r="D269" s="1" t="s">
        <v>14</v>
      </c>
      <c r="E269" s="1" t="s">
        <v>13</v>
      </c>
      <c r="F269" s="3">
        <v>52.0</v>
      </c>
      <c r="G269" s="3">
        <v>15944.0</v>
      </c>
      <c r="H269" s="3">
        <v>50739.0</v>
      </c>
      <c r="I269" s="3">
        <v>2275.0</v>
      </c>
    </row>
    <row r="270">
      <c r="A270" s="1" t="s">
        <v>39</v>
      </c>
      <c r="B270" s="1" t="s">
        <v>11</v>
      </c>
      <c r="C270" s="3">
        <v>1.0</v>
      </c>
      <c r="D270" s="1" t="s">
        <v>12</v>
      </c>
      <c r="E270" s="1" t="s">
        <v>12</v>
      </c>
      <c r="F270" s="3">
        <v>1.0</v>
      </c>
      <c r="G270" s="3">
        <v>176.0</v>
      </c>
      <c r="H270" s="3">
        <v>16045.0</v>
      </c>
      <c r="I270" s="3">
        <v>683.0</v>
      </c>
    </row>
    <row r="271">
      <c r="A271" s="1" t="s">
        <v>39</v>
      </c>
      <c r="B271" s="1" t="s">
        <v>11</v>
      </c>
      <c r="C271" s="3">
        <v>0.0</v>
      </c>
      <c r="D271" s="1" t="s">
        <v>12</v>
      </c>
      <c r="E271" s="1" t="s">
        <v>12</v>
      </c>
      <c r="F271" s="3">
        <v>300.0</v>
      </c>
      <c r="G271" s="3">
        <v>15172.0</v>
      </c>
      <c r="H271" s="3">
        <v>876117.0</v>
      </c>
      <c r="I271" s="3">
        <v>2521.0</v>
      </c>
    </row>
    <row r="272">
      <c r="A272" s="1" t="s">
        <v>39</v>
      </c>
      <c r="B272" s="1" t="s">
        <v>11</v>
      </c>
      <c r="C272" s="3">
        <v>1.0</v>
      </c>
      <c r="D272" s="1" t="s">
        <v>12</v>
      </c>
      <c r="E272" s="1" t="s">
        <v>13</v>
      </c>
      <c r="F272" s="3">
        <v>1.0</v>
      </c>
      <c r="G272" s="3">
        <v>172.0</v>
      </c>
      <c r="H272" s="3">
        <v>15946.0</v>
      </c>
      <c r="I272" s="3">
        <v>1084.0</v>
      </c>
    </row>
    <row r="273">
      <c r="A273" s="1" t="s">
        <v>39</v>
      </c>
      <c r="B273" s="1" t="s">
        <v>11</v>
      </c>
      <c r="C273" s="3">
        <v>0.0</v>
      </c>
      <c r="D273" s="1" t="s">
        <v>12</v>
      </c>
      <c r="E273" s="1" t="s">
        <v>13</v>
      </c>
      <c r="F273" s="3">
        <v>300.0</v>
      </c>
      <c r="G273" s="3">
        <v>15082.0</v>
      </c>
      <c r="H273" s="3">
        <v>876117.0</v>
      </c>
      <c r="I273" s="3">
        <v>2557.0</v>
      </c>
    </row>
    <row r="274">
      <c r="A274" s="1" t="s">
        <v>39</v>
      </c>
      <c r="B274" s="1" t="s">
        <v>11</v>
      </c>
      <c r="C274" s="3">
        <v>1.0</v>
      </c>
      <c r="D274" s="1" t="s">
        <v>14</v>
      </c>
      <c r="E274" s="1" t="s">
        <v>12</v>
      </c>
      <c r="F274" s="3">
        <v>1.0</v>
      </c>
      <c r="G274" s="3">
        <v>88.0</v>
      </c>
      <c r="H274" s="3">
        <v>7370.0</v>
      </c>
      <c r="I274" s="3">
        <v>438.0</v>
      </c>
    </row>
    <row r="275">
      <c r="A275" s="1" t="s">
        <v>39</v>
      </c>
      <c r="B275" s="1" t="s">
        <v>11</v>
      </c>
      <c r="C275" s="3">
        <v>0.0</v>
      </c>
      <c r="D275" s="1" t="s">
        <v>14</v>
      </c>
      <c r="E275" s="1" t="s">
        <v>12</v>
      </c>
      <c r="F275" s="3">
        <v>300.0</v>
      </c>
      <c r="G275" s="3">
        <v>9816.0</v>
      </c>
      <c r="H275" s="3">
        <v>488535.0</v>
      </c>
      <c r="I275" s="3">
        <v>1939.0</v>
      </c>
    </row>
    <row r="276">
      <c r="A276" s="1" t="s">
        <v>39</v>
      </c>
      <c r="B276" s="1" t="s">
        <v>11</v>
      </c>
      <c r="C276" s="3">
        <v>1.0</v>
      </c>
      <c r="D276" s="1" t="s">
        <v>14</v>
      </c>
      <c r="E276" s="1" t="s">
        <v>13</v>
      </c>
      <c r="F276" s="3">
        <v>1.0</v>
      </c>
      <c r="G276" s="3">
        <v>90.0</v>
      </c>
      <c r="H276" s="3">
        <v>7486.0</v>
      </c>
      <c r="I276" s="3">
        <v>470.0</v>
      </c>
    </row>
    <row r="277">
      <c r="A277" s="1" t="s">
        <v>39</v>
      </c>
      <c r="B277" s="1" t="s">
        <v>11</v>
      </c>
      <c r="C277" s="3">
        <v>0.0</v>
      </c>
      <c r="D277" s="1" t="s">
        <v>14</v>
      </c>
      <c r="E277" s="1" t="s">
        <v>13</v>
      </c>
      <c r="F277" s="3">
        <v>300.0</v>
      </c>
      <c r="G277" s="3">
        <v>9704.0</v>
      </c>
      <c r="H277" s="3">
        <v>488610.0</v>
      </c>
      <c r="I277" s="3">
        <v>2003.0</v>
      </c>
    </row>
    <row r="278">
      <c r="A278" s="1" t="s">
        <v>39</v>
      </c>
      <c r="B278" s="1" t="s">
        <v>15</v>
      </c>
      <c r="C278" s="3">
        <v>1.0</v>
      </c>
      <c r="D278" s="1" t="s">
        <v>12</v>
      </c>
      <c r="E278" s="1" t="s">
        <v>12</v>
      </c>
      <c r="F278" s="3">
        <v>1.0</v>
      </c>
      <c r="G278" s="3">
        <v>2224.0</v>
      </c>
      <c r="H278" s="3">
        <v>7302.0</v>
      </c>
      <c r="I278" s="3">
        <v>1440.0</v>
      </c>
    </row>
    <row r="279">
      <c r="A279" s="1" t="s">
        <v>39</v>
      </c>
      <c r="B279" s="1" t="s">
        <v>15</v>
      </c>
      <c r="C279" s="3">
        <v>0.0</v>
      </c>
      <c r="D279" s="1" t="s">
        <v>12</v>
      </c>
      <c r="E279" s="1" t="s">
        <v>12</v>
      </c>
      <c r="F279" s="3">
        <v>300.0</v>
      </c>
      <c r="G279" s="3">
        <v>123586.0</v>
      </c>
      <c r="H279" s="3">
        <v>424964.0</v>
      </c>
      <c r="I279" s="3">
        <v>7074.0</v>
      </c>
    </row>
    <row r="280">
      <c r="A280" s="1" t="s">
        <v>39</v>
      </c>
      <c r="B280" s="1" t="s">
        <v>15</v>
      </c>
      <c r="C280" s="3">
        <v>1.0</v>
      </c>
      <c r="D280" s="1" t="s">
        <v>12</v>
      </c>
      <c r="E280" s="1" t="s">
        <v>13</v>
      </c>
      <c r="F280" s="3">
        <v>1.0</v>
      </c>
      <c r="G280" s="3">
        <v>1958.0</v>
      </c>
      <c r="H280" s="3">
        <v>6376.0</v>
      </c>
      <c r="I280" s="3">
        <v>1279.0</v>
      </c>
    </row>
    <row r="281">
      <c r="A281" s="1" t="s">
        <v>39</v>
      </c>
      <c r="B281" s="1" t="s">
        <v>15</v>
      </c>
      <c r="C281" s="3">
        <v>0.0</v>
      </c>
      <c r="D281" s="1" t="s">
        <v>12</v>
      </c>
      <c r="E281" s="1" t="s">
        <v>13</v>
      </c>
      <c r="F281" s="3">
        <v>300.0</v>
      </c>
      <c r="G281" s="3">
        <v>94600.0</v>
      </c>
      <c r="H281" s="3">
        <v>320086.0</v>
      </c>
      <c r="I281" s="3">
        <v>6875.0</v>
      </c>
    </row>
    <row r="282">
      <c r="A282" s="1" t="s">
        <v>39</v>
      </c>
      <c r="B282" s="1" t="s">
        <v>15</v>
      </c>
      <c r="C282" s="3">
        <v>1.0</v>
      </c>
      <c r="D282" s="1" t="s">
        <v>14</v>
      </c>
      <c r="E282" s="1" t="s">
        <v>12</v>
      </c>
      <c r="F282" s="3">
        <v>1.0</v>
      </c>
      <c r="G282" s="3">
        <v>2216.0</v>
      </c>
      <c r="H282" s="3">
        <v>7063.0</v>
      </c>
      <c r="I282" s="3">
        <v>1476.0</v>
      </c>
    </row>
    <row r="283">
      <c r="A283" s="1" t="s">
        <v>39</v>
      </c>
      <c r="B283" s="1" t="s">
        <v>15</v>
      </c>
      <c r="C283" s="3">
        <v>0.0</v>
      </c>
      <c r="D283" s="1" t="s">
        <v>14</v>
      </c>
      <c r="E283" s="1" t="s">
        <v>12</v>
      </c>
      <c r="F283" s="3">
        <v>300.0</v>
      </c>
      <c r="G283" s="3">
        <v>110758.0</v>
      </c>
      <c r="H283" s="3">
        <v>363792.0</v>
      </c>
      <c r="I283" s="3">
        <v>6341.0</v>
      </c>
    </row>
    <row r="284">
      <c r="A284" s="1" t="s">
        <v>39</v>
      </c>
      <c r="B284" s="1" t="s">
        <v>15</v>
      </c>
      <c r="C284" s="3">
        <v>1.0</v>
      </c>
      <c r="D284" s="1" t="s">
        <v>14</v>
      </c>
      <c r="E284" s="1" t="s">
        <v>13</v>
      </c>
      <c r="F284" s="3">
        <v>1.0</v>
      </c>
      <c r="G284" s="3">
        <v>1958.0</v>
      </c>
      <c r="H284" s="3">
        <v>6278.0</v>
      </c>
      <c r="I284" s="3">
        <v>1451.0</v>
      </c>
    </row>
    <row r="285">
      <c r="A285" s="1" t="s">
        <v>39</v>
      </c>
      <c r="B285" s="1" t="s">
        <v>15</v>
      </c>
      <c r="C285" s="3">
        <v>0.0</v>
      </c>
      <c r="D285" s="1" t="s">
        <v>14</v>
      </c>
      <c r="E285" s="1" t="s">
        <v>13</v>
      </c>
      <c r="F285" s="3">
        <v>300.0</v>
      </c>
      <c r="G285" s="3">
        <v>94600.0</v>
      </c>
      <c r="H285" s="3">
        <v>315421.0</v>
      </c>
      <c r="I285" s="3">
        <v>6505.0</v>
      </c>
    </row>
    <row r="286">
      <c r="A286" s="1" t="s">
        <v>40</v>
      </c>
      <c r="B286" s="1" t="s">
        <v>11</v>
      </c>
      <c r="C286" s="3">
        <v>1.0</v>
      </c>
      <c r="D286" s="1" t="s">
        <v>12</v>
      </c>
      <c r="E286" s="1" t="s">
        <v>12</v>
      </c>
      <c r="F286" s="3">
        <v>1.0</v>
      </c>
      <c r="G286" s="3">
        <v>276.0</v>
      </c>
      <c r="H286" s="3">
        <v>80363.0</v>
      </c>
      <c r="I286" s="3">
        <v>1130.0</v>
      </c>
    </row>
    <row r="287">
      <c r="A287" s="1" t="s">
        <v>40</v>
      </c>
      <c r="B287" s="1" t="s">
        <v>11</v>
      </c>
      <c r="C287" s="3">
        <v>0.0</v>
      </c>
      <c r="D287" s="1" t="s">
        <v>12</v>
      </c>
      <c r="E287" s="1" t="s">
        <v>12</v>
      </c>
      <c r="F287" s="3">
        <v>10.0</v>
      </c>
      <c r="G287" s="3">
        <v>90058.0</v>
      </c>
      <c r="H287" s="3">
        <v>2.3030822E7</v>
      </c>
      <c r="I287" s="3">
        <v>80840.0</v>
      </c>
    </row>
    <row r="288">
      <c r="A288" s="1" t="s">
        <v>40</v>
      </c>
      <c r="B288" s="1" t="s">
        <v>11</v>
      </c>
      <c r="C288" s="3">
        <v>1.0</v>
      </c>
      <c r="D288" s="1" t="s">
        <v>12</v>
      </c>
      <c r="E288" s="1" t="s">
        <v>13</v>
      </c>
      <c r="F288" s="3">
        <v>1.0</v>
      </c>
      <c r="G288" s="3">
        <v>370.0</v>
      </c>
      <c r="H288" s="3">
        <v>94880.0</v>
      </c>
      <c r="I288" s="3">
        <v>1197.0</v>
      </c>
    </row>
    <row r="289">
      <c r="A289" s="1" t="s">
        <v>40</v>
      </c>
      <c r="B289" s="1" t="s">
        <v>11</v>
      </c>
      <c r="C289" s="3">
        <v>0.0</v>
      </c>
      <c r="D289" s="1" t="s">
        <v>12</v>
      </c>
      <c r="E289" s="1" t="s">
        <v>13</v>
      </c>
      <c r="F289" s="3">
        <v>10.0</v>
      </c>
      <c r="G289" s="3">
        <v>89454.0</v>
      </c>
      <c r="H289" s="3">
        <v>2.3030822E7</v>
      </c>
      <c r="I289" s="3">
        <v>85230.0</v>
      </c>
    </row>
    <row r="290">
      <c r="A290" s="1" t="s">
        <v>40</v>
      </c>
      <c r="B290" s="1" t="s">
        <v>11</v>
      </c>
      <c r="C290" s="3">
        <v>1.0</v>
      </c>
      <c r="D290" s="1" t="s">
        <v>14</v>
      </c>
      <c r="E290" s="1" t="s">
        <v>12</v>
      </c>
      <c r="F290" s="3">
        <v>1.0</v>
      </c>
      <c r="G290" s="3">
        <v>2960.0</v>
      </c>
      <c r="H290" s="3">
        <v>856730.0</v>
      </c>
      <c r="I290" s="3">
        <v>4403.0</v>
      </c>
    </row>
    <row r="291">
      <c r="A291" s="1" t="s">
        <v>40</v>
      </c>
      <c r="B291" s="1" t="s">
        <v>11</v>
      </c>
      <c r="C291" s="3">
        <v>0.0</v>
      </c>
      <c r="D291" s="1" t="s">
        <v>14</v>
      </c>
      <c r="E291" s="1" t="s">
        <v>12</v>
      </c>
      <c r="F291" s="3">
        <v>10.0</v>
      </c>
      <c r="G291" s="3">
        <v>16080.0</v>
      </c>
      <c r="H291" s="3">
        <v>4508606.0</v>
      </c>
      <c r="I291" s="3">
        <v>19964.0</v>
      </c>
    </row>
    <row r="292">
      <c r="A292" s="1" t="s">
        <v>40</v>
      </c>
      <c r="B292" s="1" t="s">
        <v>11</v>
      </c>
      <c r="C292" s="3">
        <v>1.0</v>
      </c>
      <c r="D292" s="1" t="s">
        <v>14</v>
      </c>
      <c r="E292" s="1" t="s">
        <v>13</v>
      </c>
      <c r="F292" s="3">
        <v>1.0</v>
      </c>
      <c r="G292" s="3">
        <v>2974.0</v>
      </c>
      <c r="H292" s="3">
        <v>870519.0</v>
      </c>
      <c r="I292" s="3">
        <v>5008.0</v>
      </c>
    </row>
    <row r="293">
      <c r="A293" s="1" t="s">
        <v>40</v>
      </c>
      <c r="B293" s="1" t="s">
        <v>11</v>
      </c>
      <c r="C293" s="3">
        <v>0.0</v>
      </c>
      <c r="D293" s="1" t="s">
        <v>14</v>
      </c>
      <c r="E293" s="1" t="s">
        <v>13</v>
      </c>
      <c r="F293" s="3">
        <v>10.0</v>
      </c>
      <c r="G293" s="3">
        <v>15790.0</v>
      </c>
      <c r="H293" s="3">
        <v>4493639.0</v>
      </c>
      <c r="I293" s="3">
        <v>20625.0</v>
      </c>
    </row>
    <row r="294">
      <c r="A294" s="1" t="s">
        <v>40</v>
      </c>
      <c r="B294" s="1" t="s">
        <v>15</v>
      </c>
      <c r="C294" s="3">
        <v>1.0</v>
      </c>
      <c r="D294" s="1" t="s">
        <v>12</v>
      </c>
      <c r="E294" s="1" t="s">
        <v>12</v>
      </c>
      <c r="F294" s="3">
        <v>1.0</v>
      </c>
      <c r="G294" s="3">
        <v>30204.0</v>
      </c>
      <c r="H294" s="3">
        <v>197318.0</v>
      </c>
      <c r="I294" s="3">
        <v>12924.0</v>
      </c>
    </row>
    <row r="295">
      <c r="A295" s="1" t="s">
        <v>40</v>
      </c>
      <c r="B295" s="1" t="s">
        <v>15</v>
      </c>
      <c r="C295" s="3">
        <v>0.0</v>
      </c>
      <c r="D295" s="1" t="s">
        <v>12</v>
      </c>
      <c r="E295" s="1" t="s">
        <v>12</v>
      </c>
      <c r="F295" s="3">
        <v>10.0</v>
      </c>
      <c r="G295" s="3">
        <v>6823174.0</v>
      </c>
      <c r="H295" s="3">
        <v>4.6865603E7</v>
      </c>
      <c r="I295" s="3">
        <v>2303079.0</v>
      </c>
    </row>
    <row r="296">
      <c r="A296" s="1" t="s">
        <v>40</v>
      </c>
      <c r="B296" s="1" t="s">
        <v>15</v>
      </c>
      <c r="C296" s="3">
        <v>1.0</v>
      </c>
      <c r="D296" s="1" t="s">
        <v>12</v>
      </c>
      <c r="E296" s="1" t="s">
        <v>13</v>
      </c>
      <c r="F296" s="3">
        <v>1.0</v>
      </c>
      <c r="G296" s="3">
        <v>22386.0</v>
      </c>
      <c r="H296" s="3">
        <v>147836.0</v>
      </c>
      <c r="I296" s="3">
        <v>13425.0</v>
      </c>
    </row>
    <row r="297">
      <c r="A297" s="1" t="s">
        <v>40</v>
      </c>
      <c r="B297" s="1" t="s">
        <v>15</v>
      </c>
      <c r="C297" s="3">
        <v>0.0</v>
      </c>
      <c r="D297" s="1" t="s">
        <v>12</v>
      </c>
      <c r="E297" s="1" t="s">
        <v>13</v>
      </c>
      <c r="F297" s="3">
        <v>10.0</v>
      </c>
      <c r="G297" s="3">
        <v>4617300.0</v>
      </c>
      <c r="H297" s="3">
        <v>3.1994768E7</v>
      </c>
      <c r="I297" s="3">
        <v>2277070.0</v>
      </c>
    </row>
    <row r="298">
      <c r="A298" s="1" t="s">
        <v>40</v>
      </c>
      <c r="B298" s="1" t="s">
        <v>15</v>
      </c>
      <c r="C298" s="3">
        <v>1.0</v>
      </c>
      <c r="D298" s="1" t="s">
        <v>14</v>
      </c>
      <c r="E298" s="1" t="s">
        <v>12</v>
      </c>
      <c r="F298" s="3">
        <v>1.0</v>
      </c>
      <c r="G298" s="3">
        <v>16024.0</v>
      </c>
      <c r="H298" s="3">
        <v>103366.0</v>
      </c>
      <c r="I298" s="3">
        <v>9990.0</v>
      </c>
    </row>
    <row r="299">
      <c r="A299" s="1" t="s">
        <v>40</v>
      </c>
      <c r="B299" s="1" t="s">
        <v>15</v>
      </c>
      <c r="C299" s="3">
        <v>0.0</v>
      </c>
      <c r="D299" s="1" t="s">
        <v>14</v>
      </c>
      <c r="E299" s="1" t="s">
        <v>12</v>
      </c>
      <c r="F299" s="3">
        <v>10.0</v>
      </c>
      <c r="G299" s="3">
        <v>3242478.0</v>
      </c>
      <c r="H299" s="3">
        <v>2.1976755E7</v>
      </c>
      <c r="I299" s="3">
        <v>1420400.0</v>
      </c>
    </row>
    <row r="300">
      <c r="A300" s="1" t="s">
        <v>40</v>
      </c>
      <c r="B300" s="1" t="s">
        <v>15</v>
      </c>
      <c r="C300" s="3">
        <v>1.0</v>
      </c>
      <c r="D300" s="1" t="s">
        <v>14</v>
      </c>
      <c r="E300" s="1" t="s">
        <v>13</v>
      </c>
      <c r="F300" s="3">
        <v>1.0</v>
      </c>
      <c r="G300" s="3">
        <v>16236.0</v>
      </c>
      <c r="H300" s="3">
        <v>104897.0</v>
      </c>
      <c r="I300" s="3">
        <v>11128.0</v>
      </c>
    </row>
    <row r="301">
      <c r="A301" s="1" t="s">
        <v>40</v>
      </c>
      <c r="B301" s="1" t="s">
        <v>15</v>
      </c>
      <c r="C301" s="3">
        <v>0.0</v>
      </c>
      <c r="D301" s="1" t="s">
        <v>14</v>
      </c>
      <c r="E301" s="1" t="s">
        <v>13</v>
      </c>
      <c r="F301" s="3">
        <v>10.0</v>
      </c>
      <c r="G301" s="3">
        <v>3307320.0</v>
      </c>
      <c r="H301" s="3">
        <v>2.2474278E7</v>
      </c>
      <c r="I301" s="3">
        <v>1615923.0</v>
      </c>
    </row>
    <row r="302">
      <c r="A302" s="1" t="s">
        <v>41</v>
      </c>
      <c r="B302" s="1" t="s">
        <v>11</v>
      </c>
      <c r="C302" s="3">
        <v>1.0</v>
      </c>
      <c r="D302" s="1" t="s">
        <v>12</v>
      </c>
      <c r="E302" s="1" t="s">
        <v>12</v>
      </c>
      <c r="F302" s="3">
        <v>1.0</v>
      </c>
      <c r="G302" s="3">
        <v>93.0</v>
      </c>
      <c r="H302" s="3">
        <v>23646.0</v>
      </c>
      <c r="I302" s="3">
        <v>678.0</v>
      </c>
    </row>
    <row r="303">
      <c r="A303" s="1" t="s">
        <v>41</v>
      </c>
      <c r="B303" s="1" t="s">
        <v>11</v>
      </c>
      <c r="C303" s="3">
        <v>0.0</v>
      </c>
      <c r="D303" s="1" t="s">
        <v>12</v>
      </c>
      <c r="E303" s="1" t="s">
        <v>12</v>
      </c>
      <c r="F303" s="3">
        <v>6.0</v>
      </c>
      <c r="G303" s="3">
        <v>18968.0</v>
      </c>
      <c r="H303" s="3">
        <v>4100997.0</v>
      </c>
      <c r="I303" s="3">
        <v>19615.0</v>
      </c>
    </row>
    <row r="304">
      <c r="A304" s="1" t="s">
        <v>41</v>
      </c>
      <c r="B304" s="1" t="s">
        <v>11</v>
      </c>
      <c r="C304" s="3">
        <v>1.0</v>
      </c>
      <c r="D304" s="1" t="s">
        <v>12</v>
      </c>
      <c r="E304" s="1" t="s">
        <v>13</v>
      </c>
      <c r="F304" s="3">
        <v>1.0</v>
      </c>
      <c r="G304" s="3">
        <v>69.0</v>
      </c>
      <c r="H304" s="3">
        <v>16479.0</v>
      </c>
      <c r="I304" s="3">
        <v>672.0</v>
      </c>
    </row>
    <row r="305">
      <c r="A305" s="1" t="s">
        <v>41</v>
      </c>
      <c r="B305" s="1" t="s">
        <v>11</v>
      </c>
      <c r="C305" s="3">
        <v>0.0</v>
      </c>
      <c r="D305" s="1" t="s">
        <v>12</v>
      </c>
      <c r="E305" s="1" t="s">
        <v>13</v>
      </c>
      <c r="F305" s="3">
        <v>6.0</v>
      </c>
      <c r="G305" s="3">
        <v>18758.0</v>
      </c>
      <c r="H305" s="3">
        <v>4100997.0</v>
      </c>
      <c r="I305" s="3">
        <v>18614.0</v>
      </c>
    </row>
    <row r="306">
      <c r="A306" s="1" t="s">
        <v>41</v>
      </c>
      <c r="B306" s="1" t="s">
        <v>11</v>
      </c>
      <c r="C306" s="3">
        <v>1.0</v>
      </c>
      <c r="D306" s="1" t="s">
        <v>14</v>
      </c>
      <c r="E306" s="1" t="s">
        <v>12</v>
      </c>
      <c r="F306" s="3">
        <v>1.0</v>
      </c>
      <c r="G306" s="3">
        <v>813.0</v>
      </c>
      <c r="H306" s="3">
        <v>224796.0</v>
      </c>
      <c r="I306" s="3">
        <v>2072.0</v>
      </c>
    </row>
    <row r="307">
      <c r="A307" s="1" t="s">
        <v>41</v>
      </c>
      <c r="B307" s="1" t="s">
        <v>11</v>
      </c>
      <c r="C307" s="3">
        <v>0.0</v>
      </c>
      <c r="D307" s="1" t="s">
        <v>14</v>
      </c>
      <c r="E307" s="1" t="s">
        <v>12</v>
      </c>
      <c r="F307" s="3">
        <v>6.0</v>
      </c>
      <c r="G307" s="3">
        <v>4162.0</v>
      </c>
      <c r="H307" s="3">
        <v>1089462.0</v>
      </c>
      <c r="I307" s="3">
        <v>5075.0</v>
      </c>
    </row>
    <row r="308">
      <c r="A308" s="1" t="s">
        <v>41</v>
      </c>
      <c r="B308" s="1" t="s">
        <v>11</v>
      </c>
      <c r="C308" s="3">
        <v>1.0</v>
      </c>
      <c r="D308" s="1" t="s">
        <v>14</v>
      </c>
      <c r="E308" s="1" t="s">
        <v>13</v>
      </c>
      <c r="F308" s="3">
        <v>1.0</v>
      </c>
      <c r="G308" s="3">
        <v>689.0</v>
      </c>
      <c r="H308" s="3">
        <v>197103.0</v>
      </c>
      <c r="I308" s="3">
        <v>1616.0</v>
      </c>
    </row>
    <row r="309">
      <c r="A309" s="1" t="s">
        <v>41</v>
      </c>
      <c r="B309" s="1" t="s">
        <v>11</v>
      </c>
      <c r="C309" s="3">
        <v>0.0</v>
      </c>
      <c r="D309" s="1" t="s">
        <v>14</v>
      </c>
      <c r="E309" s="1" t="s">
        <v>13</v>
      </c>
      <c r="F309" s="3">
        <v>6.0</v>
      </c>
      <c r="G309" s="3">
        <v>3996.0</v>
      </c>
      <c r="H309" s="3">
        <v>1082421.0</v>
      </c>
      <c r="I309" s="3">
        <v>5749.0</v>
      </c>
    </row>
    <row r="310">
      <c r="A310" s="1" t="s">
        <v>41</v>
      </c>
      <c r="B310" s="1" t="s">
        <v>15</v>
      </c>
      <c r="C310" s="3">
        <v>1.0</v>
      </c>
      <c r="D310" s="1" t="s">
        <v>12</v>
      </c>
      <c r="E310" s="1" t="s">
        <v>12</v>
      </c>
      <c r="F310" s="3">
        <v>1.0</v>
      </c>
      <c r="G310" s="3">
        <v>7045.0</v>
      </c>
      <c r="H310" s="3">
        <v>41709.0</v>
      </c>
      <c r="I310" s="3">
        <v>4857.0</v>
      </c>
    </row>
    <row r="311">
      <c r="A311" s="1" t="s">
        <v>41</v>
      </c>
      <c r="B311" s="1" t="s">
        <v>15</v>
      </c>
      <c r="C311" s="3">
        <v>0.0</v>
      </c>
      <c r="D311" s="1" t="s">
        <v>12</v>
      </c>
      <c r="E311" s="1" t="s">
        <v>12</v>
      </c>
      <c r="F311" s="3">
        <v>6.0</v>
      </c>
      <c r="G311" s="3">
        <v>1107350.0</v>
      </c>
      <c r="H311" s="3">
        <v>7113836.0</v>
      </c>
      <c r="I311" s="3">
        <v>363780.0</v>
      </c>
    </row>
    <row r="312">
      <c r="A312" s="1" t="s">
        <v>41</v>
      </c>
      <c r="B312" s="1" t="s">
        <v>15</v>
      </c>
      <c r="C312" s="3">
        <v>1.0</v>
      </c>
      <c r="D312" s="1" t="s">
        <v>12</v>
      </c>
      <c r="E312" s="1" t="s">
        <v>13</v>
      </c>
      <c r="F312" s="3">
        <v>1.0</v>
      </c>
      <c r="G312" s="3">
        <v>5405.0</v>
      </c>
      <c r="H312" s="3">
        <v>32379.0</v>
      </c>
      <c r="I312" s="3">
        <v>4306.0</v>
      </c>
    </row>
    <row r="313">
      <c r="A313" s="1" t="s">
        <v>41</v>
      </c>
      <c r="B313" s="1" t="s">
        <v>15</v>
      </c>
      <c r="C313" s="3">
        <v>0.0</v>
      </c>
      <c r="D313" s="1" t="s">
        <v>12</v>
      </c>
      <c r="E313" s="1" t="s">
        <v>13</v>
      </c>
      <c r="F313" s="3">
        <v>6.0</v>
      </c>
      <c r="G313" s="3">
        <v>773854.0</v>
      </c>
      <c r="H313" s="3">
        <v>5020994.0</v>
      </c>
      <c r="I313" s="3">
        <v>394226.0</v>
      </c>
    </row>
    <row r="314">
      <c r="A314" s="1" t="s">
        <v>41</v>
      </c>
      <c r="B314" s="1" t="s">
        <v>15</v>
      </c>
      <c r="C314" s="3">
        <v>1.0</v>
      </c>
      <c r="D314" s="1" t="s">
        <v>14</v>
      </c>
      <c r="E314" s="1" t="s">
        <v>12</v>
      </c>
      <c r="F314" s="3">
        <v>1.0</v>
      </c>
      <c r="G314" s="3">
        <v>4021.0</v>
      </c>
      <c r="H314" s="3">
        <v>23670.0</v>
      </c>
      <c r="I314" s="3">
        <v>3501.0</v>
      </c>
    </row>
    <row r="315">
      <c r="A315" s="1" t="s">
        <v>41</v>
      </c>
      <c r="B315" s="1" t="s">
        <v>15</v>
      </c>
      <c r="C315" s="3">
        <v>0.0</v>
      </c>
      <c r="D315" s="1" t="s">
        <v>14</v>
      </c>
      <c r="E315" s="1" t="s">
        <v>12</v>
      </c>
      <c r="F315" s="3">
        <v>6.0</v>
      </c>
      <c r="G315" s="3">
        <v>551606.0</v>
      </c>
      <c r="H315" s="3">
        <v>3497154.0</v>
      </c>
      <c r="I315" s="3">
        <v>259528.0</v>
      </c>
    </row>
    <row r="316">
      <c r="A316" s="1" t="s">
        <v>41</v>
      </c>
      <c r="B316" s="1" t="s">
        <v>15</v>
      </c>
      <c r="C316" s="3">
        <v>1.0</v>
      </c>
      <c r="D316" s="1" t="s">
        <v>14</v>
      </c>
      <c r="E316" s="1" t="s">
        <v>13</v>
      </c>
      <c r="F316" s="3">
        <v>1.0</v>
      </c>
      <c r="G316" s="3">
        <v>4003.0</v>
      </c>
      <c r="H316" s="3">
        <v>23639.0</v>
      </c>
      <c r="I316" s="3">
        <v>3596.0</v>
      </c>
    </row>
    <row r="317">
      <c r="A317" s="1" t="s">
        <v>41</v>
      </c>
      <c r="B317" s="1" t="s">
        <v>15</v>
      </c>
      <c r="C317" s="3">
        <v>0.0</v>
      </c>
      <c r="D317" s="1" t="s">
        <v>14</v>
      </c>
      <c r="E317" s="1" t="s">
        <v>13</v>
      </c>
      <c r="F317" s="3">
        <v>6.0</v>
      </c>
      <c r="G317" s="3">
        <v>558822.0</v>
      </c>
      <c r="H317" s="3">
        <v>3556320.0</v>
      </c>
      <c r="I317" s="3">
        <v>282094.0</v>
      </c>
    </row>
    <row r="318">
      <c r="A318" s="1" t="s">
        <v>42</v>
      </c>
      <c r="B318" s="1" t="s">
        <v>11</v>
      </c>
      <c r="C318" s="3">
        <v>1.0</v>
      </c>
      <c r="D318" s="1" t="s">
        <v>12</v>
      </c>
      <c r="E318" s="1" t="s">
        <v>12</v>
      </c>
      <c r="F318" s="3">
        <v>1.0</v>
      </c>
      <c r="G318" s="3">
        <v>81.0</v>
      </c>
      <c r="H318" s="3">
        <v>10488.0</v>
      </c>
      <c r="I318" s="3">
        <v>532.0</v>
      </c>
    </row>
    <row r="319">
      <c r="A319" s="1" t="s">
        <v>42</v>
      </c>
      <c r="B319" s="1" t="s">
        <v>11</v>
      </c>
      <c r="C319" s="3">
        <v>1.0</v>
      </c>
      <c r="D319" s="1" t="s">
        <v>12</v>
      </c>
      <c r="E319" s="1" t="s">
        <v>13</v>
      </c>
      <c r="F319" s="3">
        <v>1.0</v>
      </c>
      <c r="G319" s="3">
        <v>81.0</v>
      </c>
      <c r="H319" s="3">
        <v>10488.0</v>
      </c>
      <c r="I319" s="3">
        <v>496.0</v>
      </c>
    </row>
    <row r="320">
      <c r="A320" s="1" t="s">
        <v>42</v>
      </c>
      <c r="B320" s="1" t="s">
        <v>11</v>
      </c>
      <c r="C320" s="3">
        <v>1.0</v>
      </c>
      <c r="D320" s="1" t="s">
        <v>14</v>
      </c>
      <c r="E320" s="1" t="s">
        <v>12</v>
      </c>
      <c r="F320" s="3">
        <v>1.0</v>
      </c>
      <c r="G320" s="3">
        <v>81.0</v>
      </c>
      <c r="H320" s="3">
        <v>10488.0</v>
      </c>
      <c r="I320" s="3">
        <v>678.0</v>
      </c>
    </row>
    <row r="321">
      <c r="A321" s="1" t="s">
        <v>42</v>
      </c>
      <c r="B321" s="1" t="s">
        <v>11</v>
      </c>
      <c r="C321" s="3">
        <v>1.0</v>
      </c>
      <c r="D321" s="1" t="s">
        <v>14</v>
      </c>
      <c r="E321" s="1" t="s">
        <v>13</v>
      </c>
      <c r="F321" s="3">
        <v>1.0</v>
      </c>
      <c r="G321" s="3">
        <v>81.0</v>
      </c>
      <c r="H321" s="3">
        <v>10488.0</v>
      </c>
      <c r="I321" s="3">
        <v>547.0</v>
      </c>
    </row>
    <row r="322">
      <c r="A322" s="1" t="s">
        <v>42</v>
      </c>
      <c r="B322" s="1" t="s">
        <v>15</v>
      </c>
      <c r="C322" s="3">
        <v>1.0</v>
      </c>
      <c r="D322" s="1" t="s">
        <v>12</v>
      </c>
      <c r="E322" s="1" t="s">
        <v>12</v>
      </c>
      <c r="F322" s="3">
        <v>1.0</v>
      </c>
      <c r="G322" s="3">
        <v>295.0</v>
      </c>
      <c r="H322" s="3">
        <v>8783.0</v>
      </c>
      <c r="I322" s="3">
        <v>697.0</v>
      </c>
    </row>
    <row r="323">
      <c r="A323" s="1" t="s">
        <v>42</v>
      </c>
      <c r="B323" s="1" t="s">
        <v>15</v>
      </c>
      <c r="C323" s="3">
        <v>1.0</v>
      </c>
      <c r="D323" s="1" t="s">
        <v>12</v>
      </c>
      <c r="E323" s="1" t="s">
        <v>13</v>
      </c>
      <c r="F323" s="3">
        <v>1.0</v>
      </c>
      <c r="G323" s="3">
        <v>267.0</v>
      </c>
      <c r="H323" s="3">
        <v>7638.0</v>
      </c>
      <c r="I323" s="3">
        <v>819.0</v>
      </c>
    </row>
    <row r="324">
      <c r="A324" s="1" t="s">
        <v>42</v>
      </c>
      <c r="B324" s="1" t="s">
        <v>15</v>
      </c>
      <c r="C324" s="3">
        <v>1.0</v>
      </c>
      <c r="D324" s="1" t="s">
        <v>14</v>
      </c>
      <c r="E324" s="1" t="s">
        <v>12</v>
      </c>
      <c r="F324" s="3">
        <v>1.0</v>
      </c>
      <c r="G324" s="3">
        <v>81.0</v>
      </c>
      <c r="H324" s="3">
        <v>3240.0</v>
      </c>
      <c r="I324" s="3">
        <v>528.0</v>
      </c>
    </row>
    <row r="325">
      <c r="A325" s="1" t="s">
        <v>42</v>
      </c>
      <c r="B325" s="1" t="s">
        <v>15</v>
      </c>
      <c r="C325" s="3">
        <v>1.0</v>
      </c>
      <c r="D325" s="1" t="s">
        <v>14</v>
      </c>
      <c r="E325" s="1" t="s">
        <v>13</v>
      </c>
      <c r="F325" s="3">
        <v>1.0</v>
      </c>
      <c r="G325" s="3">
        <v>81.0</v>
      </c>
      <c r="H325" s="3">
        <v>3240.0</v>
      </c>
      <c r="I325" s="3">
        <v>537.0</v>
      </c>
    </row>
    <row r="326">
      <c r="A326" s="1"/>
      <c r="B326" s="1"/>
      <c r="C326" s="3"/>
      <c r="D326" s="1"/>
      <c r="E326" s="1"/>
      <c r="F326" s="3"/>
      <c r="G326" s="3"/>
      <c r="H326" s="3"/>
      <c r="I326" s="3"/>
    </row>
    <row r="327">
      <c r="A327" s="1"/>
      <c r="B327" s="1"/>
      <c r="C327" s="3"/>
      <c r="D327" s="1"/>
      <c r="E327" s="1"/>
      <c r="F327" s="3"/>
      <c r="G327" s="3"/>
      <c r="H327" s="3"/>
      <c r="I327" s="3"/>
    </row>
    <row r="328">
      <c r="A328" s="1"/>
      <c r="B328" s="1"/>
      <c r="C328" s="3"/>
      <c r="D328" s="1"/>
      <c r="E328" s="1"/>
      <c r="F328" s="3"/>
      <c r="G328" s="3"/>
      <c r="H328" s="3"/>
      <c r="I328" s="3"/>
    </row>
    <row r="329">
      <c r="A329" s="1"/>
      <c r="B329" s="1"/>
      <c r="C329" s="3"/>
      <c r="D329" s="1"/>
      <c r="E329" s="1"/>
      <c r="F329" s="3"/>
      <c r="G329" s="3"/>
      <c r="H329" s="3"/>
      <c r="I329" s="3"/>
    </row>
    <row r="330">
      <c r="A330" s="1"/>
      <c r="B330" s="1"/>
      <c r="C330" s="3"/>
      <c r="D330" s="1"/>
      <c r="E330" s="1"/>
      <c r="F330" s="3"/>
      <c r="G330" s="3"/>
      <c r="H330" s="3"/>
      <c r="I330" s="3"/>
    </row>
    <row r="331">
      <c r="A331" s="1"/>
      <c r="B331" s="1"/>
      <c r="C331" s="3"/>
      <c r="D331" s="1"/>
      <c r="E331" s="1"/>
      <c r="F331" s="3"/>
      <c r="G331" s="3"/>
      <c r="H331" s="3"/>
      <c r="I33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25"/>
  </cols>
  <sheetData>
    <row r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tr">
        <f>IFERROR(__xludf.DUMMYFUNCTION("FILTER(Data!A:I, Data!D:D=""SMALLEST_DOMAIN"", Data!E:E=""ASCENDING"", Data!C:C=1, Data!B:B=""MAC"")"),"10Queens.csp")</f>
        <v>10Queens.csp</v>
      </c>
      <c r="B2" s="1" t="str">
        <f>IFERROR(__xludf.DUMMYFUNCTION("""COMPUTED_VALUE"""),"MAC")</f>
        <v>MAC</v>
      </c>
      <c r="C2" s="3">
        <f>IFERROR(__xludf.DUMMYFUNCTION("""COMPUTED_VALUE"""),1.0)</f>
        <v>1</v>
      </c>
      <c r="D2" s="1" t="str">
        <f>IFERROR(__xludf.DUMMYFUNCTION("""COMPUTED_VALUE"""),"SMALLEST_DOMAIN")</f>
        <v>SMALLEST_DOMAIN</v>
      </c>
      <c r="E2" s="1" t="str">
        <f>IFERROR(__xludf.DUMMYFUNCTION("""COMPUTED_VALUE"""),"ASCENDING")</f>
        <v>ASCENDING</v>
      </c>
      <c r="F2" s="3">
        <f>IFERROR(__xludf.DUMMYFUNCTION("""COMPUTED_VALUE"""),1.0)</f>
        <v>1</v>
      </c>
      <c r="G2" s="3">
        <f>IFERROR(__xludf.DUMMYFUNCTION("""COMPUTED_VALUE"""),22.0)</f>
        <v>22</v>
      </c>
      <c r="H2" s="3">
        <f>IFERROR(__xludf.DUMMYFUNCTION("""COMPUTED_VALUE"""),929.0)</f>
        <v>929</v>
      </c>
      <c r="I2" s="3">
        <f>IFERROR(__xludf.DUMMYFUNCTION("""COMPUTED_VALUE"""),115.0)</f>
        <v>115</v>
      </c>
    </row>
    <row r="3">
      <c r="A3" s="1" t="str">
        <f>IFERROR(__xludf.DUMMYFUNCTION("""COMPUTED_VALUE"""),"11Queens.csp")</f>
        <v>11Queens.csp</v>
      </c>
      <c r="B3" s="1" t="str">
        <f>IFERROR(__xludf.DUMMYFUNCTION("""COMPUTED_VALUE"""),"MAC")</f>
        <v>MAC</v>
      </c>
      <c r="C3" s="3">
        <f>IFERROR(__xludf.DUMMYFUNCTION("""COMPUTED_VALUE"""),1.0)</f>
        <v>1</v>
      </c>
      <c r="D3" s="1" t="str">
        <f>IFERROR(__xludf.DUMMYFUNCTION("""COMPUTED_VALUE"""),"SMALLEST_DOMAIN")</f>
        <v>SMALLEST_DOMAIN</v>
      </c>
      <c r="E3" s="1" t="str">
        <f>IFERROR(__xludf.DUMMYFUNCTION("""COMPUTED_VALUE"""),"ASCENDING")</f>
        <v>ASCENDING</v>
      </c>
      <c r="F3" s="3">
        <f>IFERROR(__xludf.DUMMYFUNCTION("""COMPUTED_VALUE"""),1.0)</f>
        <v>1</v>
      </c>
      <c r="G3" s="3">
        <f>IFERROR(__xludf.DUMMYFUNCTION("""COMPUTED_VALUE"""),33.0)</f>
        <v>33</v>
      </c>
      <c r="H3" s="3">
        <f>IFERROR(__xludf.DUMMYFUNCTION("""COMPUTED_VALUE"""),1791.0)</f>
        <v>1791</v>
      </c>
      <c r="I3" s="3">
        <f>IFERROR(__xludf.DUMMYFUNCTION("""COMPUTED_VALUE"""),270.0)</f>
        <v>270</v>
      </c>
    </row>
    <row r="4">
      <c r="A4" s="1" t="str">
        <f>IFERROR(__xludf.DUMMYFUNCTION("""COMPUTED_VALUE"""),"12Queens.csp")</f>
        <v>12Queens.csp</v>
      </c>
      <c r="B4" s="1" t="str">
        <f>IFERROR(__xludf.DUMMYFUNCTION("""COMPUTED_VALUE"""),"MAC")</f>
        <v>MAC</v>
      </c>
      <c r="C4" s="3">
        <f>IFERROR(__xludf.DUMMYFUNCTION("""COMPUTED_VALUE"""),1.0)</f>
        <v>1</v>
      </c>
      <c r="D4" s="1" t="str">
        <f>IFERROR(__xludf.DUMMYFUNCTION("""COMPUTED_VALUE"""),"SMALLEST_DOMAIN")</f>
        <v>SMALLEST_DOMAIN</v>
      </c>
      <c r="E4" s="1" t="str">
        <f>IFERROR(__xludf.DUMMYFUNCTION("""COMPUTED_VALUE"""),"ASCENDING")</f>
        <v>ASCENDING</v>
      </c>
      <c r="F4" s="3">
        <f>IFERROR(__xludf.DUMMYFUNCTION("""COMPUTED_VALUE"""),1.0)</f>
        <v>1</v>
      </c>
      <c r="G4" s="3">
        <f>IFERROR(__xludf.DUMMYFUNCTION("""COMPUTED_VALUE"""),72.0)</f>
        <v>72</v>
      </c>
      <c r="H4" s="3">
        <f>IFERROR(__xludf.DUMMYFUNCTION("""COMPUTED_VALUE"""),4086.0)</f>
        <v>4086</v>
      </c>
      <c r="I4" s="3">
        <f>IFERROR(__xludf.DUMMYFUNCTION("""COMPUTED_VALUE"""),752.0)</f>
        <v>752</v>
      </c>
    </row>
    <row r="5">
      <c r="A5" s="1" t="str">
        <f>IFERROR(__xludf.DUMMYFUNCTION("""COMPUTED_VALUE"""),"13Queens.csp")</f>
        <v>13Queens.csp</v>
      </c>
      <c r="B5" s="1" t="str">
        <f>IFERROR(__xludf.DUMMYFUNCTION("""COMPUTED_VALUE"""),"MAC")</f>
        <v>MAC</v>
      </c>
      <c r="C5" s="3">
        <f>IFERROR(__xludf.DUMMYFUNCTION("""COMPUTED_VALUE"""),1.0)</f>
        <v>1</v>
      </c>
      <c r="D5" s="1" t="str">
        <f>IFERROR(__xludf.DUMMYFUNCTION("""COMPUTED_VALUE"""),"SMALLEST_DOMAIN")</f>
        <v>SMALLEST_DOMAIN</v>
      </c>
      <c r="E5" s="1" t="str">
        <f>IFERROR(__xludf.DUMMYFUNCTION("""COMPUTED_VALUE"""),"ASCENDING")</f>
        <v>ASCENDING</v>
      </c>
      <c r="F5" s="3">
        <f>IFERROR(__xludf.DUMMYFUNCTION("""COMPUTED_VALUE"""),1.0)</f>
        <v>1</v>
      </c>
      <c r="G5" s="3">
        <f>IFERROR(__xludf.DUMMYFUNCTION("""COMPUTED_VALUE"""),89.0)</f>
        <v>89</v>
      </c>
      <c r="H5" s="3">
        <f>IFERROR(__xludf.DUMMYFUNCTION("""COMPUTED_VALUE"""),5798.0)</f>
        <v>5798</v>
      </c>
      <c r="I5" s="3">
        <f>IFERROR(__xludf.DUMMYFUNCTION("""COMPUTED_VALUE"""),596.0)</f>
        <v>596</v>
      </c>
    </row>
    <row r="6">
      <c r="A6" s="1" t="str">
        <f>IFERROR(__xludf.DUMMYFUNCTION("""COMPUTED_VALUE"""),"14Queens.csp")</f>
        <v>14Queens.csp</v>
      </c>
      <c r="B6" s="1" t="str">
        <f>IFERROR(__xludf.DUMMYFUNCTION("""COMPUTED_VALUE"""),"MAC")</f>
        <v>MAC</v>
      </c>
      <c r="C6" s="3">
        <f>IFERROR(__xludf.DUMMYFUNCTION("""COMPUTED_VALUE"""),1.0)</f>
        <v>1</v>
      </c>
      <c r="D6" s="1" t="str">
        <f>IFERROR(__xludf.DUMMYFUNCTION("""COMPUTED_VALUE"""),"SMALLEST_DOMAIN")</f>
        <v>SMALLEST_DOMAIN</v>
      </c>
      <c r="E6" s="1" t="str">
        <f>IFERROR(__xludf.DUMMYFUNCTION("""COMPUTED_VALUE"""),"ASCENDING")</f>
        <v>ASCENDING</v>
      </c>
      <c r="F6" s="3">
        <f>IFERROR(__xludf.DUMMYFUNCTION("""COMPUTED_VALUE"""),1.0)</f>
        <v>1</v>
      </c>
      <c r="G6" s="3">
        <f>IFERROR(__xludf.DUMMYFUNCTION("""COMPUTED_VALUE"""),50.0)</f>
        <v>50</v>
      </c>
      <c r="H6" s="3">
        <f>IFERROR(__xludf.DUMMYFUNCTION("""COMPUTED_VALUE"""),4252.0)</f>
        <v>4252</v>
      </c>
      <c r="I6" s="3">
        <f>IFERROR(__xludf.DUMMYFUNCTION("""COMPUTED_VALUE"""),740.0)</f>
        <v>740</v>
      </c>
    </row>
    <row r="7">
      <c r="A7" s="1" t="str">
        <f>IFERROR(__xludf.DUMMYFUNCTION("""COMPUTED_VALUE"""),"15Queens.csp")</f>
        <v>15Queens.csp</v>
      </c>
      <c r="B7" s="1" t="str">
        <f>IFERROR(__xludf.DUMMYFUNCTION("""COMPUTED_VALUE"""),"MAC")</f>
        <v>MAC</v>
      </c>
      <c r="C7" s="3">
        <f>IFERROR(__xludf.DUMMYFUNCTION("""COMPUTED_VALUE"""),1.0)</f>
        <v>1</v>
      </c>
      <c r="D7" s="1" t="str">
        <f>IFERROR(__xludf.DUMMYFUNCTION("""COMPUTED_VALUE"""),"SMALLEST_DOMAIN")</f>
        <v>SMALLEST_DOMAIN</v>
      </c>
      <c r="E7" s="1" t="str">
        <f>IFERROR(__xludf.DUMMYFUNCTION("""COMPUTED_VALUE"""),"ASCENDING")</f>
        <v>ASCENDING</v>
      </c>
      <c r="F7" s="3">
        <f>IFERROR(__xludf.DUMMYFUNCTION("""COMPUTED_VALUE"""),1.0)</f>
        <v>1</v>
      </c>
      <c r="G7" s="3">
        <f>IFERROR(__xludf.DUMMYFUNCTION("""COMPUTED_VALUE"""),17.0)</f>
        <v>17</v>
      </c>
      <c r="H7" s="3">
        <f>IFERROR(__xludf.DUMMYFUNCTION("""COMPUTED_VALUE"""),1873.0)</f>
        <v>1873</v>
      </c>
      <c r="I7" s="3">
        <f>IFERROR(__xludf.DUMMYFUNCTION("""COMPUTED_VALUE"""),430.0)</f>
        <v>430</v>
      </c>
    </row>
    <row r="8">
      <c r="A8" s="1" t="str">
        <f>IFERROR(__xludf.DUMMYFUNCTION("""COMPUTED_VALUE"""),"16Queens.csp")</f>
        <v>16Queens.csp</v>
      </c>
      <c r="B8" s="1" t="str">
        <f>IFERROR(__xludf.DUMMYFUNCTION("""COMPUTED_VALUE"""),"MAC")</f>
        <v>MAC</v>
      </c>
      <c r="C8" s="3">
        <f>IFERROR(__xludf.DUMMYFUNCTION("""COMPUTED_VALUE"""),1.0)</f>
        <v>1</v>
      </c>
      <c r="D8" s="1" t="str">
        <f>IFERROR(__xludf.DUMMYFUNCTION("""COMPUTED_VALUE"""),"SMALLEST_DOMAIN")</f>
        <v>SMALLEST_DOMAIN</v>
      </c>
      <c r="E8" s="1" t="str">
        <f>IFERROR(__xludf.DUMMYFUNCTION("""COMPUTED_VALUE"""),"ASCENDING")</f>
        <v>ASCENDING</v>
      </c>
      <c r="F8" s="3">
        <f>IFERROR(__xludf.DUMMYFUNCTION("""COMPUTED_VALUE"""),1.0)</f>
        <v>1</v>
      </c>
      <c r="G8" s="3">
        <f>IFERROR(__xludf.DUMMYFUNCTION("""COMPUTED_VALUE"""),24.0)</f>
        <v>24</v>
      </c>
      <c r="H8" s="3">
        <f>IFERROR(__xludf.DUMMYFUNCTION("""COMPUTED_VALUE"""),2666.0)</f>
        <v>2666</v>
      </c>
      <c r="I8" s="3">
        <f>IFERROR(__xludf.DUMMYFUNCTION("""COMPUTED_VALUE"""),403.0)</f>
        <v>403</v>
      </c>
    </row>
    <row r="9">
      <c r="A9" s="1" t="str">
        <f>IFERROR(__xludf.DUMMYFUNCTION("""COMPUTED_VALUE"""),"17Queens.csp")</f>
        <v>17Queens.csp</v>
      </c>
      <c r="B9" s="1" t="str">
        <f>IFERROR(__xludf.DUMMYFUNCTION("""COMPUTED_VALUE"""),"MAC")</f>
        <v>MAC</v>
      </c>
      <c r="C9" s="3">
        <f>IFERROR(__xludf.DUMMYFUNCTION("""COMPUTED_VALUE"""),1.0)</f>
        <v>1</v>
      </c>
      <c r="D9" s="1" t="str">
        <f>IFERROR(__xludf.DUMMYFUNCTION("""COMPUTED_VALUE"""),"SMALLEST_DOMAIN")</f>
        <v>SMALLEST_DOMAIN</v>
      </c>
      <c r="E9" s="1" t="str">
        <f>IFERROR(__xludf.DUMMYFUNCTION("""COMPUTED_VALUE"""),"ASCENDING")</f>
        <v>ASCENDING</v>
      </c>
      <c r="F9" s="3">
        <f>IFERROR(__xludf.DUMMYFUNCTION("""COMPUTED_VALUE"""),1.0)</f>
        <v>1</v>
      </c>
      <c r="G9" s="3">
        <f>IFERROR(__xludf.DUMMYFUNCTION("""COMPUTED_VALUE"""),27.0)</f>
        <v>27</v>
      </c>
      <c r="H9" s="3">
        <f>IFERROR(__xludf.DUMMYFUNCTION("""COMPUTED_VALUE"""),3884.0)</f>
        <v>3884</v>
      </c>
      <c r="I9" s="3">
        <f>IFERROR(__xludf.DUMMYFUNCTION("""COMPUTED_VALUE"""),430.0)</f>
        <v>430</v>
      </c>
    </row>
    <row r="10">
      <c r="A10" s="1" t="str">
        <f>IFERROR(__xludf.DUMMYFUNCTION("""COMPUTED_VALUE"""),"186Sudoku.csp")</f>
        <v>186Sudoku.csp</v>
      </c>
      <c r="B10" s="1" t="str">
        <f>IFERROR(__xludf.DUMMYFUNCTION("""COMPUTED_VALUE"""),"MAC")</f>
        <v>MAC</v>
      </c>
      <c r="C10" s="3">
        <f>IFERROR(__xludf.DUMMYFUNCTION("""COMPUTED_VALUE"""),1.0)</f>
        <v>1</v>
      </c>
      <c r="D10" s="1" t="str">
        <f>IFERROR(__xludf.DUMMYFUNCTION("""COMPUTED_VALUE"""),"SMALLEST_DOMAIN")</f>
        <v>SMALLEST_DOMAIN</v>
      </c>
      <c r="E10" s="1" t="str">
        <f>IFERROR(__xludf.DUMMYFUNCTION("""COMPUTED_VALUE"""),"ASCENDING")</f>
        <v>ASCENDING</v>
      </c>
      <c r="F10" s="3">
        <f>IFERROR(__xludf.DUMMYFUNCTION("""COMPUTED_VALUE"""),1.0)</f>
        <v>1</v>
      </c>
      <c r="G10" s="3">
        <f>IFERROR(__xludf.DUMMYFUNCTION("""COMPUTED_VALUE"""),81.0)</f>
        <v>81</v>
      </c>
      <c r="H10" s="3">
        <f>IFERROR(__xludf.DUMMYFUNCTION("""COMPUTED_VALUE"""),10126.0)</f>
        <v>10126</v>
      </c>
      <c r="I10" s="3">
        <f>IFERROR(__xludf.DUMMYFUNCTION("""COMPUTED_VALUE"""),713.0)</f>
        <v>713</v>
      </c>
    </row>
    <row r="11">
      <c r="A11" s="1" t="str">
        <f>IFERROR(__xludf.DUMMYFUNCTION("""COMPUTED_VALUE"""),"18Queens.csp")</f>
        <v>18Queens.csp</v>
      </c>
      <c r="B11" s="1" t="str">
        <f>IFERROR(__xludf.DUMMYFUNCTION("""COMPUTED_VALUE"""),"MAC")</f>
        <v>MAC</v>
      </c>
      <c r="C11" s="3">
        <f>IFERROR(__xludf.DUMMYFUNCTION("""COMPUTED_VALUE"""),1.0)</f>
        <v>1</v>
      </c>
      <c r="D11" s="1" t="str">
        <f>IFERROR(__xludf.DUMMYFUNCTION("""COMPUTED_VALUE"""),"SMALLEST_DOMAIN")</f>
        <v>SMALLEST_DOMAIN</v>
      </c>
      <c r="E11" s="1" t="str">
        <f>IFERROR(__xludf.DUMMYFUNCTION("""COMPUTED_VALUE"""),"ASCENDING")</f>
        <v>ASCENDING</v>
      </c>
      <c r="F11" s="3">
        <f>IFERROR(__xludf.DUMMYFUNCTION("""COMPUTED_VALUE"""),1.0)</f>
        <v>1</v>
      </c>
      <c r="G11" s="3">
        <f>IFERROR(__xludf.DUMMYFUNCTION("""COMPUTED_VALUE"""),46.0)</f>
        <v>46</v>
      </c>
      <c r="H11" s="3">
        <f>IFERROR(__xludf.DUMMYFUNCTION("""COMPUTED_VALUE"""),5816.0)</f>
        <v>5816</v>
      </c>
      <c r="I11" s="3">
        <f>IFERROR(__xludf.DUMMYFUNCTION("""COMPUTED_VALUE"""),668.0)</f>
        <v>668</v>
      </c>
    </row>
    <row r="12">
      <c r="A12" s="1" t="str">
        <f>IFERROR(__xludf.DUMMYFUNCTION("""COMPUTED_VALUE"""),"198Sudoku.csp")</f>
        <v>198Sudoku.csp</v>
      </c>
      <c r="B12" s="1" t="str">
        <f>IFERROR(__xludf.DUMMYFUNCTION("""COMPUTED_VALUE"""),"MAC")</f>
        <v>MAC</v>
      </c>
      <c r="C12" s="3">
        <f>IFERROR(__xludf.DUMMYFUNCTION("""COMPUTED_VALUE"""),1.0)</f>
        <v>1</v>
      </c>
      <c r="D12" s="1" t="str">
        <f>IFERROR(__xludf.DUMMYFUNCTION("""COMPUTED_VALUE"""),"SMALLEST_DOMAIN")</f>
        <v>SMALLEST_DOMAIN</v>
      </c>
      <c r="E12" s="1" t="str">
        <f>IFERROR(__xludf.DUMMYFUNCTION("""COMPUTED_VALUE"""),"ASCENDING")</f>
        <v>ASCENDING</v>
      </c>
      <c r="F12" s="3">
        <f>IFERROR(__xludf.DUMMYFUNCTION("""COMPUTED_VALUE"""),1.0)</f>
        <v>1</v>
      </c>
      <c r="G12" s="3">
        <f>IFERROR(__xludf.DUMMYFUNCTION("""COMPUTED_VALUE"""),83.0)</f>
        <v>83</v>
      </c>
      <c r="H12" s="3">
        <f>IFERROR(__xludf.DUMMYFUNCTION("""COMPUTED_VALUE"""),12253.0)</f>
        <v>12253</v>
      </c>
      <c r="I12" s="3">
        <f>IFERROR(__xludf.DUMMYFUNCTION("""COMPUTED_VALUE"""),744.0)</f>
        <v>744</v>
      </c>
    </row>
    <row r="13">
      <c r="A13" s="1" t="str">
        <f>IFERROR(__xludf.DUMMYFUNCTION("""COMPUTED_VALUE"""),"435Sudoku.csp")</f>
        <v>435Sudoku.csp</v>
      </c>
      <c r="B13" s="1" t="str">
        <f>IFERROR(__xludf.DUMMYFUNCTION("""COMPUTED_VALUE"""),"MAC")</f>
        <v>MAC</v>
      </c>
      <c r="C13" s="3">
        <f>IFERROR(__xludf.DUMMYFUNCTION("""COMPUTED_VALUE"""),1.0)</f>
        <v>1</v>
      </c>
      <c r="D13" s="1" t="str">
        <f>IFERROR(__xludf.DUMMYFUNCTION("""COMPUTED_VALUE"""),"SMALLEST_DOMAIN")</f>
        <v>SMALLEST_DOMAIN</v>
      </c>
      <c r="E13" s="1" t="str">
        <f>IFERROR(__xludf.DUMMYFUNCTION("""COMPUTED_VALUE"""),"ASCENDING")</f>
        <v>ASCENDING</v>
      </c>
      <c r="F13" s="3">
        <f>IFERROR(__xludf.DUMMYFUNCTION("""COMPUTED_VALUE"""),1.0)</f>
        <v>1</v>
      </c>
      <c r="G13" s="3">
        <f>IFERROR(__xludf.DUMMYFUNCTION("""COMPUTED_VALUE"""),81.0)</f>
        <v>81</v>
      </c>
      <c r="H13" s="3">
        <f>IFERROR(__xludf.DUMMYFUNCTION("""COMPUTED_VALUE"""),10127.0)</f>
        <v>10127</v>
      </c>
      <c r="I13" s="3">
        <f>IFERROR(__xludf.DUMMYFUNCTION("""COMPUTED_VALUE"""),514.0)</f>
        <v>514</v>
      </c>
    </row>
    <row r="14">
      <c r="A14" s="1" t="str">
        <f>IFERROR(__xludf.DUMMYFUNCTION("""COMPUTED_VALUE"""),"489Sudoku.csp")</f>
        <v>489Sudoku.csp</v>
      </c>
      <c r="B14" s="1" t="str">
        <f>IFERROR(__xludf.DUMMYFUNCTION("""COMPUTED_VALUE"""),"MAC")</f>
        <v>MAC</v>
      </c>
      <c r="C14" s="3">
        <f>IFERROR(__xludf.DUMMYFUNCTION("""COMPUTED_VALUE"""),1.0)</f>
        <v>1</v>
      </c>
      <c r="D14" s="1" t="str">
        <f>IFERROR(__xludf.DUMMYFUNCTION("""COMPUTED_VALUE"""),"SMALLEST_DOMAIN")</f>
        <v>SMALLEST_DOMAIN</v>
      </c>
      <c r="E14" s="1" t="str">
        <f>IFERROR(__xludf.DUMMYFUNCTION("""COMPUTED_VALUE"""),"ASCENDING")</f>
        <v>ASCENDING</v>
      </c>
      <c r="F14" s="3">
        <f>IFERROR(__xludf.DUMMYFUNCTION("""COMPUTED_VALUE"""),1.0)</f>
        <v>1</v>
      </c>
      <c r="G14" s="3">
        <f>IFERROR(__xludf.DUMMYFUNCTION("""COMPUTED_VALUE"""),105.0)</f>
        <v>105</v>
      </c>
      <c r="H14" s="3">
        <f>IFERROR(__xludf.DUMMYFUNCTION("""COMPUTED_VALUE"""),16206.0)</f>
        <v>16206</v>
      </c>
      <c r="I14" s="3">
        <f>IFERROR(__xludf.DUMMYFUNCTION("""COMPUTED_VALUE"""),837.0)</f>
        <v>837</v>
      </c>
    </row>
    <row r="15">
      <c r="A15" s="1" t="str">
        <f>IFERROR(__xludf.DUMMYFUNCTION("""COMPUTED_VALUE"""),"4Queens.csp")</f>
        <v>4Queens.csp</v>
      </c>
      <c r="B15" s="1" t="str">
        <f>IFERROR(__xludf.DUMMYFUNCTION("""COMPUTED_VALUE"""),"MAC")</f>
        <v>MAC</v>
      </c>
      <c r="C15" s="3">
        <f>IFERROR(__xludf.DUMMYFUNCTION("""COMPUTED_VALUE"""),1.0)</f>
        <v>1</v>
      </c>
      <c r="D15" s="1" t="str">
        <f>IFERROR(__xludf.DUMMYFUNCTION("""COMPUTED_VALUE"""),"SMALLEST_DOMAIN")</f>
        <v>SMALLEST_DOMAIN</v>
      </c>
      <c r="E15" s="1" t="str">
        <f>IFERROR(__xludf.DUMMYFUNCTION("""COMPUTED_VALUE"""),"ASCENDING")</f>
        <v>ASCENDING</v>
      </c>
      <c r="F15" s="3">
        <f>IFERROR(__xludf.DUMMYFUNCTION("""COMPUTED_VALUE"""),1.0)</f>
        <v>1</v>
      </c>
      <c r="G15" s="3">
        <f>IFERROR(__xludf.DUMMYFUNCTION("""COMPUTED_VALUE"""),6.0)</f>
        <v>6</v>
      </c>
      <c r="H15" s="3">
        <f>IFERROR(__xludf.DUMMYFUNCTION("""COMPUTED_VALUE"""),48.0)</f>
        <v>48</v>
      </c>
      <c r="I15" s="3">
        <f>IFERROR(__xludf.DUMMYFUNCTION("""COMPUTED_VALUE"""),25.0)</f>
        <v>25</v>
      </c>
    </row>
    <row r="16">
      <c r="A16" s="1" t="str">
        <f>IFERROR(__xludf.DUMMYFUNCTION("""COMPUTED_VALUE"""),"5Queens.csp")</f>
        <v>5Queens.csp</v>
      </c>
      <c r="B16" s="1" t="str">
        <f>IFERROR(__xludf.DUMMYFUNCTION("""COMPUTED_VALUE"""),"MAC")</f>
        <v>MAC</v>
      </c>
      <c r="C16" s="3">
        <f>IFERROR(__xludf.DUMMYFUNCTION("""COMPUTED_VALUE"""),1.0)</f>
        <v>1</v>
      </c>
      <c r="D16" s="1" t="str">
        <f>IFERROR(__xludf.DUMMYFUNCTION("""COMPUTED_VALUE"""),"SMALLEST_DOMAIN")</f>
        <v>SMALLEST_DOMAIN</v>
      </c>
      <c r="E16" s="1" t="str">
        <f>IFERROR(__xludf.DUMMYFUNCTION("""COMPUTED_VALUE"""),"ASCENDING")</f>
        <v>ASCENDING</v>
      </c>
      <c r="F16" s="3">
        <f>IFERROR(__xludf.DUMMYFUNCTION("""COMPUTED_VALUE"""),1.0)</f>
        <v>1</v>
      </c>
      <c r="G16" s="3">
        <f>IFERROR(__xludf.DUMMYFUNCTION("""COMPUTED_VALUE"""),5.0)</f>
        <v>5</v>
      </c>
      <c r="H16" s="3">
        <f>IFERROR(__xludf.DUMMYFUNCTION("""COMPUTED_VALUE"""),66.0)</f>
        <v>66</v>
      </c>
      <c r="I16" s="3">
        <f>IFERROR(__xludf.DUMMYFUNCTION("""COMPUTED_VALUE"""),8.0)</f>
        <v>8</v>
      </c>
    </row>
    <row r="17">
      <c r="A17" s="1" t="str">
        <f>IFERROR(__xludf.DUMMYFUNCTION("""COMPUTED_VALUE"""),"6Queens.csp")</f>
        <v>6Queens.csp</v>
      </c>
      <c r="B17" s="1" t="str">
        <f>IFERROR(__xludf.DUMMYFUNCTION("""COMPUTED_VALUE"""),"MAC")</f>
        <v>MAC</v>
      </c>
      <c r="C17" s="3">
        <f>IFERROR(__xludf.DUMMYFUNCTION("""COMPUTED_VALUE"""),1.0)</f>
        <v>1</v>
      </c>
      <c r="D17" s="1" t="str">
        <f>IFERROR(__xludf.DUMMYFUNCTION("""COMPUTED_VALUE"""),"SMALLEST_DOMAIN")</f>
        <v>SMALLEST_DOMAIN</v>
      </c>
      <c r="E17" s="1" t="str">
        <f>IFERROR(__xludf.DUMMYFUNCTION("""COMPUTED_VALUE"""),"ASCENDING")</f>
        <v>ASCENDING</v>
      </c>
      <c r="F17" s="3">
        <f>IFERROR(__xludf.DUMMYFUNCTION("""COMPUTED_VALUE"""),1.0)</f>
        <v>1</v>
      </c>
      <c r="G17" s="3">
        <f>IFERROR(__xludf.DUMMYFUNCTION("""COMPUTED_VALUE"""),12.0)</f>
        <v>12</v>
      </c>
      <c r="H17" s="3">
        <f>IFERROR(__xludf.DUMMYFUNCTION("""COMPUTED_VALUE"""),258.0)</f>
        <v>258</v>
      </c>
      <c r="I17" s="3">
        <f>IFERROR(__xludf.DUMMYFUNCTION("""COMPUTED_VALUE"""),19.0)</f>
        <v>19</v>
      </c>
    </row>
    <row r="18">
      <c r="A18" s="1" t="str">
        <f>IFERROR(__xludf.DUMMYFUNCTION("""COMPUTED_VALUE"""),"7Queens.csp")</f>
        <v>7Queens.csp</v>
      </c>
      <c r="B18" s="1" t="str">
        <f>IFERROR(__xludf.DUMMYFUNCTION("""COMPUTED_VALUE"""),"MAC")</f>
        <v>MAC</v>
      </c>
      <c r="C18" s="3">
        <f>IFERROR(__xludf.DUMMYFUNCTION("""COMPUTED_VALUE"""),1.0)</f>
        <v>1</v>
      </c>
      <c r="D18" s="1" t="str">
        <f>IFERROR(__xludf.DUMMYFUNCTION("""COMPUTED_VALUE"""),"SMALLEST_DOMAIN")</f>
        <v>SMALLEST_DOMAIN</v>
      </c>
      <c r="E18" s="1" t="str">
        <f>IFERROR(__xludf.DUMMYFUNCTION("""COMPUTED_VALUE"""),"ASCENDING")</f>
        <v>ASCENDING</v>
      </c>
      <c r="F18" s="3">
        <f>IFERROR(__xludf.DUMMYFUNCTION("""COMPUTED_VALUE"""),1.0)</f>
        <v>1</v>
      </c>
      <c r="G18" s="3">
        <f>IFERROR(__xludf.DUMMYFUNCTION("""COMPUTED_VALUE"""),9.0)</f>
        <v>9</v>
      </c>
      <c r="H18" s="3">
        <f>IFERROR(__xludf.DUMMYFUNCTION("""COMPUTED_VALUE"""),200.0)</f>
        <v>200</v>
      </c>
      <c r="I18" s="3">
        <f>IFERROR(__xludf.DUMMYFUNCTION("""COMPUTED_VALUE"""),13.0)</f>
        <v>13</v>
      </c>
    </row>
    <row r="19">
      <c r="A19" s="1" t="str">
        <f>IFERROR(__xludf.DUMMYFUNCTION("""COMPUTED_VALUE"""),"8Queens.csp")</f>
        <v>8Queens.csp</v>
      </c>
      <c r="B19" s="1" t="str">
        <f>IFERROR(__xludf.DUMMYFUNCTION("""COMPUTED_VALUE"""),"MAC")</f>
        <v>MAC</v>
      </c>
      <c r="C19" s="3">
        <f>IFERROR(__xludf.DUMMYFUNCTION("""COMPUTED_VALUE"""),1.0)</f>
        <v>1</v>
      </c>
      <c r="D19" s="1" t="str">
        <f>IFERROR(__xludf.DUMMYFUNCTION("""COMPUTED_VALUE"""),"SMALLEST_DOMAIN")</f>
        <v>SMALLEST_DOMAIN</v>
      </c>
      <c r="E19" s="1" t="str">
        <f>IFERROR(__xludf.DUMMYFUNCTION("""COMPUTED_VALUE"""),"ASCENDING")</f>
        <v>ASCENDING</v>
      </c>
      <c r="F19" s="3">
        <f>IFERROR(__xludf.DUMMYFUNCTION("""COMPUTED_VALUE"""),1.0)</f>
        <v>1</v>
      </c>
      <c r="G19" s="3">
        <f>IFERROR(__xludf.DUMMYFUNCTION("""COMPUTED_VALUE"""),28.0)</f>
        <v>28</v>
      </c>
      <c r="H19" s="3">
        <f>IFERROR(__xludf.DUMMYFUNCTION("""COMPUTED_VALUE"""),1000.0)</f>
        <v>1000</v>
      </c>
      <c r="I19" s="3">
        <f>IFERROR(__xludf.DUMMYFUNCTION("""COMPUTED_VALUE"""),99.0)</f>
        <v>99</v>
      </c>
    </row>
    <row r="20">
      <c r="A20" s="1" t="str">
        <f>IFERROR(__xludf.DUMMYFUNCTION("""COMPUTED_VALUE"""),"9Queens.csp")</f>
        <v>9Queens.csp</v>
      </c>
      <c r="B20" s="1" t="str">
        <f>IFERROR(__xludf.DUMMYFUNCTION("""COMPUTED_VALUE"""),"MAC")</f>
        <v>MAC</v>
      </c>
      <c r="C20" s="3">
        <f>IFERROR(__xludf.DUMMYFUNCTION("""COMPUTED_VALUE"""),1.0)</f>
        <v>1</v>
      </c>
      <c r="D20" s="1" t="str">
        <f>IFERROR(__xludf.DUMMYFUNCTION("""COMPUTED_VALUE"""),"SMALLEST_DOMAIN")</f>
        <v>SMALLEST_DOMAIN</v>
      </c>
      <c r="E20" s="1" t="str">
        <f>IFERROR(__xludf.DUMMYFUNCTION("""COMPUTED_VALUE"""),"ASCENDING")</f>
        <v>ASCENDING</v>
      </c>
      <c r="F20" s="3">
        <f>IFERROR(__xludf.DUMMYFUNCTION("""COMPUTED_VALUE"""),1.0)</f>
        <v>1</v>
      </c>
      <c r="G20" s="3">
        <f>IFERROR(__xludf.DUMMYFUNCTION("""COMPUTED_VALUE"""),15.0)</f>
        <v>15</v>
      </c>
      <c r="H20" s="3">
        <f>IFERROR(__xludf.DUMMYFUNCTION("""COMPUTED_VALUE"""),606.0)</f>
        <v>606</v>
      </c>
      <c r="I20" s="3">
        <f>IFERROR(__xludf.DUMMYFUNCTION("""COMPUTED_VALUE"""),20.0)</f>
        <v>20</v>
      </c>
    </row>
    <row r="21">
      <c r="A21" s="1" t="str">
        <f>IFERROR(__xludf.DUMMYFUNCTION("""COMPUTED_VALUE"""),"langfords2_11.csp")</f>
        <v>langfords2_11.csp</v>
      </c>
      <c r="B21" s="1" t="str">
        <f>IFERROR(__xludf.DUMMYFUNCTION("""COMPUTED_VALUE"""),"MAC")</f>
        <v>MAC</v>
      </c>
      <c r="C21" s="3">
        <f>IFERROR(__xludf.DUMMYFUNCTION("""COMPUTED_VALUE"""),1.0)</f>
        <v>1</v>
      </c>
      <c r="D21" s="1" t="str">
        <f>IFERROR(__xludf.DUMMYFUNCTION("""COMPUTED_VALUE"""),"SMALLEST_DOMAIN")</f>
        <v>SMALLEST_DOMAIN</v>
      </c>
      <c r="E21" s="1" t="str">
        <f>IFERROR(__xludf.DUMMYFUNCTION("""COMPUTED_VALUE"""),"ASCENDING")</f>
        <v>ASCENDING</v>
      </c>
      <c r="F21" s="3">
        <f>IFERROR(__xludf.DUMMYFUNCTION("""COMPUTED_VALUE"""),1.0)</f>
        <v>1</v>
      </c>
      <c r="G21" s="3">
        <f>IFERROR(__xludf.DUMMYFUNCTION("""COMPUTED_VALUE"""),54.0)</f>
        <v>54</v>
      </c>
      <c r="H21" s="3">
        <f>IFERROR(__xludf.DUMMYFUNCTION("""COMPUTED_VALUE"""),11334.0)</f>
        <v>11334</v>
      </c>
      <c r="I21" s="3">
        <f>IFERROR(__xludf.DUMMYFUNCTION("""COMPUTED_VALUE"""),820.0)</f>
        <v>820</v>
      </c>
    </row>
    <row r="22">
      <c r="A22" s="1" t="str">
        <f>IFERROR(__xludf.DUMMYFUNCTION("""COMPUTED_VALUE"""),"langfords2_12.csp")</f>
        <v>langfords2_12.csp</v>
      </c>
      <c r="B22" s="1" t="str">
        <f>IFERROR(__xludf.DUMMYFUNCTION("""COMPUTED_VALUE"""),"MAC")</f>
        <v>MAC</v>
      </c>
      <c r="C22" s="3">
        <f>IFERROR(__xludf.DUMMYFUNCTION("""COMPUTED_VALUE"""),1.0)</f>
        <v>1</v>
      </c>
      <c r="D22" s="1" t="str">
        <f>IFERROR(__xludf.DUMMYFUNCTION("""COMPUTED_VALUE"""),"SMALLEST_DOMAIN")</f>
        <v>SMALLEST_DOMAIN</v>
      </c>
      <c r="E22" s="1" t="str">
        <f>IFERROR(__xludf.DUMMYFUNCTION("""COMPUTED_VALUE"""),"ASCENDING")</f>
        <v>ASCENDING</v>
      </c>
      <c r="F22" s="3">
        <f>IFERROR(__xludf.DUMMYFUNCTION("""COMPUTED_VALUE"""),1.0)</f>
        <v>1</v>
      </c>
      <c r="G22" s="3">
        <f>IFERROR(__xludf.DUMMYFUNCTION("""COMPUTED_VALUE"""),42.0)</f>
        <v>42</v>
      </c>
      <c r="H22" s="3">
        <f>IFERROR(__xludf.DUMMYFUNCTION("""COMPUTED_VALUE"""),10737.0)</f>
        <v>10737</v>
      </c>
      <c r="I22" s="3">
        <f>IFERROR(__xludf.DUMMYFUNCTION("""COMPUTED_VALUE"""),707.0)</f>
        <v>707</v>
      </c>
    </row>
    <row r="23">
      <c r="A23" s="1" t="str">
        <f>IFERROR(__xludf.DUMMYFUNCTION("""COMPUTED_VALUE"""),"langfords2_3.csp")</f>
        <v>langfords2_3.csp</v>
      </c>
      <c r="B23" s="1" t="str">
        <f>IFERROR(__xludf.DUMMYFUNCTION("""COMPUTED_VALUE"""),"MAC")</f>
        <v>MAC</v>
      </c>
      <c r="C23" s="3">
        <f>IFERROR(__xludf.DUMMYFUNCTION("""COMPUTED_VALUE"""),1.0)</f>
        <v>1</v>
      </c>
      <c r="D23" s="1" t="str">
        <f>IFERROR(__xludf.DUMMYFUNCTION("""COMPUTED_VALUE"""),"SMALLEST_DOMAIN")</f>
        <v>SMALLEST_DOMAIN</v>
      </c>
      <c r="E23" s="1" t="str">
        <f>IFERROR(__xludf.DUMMYFUNCTION("""COMPUTED_VALUE"""),"ASCENDING")</f>
        <v>ASCENDING</v>
      </c>
      <c r="F23" s="3">
        <f>IFERROR(__xludf.DUMMYFUNCTION("""COMPUTED_VALUE"""),1.0)</f>
        <v>1</v>
      </c>
      <c r="G23" s="3">
        <f>IFERROR(__xludf.DUMMYFUNCTION("""COMPUTED_VALUE"""),6.0)</f>
        <v>6</v>
      </c>
      <c r="H23" s="3">
        <f>IFERROR(__xludf.DUMMYFUNCTION("""COMPUTED_VALUE"""),104.0)</f>
        <v>104</v>
      </c>
      <c r="I23" s="3">
        <f>IFERROR(__xludf.DUMMYFUNCTION("""COMPUTED_VALUE"""),8.0)</f>
        <v>8</v>
      </c>
    </row>
    <row r="24">
      <c r="A24" s="1" t="str">
        <f>IFERROR(__xludf.DUMMYFUNCTION("""COMPUTED_VALUE"""),"langfords2_4.csp")</f>
        <v>langfords2_4.csp</v>
      </c>
      <c r="B24" s="1" t="str">
        <f>IFERROR(__xludf.DUMMYFUNCTION("""COMPUTED_VALUE"""),"MAC")</f>
        <v>MAC</v>
      </c>
      <c r="C24" s="3">
        <f>IFERROR(__xludf.DUMMYFUNCTION("""COMPUTED_VALUE"""),1.0)</f>
        <v>1</v>
      </c>
      <c r="D24" s="1" t="str">
        <f>IFERROR(__xludf.DUMMYFUNCTION("""COMPUTED_VALUE"""),"SMALLEST_DOMAIN")</f>
        <v>SMALLEST_DOMAIN</v>
      </c>
      <c r="E24" s="1" t="str">
        <f>IFERROR(__xludf.DUMMYFUNCTION("""COMPUTED_VALUE"""),"ASCENDING")</f>
        <v>ASCENDING</v>
      </c>
      <c r="F24" s="3">
        <f>IFERROR(__xludf.DUMMYFUNCTION("""COMPUTED_VALUE"""),1.0)</f>
        <v>1</v>
      </c>
      <c r="G24" s="3">
        <f>IFERROR(__xludf.DUMMYFUNCTION("""COMPUTED_VALUE"""),8.0)</f>
        <v>8</v>
      </c>
      <c r="H24" s="3">
        <f>IFERROR(__xludf.DUMMYFUNCTION("""COMPUTED_VALUE"""),276.0)</f>
        <v>276</v>
      </c>
      <c r="I24" s="3">
        <f>IFERROR(__xludf.DUMMYFUNCTION("""COMPUTED_VALUE"""),44.0)</f>
        <v>44</v>
      </c>
    </row>
    <row r="25">
      <c r="A25" s="1" t="str">
        <f>IFERROR(__xludf.DUMMYFUNCTION("""COMPUTED_VALUE"""),"langfords2_7.csp")</f>
        <v>langfords2_7.csp</v>
      </c>
      <c r="B25" s="1" t="str">
        <f>IFERROR(__xludf.DUMMYFUNCTION("""COMPUTED_VALUE"""),"MAC")</f>
        <v>MAC</v>
      </c>
      <c r="C25" s="3">
        <f>IFERROR(__xludf.DUMMYFUNCTION("""COMPUTED_VALUE"""),1.0)</f>
        <v>1</v>
      </c>
      <c r="D25" s="1" t="str">
        <f>IFERROR(__xludf.DUMMYFUNCTION("""COMPUTED_VALUE"""),"SMALLEST_DOMAIN")</f>
        <v>SMALLEST_DOMAIN</v>
      </c>
      <c r="E25" s="1" t="str">
        <f>IFERROR(__xludf.DUMMYFUNCTION("""COMPUTED_VALUE"""),"ASCENDING")</f>
        <v>ASCENDING</v>
      </c>
      <c r="F25" s="3">
        <f>IFERROR(__xludf.DUMMYFUNCTION("""COMPUTED_VALUE"""),1.0)</f>
        <v>1</v>
      </c>
      <c r="G25" s="3">
        <f>IFERROR(__xludf.DUMMYFUNCTION("""COMPUTED_VALUE"""),16.0)</f>
        <v>16</v>
      </c>
      <c r="H25" s="3">
        <f>IFERROR(__xludf.DUMMYFUNCTION("""COMPUTED_VALUE"""),1664.0)</f>
        <v>1664</v>
      </c>
      <c r="I25" s="3">
        <f>IFERROR(__xludf.DUMMYFUNCTION("""COMPUTED_VALUE"""),181.0)</f>
        <v>181</v>
      </c>
    </row>
    <row r="26">
      <c r="A26" s="1" t="str">
        <f>IFERROR(__xludf.DUMMYFUNCTION("""COMPUTED_VALUE"""),"langfords2_8.csp")</f>
        <v>langfords2_8.csp</v>
      </c>
      <c r="B26" s="1" t="str">
        <f>IFERROR(__xludf.DUMMYFUNCTION("""COMPUTED_VALUE"""),"MAC")</f>
        <v>MAC</v>
      </c>
      <c r="C26" s="3">
        <f>IFERROR(__xludf.DUMMYFUNCTION("""COMPUTED_VALUE"""),1.0)</f>
        <v>1</v>
      </c>
      <c r="D26" s="1" t="str">
        <f>IFERROR(__xludf.DUMMYFUNCTION("""COMPUTED_VALUE"""),"SMALLEST_DOMAIN")</f>
        <v>SMALLEST_DOMAIN</v>
      </c>
      <c r="E26" s="1" t="str">
        <f>IFERROR(__xludf.DUMMYFUNCTION("""COMPUTED_VALUE"""),"ASCENDING")</f>
        <v>ASCENDING</v>
      </c>
      <c r="F26" s="3">
        <f>IFERROR(__xludf.DUMMYFUNCTION("""COMPUTED_VALUE"""),1.0)</f>
        <v>1</v>
      </c>
      <c r="G26" s="3">
        <f>IFERROR(__xludf.DUMMYFUNCTION("""COMPUTED_VALUE"""),88.0)</f>
        <v>88</v>
      </c>
      <c r="H26" s="3">
        <f>IFERROR(__xludf.DUMMYFUNCTION("""COMPUTED_VALUE"""),7370.0)</f>
        <v>7370</v>
      </c>
      <c r="I26" s="3">
        <f>IFERROR(__xludf.DUMMYFUNCTION("""COMPUTED_VALUE"""),438.0)</f>
        <v>438</v>
      </c>
    </row>
    <row r="27">
      <c r="A27" s="1" t="str">
        <f>IFERROR(__xludf.DUMMYFUNCTION("""COMPUTED_VALUE"""),"langfords3_10.csp")</f>
        <v>langfords3_10.csp</v>
      </c>
      <c r="B27" s="1" t="str">
        <f>IFERROR(__xludf.DUMMYFUNCTION("""COMPUTED_VALUE"""),"MAC")</f>
        <v>MAC</v>
      </c>
      <c r="C27" s="3">
        <f>IFERROR(__xludf.DUMMYFUNCTION("""COMPUTED_VALUE"""),1.0)</f>
        <v>1</v>
      </c>
      <c r="D27" s="1" t="str">
        <f>IFERROR(__xludf.DUMMYFUNCTION("""COMPUTED_VALUE"""),"SMALLEST_DOMAIN")</f>
        <v>SMALLEST_DOMAIN</v>
      </c>
      <c r="E27" s="1" t="str">
        <f>IFERROR(__xludf.DUMMYFUNCTION("""COMPUTED_VALUE"""),"ASCENDING")</f>
        <v>ASCENDING</v>
      </c>
      <c r="F27" s="3">
        <f>IFERROR(__xludf.DUMMYFUNCTION("""COMPUTED_VALUE"""),1.0)</f>
        <v>1</v>
      </c>
      <c r="G27" s="3">
        <f>IFERROR(__xludf.DUMMYFUNCTION("""COMPUTED_VALUE"""),2960.0)</f>
        <v>2960</v>
      </c>
      <c r="H27" s="3">
        <f>IFERROR(__xludf.DUMMYFUNCTION("""COMPUTED_VALUE"""),856730.0)</f>
        <v>856730</v>
      </c>
      <c r="I27" s="3">
        <f>IFERROR(__xludf.DUMMYFUNCTION("""COMPUTED_VALUE"""),4403.0)</f>
        <v>4403</v>
      </c>
    </row>
    <row r="28">
      <c r="A28" s="1" t="str">
        <f>IFERROR(__xludf.DUMMYFUNCTION("""COMPUTED_VALUE"""),"langfords3_9.csp")</f>
        <v>langfords3_9.csp</v>
      </c>
      <c r="B28" s="1" t="str">
        <f>IFERROR(__xludf.DUMMYFUNCTION("""COMPUTED_VALUE"""),"MAC")</f>
        <v>MAC</v>
      </c>
      <c r="C28" s="3">
        <f>IFERROR(__xludf.DUMMYFUNCTION("""COMPUTED_VALUE"""),1.0)</f>
        <v>1</v>
      </c>
      <c r="D28" s="1" t="str">
        <f>IFERROR(__xludf.DUMMYFUNCTION("""COMPUTED_VALUE"""),"SMALLEST_DOMAIN")</f>
        <v>SMALLEST_DOMAIN</v>
      </c>
      <c r="E28" s="1" t="str">
        <f>IFERROR(__xludf.DUMMYFUNCTION("""COMPUTED_VALUE"""),"ASCENDING")</f>
        <v>ASCENDING</v>
      </c>
      <c r="F28" s="3">
        <f>IFERROR(__xludf.DUMMYFUNCTION("""COMPUTED_VALUE"""),1.0)</f>
        <v>1</v>
      </c>
      <c r="G28" s="3">
        <f>IFERROR(__xludf.DUMMYFUNCTION("""COMPUTED_VALUE"""),813.0)</f>
        <v>813</v>
      </c>
      <c r="H28" s="3">
        <f>IFERROR(__xludf.DUMMYFUNCTION("""COMPUTED_VALUE"""),224796.0)</f>
        <v>224796</v>
      </c>
      <c r="I28" s="3">
        <f>IFERROR(__xludf.DUMMYFUNCTION("""COMPUTED_VALUE"""),2072.0)</f>
        <v>2072</v>
      </c>
    </row>
    <row r="29">
      <c r="A29" s="1" t="str">
        <f>IFERROR(__xludf.DUMMYFUNCTION("""COMPUTED_VALUE"""),"SimonisSudoku.csp")</f>
        <v>SimonisSudoku.csp</v>
      </c>
      <c r="B29" s="1" t="str">
        <f>IFERROR(__xludf.DUMMYFUNCTION("""COMPUTED_VALUE"""),"MAC")</f>
        <v>MAC</v>
      </c>
      <c r="C29" s="3">
        <f>IFERROR(__xludf.DUMMYFUNCTION("""COMPUTED_VALUE"""),1.0)</f>
        <v>1</v>
      </c>
      <c r="D29" s="1" t="str">
        <f>IFERROR(__xludf.DUMMYFUNCTION("""COMPUTED_VALUE"""),"SMALLEST_DOMAIN")</f>
        <v>SMALLEST_DOMAIN</v>
      </c>
      <c r="E29" s="1" t="str">
        <f>IFERROR(__xludf.DUMMYFUNCTION("""COMPUTED_VALUE"""),"ASCENDING")</f>
        <v>ASCENDING</v>
      </c>
      <c r="F29" s="3">
        <f>IFERROR(__xludf.DUMMYFUNCTION("""COMPUTED_VALUE"""),1.0)</f>
        <v>1</v>
      </c>
      <c r="G29" s="3">
        <f>IFERROR(__xludf.DUMMYFUNCTION("""COMPUTED_VALUE"""),81.0)</f>
        <v>81</v>
      </c>
      <c r="H29" s="3">
        <f>IFERROR(__xludf.DUMMYFUNCTION("""COMPUTED_VALUE"""),10488.0)</f>
        <v>10488</v>
      </c>
      <c r="I29" s="3">
        <f>IFERROR(__xludf.DUMMYFUNCTION("""COMPUTED_VALUE"""),678.0)</f>
        <v>678</v>
      </c>
    </row>
    <row r="30">
      <c r="A30" s="1"/>
      <c r="B30" s="1"/>
      <c r="C30" s="3"/>
      <c r="D30" s="1"/>
      <c r="E30" s="1"/>
      <c r="F30" s="3"/>
      <c r="G30" s="3"/>
      <c r="H30" s="3"/>
      <c r="I30" s="3"/>
    </row>
    <row r="31">
      <c r="A31" s="1"/>
      <c r="B31" s="1"/>
      <c r="C31" s="3"/>
      <c r="D31" s="1"/>
      <c r="E31" s="1"/>
      <c r="F31" s="3"/>
      <c r="G31" s="3"/>
      <c r="H31" s="3"/>
      <c r="I31" s="3"/>
    </row>
    <row r="32">
      <c r="A32" s="1"/>
      <c r="B32" s="1"/>
      <c r="C32" s="3"/>
      <c r="D32" s="1"/>
      <c r="E32" s="1"/>
      <c r="F32" s="3"/>
      <c r="G32" s="3"/>
      <c r="H32" s="3"/>
      <c r="I32" s="3"/>
    </row>
    <row r="33">
      <c r="A33" s="1"/>
      <c r="B33" s="1"/>
      <c r="C33" s="3"/>
      <c r="D33" s="1"/>
      <c r="E33" s="1"/>
      <c r="F33" s="3"/>
      <c r="G33" s="3"/>
      <c r="H33" s="3"/>
      <c r="I33" s="3"/>
    </row>
    <row r="34">
      <c r="A34" s="1"/>
      <c r="B34" s="1"/>
      <c r="C34" s="3"/>
      <c r="D34" s="1"/>
      <c r="E34" s="1"/>
      <c r="F34" s="3"/>
      <c r="G34" s="3"/>
      <c r="H34" s="3"/>
      <c r="I34" s="3"/>
    </row>
    <row r="35">
      <c r="A35" s="1"/>
      <c r="B35" s="1"/>
      <c r="C35" s="3"/>
      <c r="D35" s="1"/>
      <c r="E35" s="1"/>
      <c r="F35" s="3"/>
      <c r="G35" s="3"/>
      <c r="H35" s="3"/>
      <c r="I35" s="3"/>
    </row>
    <row r="36">
      <c r="A36" s="1"/>
      <c r="B36" s="1"/>
      <c r="C36" s="3"/>
      <c r="D36" s="1"/>
      <c r="E36" s="1"/>
      <c r="F36" s="3"/>
      <c r="G36" s="3"/>
      <c r="H36" s="3"/>
      <c r="I36" s="3"/>
    </row>
    <row r="37">
      <c r="A37" s="1"/>
      <c r="B37" s="1"/>
      <c r="C37" s="3"/>
      <c r="D37" s="1"/>
      <c r="E37" s="1"/>
      <c r="F37" s="3"/>
      <c r="G37" s="3"/>
      <c r="H37" s="3"/>
      <c r="I37" s="3"/>
    </row>
    <row r="38">
      <c r="A38" s="1"/>
      <c r="B38" s="1"/>
      <c r="C38" s="3"/>
      <c r="D38" s="1"/>
      <c r="E38" s="1"/>
      <c r="F38" s="3"/>
      <c r="G38" s="3"/>
      <c r="H38" s="3"/>
      <c r="I38" s="3"/>
    </row>
    <row r="39">
      <c r="A39" s="1"/>
      <c r="B39" s="1"/>
      <c r="C39" s="3"/>
      <c r="D39" s="1"/>
      <c r="E39" s="1"/>
      <c r="F39" s="3"/>
      <c r="G39" s="3"/>
      <c r="H39" s="3"/>
      <c r="I39" s="3"/>
    </row>
    <row r="40">
      <c r="A40" s="1"/>
      <c r="B40" s="1"/>
      <c r="C40" s="3"/>
      <c r="D40" s="1"/>
      <c r="E40" s="1"/>
      <c r="F40" s="3"/>
      <c r="G40" s="3"/>
      <c r="H40" s="3"/>
      <c r="I40" s="3"/>
    </row>
    <row r="41">
      <c r="A41" s="1"/>
      <c r="B41" s="1"/>
      <c r="C41" s="3"/>
      <c r="D41" s="1"/>
      <c r="E41" s="1"/>
      <c r="F41" s="3"/>
      <c r="G41" s="3"/>
      <c r="H41" s="3"/>
      <c r="I41" s="3"/>
    </row>
    <row r="42">
      <c r="A42" s="1"/>
      <c r="B42" s="1"/>
      <c r="C42" s="3"/>
      <c r="D42" s="1"/>
      <c r="E42" s="1"/>
      <c r="F42" s="3"/>
      <c r="G42" s="3"/>
      <c r="H42" s="3"/>
      <c r="I42" s="3"/>
    </row>
    <row r="43">
      <c r="A43" s="1"/>
      <c r="B43" s="1"/>
      <c r="C43" s="3"/>
      <c r="D43" s="1"/>
      <c r="E43" s="1"/>
      <c r="F43" s="3"/>
      <c r="G43" s="3"/>
      <c r="H43" s="3"/>
      <c r="I43" s="3"/>
    </row>
    <row r="44">
      <c r="A44" s="1"/>
      <c r="B44" s="1"/>
      <c r="C44" s="3"/>
      <c r="D44" s="1"/>
      <c r="E44" s="1"/>
      <c r="F44" s="3"/>
      <c r="G44" s="3"/>
      <c r="H44" s="3"/>
      <c r="I44" s="3"/>
    </row>
    <row r="45">
      <c r="A45" s="1"/>
      <c r="B45" s="1"/>
      <c r="C45" s="3"/>
      <c r="D45" s="1"/>
      <c r="E45" s="1"/>
      <c r="F45" s="3"/>
      <c r="G45" s="3"/>
      <c r="H45" s="3"/>
      <c r="I45" s="3"/>
    </row>
    <row r="46">
      <c r="A46" s="1"/>
      <c r="B46" s="1"/>
      <c r="C46" s="3"/>
      <c r="D46" s="1"/>
      <c r="E46" s="1"/>
      <c r="F46" s="3"/>
      <c r="G46" s="3"/>
      <c r="H46" s="3"/>
      <c r="I46" s="3"/>
    </row>
    <row r="47">
      <c r="A47" s="1"/>
      <c r="B47" s="1"/>
      <c r="C47" s="3"/>
      <c r="D47" s="1"/>
      <c r="E47" s="1"/>
      <c r="F47" s="3"/>
      <c r="G47" s="3"/>
      <c r="H47" s="3"/>
      <c r="I47" s="3"/>
    </row>
    <row r="48">
      <c r="A48" s="1"/>
      <c r="B48" s="1"/>
      <c r="C48" s="3"/>
      <c r="D48" s="1"/>
      <c r="E48" s="1"/>
      <c r="F48" s="3"/>
      <c r="G48" s="3"/>
      <c r="H48" s="3"/>
      <c r="I48" s="3"/>
    </row>
    <row r="49">
      <c r="A49" s="1"/>
      <c r="B49" s="1"/>
      <c r="C49" s="3"/>
      <c r="D49" s="1"/>
      <c r="E49" s="1"/>
      <c r="F49" s="3"/>
      <c r="G49" s="3"/>
      <c r="H49" s="3"/>
      <c r="I49" s="3"/>
    </row>
    <row r="50">
      <c r="A50" s="1"/>
      <c r="B50" s="1"/>
      <c r="C50" s="3"/>
      <c r="D50" s="1"/>
      <c r="E50" s="1"/>
      <c r="F50" s="3"/>
      <c r="G50" s="3"/>
      <c r="H50" s="3"/>
      <c r="I50" s="3"/>
    </row>
    <row r="51">
      <c r="A51" s="1"/>
      <c r="B51" s="1"/>
      <c r="C51" s="3"/>
      <c r="D51" s="1"/>
      <c r="E51" s="1"/>
      <c r="F51" s="3"/>
      <c r="G51" s="3"/>
      <c r="H51" s="3"/>
      <c r="I51" s="3"/>
    </row>
    <row r="52">
      <c r="A52" s="1"/>
      <c r="B52" s="1"/>
      <c r="C52" s="3"/>
      <c r="D52" s="1"/>
      <c r="E52" s="1"/>
      <c r="F52" s="3"/>
      <c r="G52" s="3"/>
      <c r="H52" s="3"/>
      <c r="I52" s="3"/>
    </row>
    <row r="53">
      <c r="A53" s="1"/>
      <c r="B53" s="1"/>
      <c r="C53" s="3"/>
      <c r="D53" s="1"/>
      <c r="E53" s="1"/>
      <c r="F53" s="3"/>
      <c r="G53" s="3"/>
      <c r="H53" s="3"/>
      <c r="I53" s="3"/>
    </row>
    <row r="54">
      <c r="A54" s="1"/>
      <c r="B54" s="1"/>
      <c r="C54" s="3"/>
      <c r="D54" s="1"/>
      <c r="E54" s="1"/>
      <c r="F54" s="3"/>
      <c r="G54" s="3"/>
      <c r="H54" s="3"/>
      <c r="I54" s="3"/>
    </row>
    <row r="55">
      <c r="A55" s="1"/>
      <c r="B55" s="1"/>
      <c r="C55" s="3"/>
      <c r="D55" s="1"/>
      <c r="E55" s="1"/>
      <c r="F55" s="3"/>
      <c r="G55" s="3"/>
      <c r="H55" s="3"/>
      <c r="I55" s="3"/>
    </row>
    <row r="56">
      <c r="A56" s="1"/>
      <c r="B56" s="1"/>
      <c r="C56" s="3"/>
      <c r="D56" s="1"/>
      <c r="E56" s="1"/>
      <c r="F56" s="3"/>
      <c r="G56" s="3"/>
      <c r="H56" s="3"/>
      <c r="I56" s="3"/>
    </row>
    <row r="57">
      <c r="A57" s="1"/>
      <c r="B57" s="1"/>
      <c r="C57" s="3"/>
      <c r="D57" s="1"/>
      <c r="E57" s="1"/>
      <c r="F57" s="3"/>
      <c r="G57" s="3"/>
      <c r="H57" s="3"/>
      <c r="I57" s="3"/>
    </row>
    <row r="58">
      <c r="A58" s="1"/>
      <c r="B58" s="1"/>
      <c r="C58" s="3"/>
      <c r="D58" s="1"/>
      <c r="E58" s="1"/>
      <c r="F58" s="3"/>
      <c r="G58" s="3"/>
      <c r="H58" s="3"/>
      <c r="I58" s="3"/>
    </row>
    <row r="59">
      <c r="A59" s="1"/>
      <c r="B59" s="1"/>
      <c r="C59" s="3"/>
      <c r="D59" s="1"/>
      <c r="E59" s="1"/>
      <c r="F59" s="3"/>
      <c r="G59" s="3"/>
      <c r="H59" s="3"/>
      <c r="I59" s="3"/>
    </row>
    <row r="60">
      <c r="A60" s="1"/>
      <c r="B60" s="1"/>
      <c r="C60" s="3"/>
      <c r="D60" s="1"/>
      <c r="E60" s="1"/>
      <c r="F60" s="3"/>
      <c r="G60" s="3"/>
      <c r="H60" s="3"/>
      <c r="I60" s="3"/>
    </row>
    <row r="61">
      <c r="A61" s="1"/>
      <c r="B61" s="1"/>
      <c r="C61" s="3"/>
      <c r="D61" s="1"/>
      <c r="E61" s="1"/>
      <c r="F61" s="3"/>
      <c r="G61" s="3"/>
      <c r="H61" s="3"/>
      <c r="I61" s="3"/>
    </row>
    <row r="62">
      <c r="A62" s="1"/>
      <c r="B62" s="1"/>
      <c r="C62" s="3"/>
      <c r="D62" s="1"/>
      <c r="E62" s="1"/>
      <c r="F62" s="3"/>
      <c r="G62" s="3"/>
      <c r="H62" s="3"/>
      <c r="I62" s="3"/>
    </row>
    <row r="63">
      <c r="A63" s="1"/>
      <c r="B63" s="1"/>
      <c r="C63" s="3"/>
      <c r="D63" s="1"/>
      <c r="E63" s="1"/>
      <c r="F63" s="3"/>
      <c r="G63" s="3"/>
      <c r="H63" s="3"/>
      <c r="I63" s="3"/>
    </row>
    <row r="64">
      <c r="A64" s="1"/>
      <c r="B64" s="1"/>
      <c r="C64" s="3"/>
      <c r="D64" s="1"/>
      <c r="E64" s="1"/>
      <c r="F64" s="3"/>
      <c r="G64" s="3"/>
      <c r="H64" s="3"/>
      <c r="I64" s="3"/>
    </row>
    <row r="65">
      <c r="A65" s="1"/>
      <c r="B65" s="1"/>
      <c r="C65" s="3"/>
      <c r="D65" s="1"/>
      <c r="E65" s="1"/>
      <c r="F65" s="3"/>
      <c r="G65" s="3"/>
      <c r="H65" s="3"/>
      <c r="I65" s="3"/>
    </row>
    <row r="66">
      <c r="A66" s="1"/>
      <c r="B66" s="1"/>
      <c r="C66" s="3"/>
      <c r="D66" s="1"/>
      <c r="E66" s="1"/>
      <c r="F66" s="3"/>
      <c r="G66" s="3"/>
      <c r="H66" s="3"/>
      <c r="I66" s="3"/>
    </row>
    <row r="67">
      <c r="A67" s="1"/>
      <c r="B67" s="1"/>
      <c r="C67" s="3"/>
      <c r="D67" s="1"/>
      <c r="E67" s="1"/>
      <c r="F67" s="3"/>
      <c r="G67" s="3"/>
      <c r="H67" s="3"/>
      <c r="I67" s="3"/>
    </row>
    <row r="68">
      <c r="A68" s="1"/>
      <c r="B68" s="1"/>
      <c r="C68" s="3"/>
      <c r="D68" s="1"/>
      <c r="E68" s="1"/>
      <c r="F68" s="3"/>
      <c r="G68" s="3"/>
      <c r="H68" s="3"/>
      <c r="I68" s="3"/>
    </row>
    <row r="69">
      <c r="A69" s="1"/>
      <c r="B69" s="1"/>
      <c r="C69" s="3"/>
      <c r="D69" s="1"/>
      <c r="E69" s="1"/>
      <c r="F69" s="3"/>
      <c r="G69" s="3"/>
      <c r="H69" s="3"/>
      <c r="I69" s="3"/>
    </row>
    <row r="70">
      <c r="A70" s="1"/>
      <c r="B70" s="1"/>
      <c r="C70" s="3"/>
      <c r="D70" s="1"/>
      <c r="E70" s="1"/>
      <c r="F70" s="3"/>
      <c r="G70" s="3"/>
      <c r="H70" s="3"/>
      <c r="I70" s="3"/>
    </row>
    <row r="71">
      <c r="A71" s="1"/>
      <c r="B71" s="1"/>
      <c r="C71" s="3"/>
      <c r="D71" s="1"/>
      <c r="E71" s="1"/>
      <c r="F71" s="3"/>
      <c r="G71" s="3"/>
      <c r="H71" s="3"/>
      <c r="I71" s="3"/>
    </row>
    <row r="72">
      <c r="A72" s="1"/>
      <c r="B72" s="1"/>
      <c r="C72" s="3"/>
      <c r="D72" s="1"/>
      <c r="E72" s="1"/>
      <c r="F72" s="3"/>
      <c r="G72" s="3"/>
      <c r="H72" s="3"/>
      <c r="I72" s="3"/>
    </row>
    <row r="73">
      <c r="A73" s="1"/>
      <c r="B73" s="1"/>
      <c r="C73" s="3"/>
      <c r="D73" s="1"/>
      <c r="E73" s="1"/>
      <c r="F73" s="3"/>
      <c r="G73" s="3"/>
      <c r="H73" s="3"/>
      <c r="I73" s="3"/>
    </row>
    <row r="74">
      <c r="A74" s="1"/>
      <c r="B74" s="1"/>
      <c r="C74" s="3"/>
      <c r="D74" s="1"/>
      <c r="E74" s="1"/>
      <c r="F74" s="3"/>
      <c r="G74" s="3"/>
      <c r="H74" s="3"/>
      <c r="I74" s="3"/>
    </row>
    <row r="75">
      <c r="A75" s="1"/>
      <c r="B75" s="1"/>
      <c r="C75" s="3"/>
      <c r="D75" s="1"/>
      <c r="E75" s="1"/>
      <c r="F75" s="3"/>
      <c r="G75" s="3"/>
      <c r="H75" s="3"/>
      <c r="I75" s="3"/>
    </row>
    <row r="76">
      <c r="A76" s="1"/>
      <c r="B76" s="1"/>
      <c r="C76" s="3"/>
      <c r="D76" s="1"/>
      <c r="E76" s="1"/>
      <c r="F76" s="3"/>
      <c r="G76" s="3"/>
      <c r="H76" s="3"/>
      <c r="I76" s="3"/>
    </row>
    <row r="77">
      <c r="A77" s="1"/>
      <c r="B77" s="1"/>
      <c r="C77" s="3"/>
      <c r="D77" s="1"/>
      <c r="E77" s="1"/>
      <c r="F77" s="3"/>
      <c r="G77" s="3"/>
      <c r="H77" s="3"/>
      <c r="I77" s="3"/>
    </row>
    <row r="78">
      <c r="A78" s="1"/>
      <c r="B78" s="1"/>
      <c r="C78" s="3"/>
      <c r="D78" s="1"/>
      <c r="E78" s="1"/>
      <c r="F78" s="3"/>
      <c r="G78" s="3"/>
      <c r="H78" s="3"/>
      <c r="I78" s="3"/>
    </row>
    <row r="79">
      <c r="A79" s="1"/>
      <c r="B79" s="1"/>
      <c r="C79" s="3"/>
      <c r="D79" s="1"/>
      <c r="E79" s="1"/>
      <c r="F79" s="3"/>
      <c r="G79" s="3"/>
      <c r="H79" s="3"/>
      <c r="I79" s="3"/>
    </row>
    <row r="80">
      <c r="A80" s="1"/>
      <c r="B80" s="1"/>
      <c r="C80" s="3"/>
      <c r="D80" s="1"/>
      <c r="E80" s="1"/>
      <c r="F80" s="3"/>
      <c r="G80" s="3"/>
      <c r="H80" s="3"/>
      <c r="I80" s="3"/>
    </row>
    <row r="81">
      <c r="A81" s="1"/>
      <c r="B81" s="1"/>
      <c r="C81" s="3"/>
      <c r="D81" s="1"/>
      <c r="E81" s="1"/>
      <c r="F81" s="3"/>
      <c r="G81" s="3"/>
      <c r="H81" s="3"/>
      <c r="I81" s="3"/>
    </row>
    <row r="82">
      <c r="A82" s="1"/>
      <c r="B82" s="1"/>
      <c r="C82" s="3"/>
      <c r="D82" s="1"/>
      <c r="E82" s="1"/>
      <c r="F82" s="3"/>
      <c r="G82" s="3"/>
      <c r="H82" s="3"/>
      <c r="I82" s="3"/>
    </row>
    <row r="83">
      <c r="A83" s="1"/>
      <c r="B83" s="1"/>
      <c r="C83" s="3"/>
      <c r="D83" s="1"/>
      <c r="E83" s="1"/>
      <c r="F83" s="3"/>
      <c r="G83" s="3"/>
      <c r="H83" s="3"/>
      <c r="I83" s="3"/>
    </row>
    <row r="84">
      <c r="A84" s="1"/>
      <c r="B84" s="1"/>
      <c r="C84" s="3"/>
      <c r="D84" s="1"/>
      <c r="E84" s="1"/>
      <c r="F84" s="3"/>
      <c r="G84" s="3"/>
      <c r="H84" s="3"/>
      <c r="I84" s="3"/>
    </row>
    <row r="85">
      <c r="A85" s="1"/>
      <c r="B85" s="1"/>
      <c r="C85" s="3"/>
      <c r="D85" s="1"/>
      <c r="E85" s="1"/>
      <c r="F85" s="3"/>
      <c r="G85" s="3"/>
      <c r="H85" s="3"/>
      <c r="I85" s="3"/>
    </row>
    <row r="86">
      <c r="A86" s="1"/>
      <c r="B86" s="1"/>
      <c r="C86" s="3"/>
      <c r="D86" s="1"/>
      <c r="E86" s="1"/>
      <c r="F86" s="3"/>
      <c r="G86" s="3"/>
      <c r="H86" s="3"/>
      <c r="I86" s="3"/>
    </row>
    <row r="87">
      <c r="A87" s="1"/>
      <c r="B87" s="1"/>
      <c r="C87" s="3"/>
      <c r="D87" s="1"/>
      <c r="E87" s="1"/>
      <c r="F87" s="3"/>
      <c r="G87" s="3"/>
      <c r="H87" s="3"/>
      <c r="I87" s="3"/>
    </row>
    <row r="88">
      <c r="A88" s="1"/>
      <c r="B88" s="1"/>
      <c r="C88" s="3"/>
      <c r="D88" s="1"/>
      <c r="E88" s="1"/>
      <c r="F88" s="3"/>
      <c r="G88" s="3"/>
      <c r="H88" s="3"/>
      <c r="I88" s="3"/>
    </row>
    <row r="89">
      <c r="A89" s="1"/>
      <c r="B89" s="1"/>
      <c r="C89" s="3"/>
      <c r="D89" s="1"/>
      <c r="E89" s="1"/>
      <c r="F89" s="3"/>
      <c r="G89" s="3"/>
      <c r="H89" s="3"/>
      <c r="I89" s="3"/>
    </row>
    <row r="90">
      <c r="A90" s="1"/>
      <c r="B90" s="1"/>
      <c r="C90" s="3"/>
      <c r="D90" s="1"/>
      <c r="E90" s="1"/>
      <c r="F90" s="3"/>
      <c r="G90" s="3"/>
      <c r="H90" s="3"/>
      <c r="I90" s="3"/>
    </row>
    <row r="91">
      <c r="A91" s="1"/>
      <c r="B91" s="1"/>
      <c r="C91" s="3"/>
      <c r="D91" s="1"/>
      <c r="E91" s="1"/>
      <c r="F91" s="3"/>
      <c r="G91" s="3"/>
      <c r="H91" s="3"/>
      <c r="I91" s="3"/>
    </row>
    <row r="92">
      <c r="A92" s="1"/>
      <c r="B92" s="1"/>
      <c r="C92" s="3"/>
      <c r="D92" s="1"/>
      <c r="E92" s="1"/>
      <c r="F92" s="3"/>
      <c r="G92" s="3"/>
      <c r="H92" s="3"/>
      <c r="I92" s="3"/>
    </row>
    <row r="93">
      <c r="A93" s="1"/>
      <c r="B93" s="1"/>
      <c r="C93" s="3"/>
      <c r="D93" s="1"/>
      <c r="E93" s="1"/>
      <c r="F93" s="3"/>
      <c r="G93" s="3"/>
      <c r="H93" s="3"/>
      <c r="I93" s="3"/>
    </row>
    <row r="94">
      <c r="A94" s="1"/>
      <c r="B94" s="1"/>
      <c r="C94" s="3"/>
      <c r="D94" s="1"/>
      <c r="E94" s="1"/>
      <c r="F94" s="3"/>
      <c r="G94" s="3"/>
      <c r="H94" s="3"/>
      <c r="I94" s="3"/>
    </row>
    <row r="95">
      <c r="A95" s="1"/>
      <c r="B95" s="1"/>
      <c r="C95" s="3"/>
      <c r="D95" s="1"/>
      <c r="E95" s="1"/>
      <c r="F95" s="3"/>
      <c r="G95" s="3"/>
      <c r="H95" s="3"/>
      <c r="I95" s="3"/>
    </row>
    <row r="96">
      <c r="A96" s="1"/>
      <c r="B96" s="1"/>
      <c r="C96" s="3"/>
      <c r="D96" s="1"/>
      <c r="E96" s="1"/>
      <c r="F96" s="3"/>
      <c r="G96" s="3"/>
      <c r="H96" s="3"/>
      <c r="I96" s="3"/>
    </row>
    <row r="97">
      <c r="A97" s="1"/>
      <c r="B97" s="1"/>
      <c r="C97" s="3"/>
      <c r="D97" s="1"/>
      <c r="E97" s="1"/>
      <c r="F97" s="3"/>
      <c r="G97" s="3"/>
      <c r="H97" s="3"/>
      <c r="I97" s="3"/>
    </row>
    <row r="98">
      <c r="A98" s="1"/>
      <c r="B98" s="1"/>
      <c r="C98" s="3"/>
      <c r="D98" s="1"/>
      <c r="E98" s="1"/>
      <c r="F98" s="3"/>
      <c r="G98" s="3"/>
      <c r="H98" s="3"/>
      <c r="I98" s="3"/>
    </row>
    <row r="99">
      <c r="A99" s="1"/>
      <c r="B99" s="1"/>
      <c r="C99" s="3"/>
      <c r="D99" s="1"/>
      <c r="E99" s="1"/>
      <c r="F99" s="3"/>
      <c r="G99" s="3"/>
      <c r="H99" s="3"/>
      <c r="I99" s="3"/>
    </row>
    <row r="100">
      <c r="A100" s="1"/>
      <c r="B100" s="1"/>
      <c r="C100" s="3"/>
      <c r="D100" s="1"/>
      <c r="E100" s="1"/>
      <c r="F100" s="3"/>
      <c r="G100" s="3"/>
      <c r="H100" s="3"/>
      <c r="I100" s="3"/>
    </row>
    <row r="101">
      <c r="A101" s="1"/>
      <c r="B101" s="1"/>
      <c r="C101" s="3"/>
      <c r="D101" s="1"/>
      <c r="E101" s="1"/>
      <c r="F101" s="3"/>
      <c r="G101" s="3"/>
      <c r="H101" s="3"/>
      <c r="I101" s="3"/>
    </row>
    <row r="102">
      <c r="A102" s="1"/>
      <c r="B102" s="1"/>
      <c r="C102" s="3"/>
      <c r="D102" s="1"/>
      <c r="E102" s="1"/>
      <c r="F102" s="3"/>
      <c r="G102" s="3"/>
      <c r="H102" s="3"/>
      <c r="I102" s="3"/>
    </row>
    <row r="103">
      <c r="A103" s="1"/>
      <c r="B103" s="1"/>
      <c r="C103" s="3"/>
      <c r="D103" s="1"/>
      <c r="E103" s="1"/>
      <c r="F103" s="3"/>
      <c r="G103" s="3"/>
      <c r="H103" s="3"/>
      <c r="I103" s="3"/>
    </row>
    <row r="104">
      <c r="A104" s="1"/>
      <c r="B104" s="1"/>
      <c r="C104" s="3"/>
      <c r="D104" s="1"/>
      <c r="E104" s="1"/>
      <c r="F104" s="3"/>
      <c r="G104" s="3"/>
      <c r="H104" s="3"/>
      <c r="I104" s="3"/>
    </row>
    <row r="105">
      <c r="A105" s="1"/>
      <c r="B105" s="1"/>
      <c r="C105" s="3"/>
      <c r="D105" s="1"/>
      <c r="E105" s="1"/>
      <c r="F105" s="3"/>
      <c r="G105" s="3"/>
      <c r="H105" s="3"/>
      <c r="I105" s="3"/>
    </row>
    <row r="106">
      <c r="A106" s="1"/>
      <c r="B106" s="1"/>
      <c r="C106" s="3"/>
      <c r="D106" s="1"/>
      <c r="E106" s="1"/>
      <c r="F106" s="3"/>
      <c r="G106" s="3"/>
      <c r="H106" s="3"/>
      <c r="I106" s="3"/>
    </row>
    <row r="107">
      <c r="A107" s="1"/>
      <c r="B107" s="1"/>
      <c r="C107" s="3"/>
      <c r="D107" s="1"/>
      <c r="E107" s="1"/>
      <c r="F107" s="3"/>
      <c r="G107" s="3"/>
      <c r="H107" s="3"/>
      <c r="I107" s="3"/>
    </row>
    <row r="108">
      <c r="A108" s="1"/>
      <c r="B108" s="1"/>
      <c r="C108" s="3"/>
      <c r="D108" s="1"/>
      <c r="E108" s="1"/>
      <c r="F108" s="3"/>
      <c r="G108" s="3"/>
      <c r="H108" s="3"/>
      <c r="I108" s="3"/>
    </row>
    <row r="109">
      <c r="A109" s="1"/>
      <c r="B109" s="1"/>
      <c r="C109" s="3"/>
      <c r="D109" s="1"/>
      <c r="E109" s="1"/>
      <c r="F109" s="3"/>
      <c r="G109" s="3"/>
      <c r="H109" s="3"/>
      <c r="I109" s="3"/>
    </row>
    <row r="110">
      <c r="A110" s="1"/>
      <c r="B110" s="1"/>
      <c r="C110" s="3"/>
      <c r="D110" s="1"/>
      <c r="E110" s="1"/>
      <c r="F110" s="3"/>
      <c r="G110" s="3"/>
      <c r="H110" s="3"/>
      <c r="I110" s="3"/>
    </row>
    <row r="111">
      <c r="A111" s="1"/>
      <c r="B111" s="1"/>
      <c r="C111" s="3"/>
      <c r="D111" s="1"/>
      <c r="E111" s="1"/>
      <c r="F111" s="3"/>
      <c r="G111" s="3"/>
      <c r="H111" s="3"/>
      <c r="I111" s="3"/>
    </row>
    <row r="112">
      <c r="A112" s="1"/>
      <c r="B112" s="1"/>
      <c r="C112" s="3"/>
      <c r="D112" s="1"/>
      <c r="E112" s="1"/>
      <c r="F112" s="3"/>
      <c r="G112" s="3"/>
      <c r="H112" s="3"/>
      <c r="I112" s="3"/>
    </row>
    <row r="113">
      <c r="A113" s="1"/>
      <c r="B113" s="1"/>
      <c r="C113" s="3"/>
      <c r="D113" s="1"/>
      <c r="E113" s="1"/>
      <c r="F113" s="3"/>
      <c r="G113" s="3"/>
      <c r="H113" s="3"/>
      <c r="I113" s="3"/>
    </row>
    <row r="114">
      <c r="A114" s="1"/>
      <c r="B114" s="1"/>
      <c r="C114" s="3"/>
      <c r="D114" s="1"/>
      <c r="E114" s="1"/>
      <c r="F114" s="3"/>
      <c r="G114" s="3"/>
      <c r="H114" s="3"/>
      <c r="I114" s="3"/>
    </row>
    <row r="115">
      <c r="A115" s="1"/>
      <c r="B115" s="1"/>
      <c r="C115" s="3"/>
      <c r="D115" s="1"/>
      <c r="E115" s="1"/>
      <c r="F115" s="3"/>
      <c r="G115" s="3"/>
      <c r="H115" s="3"/>
      <c r="I115" s="3"/>
    </row>
    <row r="116">
      <c r="A116" s="1"/>
      <c r="B116" s="1"/>
      <c r="C116" s="3"/>
      <c r="D116" s="1"/>
      <c r="E116" s="1"/>
      <c r="F116" s="3"/>
      <c r="G116" s="3"/>
      <c r="H116" s="3"/>
      <c r="I116" s="3"/>
    </row>
    <row r="117">
      <c r="A117" s="1"/>
      <c r="B117" s="1"/>
      <c r="C117" s="3"/>
      <c r="D117" s="1"/>
      <c r="E117" s="1"/>
      <c r="F117" s="3"/>
      <c r="G117" s="3"/>
      <c r="H117" s="3"/>
      <c r="I117" s="3"/>
    </row>
    <row r="118">
      <c r="A118" s="1"/>
      <c r="B118" s="1"/>
      <c r="C118" s="3"/>
      <c r="D118" s="1"/>
      <c r="E118" s="1"/>
      <c r="F118" s="3"/>
      <c r="G118" s="3"/>
      <c r="H118" s="3"/>
      <c r="I118" s="3"/>
    </row>
    <row r="119">
      <c r="A119" s="1"/>
      <c r="B119" s="1"/>
      <c r="C119" s="3"/>
      <c r="D119" s="1"/>
      <c r="E119" s="1"/>
      <c r="F119" s="3"/>
      <c r="G119" s="3"/>
      <c r="H119" s="3"/>
      <c r="I119" s="3"/>
    </row>
    <row r="120">
      <c r="A120" s="1"/>
      <c r="B120" s="1"/>
      <c r="C120" s="3"/>
      <c r="D120" s="1"/>
      <c r="E120" s="1"/>
      <c r="F120" s="3"/>
      <c r="G120" s="3"/>
      <c r="H120" s="3"/>
      <c r="I120" s="3"/>
    </row>
    <row r="121">
      <c r="A121" s="1"/>
      <c r="B121" s="1"/>
      <c r="C121" s="3"/>
      <c r="D121" s="1"/>
      <c r="E121" s="1"/>
      <c r="F121" s="3"/>
      <c r="G121" s="3"/>
      <c r="H121" s="3"/>
      <c r="I121" s="3"/>
    </row>
    <row r="122">
      <c r="A122" s="1"/>
      <c r="B122" s="1"/>
      <c r="C122" s="3"/>
      <c r="D122" s="1"/>
      <c r="E122" s="1"/>
      <c r="F122" s="3"/>
      <c r="G122" s="3"/>
      <c r="H122" s="3"/>
      <c r="I122" s="3"/>
    </row>
    <row r="123">
      <c r="A123" s="1"/>
      <c r="B123" s="1"/>
      <c r="C123" s="3"/>
      <c r="D123" s="1"/>
      <c r="E123" s="1"/>
      <c r="F123" s="3"/>
      <c r="G123" s="3"/>
      <c r="H123" s="3"/>
      <c r="I123" s="3"/>
    </row>
    <row r="124">
      <c r="A124" s="1"/>
      <c r="B124" s="1"/>
      <c r="C124" s="3"/>
      <c r="D124" s="1"/>
      <c r="E124" s="1"/>
      <c r="F124" s="3"/>
      <c r="G124" s="3"/>
      <c r="H124" s="3"/>
      <c r="I124" s="3"/>
    </row>
    <row r="125">
      <c r="A125" s="1"/>
      <c r="B125" s="1"/>
      <c r="C125" s="3"/>
      <c r="D125" s="1"/>
      <c r="E125" s="1"/>
      <c r="F125" s="3"/>
      <c r="G125" s="3"/>
      <c r="H125" s="3"/>
      <c r="I125" s="3"/>
    </row>
    <row r="126">
      <c r="A126" s="1"/>
      <c r="B126" s="1"/>
      <c r="C126" s="3"/>
      <c r="D126" s="1"/>
      <c r="E126" s="1"/>
      <c r="F126" s="3"/>
      <c r="G126" s="3"/>
      <c r="H126" s="3"/>
      <c r="I126" s="3"/>
    </row>
    <row r="127">
      <c r="A127" s="1"/>
      <c r="B127" s="1"/>
      <c r="C127" s="3"/>
      <c r="D127" s="1"/>
      <c r="E127" s="1"/>
      <c r="F127" s="3"/>
      <c r="G127" s="3"/>
      <c r="H127" s="3"/>
      <c r="I127" s="3"/>
    </row>
    <row r="128">
      <c r="A128" s="1"/>
      <c r="B128" s="1"/>
      <c r="C128" s="3"/>
      <c r="D128" s="1"/>
      <c r="E128" s="1"/>
      <c r="F128" s="3"/>
      <c r="G128" s="3"/>
      <c r="H128" s="3"/>
      <c r="I128" s="3"/>
    </row>
    <row r="129">
      <c r="A129" s="1"/>
      <c r="B129" s="1"/>
      <c r="C129" s="3"/>
      <c r="D129" s="1"/>
      <c r="E129" s="1"/>
      <c r="F129" s="3"/>
      <c r="G129" s="3"/>
      <c r="H129" s="3"/>
      <c r="I129" s="3"/>
    </row>
    <row r="130">
      <c r="A130" s="1"/>
      <c r="B130" s="1"/>
      <c r="C130" s="3"/>
      <c r="D130" s="1"/>
      <c r="E130" s="1"/>
      <c r="F130" s="3"/>
      <c r="G130" s="3"/>
      <c r="H130" s="3"/>
      <c r="I130" s="3"/>
    </row>
    <row r="131">
      <c r="A131" s="1"/>
      <c r="B131" s="1"/>
      <c r="C131" s="3"/>
      <c r="D131" s="1"/>
      <c r="E131" s="1"/>
      <c r="F131" s="3"/>
      <c r="G131" s="3"/>
      <c r="H131" s="3"/>
      <c r="I131" s="3"/>
    </row>
    <row r="132">
      <c r="A132" s="1"/>
      <c r="B132" s="1"/>
      <c r="C132" s="3"/>
      <c r="D132" s="1"/>
      <c r="E132" s="1"/>
      <c r="F132" s="3"/>
      <c r="G132" s="3"/>
      <c r="H132" s="3"/>
      <c r="I132" s="3"/>
    </row>
    <row r="133">
      <c r="A133" s="1"/>
      <c r="B133" s="1"/>
      <c r="C133" s="3"/>
      <c r="D133" s="1"/>
      <c r="E133" s="1"/>
      <c r="F133" s="3"/>
      <c r="G133" s="3"/>
      <c r="H133" s="3"/>
      <c r="I133" s="3"/>
    </row>
    <row r="134">
      <c r="A134" s="1"/>
      <c r="B134" s="1"/>
      <c r="C134" s="3"/>
      <c r="D134" s="1"/>
      <c r="E134" s="1"/>
      <c r="F134" s="3"/>
      <c r="G134" s="3"/>
      <c r="H134" s="3"/>
      <c r="I134" s="3"/>
    </row>
    <row r="135">
      <c r="A135" s="1"/>
      <c r="B135" s="1"/>
      <c r="C135" s="3"/>
      <c r="D135" s="1"/>
      <c r="E135" s="1"/>
      <c r="F135" s="3"/>
      <c r="G135" s="3"/>
      <c r="H135" s="3"/>
      <c r="I135" s="3"/>
    </row>
    <row r="136">
      <c r="A136" s="1"/>
      <c r="B136" s="1"/>
      <c r="C136" s="3"/>
      <c r="D136" s="1"/>
      <c r="E136" s="1"/>
      <c r="F136" s="3"/>
      <c r="G136" s="3"/>
      <c r="H136" s="3"/>
      <c r="I136" s="3"/>
    </row>
    <row r="137">
      <c r="A137" s="1"/>
      <c r="B137" s="1"/>
      <c r="C137" s="3"/>
      <c r="D137" s="1"/>
      <c r="E137" s="1"/>
      <c r="F137" s="3"/>
      <c r="G137" s="3"/>
      <c r="H137" s="3"/>
      <c r="I137" s="3"/>
    </row>
    <row r="138">
      <c r="A138" s="1"/>
      <c r="B138" s="1"/>
      <c r="C138" s="3"/>
      <c r="D138" s="1"/>
      <c r="E138" s="1"/>
      <c r="F138" s="3"/>
      <c r="G138" s="3"/>
      <c r="H138" s="3"/>
      <c r="I138" s="3"/>
    </row>
    <row r="139">
      <c r="A139" s="1"/>
      <c r="B139" s="1"/>
      <c r="C139" s="3"/>
      <c r="D139" s="1"/>
      <c r="E139" s="1"/>
      <c r="F139" s="3"/>
      <c r="G139" s="3"/>
      <c r="H139" s="3"/>
      <c r="I139" s="3"/>
    </row>
    <row r="140">
      <c r="A140" s="1"/>
      <c r="B140" s="1"/>
      <c r="C140" s="3"/>
      <c r="D140" s="1"/>
      <c r="E140" s="1"/>
      <c r="F140" s="3"/>
      <c r="G140" s="3"/>
      <c r="H140" s="3"/>
      <c r="I140" s="3"/>
    </row>
    <row r="141">
      <c r="A141" s="1"/>
      <c r="B141" s="1"/>
      <c r="C141" s="3"/>
      <c r="D141" s="1"/>
      <c r="E141" s="1"/>
      <c r="F141" s="3"/>
      <c r="G141" s="3"/>
      <c r="H141" s="3"/>
      <c r="I141" s="3"/>
    </row>
    <row r="142">
      <c r="A142" s="1"/>
      <c r="B142" s="1"/>
      <c r="C142" s="3"/>
      <c r="D142" s="1"/>
      <c r="E142" s="1"/>
      <c r="F142" s="3"/>
      <c r="G142" s="3"/>
      <c r="H142" s="3"/>
      <c r="I142" s="3"/>
    </row>
    <row r="143">
      <c r="A143" s="1"/>
      <c r="B143" s="1"/>
      <c r="C143" s="3"/>
      <c r="D143" s="1"/>
      <c r="E143" s="1"/>
      <c r="F143" s="3"/>
      <c r="G143" s="3"/>
      <c r="H143" s="3"/>
      <c r="I143" s="3"/>
    </row>
    <row r="144">
      <c r="A144" s="1"/>
      <c r="B144" s="1"/>
      <c r="C144" s="3"/>
      <c r="D144" s="1"/>
      <c r="E144" s="1"/>
      <c r="F144" s="3"/>
      <c r="G144" s="3"/>
      <c r="H144" s="3"/>
      <c r="I144" s="3"/>
    </row>
    <row r="145">
      <c r="A145" s="1"/>
      <c r="B145" s="1"/>
      <c r="C145" s="3"/>
      <c r="D145" s="1"/>
      <c r="E145" s="1"/>
      <c r="F145" s="3"/>
      <c r="G145" s="3"/>
      <c r="H145" s="3"/>
      <c r="I145" s="3"/>
    </row>
    <row r="146">
      <c r="A146" s="1"/>
      <c r="B146" s="1"/>
      <c r="C146" s="3"/>
      <c r="D146" s="1"/>
      <c r="E146" s="1"/>
      <c r="F146" s="3"/>
      <c r="G146" s="3"/>
      <c r="H146" s="3"/>
      <c r="I146" s="3"/>
    </row>
    <row r="147">
      <c r="A147" s="1"/>
      <c r="B147" s="1"/>
      <c r="C147" s="3"/>
      <c r="D147" s="1"/>
      <c r="E147" s="1"/>
      <c r="F147" s="3"/>
      <c r="G147" s="3"/>
      <c r="H147" s="3"/>
      <c r="I147" s="3"/>
    </row>
    <row r="148">
      <c r="A148" s="1"/>
      <c r="B148" s="1"/>
      <c r="C148" s="3"/>
      <c r="D148" s="1"/>
      <c r="E148" s="1"/>
      <c r="F148" s="3"/>
      <c r="G148" s="3"/>
      <c r="H148" s="3"/>
      <c r="I148" s="3"/>
    </row>
    <row r="149">
      <c r="A149" s="1"/>
      <c r="B149" s="1"/>
      <c r="C149" s="3"/>
      <c r="D149" s="1"/>
      <c r="E149" s="1"/>
      <c r="F149" s="3"/>
      <c r="G149" s="3"/>
      <c r="H149" s="3"/>
      <c r="I149" s="3"/>
    </row>
    <row r="150">
      <c r="A150" s="1"/>
      <c r="B150" s="1"/>
      <c r="C150" s="3"/>
      <c r="D150" s="1"/>
      <c r="E150" s="1"/>
      <c r="F150" s="3"/>
      <c r="G150" s="3"/>
      <c r="H150" s="3"/>
      <c r="I150" s="3"/>
    </row>
    <row r="151">
      <c r="A151" s="1"/>
      <c r="B151" s="1"/>
      <c r="C151" s="3"/>
      <c r="D151" s="1"/>
      <c r="E151" s="1"/>
      <c r="F151" s="3"/>
      <c r="G151" s="3"/>
      <c r="H151" s="3"/>
      <c r="I151" s="3"/>
    </row>
    <row r="152">
      <c r="A152" s="1"/>
      <c r="B152" s="1"/>
      <c r="C152" s="3"/>
      <c r="D152" s="1"/>
      <c r="E152" s="1"/>
      <c r="F152" s="3"/>
      <c r="G152" s="3"/>
      <c r="H152" s="3"/>
      <c r="I152" s="3"/>
    </row>
    <row r="153">
      <c r="A153" s="1"/>
      <c r="B153" s="1"/>
      <c r="C153" s="3"/>
      <c r="D153" s="1"/>
      <c r="E153" s="1"/>
      <c r="F153" s="3"/>
      <c r="G153" s="3"/>
      <c r="H153" s="3"/>
      <c r="I153" s="3"/>
    </row>
    <row r="154">
      <c r="A154" s="1"/>
      <c r="B154" s="1"/>
      <c r="C154" s="3"/>
      <c r="D154" s="1"/>
      <c r="E154" s="1"/>
      <c r="F154" s="3"/>
      <c r="G154" s="3"/>
      <c r="H154" s="3"/>
      <c r="I154" s="3"/>
    </row>
    <row r="155">
      <c r="A155" s="1"/>
      <c r="B155" s="1"/>
      <c r="C155" s="3"/>
      <c r="D155" s="1"/>
      <c r="E155" s="1"/>
      <c r="F155" s="3"/>
      <c r="G155" s="3"/>
      <c r="H155" s="3"/>
      <c r="I155" s="3"/>
    </row>
    <row r="156">
      <c r="A156" s="1"/>
      <c r="B156" s="1"/>
      <c r="C156" s="3"/>
      <c r="D156" s="1"/>
      <c r="E156" s="1"/>
      <c r="F156" s="3"/>
      <c r="G156" s="3"/>
      <c r="H156" s="3"/>
      <c r="I156" s="3"/>
    </row>
    <row r="157">
      <c r="A157" s="1"/>
      <c r="B157" s="1"/>
      <c r="C157" s="3"/>
      <c r="D157" s="1"/>
      <c r="E157" s="1"/>
      <c r="F157" s="3"/>
      <c r="G157" s="3"/>
      <c r="H157" s="3"/>
      <c r="I157" s="3"/>
    </row>
    <row r="158">
      <c r="A158" s="1"/>
      <c r="B158" s="1"/>
      <c r="C158" s="3"/>
      <c r="D158" s="1"/>
      <c r="E158" s="1"/>
      <c r="F158" s="3"/>
      <c r="G158" s="3"/>
      <c r="H158" s="3"/>
      <c r="I158" s="3"/>
    </row>
    <row r="159">
      <c r="A159" s="1"/>
      <c r="B159" s="1"/>
      <c r="C159" s="3"/>
      <c r="D159" s="1"/>
      <c r="E159" s="1"/>
      <c r="F159" s="3"/>
      <c r="G159" s="3"/>
      <c r="H159" s="3"/>
      <c r="I159" s="3"/>
    </row>
    <row r="160">
      <c r="A160" s="1"/>
      <c r="B160" s="1"/>
      <c r="C160" s="3"/>
      <c r="D160" s="1"/>
      <c r="E160" s="1"/>
      <c r="F160" s="3"/>
      <c r="G160" s="3"/>
      <c r="H160" s="3"/>
      <c r="I160" s="3"/>
    </row>
    <row r="161">
      <c r="A161" s="1"/>
      <c r="B161" s="1"/>
      <c r="C161" s="3"/>
      <c r="D161" s="1"/>
      <c r="E161" s="1"/>
      <c r="F161" s="3"/>
      <c r="G161" s="3"/>
      <c r="H161" s="3"/>
      <c r="I161" s="3"/>
    </row>
    <row r="162">
      <c r="A162" s="1"/>
      <c r="B162" s="1"/>
      <c r="C162" s="3"/>
      <c r="D162" s="1"/>
      <c r="E162" s="1"/>
      <c r="F162" s="3"/>
      <c r="G162" s="3"/>
      <c r="H162" s="3"/>
      <c r="I162" s="3"/>
    </row>
    <row r="163">
      <c r="A163" s="1"/>
      <c r="B163" s="1"/>
      <c r="C163" s="3"/>
      <c r="D163" s="1"/>
      <c r="E163" s="1"/>
      <c r="F163" s="3"/>
      <c r="G163" s="3"/>
      <c r="H163" s="3"/>
      <c r="I163" s="3"/>
    </row>
    <row r="164">
      <c r="A164" s="1"/>
      <c r="B164" s="1"/>
      <c r="C164" s="3"/>
      <c r="D164" s="1"/>
      <c r="E164" s="1"/>
      <c r="F164" s="3"/>
      <c r="G164" s="3"/>
      <c r="H164" s="3"/>
      <c r="I164" s="3"/>
    </row>
    <row r="165">
      <c r="A165" s="1"/>
      <c r="B165" s="1"/>
      <c r="C165" s="3"/>
      <c r="D165" s="1"/>
      <c r="E165" s="1"/>
      <c r="F165" s="3"/>
      <c r="G165" s="3"/>
      <c r="H165" s="3"/>
      <c r="I165" s="3"/>
    </row>
    <row r="166">
      <c r="A166" s="1"/>
      <c r="B166" s="1"/>
      <c r="C166" s="3"/>
      <c r="D166" s="1"/>
      <c r="E166" s="1"/>
      <c r="F166" s="3"/>
      <c r="G166" s="3"/>
      <c r="H166" s="3"/>
      <c r="I166" s="3"/>
    </row>
    <row r="167">
      <c r="A167" s="1"/>
      <c r="B167" s="1"/>
      <c r="C167" s="3"/>
      <c r="D167" s="1"/>
      <c r="E167" s="1"/>
      <c r="F167" s="3"/>
      <c r="G167" s="3"/>
      <c r="H167" s="3"/>
      <c r="I167" s="3"/>
    </row>
    <row r="168">
      <c r="A168" s="1"/>
      <c r="B168" s="1"/>
      <c r="C168" s="3"/>
      <c r="D168" s="1"/>
      <c r="E168" s="1"/>
      <c r="F168" s="3"/>
      <c r="G168" s="3"/>
      <c r="H168" s="3"/>
      <c r="I168" s="3"/>
    </row>
    <row r="169">
      <c r="A169" s="1"/>
      <c r="B169" s="1"/>
      <c r="C169" s="3"/>
      <c r="D169" s="1"/>
      <c r="E169" s="1"/>
      <c r="F169" s="3"/>
      <c r="G169" s="3"/>
      <c r="H169" s="3"/>
      <c r="I169" s="3"/>
    </row>
    <row r="170">
      <c r="A170" s="1"/>
      <c r="B170" s="1"/>
      <c r="C170" s="3"/>
      <c r="D170" s="1"/>
      <c r="E170" s="1"/>
      <c r="F170" s="3"/>
      <c r="G170" s="3"/>
      <c r="H170" s="3"/>
      <c r="I170" s="3"/>
    </row>
    <row r="171">
      <c r="A171" s="1"/>
      <c r="B171" s="1"/>
      <c r="C171" s="3"/>
      <c r="D171" s="1"/>
      <c r="E171" s="1"/>
      <c r="F171" s="3"/>
      <c r="G171" s="3"/>
      <c r="H171" s="3"/>
      <c r="I171" s="3"/>
    </row>
    <row r="172">
      <c r="A172" s="1"/>
      <c r="B172" s="1"/>
      <c r="C172" s="3"/>
      <c r="D172" s="1"/>
      <c r="E172" s="1"/>
      <c r="F172" s="3"/>
      <c r="G172" s="3"/>
      <c r="H172" s="3"/>
      <c r="I172" s="3"/>
    </row>
    <row r="173">
      <c r="A173" s="1"/>
      <c r="B173" s="1"/>
      <c r="C173" s="3"/>
      <c r="D173" s="1"/>
      <c r="E173" s="1"/>
      <c r="F173" s="3"/>
      <c r="G173" s="3"/>
      <c r="H173" s="3"/>
      <c r="I173" s="3"/>
    </row>
    <row r="174">
      <c r="A174" s="1"/>
      <c r="B174" s="1"/>
      <c r="C174" s="3"/>
      <c r="D174" s="1"/>
      <c r="E174" s="1"/>
      <c r="F174" s="3"/>
      <c r="G174" s="3"/>
      <c r="H174" s="3"/>
      <c r="I174" s="3"/>
    </row>
    <row r="175">
      <c r="A175" s="1"/>
      <c r="B175" s="1"/>
      <c r="C175" s="3"/>
      <c r="D175" s="1"/>
      <c r="E175" s="1"/>
      <c r="F175" s="3"/>
      <c r="G175" s="3"/>
      <c r="H175" s="3"/>
      <c r="I175" s="3"/>
    </row>
    <row r="176">
      <c r="A176" s="1"/>
      <c r="B176" s="1"/>
      <c r="C176" s="3"/>
      <c r="D176" s="1"/>
      <c r="E176" s="1"/>
      <c r="F176" s="3"/>
      <c r="G176" s="3"/>
      <c r="H176" s="3"/>
      <c r="I176" s="3"/>
    </row>
    <row r="177">
      <c r="A177" s="1"/>
      <c r="B177" s="1"/>
      <c r="C177" s="3"/>
      <c r="D177" s="1"/>
      <c r="E177" s="1"/>
      <c r="F177" s="3"/>
      <c r="G177" s="3"/>
      <c r="H177" s="3"/>
      <c r="I177" s="3"/>
    </row>
    <row r="178">
      <c r="A178" s="1"/>
      <c r="B178" s="1"/>
      <c r="C178" s="3"/>
      <c r="D178" s="1"/>
      <c r="E178" s="1"/>
      <c r="F178" s="3"/>
      <c r="G178" s="3"/>
      <c r="H178" s="3"/>
      <c r="I178" s="3"/>
    </row>
    <row r="179">
      <c r="A179" s="1"/>
      <c r="B179" s="1"/>
      <c r="C179" s="3"/>
      <c r="D179" s="1"/>
      <c r="E179" s="1"/>
      <c r="F179" s="3"/>
      <c r="G179" s="3"/>
      <c r="H179" s="3"/>
      <c r="I179" s="3"/>
    </row>
    <row r="180">
      <c r="A180" s="1"/>
      <c r="B180" s="1"/>
      <c r="C180" s="3"/>
      <c r="D180" s="1"/>
      <c r="E180" s="1"/>
      <c r="F180" s="3"/>
      <c r="G180" s="3"/>
      <c r="H180" s="3"/>
      <c r="I180" s="3"/>
    </row>
    <row r="181">
      <c r="A181" s="1"/>
      <c r="B181" s="1"/>
      <c r="C181" s="3"/>
      <c r="D181" s="1"/>
      <c r="E181" s="1"/>
      <c r="F181" s="3"/>
      <c r="G181" s="3"/>
      <c r="H181" s="3"/>
      <c r="I181" s="3"/>
    </row>
    <row r="182">
      <c r="A182" s="1"/>
      <c r="B182" s="1"/>
      <c r="C182" s="3"/>
      <c r="D182" s="1"/>
      <c r="E182" s="1"/>
      <c r="F182" s="3"/>
      <c r="G182" s="3"/>
      <c r="H182" s="3"/>
      <c r="I182" s="3"/>
    </row>
    <row r="183">
      <c r="A183" s="1"/>
      <c r="B183" s="1"/>
      <c r="C183" s="3"/>
      <c r="D183" s="1"/>
      <c r="E183" s="1"/>
      <c r="F183" s="3"/>
      <c r="G183" s="3"/>
      <c r="H183" s="3"/>
      <c r="I183" s="3"/>
    </row>
    <row r="184">
      <c r="A184" s="1"/>
      <c r="B184" s="1"/>
      <c r="C184" s="3"/>
      <c r="D184" s="1"/>
      <c r="E184" s="1"/>
      <c r="F184" s="3"/>
      <c r="G184" s="3"/>
      <c r="H184" s="3"/>
      <c r="I184" s="3"/>
    </row>
    <row r="185">
      <c r="A185" s="1"/>
      <c r="B185" s="1"/>
      <c r="C185" s="3"/>
      <c r="D185" s="1"/>
      <c r="E185" s="1"/>
      <c r="F185" s="3"/>
      <c r="G185" s="3"/>
      <c r="H185" s="3"/>
      <c r="I185" s="3"/>
    </row>
    <row r="186">
      <c r="A186" s="1"/>
      <c r="B186" s="1"/>
      <c r="C186" s="3"/>
      <c r="D186" s="1"/>
      <c r="E186" s="1"/>
      <c r="F186" s="3"/>
      <c r="G186" s="3"/>
      <c r="H186" s="3"/>
      <c r="I186" s="3"/>
    </row>
    <row r="187">
      <c r="A187" s="1"/>
      <c r="B187" s="1"/>
      <c r="C187" s="3"/>
      <c r="D187" s="1"/>
      <c r="E187" s="1"/>
      <c r="F187" s="3"/>
      <c r="G187" s="3"/>
      <c r="H187" s="3"/>
      <c r="I187" s="3"/>
    </row>
    <row r="188">
      <c r="A188" s="1"/>
      <c r="B188" s="1"/>
      <c r="C188" s="3"/>
      <c r="D188" s="1"/>
      <c r="E188" s="1"/>
      <c r="F188" s="3"/>
      <c r="G188" s="3"/>
      <c r="H188" s="3"/>
      <c r="I188" s="3"/>
    </row>
    <row r="189">
      <c r="A189" s="1"/>
      <c r="B189" s="1"/>
      <c r="C189" s="3"/>
      <c r="D189" s="1"/>
      <c r="E189" s="1"/>
      <c r="F189" s="3"/>
      <c r="G189" s="3"/>
      <c r="H189" s="3"/>
      <c r="I189" s="3"/>
    </row>
    <row r="190">
      <c r="A190" s="1"/>
      <c r="B190" s="1"/>
      <c r="C190" s="3"/>
      <c r="D190" s="1"/>
      <c r="E190" s="1"/>
      <c r="F190" s="3"/>
      <c r="G190" s="3"/>
      <c r="H190" s="3"/>
      <c r="I190" s="3"/>
    </row>
    <row r="191">
      <c r="A191" s="1"/>
      <c r="B191" s="1"/>
      <c r="C191" s="3"/>
      <c r="D191" s="1"/>
      <c r="E191" s="1"/>
      <c r="F191" s="3"/>
      <c r="G191" s="3"/>
      <c r="H191" s="3"/>
      <c r="I191" s="3"/>
    </row>
    <row r="192">
      <c r="A192" s="1"/>
      <c r="B192" s="1"/>
      <c r="C192" s="3"/>
      <c r="D192" s="1"/>
      <c r="E192" s="1"/>
      <c r="F192" s="3"/>
      <c r="G192" s="3"/>
      <c r="H192" s="3"/>
      <c r="I192" s="3"/>
    </row>
    <row r="193">
      <c r="A193" s="1"/>
      <c r="B193" s="1"/>
      <c r="C193" s="3"/>
      <c r="D193" s="1"/>
      <c r="E193" s="1"/>
      <c r="F193" s="3"/>
      <c r="G193" s="3"/>
      <c r="H193" s="3"/>
      <c r="I193" s="3"/>
    </row>
    <row r="194">
      <c r="A194" s="1"/>
      <c r="B194" s="1"/>
      <c r="C194" s="3"/>
      <c r="D194" s="1"/>
      <c r="E194" s="1"/>
      <c r="F194" s="3"/>
      <c r="G194" s="3"/>
      <c r="H194" s="3"/>
      <c r="I194" s="3"/>
    </row>
    <row r="195">
      <c r="A195" s="1"/>
      <c r="B195" s="1"/>
      <c r="C195" s="3"/>
      <c r="D195" s="1"/>
      <c r="E195" s="1"/>
      <c r="F195" s="3"/>
      <c r="G195" s="3"/>
      <c r="H195" s="3"/>
      <c r="I195" s="3"/>
    </row>
    <row r="196">
      <c r="A196" s="1"/>
      <c r="B196" s="1"/>
      <c r="C196" s="3"/>
      <c r="D196" s="1"/>
      <c r="E196" s="1"/>
      <c r="F196" s="3"/>
      <c r="G196" s="3"/>
      <c r="H196" s="3"/>
      <c r="I196" s="3"/>
    </row>
    <row r="197">
      <c r="A197" s="1"/>
      <c r="B197" s="1"/>
      <c r="C197" s="3"/>
      <c r="D197" s="1"/>
      <c r="E197" s="1"/>
      <c r="F197" s="3"/>
      <c r="G197" s="3"/>
      <c r="H197" s="3"/>
      <c r="I197" s="3"/>
    </row>
    <row r="198">
      <c r="A198" s="1"/>
      <c r="B198" s="1"/>
      <c r="C198" s="3"/>
      <c r="D198" s="1"/>
      <c r="E198" s="1"/>
      <c r="F198" s="3"/>
      <c r="G198" s="3"/>
      <c r="H198" s="3"/>
      <c r="I198" s="3"/>
    </row>
    <row r="199">
      <c r="A199" s="1"/>
      <c r="B199" s="1"/>
      <c r="C199" s="3"/>
      <c r="D199" s="1"/>
      <c r="E199" s="1"/>
      <c r="F199" s="3"/>
      <c r="G199" s="3"/>
      <c r="H199" s="3"/>
      <c r="I199" s="3"/>
    </row>
    <row r="200">
      <c r="A200" s="1"/>
      <c r="B200" s="1"/>
      <c r="C200" s="3"/>
      <c r="D200" s="1"/>
      <c r="E200" s="1"/>
      <c r="F200" s="3"/>
      <c r="G200" s="3"/>
      <c r="H200" s="3"/>
      <c r="I200" s="3"/>
    </row>
    <row r="201">
      <c r="A201" s="1"/>
      <c r="B201" s="1"/>
      <c r="C201" s="3"/>
      <c r="D201" s="1"/>
      <c r="E201" s="1"/>
      <c r="F201" s="3"/>
      <c r="G201" s="3"/>
      <c r="H201" s="3"/>
      <c r="I201" s="3"/>
    </row>
    <row r="202">
      <c r="A202" s="1"/>
      <c r="B202" s="1"/>
      <c r="C202" s="3"/>
      <c r="D202" s="1"/>
      <c r="E202" s="1"/>
      <c r="F202" s="3"/>
      <c r="G202" s="3"/>
      <c r="H202" s="3"/>
      <c r="I202" s="3"/>
    </row>
    <row r="204">
      <c r="A204" s="1"/>
      <c r="B204" s="1"/>
      <c r="C204" s="3"/>
      <c r="D204" s="1"/>
      <c r="E204" s="1"/>
      <c r="F204" s="3"/>
      <c r="G204" s="3"/>
      <c r="H204" s="3"/>
      <c r="I204" s="3"/>
    </row>
    <row r="206">
      <c r="A206" s="1"/>
      <c r="B206" s="1"/>
      <c r="C206" s="3"/>
      <c r="D206" s="1"/>
      <c r="E206" s="1"/>
      <c r="F206" s="3"/>
      <c r="G206" s="3"/>
      <c r="H206" s="3"/>
      <c r="I206" s="3"/>
    </row>
    <row r="208">
      <c r="A208" s="1"/>
      <c r="B208" s="1"/>
      <c r="C208" s="3"/>
      <c r="D208" s="1"/>
      <c r="E208" s="1"/>
      <c r="F208" s="3"/>
      <c r="G208" s="3"/>
      <c r="H208" s="3"/>
      <c r="I208" s="3"/>
    </row>
    <row r="210">
      <c r="A210" s="1"/>
      <c r="B210" s="1"/>
      <c r="C210" s="3"/>
      <c r="D210" s="1"/>
      <c r="E210" s="1"/>
      <c r="F210" s="3"/>
      <c r="G210" s="3"/>
      <c r="H210" s="3"/>
      <c r="I210" s="3"/>
    </row>
    <row r="212">
      <c r="A212" s="1"/>
      <c r="B212" s="1"/>
      <c r="C212" s="3"/>
      <c r="D212" s="1"/>
      <c r="E212" s="1"/>
      <c r="F212" s="3"/>
      <c r="G212" s="3"/>
      <c r="H212" s="3"/>
      <c r="I212" s="3"/>
    </row>
    <row r="214">
      <c r="A214" s="1"/>
      <c r="B214" s="1"/>
      <c r="C214" s="3"/>
      <c r="D214" s="1"/>
      <c r="E214" s="1"/>
      <c r="F214" s="3"/>
      <c r="G214" s="3"/>
      <c r="H214" s="3"/>
      <c r="I214" s="3"/>
    </row>
    <row r="216">
      <c r="A216" s="1"/>
      <c r="B216" s="1"/>
      <c r="C216" s="3"/>
      <c r="D216" s="1"/>
      <c r="E216" s="1"/>
      <c r="F216" s="3"/>
      <c r="G216" s="3"/>
      <c r="H216" s="3"/>
      <c r="I216" s="3"/>
    </row>
    <row r="218">
      <c r="A218" s="1"/>
      <c r="B218" s="1"/>
      <c r="C218" s="3"/>
      <c r="D218" s="1"/>
      <c r="E218" s="1"/>
      <c r="F218" s="3"/>
      <c r="G218" s="3"/>
      <c r="H218" s="3"/>
      <c r="I218" s="3"/>
    </row>
    <row r="220">
      <c r="A220" s="1"/>
      <c r="B220" s="1"/>
      <c r="C220" s="3"/>
      <c r="D220" s="1"/>
      <c r="E220" s="1"/>
      <c r="F220" s="3"/>
      <c r="G220" s="3"/>
      <c r="H220" s="3"/>
      <c r="I220" s="3"/>
    </row>
    <row r="222">
      <c r="A222" s="1"/>
      <c r="B222" s="1"/>
      <c r="C222" s="3"/>
      <c r="D222" s="1"/>
      <c r="E222" s="1"/>
      <c r="F222" s="3"/>
      <c r="G222" s="3"/>
      <c r="H222" s="3"/>
      <c r="I222" s="3"/>
    </row>
    <row r="224">
      <c r="A224" s="1"/>
      <c r="B224" s="1"/>
      <c r="C224" s="3"/>
      <c r="D224" s="1"/>
      <c r="E224" s="1"/>
      <c r="F224" s="3"/>
      <c r="G224" s="3"/>
      <c r="H224" s="3"/>
      <c r="I224" s="3"/>
    </row>
    <row r="226">
      <c r="A226" s="1"/>
      <c r="B226" s="1"/>
      <c r="C226" s="3"/>
      <c r="D226" s="1"/>
      <c r="E226" s="1"/>
      <c r="F226" s="3"/>
      <c r="G226" s="3"/>
      <c r="H226" s="3"/>
      <c r="I226" s="3"/>
    </row>
    <row r="228">
      <c r="A228" s="1"/>
      <c r="B228" s="1"/>
      <c r="C228" s="3"/>
      <c r="D228" s="1"/>
      <c r="E228" s="1"/>
      <c r="F228" s="3"/>
      <c r="G228" s="3"/>
      <c r="H228" s="3"/>
      <c r="I228" s="3"/>
    </row>
    <row r="230">
      <c r="A230" s="1"/>
      <c r="B230" s="1"/>
      <c r="C230" s="3"/>
      <c r="D230" s="1"/>
      <c r="E230" s="1"/>
      <c r="F230" s="3"/>
      <c r="G230" s="3"/>
      <c r="H230" s="3"/>
      <c r="I230" s="3"/>
    </row>
    <row r="232">
      <c r="A232" s="1"/>
      <c r="B232" s="1"/>
      <c r="C232" s="3"/>
      <c r="D232" s="1"/>
      <c r="E232" s="1"/>
      <c r="F232" s="3"/>
      <c r="G232" s="3"/>
      <c r="H232" s="3"/>
      <c r="I232" s="3"/>
    </row>
    <row r="234">
      <c r="A234" s="1"/>
      <c r="B234" s="1"/>
      <c r="C234" s="3"/>
      <c r="D234" s="1"/>
      <c r="E234" s="1"/>
      <c r="F234" s="3"/>
      <c r="G234" s="3"/>
      <c r="H234" s="3"/>
      <c r="I234" s="3"/>
    </row>
    <row r="235">
      <c r="A235" s="1"/>
      <c r="B235" s="1"/>
      <c r="C235" s="3"/>
      <c r="D235" s="1"/>
      <c r="E235" s="1"/>
      <c r="F235" s="3"/>
      <c r="G235" s="3"/>
      <c r="H235" s="3"/>
      <c r="I235" s="3"/>
    </row>
    <row r="236">
      <c r="A236" s="1"/>
      <c r="B236" s="1"/>
      <c r="C236" s="3"/>
      <c r="D236" s="1"/>
      <c r="E236" s="1"/>
      <c r="F236" s="3"/>
      <c r="G236" s="3"/>
      <c r="H236" s="3"/>
      <c r="I236" s="3"/>
    </row>
    <row r="237">
      <c r="A237" s="1"/>
      <c r="B237" s="1"/>
      <c r="C237" s="3"/>
      <c r="D237" s="1"/>
      <c r="E237" s="1"/>
      <c r="F237" s="3"/>
      <c r="G237" s="3"/>
      <c r="H237" s="3"/>
      <c r="I237" s="3"/>
    </row>
    <row r="238">
      <c r="A238" s="1"/>
      <c r="B238" s="1"/>
      <c r="C238" s="3"/>
      <c r="D238" s="1"/>
      <c r="E238" s="1"/>
      <c r="F238" s="3"/>
      <c r="G238" s="3"/>
      <c r="H238" s="3"/>
      <c r="I238" s="3"/>
    </row>
    <row r="239">
      <c r="A239" s="1"/>
      <c r="B239" s="1"/>
      <c r="C239" s="3"/>
      <c r="D239" s="1"/>
      <c r="E239" s="1"/>
      <c r="F239" s="3"/>
      <c r="G239" s="3"/>
      <c r="H239" s="3"/>
      <c r="I239" s="3"/>
    </row>
    <row r="240">
      <c r="A240" s="1"/>
      <c r="B240" s="1"/>
      <c r="C240" s="3"/>
      <c r="D240" s="1"/>
      <c r="E240" s="1"/>
      <c r="F240" s="3"/>
      <c r="G240" s="3"/>
      <c r="H240" s="3"/>
      <c r="I240" s="3"/>
    </row>
    <row r="241">
      <c r="A241" s="1"/>
      <c r="B241" s="1"/>
      <c r="C241" s="3"/>
      <c r="D241" s="1"/>
      <c r="E241" s="1"/>
      <c r="F241" s="3"/>
      <c r="G241" s="3"/>
      <c r="H241" s="3"/>
      <c r="I24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75"/>
  </cols>
  <sheetData>
    <row r="1">
      <c r="A1" s="5" t="str">
        <f>Data!$A$1</f>
        <v>Instance</v>
      </c>
      <c r="B1" s="5" t="str">
        <f>Data!$B$1</f>
        <v>Solver Type</v>
      </c>
      <c r="C1" s="5" t="str">
        <f>Data!$C$1</f>
        <v>Solutions To Find</v>
      </c>
      <c r="D1" s="5" t="str">
        <f>Data!$D$1</f>
        <v>Variable Ordering</v>
      </c>
      <c r="E1" s="5" t="str">
        <f>Data!$E$1</f>
        <v>Value Ordering</v>
      </c>
      <c r="F1" s="5" t="str">
        <f>Data!$F$1</f>
        <v>Solutions Found</v>
      </c>
      <c r="G1" s="5" t="str">
        <f>Data!$G$1</f>
        <v>Nodes Explored</v>
      </c>
      <c r="H1" s="5" t="str">
        <f>Data!$H$1</f>
        <v>Revisions Done</v>
      </c>
      <c r="I1" s="5" t="str">
        <f>Data!$I$1</f>
        <v>Time Taken</v>
      </c>
      <c r="K1" s="5" t="str">
        <f>Data!$A$1</f>
        <v>Instance</v>
      </c>
      <c r="L1" s="5" t="str">
        <f>Data!$B$1</f>
        <v>Solver Type</v>
      </c>
      <c r="M1" s="5" t="str">
        <f>Data!$C$1</f>
        <v>Solutions To Find</v>
      </c>
      <c r="N1" s="5" t="str">
        <f>Data!$D$1</f>
        <v>Variable Ordering</v>
      </c>
      <c r="O1" s="5" t="str">
        <f>Data!$E$1</f>
        <v>Value Ordering</v>
      </c>
      <c r="P1" s="5" t="str">
        <f>Data!$F$1</f>
        <v>Solutions Found</v>
      </c>
      <c r="Q1" s="5" t="str">
        <f>Data!$G$1</f>
        <v>Nodes Explored</v>
      </c>
      <c r="R1" s="5" t="str">
        <f>Data!$H$1</f>
        <v>Revisions Done</v>
      </c>
      <c r="S1" s="5" t="str">
        <f>Data!$I$1</f>
        <v>Time Taken</v>
      </c>
      <c r="U1" s="5" t="str">
        <f>Data!$A$1</f>
        <v>Instance</v>
      </c>
      <c r="V1" s="5" t="str">
        <f>Data!$B$1</f>
        <v>Solver Type</v>
      </c>
      <c r="W1" s="5" t="str">
        <f>Data!$C$1</f>
        <v>Solutions To Find</v>
      </c>
      <c r="X1" s="5" t="str">
        <f>Data!$D$1</f>
        <v>Variable Ordering</v>
      </c>
      <c r="Y1" s="5" t="str">
        <f>Data!$E$1</f>
        <v>Value Ordering</v>
      </c>
      <c r="Z1" s="5" t="str">
        <f>Data!$F$1</f>
        <v>Solutions Found</v>
      </c>
      <c r="AA1" s="5" t="str">
        <f>Data!$G$1</f>
        <v>Nodes Explored</v>
      </c>
      <c r="AB1" s="5" t="str">
        <f>Data!$H$1</f>
        <v>Revisions Done</v>
      </c>
      <c r="AC1" s="5" t="str">
        <f>Data!$I$1</f>
        <v>Time Taken</v>
      </c>
      <c r="AE1" s="5" t="str">
        <f>Data!$A$1</f>
        <v>Instance</v>
      </c>
      <c r="AF1" s="5" t="str">
        <f>Data!$B$1</f>
        <v>Solver Type</v>
      </c>
      <c r="AG1" s="5" t="str">
        <f>Data!$C$1</f>
        <v>Solutions To Find</v>
      </c>
      <c r="AH1" s="5" t="str">
        <f>Data!$D$1</f>
        <v>Variable Ordering</v>
      </c>
      <c r="AI1" s="5" t="str">
        <f>Data!$E$1</f>
        <v>Value Ordering</v>
      </c>
      <c r="AJ1" s="5" t="str">
        <f>Data!$F$1</f>
        <v>Solutions Found</v>
      </c>
      <c r="AK1" s="5" t="str">
        <f>Data!$G$1</f>
        <v>Nodes Explored</v>
      </c>
      <c r="AL1" s="5" t="str">
        <f>Data!$H$1</f>
        <v>Revisions Done</v>
      </c>
      <c r="AM1" s="5" t="str">
        <f>Data!$I$1</f>
        <v>Time Taken</v>
      </c>
    </row>
    <row r="2">
      <c r="A2" s="5" t="str">
        <f t="array" ref="A2:S16">SORTN(U2:AM1000,$B$36,0,7,1)</f>
        <v>5Queens.csp</v>
      </c>
      <c r="B2" s="5" t="s">
        <v>11</v>
      </c>
      <c r="C2" s="5">
        <v>1.0</v>
      </c>
      <c r="D2" s="5" t="s">
        <v>12</v>
      </c>
      <c r="E2" s="5" t="s">
        <v>12</v>
      </c>
      <c r="F2" s="5">
        <v>1.0</v>
      </c>
      <c r="G2" s="5">
        <v>5.0</v>
      </c>
      <c r="H2" s="5">
        <v>66.0</v>
      </c>
      <c r="I2" s="5">
        <v>2.0</v>
      </c>
      <c r="J2" s="5"/>
      <c r="K2" s="5" t="s">
        <v>29</v>
      </c>
      <c r="L2" s="5" t="s">
        <v>15</v>
      </c>
      <c r="M2" s="5">
        <v>1.0</v>
      </c>
      <c r="N2" s="5" t="s">
        <v>12</v>
      </c>
      <c r="O2" s="5" t="s">
        <v>12</v>
      </c>
      <c r="P2" s="5">
        <v>1.0</v>
      </c>
      <c r="Q2" s="5">
        <v>5.0</v>
      </c>
      <c r="R2" s="5">
        <v>10.0</v>
      </c>
      <c r="S2" s="5">
        <v>14.0</v>
      </c>
      <c r="U2" s="2" t="str">
        <f>IFERROR(__xludf.DUMMYFUNCTION("FILTER(Data!A:I, Data!D:D=""ASCENDING"", Data!E:E=""ASCENDING"", Data!C:C=1, Data!B:B=""MAC"")"),"10Queens.csp")</f>
        <v>10Queens.csp</v>
      </c>
      <c r="V2" s="5" t="str">
        <f>IFERROR(__xludf.DUMMYFUNCTION("""COMPUTED_VALUE"""),"MAC")</f>
        <v>MAC</v>
      </c>
      <c r="W2" s="5">
        <f>IFERROR(__xludf.DUMMYFUNCTION("""COMPUTED_VALUE"""),1.0)</f>
        <v>1</v>
      </c>
      <c r="X2" s="5" t="str">
        <f>IFERROR(__xludf.DUMMYFUNCTION("""COMPUTED_VALUE"""),"ASCENDING")</f>
        <v>ASCENDING</v>
      </c>
      <c r="Y2" s="5" t="str">
        <f>IFERROR(__xludf.DUMMYFUNCTION("""COMPUTED_VALUE"""),"ASCENDING")</f>
        <v>ASCENDING</v>
      </c>
      <c r="Z2" s="5">
        <f>IFERROR(__xludf.DUMMYFUNCTION("""COMPUTED_VALUE"""),1.0)</f>
        <v>1</v>
      </c>
      <c r="AA2" s="5">
        <f>IFERROR(__xludf.DUMMYFUNCTION("""COMPUTED_VALUE"""),36.0)</f>
        <v>36</v>
      </c>
      <c r="AB2" s="5">
        <f>IFERROR(__xludf.DUMMYFUNCTION("""COMPUTED_VALUE"""),1507.0)</f>
        <v>1507</v>
      </c>
      <c r="AC2" s="5">
        <f>IFERROR(__xludf.DUMMYFUNCTION("""COMPUTED_VALUE"""),51.0)</f>
        <v>51</v>
      </c>
      <c r="AE2" s="5" t="str">
        <f>IFERROR(__xludf.DUMMYFUNCTION("FILTER(Data!A:I, Data!D:D=""ASCENDING"", Data!E:E=""ASCENDING"", Data!C:C=1, Data!B:B=""FC"")"),"10Queens.csp")</f>
        <v>10Queens.csp</v>
      </c>
      <c r="AF2" s="5" t="str">
        <f>IFERROR(__xludf.DUMMYFUNCTION("""COMPUTED_VALUE"""),"FC")</f>
        <v>FC</v>
      </c>
      <c r="AG2" s="5">
        <f>IFERROR(__xludf.DUMMYFUNCTION("""COMPUTED_VALUE"""),1.0)</f>
        <v>1</v>
      </c>
      <c r="AH2" s="5" t="str">
        <f>IFERROR(__xludf.DUMMYFUNCTION("""COMPUTED_VALUE"""),"ASCENDING")</f>
        <v>ASCENDING</v>
      </c>
      <c r="AI2" s="5" t="str">
        <f>IFERROR(__xludf.DUMMYFUNCTION("""COMPUTED_VALUE"""),"ASCENDING")</f>
        <v>ASCENDING</v>
      </c>
      <c r="AJ2" s="5">
        <f>IFERROR(__xludf.DUMMYFUNCTION("""COMPUTED_VALUE"""),1.0)</f>
        <v>1</v>
      </c>
      <c r="AK2" s="5">
        <f>IFERROR(__xludf.DUMMYFUNCTION("""COMPUTED_VALUE"""),150.0)</f>
        <v>150</v>
      </c>
      <c r="AL2" s="5">
        <f>IFERROR(__xludf.DUMMYFUNCTION("""COMPUTED_VALUE"""),415.0)</f>
        <v>415</v>
      </c>
      <c r="AM2" s="5">
        <f>IFERROR(__xludf.DUMMYFUNCTION("""COMPUTED_VALUE"""),222.0)</f>
        <v>222</v>
      </c>
    </row>
    <row r="3">
      <c r="A3" s="5" t="s">
        <v>28</v>
      </c>
      <c r="B3" s="5" t="s">
        <v>11</v>
      </c>
      <c r="C3" s="5">
        <v>1.0</v>
      </c>
      <c r="D3" s="5" t="s">
        <v>12</v>
      </c>
      <c r="E3" s="5" t="s">
        <v>12</v>
      </c>
      <c r="F3" s="5">
        <v>1.0</v>
      </c>
      <c r="G3" s="5">
        <v>6.0</v>
      </c>
      <c r="H3" s="5">
        <v>48.0</v>
      </c>
      <c r="I3" s="5">
        <v>2.0</v>
      </c>
      <c r="J3" s="5"/>
      <c r="K3" s="5" t="s">
        <v>28</v>
      </c>
      <c r="L3" s="5" t="s">
        <v>15</v>
      </c>
      <c r="M3" s="5">
        <v>1.0</v>
      </c>
      <c r="N3" s="5" t="s">
        <v>12</v>
      </c>
      <c r="O3" s="5" t="s">
        <v>12</v>
      </c>
      <c r="P3" s="5">
        <v>1.0</v>
      </c>
      <c r="Q3" s="5">
        <v>12.0</v>
      </c>
      <c r="R3" s="5">
        <v>18.0</v>
      </c>
      <c r="S3" s="5">
        <v>15.0</v>
      </c>
      <c r="U3" s="5" t="str">
        <f>IFERROR(__xludf.DUMMYFUNCTION("""COMPUTED_VALUE"""),"11Queens.csp")</f>
        <v>11Queens.csp</v>
      </c>
      <c r="V3" s="5" t="str">
        <f>IFERROR(__xludf.DUMMYFUNCTION("""COMPUTED_VALUE"""),"MAC")</f>
        <v>MAC</v>
      </c>
      <c r="W3" s="5">
        <f>IFERROR(__xludf.DUMMYFUNCTION("""COMPUTED_VALUE"""),1.0)</f>
        <v>1</v>
      </c>
      <c r="X3" s="5" t="str">
        <f>IFERROR(__xludf.DUMMYFUNCTION("""COMPUTED_VALUE"""),"ASCENDING")</f>
        <v>ASCENDING</v>
      </c>
      <c r="Y3" s="5" t="str">
        <f>IFERROR(__xludf.DUMMYFUNCTION("""COMPUTED_VALUE"""),"ASCENDING")</f>
        <v>ASCENDING</v>
      </c>
      <c r="Z3" s="5">
        <f>IFERROR(__xludf.DUMMYFUNCTION("""COMPUTED_VALUE"""),1.0)</f>
        <v>1</v>
      </c>
      <c r="AA3" s="5">
        <f>IFERROR(__xludf.DUMMYFUNCTION("""COMPUTED_VALUE"""),17.0)</f>
        <v>17</v>
      </c>
      <c r="AB3" s="5">
        <f>IFERROR(__xludf.DUMMYFUNCTION("""COMPUTED_VALUE"""),941.0)</f>
        <v>941</v>
      </c>
      <c r="AC3" s="5">
        <f>IFERROR(__xludf.DUMMYFUNCTION("""COMPUTED_VALUE"""),183.0)</f>
        <v>183</v>
      </c>
      <c r="AE3" s="5" t="str">
        <f>IFERROR(__xludf.DUMMYFUNCTION("""COMPUTED_VALUE"""),"11Queens.csp")</f>
        <v>11Queens.csp</v>
      </c>
      <c r="AF3" s="5" t="str">
        <f>IFERROR(__xludf.DUMMYFUNCTION("""COMPUTED_VALUE"""),"FC")</f>
        <v>FC</v>
      </c>
      <c r="AG3" s="5">
        <f>IFERROR(__xludf.DUMMYFUNCTION("""COMPUTED_VALUE"""),1.0)</f>
        <v>1</v>
      </c>
      <c r="AH3" s="5" t="str">
        <f>IFERROR(__xludf.DUMMYFUNCTION("""COMPUTED_VALUE"""),"ASCENDING")</f>
        <v>ASCENDING</v>
      </c>
      <c r="AI3" s="5" t="str">
        <f>IFERROR(__xludf.DUMMYFUNCTION("""COMPUTED_VALUE"""),"ASCENDING")</f>
        <v>ASCENDING</v>
      </c>
      <c r="AJ3" s="5">
        <f>IFERROR(__xludf.DUMMYFUNCTION("""COMPUTED_VALUE"""),1.0)</f>
        <v>1</v>
      </c>
      <c r="AK3" s="5">
        <f>IFERROR(__xludf.DUMMYFUNCTION("""COMPUTED_VALUE"""),59.0)</f>
        <v>59</v>
      </c>
      <c r="AL3" s="5">
        <f>IFERROR(__xludf.DUMMYFUNCTION("""COMPUTED_VALUE"""),216.0)</f>
        <v>216</v>
      </c>
      <c r="AM3" s="5">
        <f>IFERROR(__xludf.DUMMYFUNCTION("""COMPUTED_VALUE"""),162.0)</f>
        <v>162</v>
      </c>
    </row>
    <row r="4">
      <c r="A4" s="5" t="s">
        <v>31</v>
      </c>
      <c r="B4" s="5" t="s">
        <v>11</v>
      </c>
      <c r="C4" s="5">
        <v>1.0</v>
      </c>
      <c r="D4" s="5" t="s">
        <v>12</v>
      </c>
      <c r="E4" s="5" t="s">
        <v>12</v>
      </c>
      <c r="F4" s="5">
        <v>1.0</v>
      </c>
      <c r="G4" s="5">
        <v>7.0</v>
      </c>
      <c r="H4" s="5">
        <v>168.0</v>
      </c>
      <c r="I4" s="5">
        <v>20.0</v>
      </c>
      <c r="J4" s="5"/>
      <c r="K4" s="5" t="s">
        <v>31</v>
      </c>
      <c r="L4" s="5" t="s">
        <v>15</v>
      </c>
      <c r="M4" s="5">
        <v>1.0</v>
      </c>
      <c r="N4" s="5" t="s">
        <v>12</v>
      </c>
      <c r="O4" s="5" t="s">
        <v>12</v>
      </c>
      <c r="P4" s="5">
        <v>1.0</v>
      </c>
      <c r="Q4" s="5">
        <v>9.0</v>
      </c>
      <c r="R4" s="5">
        <v>26.0</v>
      </c>
      <c r="S4" s="5">
        <v>67.0</v>
      </c>
      <c r="U4" s="5" t="str">
        <f>IFERROR(__xludf.DUMMYFUNCTION("""COMPUTED_VALUE"""),"12Queens.csp")</f>
        <v>12Queens.csp</v>
      </c>
      <c r="V4" s="5" t="str">
        <f>IFERROR(__xludf.DUMMYFUNCTION("""COMPUTED_VALUE"""),"MAC")</f>
        <v>MAC</v>
      </c>
      <c r="W4" s="5">
        <f>IFERROR(__xludf.DUMMYFUNCTION("""COMPUTED_VALUE"""),1.0)</f>
        <v>1</v>
      </c>
      <c r="X4" s="5" t="str">
        <f>IFERROR(__xludf.DUMMYFUNCTION("""COMPUTED_VALUE"""),"ASCENDING")</f>
        <v>ASCENDING</v>
      </c>
      <c r="Y4" s="5" t="str">
        <f>IFERROR(__xludf.DUMMYFUNCTION("""COMPUTED_VALUE"""),"ASCENDING")</f>
        <v>ASCENDING</v>
      </c>
      <c r="Z4" s="5">
        <f>IFERROR(__xludf.DUMMYFUNCTION("""COMPUTED_VALUE"""),1.0)</f>
        <v>1</v>
      </c>
      <c r="AA4" s="5">
        <f>IFERROR(__xludf.DUMMYFUNCTION("""COMPUTED_VALUE"""),60.0)</f>
        <v>60</v>
      </c>
      <c r="AB4" s="5">
        <f>IFERROR(__xludf.DUMMYFUNCTION("""COMPUTED_VALUE"""),3759.0)</f>
        <v>3759</v>
      </c>
      <c r="AC4" s="5">
        <f>IFERROR(__xludf.DUMMYFUNCTION("""COMPUTED_VALUE"""),635.0)</f>
        <v>635</v>
      </c>
      <c r="AE4" s="5" t="str">
        <f>IFERROR(__xludf.DUMMYFUNCTION("""COMPUTED_VALUE"""),"12Queens.csp")</f>
        <v>12Queens.csp</v>
      </c>
      <c r="AF4" s="5" t="str">
        <f>IFERROR(__xludf.DUMMYFUNCTION("""COMPUTED_VALUE"""),"FC")</f>
        <v>FC</v>
      </c>
      <c r="AG4" s="5">
        <f>IFERROR(__xludf.DUMMYFUNCTION("""COMPUTED_VALUE"""),1.0)</f>
        <v>1</v>
      </c>
      <c r="AH4" s="5" t="str">
        <f>IFERROR(__xludf.DUMMYFUNCTION("""COMPUTED_VALUE"""),"ASCENDING")</f>
        <v>ASCENDING</v>
      </c>
      <c r="AI4" s="5" t="str">
        <f>IFERROR(__xludf.DUMMYFUNCTION("""COMPUTED_VALUE"""),"ASCENDING")</f>
        <v>ASCENDING</v>
      </c>
      <c r="AJ4" s="5">
        <f>IFERROR(__xludf.DUMMYFUNCTION("""COMPUTED_VALUE"""),1.0)</f>
        <v>1</v>
      </c>
      <c r="AK4" s="5">
        <f>IFERROR(__xludf.DUMMYFUNCTION("""COMPUTED_VALUE"""),326.0)</f>
        <v>326</v>
      </c>
      <c r="AL4" s="5">
        <f>IFERROR(__xludf.DUMMYFUNCTION("""COMPUTED_VALUE"""),1048.0)</f>
        <v>1048</v>
      </c>
      <c r="AM4" s="5">
        <f>IFERROR(__xludf.DUMMYFUNCTION("""COMPUTED_VALUE"""),867.0)</f>
        <v>867</v>
      </c>
    </row>
    <row r="5">
      <c r="A5" s="5" t="s">
        <v>36</v>
      </c>
      <c r="B5" s="5" t="s">
        <v>11</v>
      </c>
      <c r="C5" s="5">
        <v>1.0</v>
      </c>
      <c r="D5" s="5" t="s">
        <v>12</v>
      </c>
      <c r="E5" s="5" t="s">
        <v>12</v>
      </c>
      <c r="F5" s="5">
        <v>1.0</v>
      </c>
      <c r="G5" s="5">
        <v>8.0</v>
      </c>
      <c r="H5" s="5">
        <v>123.0</v>
      </c>
      <c r="I5" s="5">
        <v>32.0</v>
      </c>
      <c r="J5" s="5"/>
      <c r="K5" s="5" t="s">
        <v>36</v>
      </c>
      <c r="L5" s="5" t="s">
        <v>15</v>
      </c>
      <c r="M5" s="5">
        <v>1.0</v>
      </c>
      <c r="N5" s="5" t="s">
        <v>12</v>
      </c>
      <c r="O5" s="5" t="s">
        <v>12</v>
      </c>
      <c r="P5" s="5">
        <v>1.0</v>
      </c>
      <c r="Q5" s="5">
        <v>18.0</v>
      </c>
      <c r="R5" s="5">
        <v>41.0</v>
      </c>
      <c r="S5" s="5">
        <v>38.0</v>
      </c>
      <c r="U5" s="5" t="str">
        <f>IFERROR(__xludf.DUMMYFUNCTION("""COMPUTED_VALUE"""),"13Queens.csp")</f>
        <v>13Queens.csp</v>
      </c>
      <c r="V5" s="5" t="str">
        <f>IFERROR(__xludf.DUMMYFUNCTION("""COMPUTED_VALUE"""),"MAC")</f>
        <v>MAC</v>
      </c>
      <c r="W5" s="5">
        <f>IFERROR(__xludf.DUMMYFUNCTION("""COMPUTED_VALUE"""),1.0)</f>
        <v>1</v>
      </c>
      <c r="X5" s="5" t="str">
        <f>IFERROR(__xludf.DUMMYFUNCTION("""COMPUTED_VALUE"""),"ASCENDING")</f>
        <v>ASCENDING</v>
      </c>
      <c r="Y5" s="5" t="str">
        <f>IFERROR(__xludf.DUMMYFUNCTION("""COMPUTED_VALUE"""),"ASCENDING")</f>
        <v>ASCENDING</v>
      </c>
      <c r="Z5" s="5">
        <f>IFERROR(__xludf.DUMMYFUNCTION("""COMPUTED_VALUE"""),1.0)</f>
        <v>1</v>
      </c>
      <c r="AA5" s="5">
        <f>IFERROR(__xludf.DUMMYFUNCTION("""COMPUTED_VALUE"""),39.0)</f>
        <v>39</v>
      </c>
      <c r="AB5" s="5">
        <f>IFERROR(__xludf.DUMMYFUNCTION("""COMPUTED_VALUE"""),2443.0)</f>
        <v>2443</v>
      </c>
      <c r="AC5" s="5">
        <f>IFERROR(__xludf.DUMMYFUNCTION("""COMPUTED_VALUE"""),382.0)</f>
        <v>382</v>
      </c>
      <c r="AE5" s="5" t="str">
        <f>IFERROR(__xludf.DUMMYFUNCTION("""COMPUTED_VALUE"""),"13Queens.csp")</f>
        <v>13Queens.csp</v>
      </c>
      <c r="AF5" s="5" t="str">
        <f>IFERROR(__xludf.DUMMYFUNCTION("""COMPUTED_VALUE"""),"FC")</f>
        <v>FC</v>
      </c>
      <c r="AG5" s="5">
        <f>IFERROR(__xludf.DUMMYFUNCTION("""COMPUTED_VALUE"""),1.0)</f>
        <v>1</v>
      </c>
      <c r="AH5" s="5" t="str">
        <f>IFERROR(__xludf.DUMMYFUNCTION("""COMPUTED_VALUE"""),"ASCENDING")</f>
        <v>ASCENDING</v>
      </c>
      <c r="AI5" s="5" t="str">
        <f>IFERROR(__xludf.DUMMYFUNCTION("""COMPUTED_VALUE"""),"ASCENDING")</f>
        <v>ASCENDING</v>
      </c>
      <c r="AJ5" s="5">
        <f>IFERROR(__xludf.DUMMYFUNCTION("""COMPUTED_VALUE"""),1.0)</f>
        <v>1</v>
      </c>
      <c r="AK5" s="5">
        <f>IFERROR(__xludf.DUMMYFUNCTION("""COMPUTED_VALUE"""),145.0)</f>
        <v>145</v>
      </c>
      <c r="AL5" s="5">
        <f>IFERROR(__xludf.DUMMYFUNCTION("""COMPUTED_VALUE"""),525.0)</f>
        <v>525</v>
      </c>
      <c r="AM5" s="5">
        <f>IFERROR(__xludf.DUMMYFUNCTION("""COMPUTED_VALUE"""),321.0)</f>
        <v>321</v>
      </c>
    </row>
    <row r="6">
      <c r="A6" s="5" t="s">
        <v>30</v>
      </c>
      <c r="B6" s="5" t="s">
        <v>11</v>
      </c>
      <c r="C6" s="5">
        <v>1.0</v>
      </c>
      <c r="D6" s="5" t="s">
        <v>12</v>
      </c>
      <c r="E6" s="5" t="s">
        <v>12</v>
      </c>
      <c r="F6" s="5">
        <v>1.0</v>
      </c>
      <c r="G6" s="5">
        <v>12.0</v>
      </c>
      <c r="H6" s="5">
        <v>258.0</v>
      </c>
      <c r="I6" s="5">
        <v>28.0</v>
      </c>
      <c r="J6" s="5"/>
      <c r="K6" s="5" t="s">
        <v>30</v>
      </c>
      <c r="L6" s="5" t="s">
        <v>15</v>
      </c>
      <c r="M6" s="5">
        <v>1.0</v>
      </c>
      <c r="N6" s="5" t="s">
        <v>12</v>
      </c>
      <c r="O6" s="5" t="s">
        <v>12</v>
      </c>
      <c r="P6" s="5">
        <v>1.0</v>
      </c>
      <c r="Q6" s="5">
        <v>46.0</v>
      </c>
      <c r="R6" s="5">
        <v>96.0</v>
      </c>
      <c r="S6" s="5">
        <v>17.0</v>
      </c>
      <c r="U6" s="5" t="str">
        <f>IFERROR(__xludf.DUMMYFUNCTION("""COMPUTED_VALUE"""),"14Queens.csp")</f>
        <v>14Queens.csp</v>
      </c>
      <c r="V6" s="5" t="str">
        <f>IFERROR(__xludf.DUMMYFUNCTION("""COMPUTED_VALUE"""),"MAC")</f>
        <v>MAC</v>
      </c>
      <c r="W6" s="5">
        <f>IFERROR(__xludf.DUMMYFUNCTION("""COMPUTED_VALUE"""),1.0)</f>
        <v>1</v>
      </c>
      <c r="X6" s="5" t="str">
        <f>IFERROR(__xludf.DUMMYFUNCTION("""COMPUTED_VALUE"""),"ASCENDING")</f>
        <v>ASCENDING</v>
      </c>
      <c r="Y6" s="5" t="str">
        <f>IFERROR(__xludf.DUMMYFUNCTION("""COMPUTED_VALUE"""),"ASCENDING")</f>
        <v>ASCENDING</v>
      </c>
      <c r="Z6" s="5">
        <f>IFERROR(__xludf.DUMMYFUNCTION("""COMPUTED_VALUE"""),1.0)</f>
        <v>1</v>
      </c>
      <c r="AA6" s="5">
        <f>IFERROR(__xludf.DUMMYFUNCTION("""COMPUTED_VALUE"""),476.0)</f>
        <v>476</v>
      </c>
      <c r="AB6" s="5">
        <f>IFERROR(__xludf.DUMMYFUNCTION("""COMPUTED_VALUE"""),30491.0)</f>
        <v>30491</v>
      </c>
      <c r="AC6" s="5">
        <f>IFERROR(__xludf.DUMMYFUNCTION("""COMPUTED_VALUE"""),1774.0)</f>
        <v>1774</v>
      </c>
      <c r="AE6" s="5" t="str">
        <f>IFERROR(__xludf.DUMMYFUNCTION("""COMPUTED_VALUE"""),"14Queens.csp")</f>
        <v>14Queens.csp</v>
      </c>
      <c r="AF6" s="5" t="str">
        <f>IFERROR(__xludf.DUMMYFUNCTION("""COMPUTED_VALUE"""),"FC")</f>
        <v>FC</v>
      </c>
      <c r="AG6" s="5">
        <f>IFERROR(__xludf.DUMMYFUNCTION("""COMPUTED_VALUE"""),1.0)</f>
        <v>1</v>
      </c>
      <c r="AH6" s="5" t="str">
        <f>IFERROR(__xludf.DUMMYFUNCTION("""COMPUTED_VALUE"""),"ASCENDING")</f>
        <v>ASCENDING</v>
      </c>
      <c r="AI6" s="5" t="str">
        <f>IFERROR(__xludf.DUMMYFUNCTION("""COMPUTED_VALUE"""),"ASCENDING")</f>
        <v>ASCENDING</v>
      </c>
      <c r="AJ6" s="5">
        <f>IFERROR(__xludf.DUMMYFUNCTION("""COMPUTED_VALUE"""),1.0)</f>
        <v>1</v>
      </c>
      <c r="AK6" s="5">
        <f>IFERROR(__xludf.DUMMYFUNCTION("""COMPUTED_VALUE"""),2644.0)</f>
        <v>2644</v>
      </c>
      <c r="AL6" s="5">
        <f>IFERROR(__xludf.DUMMYFUNCTION("""COMPUTED_VALUE"""),8735.0)</f>
        <v>8735</v>
      </c>
      <c r="AM6" s="5">
        <f>IFERROR(__xludf.DUMMYFUNCTION("""COMPUTED_VALUE"""),1527.0)</f>
        <v>1527</v>
      </c>
    </row>
    <row r="7">
      <c r="A7" s="5" t="s">
        <v>37</v>
      </c>
      <c r="B7" s="5" t="s">
        <v>11</v>
      </c>
      <c r="C7" s="5">
        <v>1.0</v>
      </c>
      <c r="D7" s="5" t="s">
        <v>12</v>
      </c>
      <c r="E7" s="5" t="s">
        <v>12</v>
      </c>
      <c r="F7" s="5">
        <v>1.0</v>
      </c>
      <c r="G7" s="5">
        <v>12.0</v>
      </c>
      <c r="H7" s="5">
        <v>344.0</v>
      </c>
      <c r="I7" s="5">
        <v>139.0</v>
      </c>
      <c r="J7" s="5"/>
      <c r="K7" s="5" t="s">
        <v>37</v>
      </c>
      <c r="L7" s="5" t="s">
        <v>15</v>
      </c>
      <c r="M7" s="5">
        <v>1.0</v>
      </c>
      <c r="N7" s="5" t="s">
        <v>12</v>
      </c>
      <c r="O7" s="5" t="s">
        <v>12</v>
      </c>
      <c r="P7" s="5">
        <v>1.0</v>
      </c>
      <c r="Q7" s="5">
        <v>56.0</v>
      </c>
      <c r="R7" s="5">
        <v>142.0</v>
      </c>
      <c r="S7" s="5">
        <v>54.0</v>
      </c>
      <c r="U7" s="5" t="str">
        <f>IFERROR(__xludf.DUMMYFUNCTION("""COMPUTED_VALUE"""),"15Queens.csp")</f>
        <v>15Queens.csp</v>
      </c>
      <c r="V7" s="5" t="str">
        <f>IFERROR(__xludf.DUMMYFUNCTION("""COMPUTED_VALUE"""),"MAC")</f>
        <v>MAC</v>
      </c>
      <c r="W7" s="5">
        <f>IFERROR(__xludf.DUMMYFUNCTION("""COMPUTED_VALUE"""),1.0)</f>
        <v>1</v>
      </c>
      <c r="X7" s="5" t="str">
        <f>IFERROR(__xludf.DUMMYFUNCTION("""COMPUTED_VALUE"""),"ASCENDING")</f>
        <v>ASCENDING</v>
      </c>
      <c r="Y7" s="5" t="str">
        <f>IFERROR(__xludf.DUMMYFUNCTION("""COMPUTED_VALUE"""),"ASCENDING")</f>
        <v>ASCENDING</v>
      </c>
      <c r="Z7" s="5">
        <f>IFERROR(__xludf.DUMMYFUNCTION("""COMPUTED_VALUE"""),1.0)</f>
        <v>1</v>
      </c>
      <c r="AA7" s="5">
        <f>IFERROR(__xludf.DUMMYFUNCTION("""COMPUTED_VALUE"""),297.0)</f>
        <v>297</v>
      </c>
      <c r="AB7" s="5">
        <f>IFERROR(__xludf.DUMMYFUNCTION("""COMPUTED_VALUE"""),22803.0)</f>
        <v>22803</v>
      </c>
      <c r="AC7" s="5">
        <f>IFERROR(__xludf.DUMMYFUNCTION("""COMPUTED_VALUE"""),1647.0)</f>
        <v>1647</v>
      </c>
      <c r="AE7" s="5" t="str">
        <f>IFERROR(__xludf.DUMMYFUNCTION("""COMPUTED_VALUE"""),"15Queens.csp")</f>
        <v>15Queens.csp</v>
      </c>
      <c r="AF7" s="5" t="str">
        <f>IFERROR(__xludf.DUMMYFUNCTION("""COMPUTED_VALUE"""),"FC")</f>
        <v>FC</v>
      </c>
      <c r="AG7" s="5">
        <f>IFERROR(__xludf.DUMMYFUNCTION("""COMPUTED_VALUE"""),1.0)</f>
        <v>1</v>
      </c>
      <c r="AH7" s="5" t="str">
        <f>IFERROR(__xludf.DUMMYFUNCTION("""COMPUTED_VALUE"""),"ASCENDING")</f>
        <v>ASCENDING</v>
      </c>
      <c r="AI7" s="5" t="str">
        <f>IFERROR(__xludf.DUMMYFUNCTION("""COMPUTED_VALUE"""),"ASCENDING")</f>
        <v>ASCENDING</v>
      </c>
      <c r="AJ7" s="5">
        <f>IFERROR(__xludf.DUMMYFUNCTION("""COMPUTED_VALUE"""),1.0)</f>
        <v>1</v>
      </c>
      <c r="AK7" s="5">
        <f>IFERROR(__xludf.DUMMYFUNCTION("""COMPUTED_VALUE"""),1853.0)</f>
        <v>1853</v>
      </c>
      <c r="AL7" s="5">
        <f>IFERROR(__xludf.DUMMYFUNCTION("""COMPUTED_VALUE"""),6715.0)</f>
        <v>6715</v>
      </c>
      <c r="AM7" s="5">
        <f>IFERROR(__xludf.DUMMYFUNCTION("""COMPUTED_VALUE"""),1704.0)</f>
        <v>1704</v>
      </c>
    </row>
    <row r="8">
      <c r="A8" s="5" t="s">
        <v>16</v>
      </c>
      <c r="B8" s="5" t="s">
        <v>11</v>
      </c>
      <c r="C8" s="5">
        <v>1.0</v>
      </c>
      <c r="D8" s="5" t="s">
        <v>12</v>
      </c>
      <c r="E8" s="5" t="s">
        <v>12</v>
      </c>
      <c r="F8" s="5">
        <v>1.0</v>
      </c>
      <c r="G8" s="5">
        <v>17.0</v>
      </c>
      <c r="H8" s="5">
        <v>941.0</v>
      </c>
      <c r="I8" s="5">
        <v>183.0</v>
      </c>
      <c r="J8" s="5"/>
      <c r="K8" s="5" t="s">
        <v>16</v>
      </c>
      <c r="L8" s="5" t="s">
        <v>15</v>
      </c>
      <c r="M8" s="5">
        <v>1.0</v>
      </c>
      <c r="N8" s="5" t="s">
        <v>12</v>
      </c>
      <c r="O8" s="5" t="s">
        <v>12</v>
      </c>
      <c r="P8" s="5">
        <v>1.0</v>
      </c>
      <c r="Q8" s="5">
        <v>59.0</v>
      </c>
      <c r="R8" s="5">
        <v>216.0</v>
      </c>
      <c r="S8" s="5">
        <v>162.0</v>
      </c>
      <c r="U8" s="5" t="str">
        <f>IFERROR(__xludf.DUMMYFUNCTION("""COMPUTED_VALUE"""),"16Queens.csp")</f>
        <v>16Queens.csp</v>
      </c>
      <c r="V8" s="5" t="str">
        <f>IFERROR(__xludf.DUMMYFUNCTION("""COMPUTED_VALUE"""),"MAC")</f>
        <v>MAC</v>
      </c>
      <c r="W8" s="5">
        <f>IFERROR(__xludf.DUMMYFUNCTION("""COMPUTED_VALUE"""),1.0)</f>
        <v>1</v>
      </c>
      <c r="X8" s="5" t="str">
        <f>IFERROR(__xludf.DUMMYFUNCTION("""COMPUTED_VALUE"""),"ASCENDING")</f>
        <v>ASCENDING</v>
      </c>
      <c r="Y8" s="5" t="str">
        <f>IFERROR(__xludf.DUMMYFUNCTION("""COMPUTED_VALUE"""),"ASCENDING")</f>
        <v>ASCENDING</v>
      </c>
      <c r="Z8" s="5">
        <f>IFERROR(__xludf.DUMMYFUNCTION("""COMPUTED_VALUE"""),1.0)</f>
        <v>1</v>
      </c>
      <c r="AA8" s="5">
        <f>IFERROR(__xludf.DUMMYFUNCTION("""COMPUTED_VALUE"""),2054.0)</f>
        <v>2054</v>
      </c>
      <c r="AB8" s="5">
        <f>IFERROR(__xludf.DUMMYFUNCTION("""COMPUTED_VALUE"""),172394.0)</f>
        <v>172394</v>
      </c>
      <c r="AC8" s="5">
        <f>IFERROR(__xludf.DUMMYFUNCTION("""COMPUTED_VALUE"""),1724.0)</f>
        <v>1724</v>
      </c>
      <c r="AE8" s="5" t="str">
        <f>IFERROR(__xludf.DUMMYFUNCTION("""COMPUTED_VALUE"""),"16Queens.csp")</f>
        <v>16Queens.csp</v>
      </c>
      <c r="AF8" s="5" t="str">
        <f>IFERROR(__xludf.DUMMYFUNCTION("""COMPUTED_VALUE"""),"FC")</f>
        <v>FC</v>
      </c>
      <c r="AG8" s="5">
        <f>IFERROR(__xludf.DUMMYFUNCTION("""COMPUTED_VALUE"""),1.0)</f>
        <v>1</v>
      </c>
      <c r="AH8" s="5" t="str">
        <f>IFERROR(__xludf.DUMMYFUNCTION("""COMPUTED_VALUE"""),"ASCENDING")</f>
        <v>ASCENDING</v>
      </c>
      <c r="AI8" s="5" t="str">
        <f>IFERROR(__xludf.DUMMYFUNCTION("""COMPUTED_VALUE"""),"ASCENDING")</f>
        <v>ASCENDING</v>
      </c>
      <c r="AJ8" s="5">
        <f>IFERROR(__xludf.DUMMYFUNCTION("""COMPUTED_VALUE"""),1.0)</f>
        <v>1</v>
      </c>
      <c r="AK8" s="5">
        <f>IFERROR(__xludf.DUMMYFUNCTION("""COMPUTED_VALUE"""),13730.0)</f>
        <v>13730</v>
      </c>
      <c r="AL8" s="5">
        <f>IFERROR(__xludf.DUMMYFUNCTION("""COMPUTED_VALUE"""),49333.0)</f>
        <v>49333</v>
      </c>
      <c r="AM8" s="5">
        <f>IFERROR(__xludf.DUMMYFUNCTION("""COMPUTED_VALUE"""),1728.0)</f>
        <v>1728</v>
      </c>
    </row>
    <row r="9">
      <c r="A9" s="5" t="s">
        <v>33</v>
      </c>
      <c r="B9" s="5" t="s">
        <v>11</v>
      </c>
      <c r="C9" s="5">
        <v>1.0</v>
      </c>
      <c r="D9" s="5" t="s">
        <v>12</v>
      </c>
      <c r="E9" s="5" t="s">
        <v>12</v>
      </c>
      <c r="F9" s="5">
        <v>1.0</v>
      </c>
      <c r="G9" s="5">
        <v>17.0</v>
      </c>
      <c r="H9" s="5">
        <v>605.0</v>
      </c>
      <c r="I9" s="5">
        <v>44.0</v>
      </c>
      <c r="J9" s="5"/>
      <c r="K9" s="5" t="s">
        <v>33</v>
      </c>
      <c r="L9" s="5" t="s">
        <v>15</v>
      </c>
      <c r="M9" s="5">
        <v>1.0</v>
      </c>
      <c r="N9" s="5" t="s">
        <v>12</v>
      </c>
      <c r="O9" s="5" t="s">
        <v>12</v>
      </c>
      <c r="P9" s="5">
        <v>1.0</v>
      </c>
      <c r="Q9" s="5">
        <v>51.0</v>
      </c>
      <c r="R9" s="5">
        <v>150.0</v>
      </c>
      <c r="S9" s="5">
        <v>282.0</v>
      </c>
      <c r="U9" s="5" t="str">
        <f>IFERROR(__xludf.DUMMYFUNCTION("""COMPUTED_VALUE"""),"17Queens.csp")</f>
        <v>17Queens.csp</v>
      </c>
      <c r="V9" s="5" t="str">
        <f>IFERROR(__xludf.DUMMYFUNCTION("""COMPUTED_VALUE"""),"MAC")</f>
        <v>MAC</v>
      </c>
      <c r="W9" s="5">
        <f>IFERROR(__xludf.DUMMYFUNCTION("""COMPUTED_VALUE"""),1.0)</f>
        <v>1</v>
      </c>
      <c r="X9" s="5" t="str">
        <f>IFERROR(__xludf.DUMMYFUNCTION("""COMPUTED_VALUE"""),"ASCENDING")</f>
        <v>ASCENDING</v>
      </c>
      <c r="Y9" s="5" t="str">
        <f>IFERROR(__xludf.DUMMYFUNCTION("""COMPUTED_VALUE"""),"ASCENDING")</f>
        <v>ASCENDING</v>
      </c>
      <c r="Z9" s="5">
        <f>IFERROR(__xludf.DUMMYFUNCTION("""COMPUTED_VALUE"""),1.0)</f>
        <v>1</v>
      </c>
      <c r="AA9" s="5">
        <f>IFERROR(__xludf.DUMMYFUNCTION("""COMPUTED_VALUE"""),1203.0)</f>
        <v>1203</v>
      </c>
      <c r="AB9" s="5">
        <f>IFERROR(__xludf.DUMMYFUNCTION("""COMPUTED_VALUE"""),107553.0)</f>
        <v>107553</v>
      </c>
      <c r="AC9" s="5">
        <f>IFERROR(__xludf.DUMMYFUNCTION("""COMPUTED_VALUE"""),1369.0)</f>
        <v>1369</v>
      </c>
      <c r="AE9" s="5" t="str">
        <f>IFERROR(__xludf.DUMMYFUNCTION("""COMPUTED_VALUE"""),"17Queens.csp")</f>
        <v>17Queens.csp</v>
      </c>
      <c r="AF9" s="5" t="str">
        <f>IFERROR(__xludf.DUMMYFUNCTION("""COMPUTED_VALUE"""),"FC")</f>
        <v>FC</v>
      </c>
      <c r="AG9" s="5">
        <f>IFERROR(__xludf.DUMMYFUNCTION("""COMPUTED_VALUE"""),1.0)</f>
        <v>1</v>
      </c>
      <c r="AH9" s="5" t="str">
        <f>IFERROR(__xludf.DUMMYFUNCTION("""COMPUTED_VALUE"""),"ASCENDING")</f>
        <v>ASCENDING</v>
      </c>
      <c r="AI9" s="5" t="str">
        <f>IFERROR(__xludf.DUMMYFUNCTION("""COMPUTED_VALUE"""),"ASCENDING")</f>
        <v>ASCENDING</v>
      </c>
      <c r="AJ9" s="5">
        <f>IFERROR(__xludf.DUMMYFUNCTION("""COMPUTED_VALUE"""),1.0)</f>
        <v>1</v>
      </c>
      <c r="AK9" s="5">
        <f>IFERROR(__xludf.DUMMYFUNCTION("""COMPUTED_VALUE"""),7811.0)</f>
        <v>7811</v>
      </c>
      <c r="AL9" s="5">
        <f>IFERROR(__xludf.DUMMYFUNCTION("""COMPUTED_VALUE"""),30008.0)</f>
        <v>30008</v>
      </c>
      <c r="AM9" s="5">
        <f>IFERROR(__xludf.DUMMYFUNCTION("""COMPUTED_VALUE"""),1625.0)</f>
        <v>1625</v>
      </c>
    </row>
    <row r="10">
      <c r="A10" s="5" t="s">
        <v>32</v>
      </c>
      <c r="B10" s="5" t="s">
        <v>11</v>
      </c>
      <c r="C10" s="5">
        <v>1.0</v>
      </c>
      <c r="D10" s="5" t="s">
        <v>12</v>
      </c>
      <c r="E10" s="5" t="s">
        <v>12</v>
      </c>
      <c r="F10" s="5">
        <v>1.0</v>
      </c>
      <c r="G10" s="5">
        <v>28.0</v>
      </c>
      <c r="H10" s="5">
        <v>1000.0</v>
      </c>
      <c r="I10" s="5">
        <v>72.0</v>
      </c>
      <c r="J10" s="5"/>
      <c r="K10" s="5" t="s">
        <v>32</v>
      </c>
      <c r="L10" s="5" t="s">
        <v>15</v>
      </c>
      <c r="M10" s="5">
        <v>1.0</v>
      </c>
      <c r="N10" s="5" t="s">
        <v>12</v>
      </c>
      <c r="O10" s="5" t="s">
        <v>12</v>
      </c>
      <c r="P10" s="5">
        <v>1.0</v>
      </c>
      <c r="Q10" s="5">
        <v>152.0</v>
      </c>
      <c r="R10" s="5">
        <v>366.0</v>
      </c>
      <c r="S10" s="5">
        <v>150.0</v>
      </c>
      <c r="U10" s="5" t="str">
        <f>IFERROR(__xludf.DUMMYFUNCTION("""COMPUTED_VALUE"""),"18Queens.csp")</f>
        <v>18Queens.csp</v>
      </c>
      <c r="V10" s="5" t="str">
        <f>IFERROR(__xludf.DUMMYFUNCTION("""COMPUTED_VALUE"""),"MAC")</f>
        <v>MAC</v>
      </c>
      <c r="W10" s="5">
        <f>IFERROR(__xludf.DUMMYFUNCTION("""COMPUTED_VALUE"""),1.0)</f>
        <v>1</v>
      </c>
      <c r="X10" s="5" t="str">
        <f>IFERROR(__xludf.DUMMYFUNCTION("""COMPUTED_VALUE"""),"ASCENDING")</f>
        <v>ASCENDING</v>
      </c>
      <c r="Y10" s="5" t="str">
        <f>IFERROR(__xludf.DUMMYFUNCTION("""COMPUTED_VALUE"""),"ASCENDING")</f>
        <v>ASCENDING</v>
      </c>
      <c r="Z10" s="5">
        <f>IFERROR(__xludf.DUMMYFUNCTION("""COMPUTED_VALUE"""),1.0)</f>
        <v>1</v>
      </c>
      <c r="AA10" s="5">
        <f>IFERROR(__xludf.DUMMYFUNCTION("""COMPUTED_VALUE"""),8452.0)</f>
        <v>8452</v>
      </c>
      <c r="AB10" s="5">
        <f>IFERROR(__xludf.DUMMYFUNCTION("""COMPUTED_VALUE"""),784097.0)</f>
        <v>784097</v>
      </c>
      <c r="AC10" s="5">
        <f>IFERROR(__xludf.DUMMYFUNCTION("""COMPUTED_VALUE"""),2066.0)</f>
        <v>2066</v>
      </c>
      <c r="AE10" s="5" t="str">
        <f>IFERROR(__xludf.DUMMYFUNCTION("""COMPUTED_VALUE"""),"18Queens.csp")</f>
        <v>18Queens.csp</v>
      </c>
      <c r="AF10" s="5" t="str">
        <f>IFERROR(__xludf.DUMMYFUNCTION("""COMPUTED_VALUE"""),"FC")</f>
        <v>FC</v>
      </c>
      <c r="AG10" s="5">
        <f>IFERROR(__xludf.DUMMYFUNCTION("""COMPUTED_VALUE"""),1.0)</f>
        <v>1</v>
      </c>
      <c r="AH10" s="5" t="str">
        <f>IFERROR(__xludf.DUMMYFUNCTION("""COMPUTED_VALUE"""),"ASCENDING")</f>
        <v>ASCENDING</v>
      </c>
      <c r="AI10" s="5" t="str">
        <f>IFERROR(__xludf.DUMMYFUNCTION("""COMPUTED_VALUE"""),"ASCENDING")</f>
        <v>ASCENDING</v>
      </c>
      <c r="AJ10" s="5">
        <f>IFERROR(__xludf.DUMMYFUNCTION("""COMPUTED_VALUE"""),1.0)</f>
        <v>1</v>
      </c>
      <c r="AK10" s="5">
        <f>IFERROR(__xludf.DUMMYFUNCTION("""COMPUTED_VALUE"""),54908.0)</f>
        <v>54908</v>
      </c>
      <c r="AL10" s="5">
        <f>IFERROR(__xludf.DUMMYFUNCTION("""COMPUTED_VALUE"""),211828.0)</f>
        <v>211828</v>
      </c>
      <c r="AM10" s="5">
        <f>IFERROR(__xludf.DUMMYFUNCTION("""COMPUTED_VALUE"""),2579.0)</f>
        <v>2579</v>
      </c>
    </row>
    <row r="11">
      <c r="A11" s="5" t="s">
        <v>10</v>
      </c>
      <c r="B11" s="5" t="s">
        <v>11</v>
      </c>
      <c r="C11" s="5">
        <v>1.0</v>
      </c>
      <c r="D11" s="5" t="s">
        <v>12</v>
      </c>
      <c r="E11" s="5" t="s">
        <v>12</v>
      </c>
      <c r="F11" s="5">
        <v>1.0</v>
      </c>
      <c r="G11" s="5">
        <v>36.0</v>
      </c>
      <c r="H11" s="5">
        <v>1507.0</v>
      </c>
      <c r="I11" s="5">
        <v>51.0</v>
      </c>
      <c r="J11" s="5"/>
      <c r="K11" s="5" t="s">
        <v>10</v>
      </c>
      <c r="L11" s="5" t="s">
        <v>15</v>
      </c>
      <c r="M11" s="5">
        <v>1.0</v>
      </c>
      <c r="N11" s="5" t="s">
        <v>12</v>
      </c>
      <c r="O11" s="5" t="s">
        <v>12</v>
      </c>
      <c r="P11" s="5">
        <v>1.0</v>
      </c>
      <c r="Q11" s="5">
        <v>150.0</v>
      </c>
      <c r="R11" s="5">
        <v>415.0</v>
      </c>
      <c r="S11" s="5">
        <v>222.0</v>
      </c>
      <c r="U11" s="5" t="str">
        <f>IFERROR(__xludf.DUMMYFUNCTION("""COMPUTED_VALUE"""),"435Sudoku.csp")</f>
        <v>435Sudoku.csp</v>
      </c>
      <c r="V11" s="5" t="str">
        <f>IFERROR(__xludf.DUMMYFUNCTION("""COMPUTED_VALUE"""),"MAC")</f>
        <v>MAC</v>
      </c>
      <c r="W11" s="5">
        <f>IFERROR(__xludf.DUMMYFUNCTION("""COMPUTED_VALUE"""),1.0)</f>
        <v>1</v>
      </c>
      <c r="X11" s="5" t="str">
        <f>IFERROR(__xludf.DUMMYFUNCTION("""COMPUTED_VALUE"""),"ASCENDING")</f>
        <v>ASCENDING</v>
      </c>
      <c r="Y11" s="5" t="str">
        <f>IFERROR(__xludf.DUMMYFUNCTION("""COMPUTED_VALUE"""),"ASCENDING")</f>
        <v>ASCENDING</v>
      </c>
      <c r="Z11" s="5">
        <f>IFERROR(__xludf.DUMMYFUNCTION("""COMPUTED_VALUE"""),1.0)</f>
        <v>1</v>
      </c>
      <c r="AA11" s="5">
        <f>IFERROR(__xludf.DUMMYFUNCTION("""COMPUTED_VALUE"""),81.0)</f>
        <v>81</v>
      </c>
      <c r="AB11" s="5">
        <f>IFERROR(__xludf.DUMMYFUNCTION("""COMPUTED_VALUE"""),10127.0)</f>
        <v>10127</v>
      </c>
      <c r="AC11" s="5">
        <f>IFERROR(__xludf.DUMMYFUNCTION("""COMPUTED_VALUE"""),491.0)</f>
        <v>491</v>
      </c>
      <c r="AE11" s="5" t="str">
        <f>IFERROR(__xludf.DUMMYFUNCTION("""COMPUTED_VALUE"""),"435Sudoku.csp")</f>
        <v>435Sudoku.csp</v>
      </c>
      <c r="AF11" s="5" t="str">
        <f>IFERROR(__xludf.DUMMYFUNCTION("""COMPUTED_VALUE"""),"FC")</f>
        <v>FC</v>
      </c>
      <c r="AG11" s="5">
        <f>IFERROR(__xludf.DUMMYFUNCTION("""COMPUTED_VALUE"""),1.0)</f>
        <v>1</v>
      </c>
      <c r="AH11" s="5" t="str">
        <f>IFERROR(__xludf.DUMMYFUNCTION("""COMPUTED_VALUE"""),"ASCENDING")</f>
        <v>ASCENDING</v>
      </c>
      <c r="AI11" s="5" t="str">
        <f>IFERROR(__xludf.DUMMYFUNCTION("""COMPUTED_VALUE"""),"ASCENDING")</f>
        <v>ASCENDING</v>
      </c>
      <c r="AJ11" s="5">
        <f>IFERROR(__xludf.DUMMYFUNCTION("""COMPUTED_VALUE"""),1.0)</f>
        <v>1</v>
      </c>
      <c r="AK11" s="5">
        <f>IFERROR(__xludf.DUMMYFUNCTION("""COMPUTED_VALUE"""),201.0)</f>
        <v>201</v>
      </c>
      <c r="AL11" s="5">
        <f>IFERROR(__xludf.DUMMYFUNCTION("""COMPUTED_VALUE"""),7030.0)</f>
        <v>7030</v>
      </c>
      <c r="AM11" s="5">
        <f>IFERROR(__xludf.DUMMYFUNCTION("""COMPUTED_VALUE"""),612.0)</f>
        <v>612</v>
      </c>
    </row>
    <row r="12">
      <c r="A12" s="5" t="s">
        <v>38</v>
      </c>
      <c r="B12" s="5" t="s">
        <v>11</v>
      </c>
      <c r="C12" s="5">
        <v>1.0</v>
      </c>
      <c r="D12" s="5" t="s">
        <v>12</v>
      </c>
      <c r="E12" s="5" t="s">
        <v>12</v>
      </c>
      <c r="F12" s="5">
        <v>1.0</v>
      </c>
      <c r="G12" s="5">
        <v>38.0</v>
      </c>
      <c r="H12" s="5">
        <v>3416.0</v>
      </c>
      <c r="I12" s="5">
        <v>408.0</v>
      </c>
      <c r="J12" s="5"/>
      <c r="K12" s="5" t="s">
        <v>38</v>
      </c>
      <c r="L12" s="5" t="s">
        <v>15</v>
      </c>
      <c r="M12" s="5">
        <v>1.0</v>
      </c>
      <c r="N12" s="5" t="s">
        <v>12</v>
      </c>
      <c r="O12" s="5" t="s">
        <v>12</v>
      </c>
      <c r="P12" s="5">
        <v>1.0</v>
      </c>
      <c r="Q12" s="5">
        <v>472.0</v>
      </c>
      <c r="R12" s="5">
        <v>1531.0</v>
      </c>
      <c r="S12" s="5">
        <v>670.0</v>
      </c>
      <c r="U12" s="5" t="str">
        <f>IFERROR(__xludf.DUMMYFUNCTION("""COMPUTED_VALUE"""),"4Queens.csp")</f>
        <v>4Queens.csp</v>
      </c>
      <c r="V12" s="5" t="str">
        <f>IFERROR(__xludf.DUMMYFUNCTION("""COMPUTED_VALUE"""),"MAC")</f>
        <v>MAC</v>
      </c>
      <c r="W12" s="5">
        <f>IFERROR(__xludf.DUMMYFUNCTION("""COMPUTED_VALUE"""),1.0)</f>
        <v>1</v>
      </c>
      <c r="X12" s="5" t="str">
        <f>IFERROR(__xludf.DUMMYFUNCTION("""COMPUTED_VALUE"""),"ASCENDING")</f>
        <v>ASCENDING</v>
      </c>
      <c r="Y12" s="5" t="str">
        <f>IFERROR(__xludf.DUMMYFUNCTION("""COMPUTED_VALUE"""),"ASCENDING")</f>
        <v>ASCENDING</v>
      </c>
      <c r="Z12" s="5">
        <f>IFERROR(__xludf.DUMMYFUNCTION("""COMPUTED_VALUE"""),1.0)</f>
        <v>1</v>
      </c>
      <c r="AA12" s="5">
        <f>IFERROR(__xludf.DUMMYFUNCTION("""COMPUTED_VALUE"""),6.0)</f>
        <v>6</v>
      </c>
      <c r="AB12" s="5">
        <f>IFERROR(__xludf.DUMMYFUNCTION("""COMPUTED_VALUE"""),48.0)</f>
        <v>48</v>
      </c>
      <c r="AC12" s="5">
        <f>IFERROR(__xludf.DUMMYFUNCTION("""COMPUTED_VALUE"""),2.0)</f>
        <v>2</v>
      </c>
      <c r="AE12" s="5" t="str">
        <f>IFERROR(__xludf.DUMMYFUNCTION("""COMPUTED_VALUE"""),"4Queens.csp")</f>
        <v>4Queens.csp</v>
      </c>
      <c r="AF12" s="5" t="str">
        <f>IFERROR(__xludf.DUMMYFUNCTION("""COMPUTED_VALUE"""),"FC")</f>
        <v>FC</v>
      </c>
      <c r="AG12" s="5">
        <f>IFERROR(__xludf.DUMMYFUNCTION("""COMPUTED_VALUE"""),1.0)</f>
        <v>1</v>
      </c>
      <c r="AH12" s="5" t="str">
        <f>IFERROR(__xludf.DUMMYFUNCTION("""COMPUTED_VALUE"""),"ASCENDING")</f>
        <v>ASCENDING</v>
      </c>
      <c r="AI12" s="5" t="str">
        <f>IFERROR(__xludf.DUMMYFUNCTION("""COMPUTED_VALUE"""),"ASCENDING")</f>
        <v>ASCENDING</v>
      </c>
      <c r="AJ12" s="5">
        <f>IFERROR(__xludf.DUMMYFUNCTION("""COMPUTED_VALUE"""),1.0)</f>
        <v>1</v>
      </c>
      <c r="AK12" s="5">
        <f>IFERROR(__xludf.DUMMYFUNCTION("""COMPUTED_VALUE"""),12.0)</f>
        <v>12</v>
      </c>
      <c r="AL12" s="5">
        <f>IFERROR(__xludf.DUMMYFUNCTION("""COMPUTED_VALUE"""),18.0)</f>
        <v>18</v>
      </c>
      <c r="AM12" s="5">
        <f>IFERROR(__xludf.DUMMYFUNCTION("""COMPUTED_VALUE"""),15.0)</f>
        <v>15</v>
      </c>
    </row>
    <row r="13">
      <c r="A13" s="5" t="s">
        <v>18</v>
      </c>
      <c r="B13" s="5" t="s">
        <v>11</v>
      </c>
      <c r="C13" s="5">
        <v>1.0</v>
      </c>
      <c r="D13" s="5" t="s">
        <v>12</v>
      </c>
      <c r="E13" s="5" t="s">
        <v>12</v>
      </c>
      <c r="F13" s="5">
        <v>1.0</v>
      </c>
      <c r="G13" s="5">
        <v>39.0</v>
      </c>
      <c r="H13" s="5">
        <v>2443.0</v>
      </c>
      <c r="I13" s="5">
        <v>382.0</v>
      </c>
      <c r="J13" s="5"/>
      <c r="K13" s="5" t="s">
        <v>18</v>
      </c>
      <c r="L13" s="5" t="s">
        <v>15</v>
      </c>
      <c r="M13" s="5">
        <v>1.0</v>
      </c>
      <c r="N13" s="5" t="s">
        <v>12</v>
      </c>
      <c r="O13" s="5" t="s">
        <v>12</v>
      </c>
      <c r="P13" s="5">
        <v>1.0</v>
      </c>
      <c r="Q13" s="5">
        <v>145.0</v>
      </c>
      <c r="R13" s="5">
        <v>525.0</v>
      </c>
      <c r="S13" s="5">
        <v>321.0</v>
      </c>
      <c r="U13" s="5" t="str">
        <f>IFERROR(__xludf.DUMMYFUNCTION("""COMPUTED_VALUE"""),"5Queens.csp")</f>
        <v>5Queens.csp</v>
      </c>
      <c r="V13" s="5" t="str">
        <f>IFERROR(__xludf.DUMMYFUNCTION("""COMPUTED_VALUE"""),"MAC")</f>
        <v>MAC</v>
      </c>
      <c r="W13" s="5">
        <f>IFERROR(__xludf.DUMMYFUNCTION("""COMPUTED_VALUE"""),1.0)</f>
        <v>1</v>
      </c>
      <c r="X13" s="5" t="str">
        <f>IFERROR(__xludf.DUMMYFUNCTION("""COMPUTED_VALUE"""),"ASCENDING")</f>
        <v>ASCENDING</v>
      </c>
      <c r="Y13" s="5" t="str">
        <f>IFERROR(__xludf.DUMMYFUNCTION("""COMPUTED_VALUE"""),"ASCENDING")</f>
        <v>ASCENDING</v>
      </c>
      <c r="Z13" s="5">
        <f>IFERROR(__xludf.DUMMYFUNCTION("""COMPUTED_VALUE"""),1.0)</f>
        <v>1</v>
      </c>
      <c r="AA13" s="5">
        <f>IFERROR(__xludf.DUMMYFUNCTION("""COMPUTED_VALUE"""),5.0)</f>
        <v>5</v>
      </c>
      <c r="AB13" s="5">
        <f>IFERROR(__xludf.DUMMYFUNCTION("""COMPUTED_VALUE"""),66.0)</f>
        <v>66</v>
      </c>
      <c r="AC13" s="5">
        <f>IFERROR(__xludf.DUMMYFUNCTION("""COMPUTED_VALUE"""),2.0)</f>
        <v>2</v>
      </c>
      <c r="AE13" s="5" t="str">
        <f>IFERROR(__xludf.DUMMYFUNCTION("""COMPUTED_VALUE"""),"5Queens.csp")</f>
        <v>5Queens.csp</v>
      </c>
      <c r="AF13" s="5" t="str">
        <f>IFERROR(__xludf.DUMMYFUNCTION("""COMPUTED_VALUE"""),"FC")</f>
        <v>FC</v>
      </c>
      <c r="AG13" s="5">
        <f>IFERROR(__xludf.DUMMYFUNCTION("""COMPUTED_VALUE"""),1.0)</f>
        <v>1</v>
      </c>
      <c r="AH13" s="5" t="str">
        <f>IFERROR(__xludf.DUMMYFUNCTION("""COMPUTED_VALUE"""),"ASCENDING")</f>
        <v>ASCENDING</v>
      </c>
      <c r="AI13" s="5" t="str">
        <f>IFERROR(__xludf.DUMMYFUNCTION("""COMPUTED_VALUE"""),"ASCENDING")</f>
        <v>ASCENDING</v>
      </c>
      <c r="AJ13" s="5">
        <f>IFERROR(__xludf.DUMMYFUNCTION("""COMPUTED_VALUE"""),1.0)</f>
        <v>1</v>
      </c>
      <c r="AK13" s="5">
        <f>IFERROR(__xludf.DUMMYFUNCTION("""COMPUTED_VALUE"""),5.0)</f>
        <v>5</v>
      </c>
      <c r="AL13" s="5">
        <f>IFERROR(__xludf.DUMMYFUNCTION("""COMPUTED_VALUE"""),10.0)</f>
        <v>10</v>
      </c>
      <c r="AM13" s="5">
        <f>IFERROR(__xludf.DUMMYFUNCTION("""COMPUTED_VALUE"""),14.0)</f>
        <v>14</v>
      </c>
    </row>
    <row r="14">
      <c r="A14" s="5" t="s">
        <v>17</v>
      </c>
      <c r="B14" s="5" t="s">
        <v>11</v>
      </c>
      <c r="C14" s="5">
        <v>1.0</v>
      </c>
      <c r="D14" s="5" t="s">
        <v>12</v>
      </c>
      <c r="E14" s="5" t="s">
        <v>12</v>
      </c>
      <c r="F14" s="5">
        <v>1.0</v>
      </c>
      <c r="G14" s="5">
        <v>60.0</v>
      </c>
      <c r="H14" s="5">
        <v>3759.0</v>
      </c>
      <c r="I14" s="5">
        <v>635.0</v>
      </c>
      <c r="J14" s="5"/>
      <c r="K14" s="5" t="s">
        <v>17</v>
      </c>
      <c r="L14" s="5" t="s">
        <v>15</v>
      </c>
      <c r="M14" s="5">
        <v>1.0</v>
      </c>
      <c r="N14" s="5" t="s">
        <v>12</v>
      </c>
      <c r="O14" s="5" t="s">
        <v>12</v>
      </c>
      <c r="P14" s="5">
        <v>1.0</v>
      </c>
      <c r="Q14" s="5">
        <v>326.0</v>
      </c>
      <c r="R14" s="5">
        <v>1048.0</v>
      </c>
      <c r="S14" s="5">
        <v>867.0</v>
      </c>
      <c r="U14" s="5" t="str">
        <f>IFERROR(__xludf.DUMMYFUNCTION("""COMPUTED_VALUE"""),"6Queens.csp")</f>
        <v>6Queens.csp</v>
      </c>
      <c r="V14" s="5" t="str">
        <f>IFERROR(__xludf.DUMMYFUNCTION("""COMPUTED_VALUE"""),"MAC")</f>
        <v>MAC</v>
      </c>
      <c r="W14" s="5">
        <f>IFERROR(__xludf.DUMMYFUNCTION("""COMPUTED_VALUE"""),1.0)</f>
        <v>1</v>
      </c>
      <c r="X14" s="5" t="str">
        <f>IFERROR(__xludf.DUMMYFUNCTION("""COMPUTED_VALUE"""),"ASCENDING")</f>
        <v>ASCENDING</v>
      </c>
      <c r="Y14" s="5" t="str">
        <f>IFERROR(__xludf.DUMMYFUNCTION("""COMPUTED_VALUE"""),"ASCENDING")</f>
        <v>ASCENDING</v>
      </c>
      <c r="Z14" s="5">
        <f>IFERROR(__xludf.DUMMYFUNCTION("""COMPUTED_VALUE"""),1.0)</f>
        <v>1</v>
      </c>
      <c r="AA14" s="5">
        <f>IFERROR(__xludf.DUMMYFUNCTION("""COMPUTED_VALUE"""),12.0)</f>
        <v>12</v>
      </c>
      <c r="AB14" s="5">
        <f>IFERROR(__xludf.DUMMYFUNCTION("""COMPUTED_VALUE"""),258.0)</f>
        <v>258</v>
      </c>
      <c r="AC14" s="5">
        <f>IFERROR(__xludf.DUMMYFUNCTION("""COMPUTED_VALUE"""),28.0)</f>
        <v>28</v>
      </c>
      <c r="AE14" s="5" t="str">
        <f>IFERROR(__xludf.DUMMYFUNCTION("""COMPUTED_VALUE"""),"6Queens.csp")</f>
        <v>6Queens.csp</v>
      </c>
      <c r="AF14" s="5" t="str">
        <f>IFERROR(__xludf.DUMMYFUNCTION("""COMPUTED_VALUE"""),"FC")</f>
        <v>FC</v>
      </c>
      <c r="AG14" s="5">
        <f>IFERROR(__xludf.DUMMYFUNCTION("""COMPUTED_VALUE"""),1.0)</f>
        <v>1</v>
      </c>
      <c r="AH14" s="5" t="str">
        <f>IFERROR(__xludf.DUMMYFUNCTION("""COMPUTED_VALUE"""),"ASCENDING")</f>
        <v>ASCENDING</v>
      </c>
      <c r="AI14" s="5" t="str">
        <f>IFERROR(__xludf.DUMMYFUNCTION("""COMPUTED_VALUE"""),"ASCENDING")</f>
        <v>ASCENDING</v>
      </c>
      <c r="AJ14" s="5">
        <f>IFERROR(__xludf.DUMMYFUNCTION("""COMPUTED_VALUE"""),1.0)</f>
        <v>1</v>
      </c>
      <c r="AK14" s="5">
        <f>IFERROR(__xludf.DUMMYFUNCTION("""COMPUTED_VALUE"""),46.0)</f>
        <v>46</v>
      </c>
      <c r="AL14" s="5">
        <f>IFERROR(__xludf.DUMMYFUNCTION("""COMPUTED_VALUE"""),96.0)</f>
        <v>96</v>
      </c>
      <c r="AM14" s="5">
        <f>IFERROR(__xludf.DUMMYFUNCTION("""COMPUTED_VALUE"""),17.0)</f>
        <v>17</v>
      </c>
    </row>
    <row r="15">
      <c r="A15" s="5" t="s">
        <v>26</v>
      </c>
      <c r="B15" s="5" t="s">
        <v>11</v>
      </c>
      <c r="C15" s="5">
        <v>1.0</v>
      </c>
      <c r="D15" s="5" t="s">
        <v>12</v>
      </c>
      <c r="E15" s="5" t="s">
        <v>12</v>
      </c>
      <c r="F15" s="5">
        <v>1.0</v>
      </c>
      <c r="G15" s="5">
        <v>81.0</v>
      </c>
      <c r="H15" s="5">
        <v>10127.0</v>
      </c>
      <c r="I15" s="5">
        <v>491.0</v>
      </c>
      <c r="J15" s="5"/>
      <c r="K15" s="5" t="s">
        <v>26</v>
      </c>
      <c r="L15" s="5" t="s">
        <v>15</v>
      </c>
      <c r="M15" s="5">
        <v>1.0</v>
      </c>
      <c r="N15" s="5" t="s">
        <v>12</v>
      </c>
      <c r="O15" s="5" t="s">
        <v>12</v>
      </c>
      <c r="P15" s="5">
        <v>1.0</v>
      </c>
      <c r="Q15" s="5">
        <v>201.0</v>
      </c>
      <c r="R15" s="5">
        <v>7030.0</v>
      </c>
      <c r="S15" s="5">
        <v>612.0</v>
      </c>
      <c r="U15" s="5" t="str">
        <f>IFERROR(__xludf.DUMMYFUNCTION("""COMPUTED_VALUE"""),"7Queens.csp")</f>
        <v>7Queens.csp</v>
      </c>
      <c r="V15" s="5" t="str">
        <f>IFERROR(__xludf.DUMMYFUNCTION("""COMPUTED_VALUE"""),"MAC")</f>
        <v>MAC</v>
      </c>
      <c r="W15" s="5">
        <f>IFERROR(__xludf.DUMMYFUNCTION("""COMPUTED_VALUE"""),1.0)</f>
        <v>1</v>
      </c>
      <c r="X15" s="5" t="str">
        <f>IFERROR(__xludf.DUMMYFUNCTION("""COMPUTED_VALUE"""),"ASCENDING")</f>
        <v>ASCENDING</v>
      </c>
      <c r="Y15" s="5" t="str">
        <f>IFERROR(__xludf.DUMMYFUNCTION("""COMPUTED_VALUE"""),"ASCENDING")</f>
        <v>ASCENDING</v>
      </c>
      <c r="Z15" s="5">
        <f>IFERROR(__xludf.DUMMYFUNCTION("""COMPUTED_VALUE"""),1.0)</f>
        <v>1</v>
      </c>
      <c r="AA15" s="5">
        <f>IFERROR(__xludf.DUMMYFUNCTION("""COMPUTED_VALUE"""),7.0)</f>
        <v>7</v>
      </c>
      <c r="AB15" s="5">
        <f>IFERROR(__xludf.DUMMYFUNCTION("""COMPUTED_VALUE"""),168.0)</f>
        <v>168</v>
      </c>
      <c r="AC15" s="5">
        <f>IFERROR(__xludf.DUMMYFUNCTION("""COMPUTED_VALUE"""),20.0)</f>
        <v>20</v>
      </c>
      <c r="AE15" s="5" t="str">
        <f>IFERROR(__xludf.DUMMYFUNCTION("""COMPUTED_VALUE"""),"7Queens.csp")</f>
        <v>7Queens.csp</v>
      </c>
      <c r="AF15" s="5" t="str">
        <f>IFERROR(__xludf.DUMMYFUNCTION("""COMPUTED_VALUE"""),"FC")</f>
        <v>FC</v>
      </c>
      <c r="AG15" s="5">
        <f>IFERROR(__xludf.DUMMYFUNCTION("""COMPUTED_VALUE"""),1.0)</f>
        <v>1</v>
      </c>
      <c r="AH15" s="5" t="str">
        <f>IFERROR(__xludf.DUMMYFUNCTION("""COMPUTED_VALUE"""),"ASCENDING")</f>
        <v>ASCENDING</v>
      </c>
      <c r="AI15" s="5" t="str">
        <f>IFERROR(__xludf.DUMMYFUNCTION("""COMPUTED_VALUE"""),"ASCENDING")</f>
        <v>ASCENDING</v>
      </c>
      <c r="AJ15" s="5">
        <f>IFERROR(__xludf.DUMMYFUNCTION("""COMPUTED_VALUE"""),1.0)</f>
        <v>1</v>
      </c>
      <c r="AK15" s="5">
        <f>IFERROR(__xludf.DUMMYFUNCTION("""COMPUTED_VALUE"""),9.0)</f>
        <v>9</v>
      </c>
      <c r="AL15" s="5">
        <f>IFERROR(__xludf.DUMMYFUNCTION("""COMPUTED_VALUE"""),26.0)</f>
        <v>26</v>
      </c>
      <c r="AM15" s="5">
        <f>IFERROR(__xludf.DUMMYFUNCTION("""COMPUTED_VALUE"""),67.0)</f>
        <v>67</v>
      </c>
    </row>
    <row r="16">
      <c r="A16" s="5" t="s">
        <v>42</v>
      </c>
      <c r="B16" s="5" t="s">
        <v>11</v>
      </c>
      <c r="C16" s="5">
        <v>1.0</v>
      </c>
      <c r="D16" s="5" t="s">
        <v>12</v>
      </c>
      <c r="E16" s="5" t="s">
        <v>12</v>
      </c>
      <c r="F16" s="5">
        <v>1.0</v>
      </c>
      <c r="G16" s="5">
        <v>81.0</v>
      </c>
      <c r="H16" s="5">
        <v>10488.0</v>
      </c>
      <c r="I16" s="5">
        <v>532.0</v>
      </c>
      <c r="J16" s="5"/>
      <c r="K16" s="5" t="s">
        <v>42</v>
      </c>
      <c r="L16" s="5" t="s">
        <v>15</v>
      </c>
      <c r="M16" s="5">
        <v>1.0</v>
      </c>
      <c r="N16" s="5" t="s">
        <v>12</v>
      </c>
      <c r="O16" s="5" t="s">
        <v>12</v>
      </c>
      <c r="P16" s="5">
        <v>1.0</v>
      </c>
      <c r="Q16" s="5">
        <v>295.0</v>
      </c>
      <c r="R16" s="5">
        <v>8783.0</v>
      </c>
      <c r="S16" s="5">
        <v>697.0</v>
      </c>
      <c r="U16" s="5" t="str">
        <f>IFERROR(__xludf.DUMMYFUNCTION("""COMPUTED_VALUE"""),"8Queens.csp")</f>
        <v>8Queens.csp</v>
      </c>
      <c r="V16" s="5" t="str">
        <f>IFERROR(__xludf.DUMMYFUNCTION("""COMPUTED_VALUE"""),"MAC")</f>
        <v>MAC</v>
      </c>
      <c r="W16" s="5">
        <f>IFERROR(__xludf.DUMMYFUNCTION("""COMPUTED_VALUE"""),1.0)</f>
        <v>1</v>
      </c>
      <c r="X16" s="5" t="str">
        <f>IFERROR(__xludf.DUMMYFUNCTION("""COMPUTED_VALUE"""),"ASCENDING")</f>
        <v>ASCENDING</v>
      </c>
      <c r="Y16" s="5" t="str">
        <f>IFERROR(__xludf.DUMMYFUNCTION("""COMPUTED_VALUE"""),"ASCENDING")</f>
        <v>ASCENDING</v>
      </c>
      <c r="Z16" s="5">
        <f>IFERROR(__xludf.DUMMYFUNCTION("""COMPUTED_VALUE"""),1.0)</f>
        <v>1</v>
      </c>
      <c r="AA16" s="5">
        <f>IFERROR(__xludf.DUMMYFUNCTION("""COMPUTED_VALUE"""),28.0)</f>
        <v>28</v>
      </c>
      <c r="AB16" s="5">
        <f>IFERROR(__xludf.DUMMYFUNCTION("""COMPUTED_VALUE"""),1000.0)</f>
        <v>1000</v>
      </c>
      <c r="AC16" s="5">
        <f>IFERROR(__xludf.DUMMYFUNCTION("""COMPUTED_VALUE"""),72.0)</f>
        <v>72</v>
      </c>
      <c r="AE16" s="5" t="str">
        <f>IFERROR(__xludf.DUMMYFUNCTION("""COMPUTED_VALUE"""),"8Queens.csp")</f>
        <v>8Queens.csp</v>
      </c>
      <c r="AF16" s="5" t="str">
        <f>IFERROR(__xludf.DUMMYFUNCTION("""COMPUTED_VALUE"""),"FC")</f>
        <v>FC</v>
      </c>
      <c r="AG16" s="5">
        <f>IFERROR(__xludf.DUMMYFUNCTION("""COMPUTED_VALUE"""),1.0)</f>
        <v>1</v>
      </c>
      <c r="AH16" s="5" t="str">
        <f>IFERROR(__xludf.DUMMYFUNCTION("""COMPUTED_VALUE"""),"ASCENDING")</f>
        <v>ASCENDING</v>
      </c>
      <c r="AI16" s="5" t="str">
        <f>IFERROR(__xludf.DUMMYFUNCTION("""COMPUTED_VALUE"""),"ASCENDING")</f>
        <v>ASCENDING</v>
      </c>
      <c r="AJ16" s="5">
        <f>IFERROR(__xludf.DUMMYFUNCTION("""COMPUTED_VALUE"""),1.0)</f>
        <v>1</v>
      </c>
      <c r="AK16" s="5">
        <f>IFERROR(__xludf.DUMMYFUNCTION("""COMPUTED_VALUE"""),152.0)</f>
        <v>152</v>
      </c>
      <c r="AL16" s="5">
        <f>IFERROR(__xludf.DUMMYFUNCTION("""COMPUTED_VALUE"""),366.0)</f>
        <v>366</v>
      </c>
      <c r="AM16" s="5">
        <f>IFERROR(__xludf.DUMMYFUNCTION("""COMPUTED_VALUE"""),150.0)</f>
        <v>150</v>
      </c>
    </row>
    <row r="17">
      <c r="U17" s="5" t="str">
        <f>IFERROR(__xludf.DUMMYFUNCTION("""COMPUTED_VALUE"""),"9Queens.csp")</f>
        <v>9Queens.csp</v>
      </c>
      <c r="V17" s="5" t="str">
        <f>IFERROR(__xludf.DUMMYFUNCTION("""COMPUTED_VALUE"""),"MAC")</f>
        <v>MAC</v>
      </c>
      <c r="W17" s="5">
        <f>IFERROR(__xludf.DUMMYFUNCTION("""COMPUTED_VALUE"""),1.0)</f>
        <v>1</v>
      </c>
      <c r="X17" s="5" t="str">
        <f>IFERROR(__xludf.DUMMYFUNCTION("""COMPUTED_VALUE"""),"ASCENDING")</f>
        <v>ASCENDING</v>
      </c>
      <c r="Y17" s="5" t="str">
        <f>IFERROR(__xludf.DUMMYFUNCTION("""COMPUTED_VALUE"""),"ASCENDING")</f>
        <v>ASCENDING</v>
      </c>
      <c r="Z17" s="5">
        <f>IFERROR(__xludf.DUMMYFUNCTION("""COMPUTED_VALUE"""),1.0)</f>
        <v>1</v>
      </c>
      <c r="AA17" s="5">
        <f>IFERROR(__xludf.DUMMYFUNCTION("""COMPUTED_VALUE"""),17.0)</f>
        <v>17</v>
      </c>
      <c r="AB17" s="5">
        <f>IFERROR(__xludf.DUMMYFUNCTION("""COMPUTED_VALUE"""),605.0)</f>
        <v>605</v>
      </c>
      <c r="AC17" s="5">
        <f>IFERROR(__xludf.DUMMYFUNCTION("""COMPUTED_VALUE"""),44.0)</f>
        <v>44</v>
      </c>
      <c r="AE17" s="5" t="str">
        <f>IFERROR(__xludf.DUMMYFUNCTION("""COMPUTED_VALUE"""),"9Queens.csp")</f>
        <v>9Queens.csp</v>
      </c>
      <c r="AF17" s="5" t="str">
        <f>IFERROR(__xludf.DUMMYFUNCTION("""COMPUTED_VALUE"""),"FC")</f>
        <v>FC</v>
      </c>
      <c r="AG17" s="5">
        <f>IFERROR(__xludf.DUMMYFUNCTION("""COMPUTED_VALUE"""),1.0)</f>
        <v>1</v>
      </c>
      <c r="AH17" s="5" t="str">
        <f>IFERROR(__xludf.DUMMYFUNCTION("""COMPUTED_VALUE"""),"ASCENDING")</f>
        <v>ASCENDING</v>
      </c>
      <c r="AI17" s="5" t="str">
        <f>IFERROR(__xludf.DUMMYFUNCTION("""COMPUTED_VALUE"""),"ASCENDING")</f>
        <v>ASCENDING</v>
      </c>
      <c r="AJ17" s="5">
        <f>IFERROR(__xludf.DUMMYFUNCTION("""COMPUTED_VALUE"""),1.0)</f>
        <v>1</v>
      </c>
      <c r="AK17" s="5">
        <f>IFERROR(__xludf.DUMMYFUNCTION("""COMPUTED_VALUE"""),51.0)</f>
        <v>51</v>
      </c>
      <c r="AL17" s="5">
        <f>IFERROR(__xludf.DUMMYFUNCTION("""COMPUTED_VALUE"""),150.0)</f>
        <v>150</v>
      </c>
      <c r="AM17" s="5">
        <f>IFERROR(__xludf.DUMMYFUNCTION("""COMPUTED_VALUE"""),282.0)</f>
        <v>282</v>
      </c>
    </row>
    <row r="18">
      <c r="U18" s="5" t="str">
        <f>IFERROR(__xludf.DUMMYFUNCTION("""COMPUTED_VALUE"""),"langfords2_11.csp")</f>
        <v>langfords2_11.csp</v>
      </c>
      <c r="V18" s="5" t="str">
        <f>IFERROR(__xludf.DUMMYFUNCTION("""COMPUTED_VALUE"""),"MAC")</f>
        <v>MAC</v>
      </c>
      <c r="W18" s="5">
        <f>IFERROR(__xludf.DUMMYFUNCTION("""COMPUTED_VALUE"""),1.0)</f>
        <v>1</v>
      </c>
      <c r="X18" s="5" t="str">
        <f>IFERROR(__xludf.DUMMYFUNCTION("""COMPUTED_VALUE"""),"ASCENDING")</f>
        <v>ASCENDING</v>
      </c>
      <c r="Y18" s="5" t="str">
        <f>IFERROR(__xludf.DUMMYFUNCTION("""COMPUTED_VALUE"""),"ASCENDING")</f>
        <v>ASCENDING</v>
      </c>
      <c r="Z18" s="5">
        <f>IFERROR(__xludf.DUMMYFUNCTION("""COMPUTED_VALUE"""),1.0)</f>
        <v>1</v>
      </c>
      <c r="AA18" s="5">
        <f>IFERROR(__xludf.DUMMYFUNCTION("""COMPUTED_VALUE"""),2570.0)</f>
        <v>2570</v>
      </c>
      <c r="AB18" s="5">
        <f>IFERROR(__xludf.DUMMYFUNCTION("""COMPUTED_VALUE"""),309569.0)</f>
        <v>309569</v>
      </c>
      <c r="AC18" s="5">
        <f>IFERROR(__xludf.DUMMYFUNCTION("""COMPUTED_VALUE"""),2125.0)</f>
        <v>2125</v>
      </c>
      <c r="AE18" s="5" t="str">
        <f>IFERROR(__xludf.DUMMYFUNCTION("""COMPUTED_VALUE"""),"langfords2_11.csp")</f>
        <v>langfords2_11.csp</v>
      </c>
      <c r="AF18" s="5" t="str">
        <f>IFERROR(__xludf.DUMMYFUNCTION("""COMPUTED_VALUE"""),"FC")</f>
        <v>FC</v>
      </c>
      <c r="AG18" s="5">
        <f>IFERROR(__xludf.DUMMYFUNCTION("""COMPUTED_VALUE"""),1.0)</f>
        <v>1</v>
      </c>
      <c r="AH18" s="5" t="str">
        <f>IFERROR(__xludf.DUMMYFUNCTION("""COMPUTED_VALUE"""),"ASCENDING")</f>
        <v>ASCENDING</v>
      </c>
      <c r="AI18" s="5" t="str">
        <f>IFERROR(__xludf.DUMMYFUNCTION("""COMPUTED_VALUE"""),"ASCENDING")</f>
        <v>ASCENDING</v>
      </c>
      <c r="AJ18" s="5">
        <f>IFERROR(__xludf.DUMMYFUNCTION("""COMPUTED_VALUE"""),1.0)</f>
        <v>1</v>
      </c>
      <c r="AK18" s="5">
        <f>IFERROR(__xludf.DUMMYFUNCTION("""COMPUTED_VALUE"""),39264.0)</f>
        <v>39264</v>
      </c>
      <c r="AL18" s="5">
        <f>IFERROR(__xludf.DUMMYFUNCTION("""COMPUTED_VALUE"""),146739.0)</f>
        <v>146739</v>
      </c>
      <c r="AM18" s="5">
        <f>IFERROR(__xludf.DUMMYFUNCTION("""COMPUTED_VALUE"""),7396.0)</f>
        <v>7396</v>
      </c>
    </row>
    <row r="19">
      <c r="U19" s="5" t="str">
        <f>IFERROR(__xludf.DUMMYFUNCTION("""COMPUTED_VALUE"""),"langfords2_12.csp")</f>
        <v>langfords2_12.csp</v>
      </c>
      <c r="V19" s="5" t="str">
        <f>IFERROR(__xludf.DUMMYFUNCTION("""COMPUTED_VALUE"""),"MAC")</f>
        <v>MAC</v>
      </c>
      <c r="W19" s="5">
        <f>IFERROR(__xludf.DUMMYFUNCTION("""COMPUTED_VALUE"""),1.0)</f>
        <v>1</v>
      </c>
      <c r="X19" s="5" t="str">
        <f>IFERROR(__xludf.DUMMYFUNCTION("""COMPUTED_VALUE"""),"ASCENDING")</f>
        <v>ASCENDING</v>
      </c>
      <c r="Y19" s="5" t="str">
        <f>IFERROR(__xludf.DUMMYFUNCTION("""COMPUTED_VALUE"""),"ASCENDING")</f>
        <v>ASCENDING</v>
      </c>
      <c r="Z19" s="5">
        <f>IFERROR(__xludf.DUMMYFUNCTION("""COMPUTED_VALUE"""),1.0)</f>
        <v>1</v>
      </c>
      <c r="AA19" s="5">
        <f>IFERROR(__xludf.DUMMYFUNCTION("""COMPUTED_VALUE"""),2890.0)</f>
        <v>2890</v>
      </c>
      <c r="AB19" s="5">
        <f>IFERROR(__xludf.DUMMYFUNCTION("""COMPUTED_VALUE"""),392092.0)</f>
        <v>392092</v>
      </c>
      <c r="AC19" s="5">
        <f>IFERROR(__xludf.DUMMYFUNCTION("""COMPUTED_VALUE"""),2306.0)</f>
        <v>2306</v>
      </c>
      <c r="AE19" s="5" t="str">
        <f>IFERROR(__xludf.DUMMYFUNCTION("""COMPUTED_VALUE"""),"langfords2_12.csp")</f>
        <v>langfords2_12.csp</v>
      </c>
      <c r="AF19" s="5" t="str">
        <f>IFERROR(__xludf.DUMMYFUNCTION("""COMPUTED_VALUE"""),"FC")</f>
        <v>FC</v>
      </c>
      <c r="AG19" s="5">
        <f>IFERROR(__xludf.DUMMYFUNCTION("""COMPUTED_VALUE"""),1.0)</f>
        <v>1</v>
      </c>
      <c r="AH19" s="5" t="str">
        <f>IFERROR(__xludf.DUMMYFUNCTION("""COMPUTED_VALUE"""),"ASCENDING")</f>
        <v>ASCENDING</v>
      </c>
      <c r="AI19" s="5" t="str">
        <f>IFERROR(__xludf.DUMMYFUNCTION("""COMPUTED_VALUE"""),"ASCENDING")</f>
        <v>ASCENDING</v>
      </c>
      <c r="AJ19" s="5">
        <f>IFERROR(__xludf.DUMMYFUNCTION("""COMPUTED_VALUE"""),1.0)</f>
        <v>1</v>
      </c>
      <c r="AK19" s="5">
        <f>IFERROR(__xludf.DUMMYFUNCTION("""COMPUTED_VALUE"""),49842.0)</f>
        <v>49842</v>
      </c>
      <c r="AL19" s="5">
        <f>IFERROR(__xludf.DUMMYFUNCTION("""COMPUTED_VALUE"""),194898.0)</f>
        <v>194898</v>
      </c>
      <c r="AM19" s="5">
        <f>IFERROR(__xludf.DUMMYFUNCTION("""COMPUTED_VALUE"""),9466.0)</f>
        <v>9466</v>
      </c>
    </row>
    <row r="20">
      <c r="U20" s="5" t="str">
        <f>IFERROR(__xludf.DUMMYFUNCTION("""COMPUTED_VALUE"""),"langfords2_3.csp")</f>
        <v>langfords2_3.csp</v>
      </c>
      <c r="V20" s="5" t="str">
        <f>IFERROR(__xludf.DUMMYFUNCTION("""COMPUTED_VALUE"""),"MAC")</f>
        <v>MAC</v>
      </c>
      <c r="W20" s="5">
        <f>IFERROR(__xludf.DUMMYFUNCTION("""COMPUTED_VALUE"""),1.0)</f>
        <v>1</v>
      </c>
      <c r="X20" s="5" t="str">
        <f>IFERROR(__xludf.DUMMYFUNCTION("""COMPUTED_VALUE"""),"ASCENDING")</f>
        <v>ASCENDING</v>
      </c>
      <c r="Y20" s="5" t="str">
        <f>IFERROR(__xludf.DUMMYFUNCTION("""COMPUTED_VALUE"""),"ASCENDING")</f>
        <v>ASCENDING</v>
      </c>
      <c r="Z20" s="5">
        <f>IFERROR(__xludf.DUMMYFUNCTION("""COMPUTED_VALUE"""),1.0)</f>
        <v>1</v>
      </c>
      <c r="AA20" s="5">
        <f>IFERROR(__xludf.DUMMYFUNCTION("""COMPUTED_VALUE"""),8.0)</f>
        <v>8</v>
      </c>
      <c r="AB20" s="5">
        <f>IFERROR(__xludf.DUMMYFUNCTION("""COMPUTED_VALUE"""),123.0)</f>
        <v>123</v>
      </c>
      <c r="AC20" s="5">
        <f>IFERROR(__xludf.DUMMYFUNCTION("""COMPUTED_VALUE"""),32.0)</f>
        <v>32</v>
      </c>
      <c r="AE20" s="5" t="str">
        <f>IFERROR(__xludf.DUMMYFUNCTION("""COMPUTED_VALUE"""),"langfords2_3.csp")</f>
        <v>langfords2_3.csp</v>
      </c>
      <c r="AF20" s="5" t="str">
        <f>IFERROR(__xludf.DUMMYFUNCTION("""COMPUTED_VALUE"""),"FC")</f>
        <v>FC</v>
      </c>
      <c r="AG20" s="5">
        <f>IFERROR(__xludf.DUMMYFUNCTION("""COMPUTED_VALUE"""),1.0)</f>
        <v>1</v>
      </c>
      <c r="AH20" s="5" t="str">
        <f>IFERROR(__xludf.DUMMYFUNCTION("""COMPUTED_VALUE"""),"ASCENDING")</f>
        <v>ASCENDING</v>
      </c>
      <c r="AI20" s="5" t="str">
        <f>IFERROR(__xludf.DUMMYFUNCTION("""COMPUTED_VALUE"""),"ASCENDING")</f>
        <v>ASCENDING</v>
      </c>
      <c r="AJ20" s="5">
        <f>IFERROR(__xludf.DUMMYFUNCTION("""COMPUTED_VALUE"""),1.0)</f>
        <v>1</v>
      </c>
      <c r="AK20" s="5">
        <f>IFERROR(__xludf.DUMMYFUNCTION("""COMPUTED_VALUE"""),18.0)</f>
        <v>18</v>
      </c>
      <c r="AL20" s="5">
        <f>IFERROR(__xludf.DUMMYFUNCTION("""COMPUTED_VALUE"""),41.0)</f>
        <v>41</v>
      </c>
      <c r="AM20" s="5">
        <f>IFERROR(__xludf.DUMMYFUNCTION("""COMPUTED_VALUE"""),38.0)</f>
        <v>38</v>
      </c>
    </row>
    <row r="21">
      <c r="U21" s="5" t="str">
        <f>IFERROR(__xludf.DUMMYFUNCTION("""COMPUTED_VALUE"""),"langfords2_4.csp")</f>
        <v>langfords2_4.csp</v>
      </c>
      <c r="V21" s="5" t="str">
        <f>IFERROR(__xludf.DUMMYFUNCTION("""COMPUTED_VALUE"""),"MAC")</f>
        <v>MAC</v>
      </c>
      <c r="W21" s="5">
        <f>IFERROR(__xludf.DUMMYFUNCTION("""COMPUTED_VALUE"""),1.0)</f>
        <v>1</v>
      </c>
      <c r="X21" s="5" t="str">
        <f>IFERROR(__xludf.DUMMYFUNCTION("""COMPUTED_VALUE"""),"ASCENDING")</f>
        <v>ASCENDING</v>
      </c>
      <c r="Y21" s="5" t="str">
        <f>IFERROR(__xludf.DUMMYFUNCTION("""COMPUTED_VALUE"""),"ASCENDING")</f>
        <v>ASCENDING</v>
      </c>
      <c r="Z21" s="5">
        <f>IFERROR(__xludf.DUMMYFUNCTION("""COMPUTED_VALUE"""),1.0)</f>
        <v>1</v>
      </c>
      <c r="AA21" s="5">
        <f>IFERROR(__xludf.DUMMYFUNCTION("""COMPUTED_VALUE"""),12.0)</f>
        <v>12</v>
      </c>
      <c r="AB21" s="5">
        <f>IFERROR(__xludf.DUMMYFUNCTION("""COMPUTED_VALUE"""),344.0)</f>
        <v>344</v>
      </c>
      <c r="AC21" s="5">
        <f>IFERROR(__xludf.DUMMYFUNCTION("""COMPUTED_VALUE"""),139.0)</f>
        <v>139</v>
      </c>
      <c r="AE21" s="5" t="str">
        <f>IFERROR(__xludf.DUMMYFUNCTION("""COMPUTED_VALUE"""),"langfords2_4.csp")</f>
        <v>langfords2_4.csp</v>
      </c>
      <c r="AF21" s="5" t="str">
        <f>IFERROR(__xludf.DUMMYFUNCTION("""COMPUTED_VALUE"""),"FC")</f>
        <v>FC</v>
      </c>
      <c r="AG21" s="5">
        <f>IFERROR(__xludf.DUMMYFUNCTION("""COMPUTED_VALUE"""),1.0)</f>
        <v>1</v>
      </c>
      <c r="AH21" s="5" t="str">
        <f>IFERROR(__xludf.DUMMYFUNCTION("""COMPUTED_VALUE"""),"ASCENDING")</f>
        <v>ASCENDING</v>
      </c>
      <c r="AI21" s="5" t="str">
        <f>IFERROR(__xludf.DUMMYFUNCTION("""COMPUTED_VALUE"""),"ASCENDING")</f>
        <v>ASCENDING</v>
      </c>
      <c r="AJ21" s="5">
        <f>IFERROR(__xludf.DUMMYFUNCTION("""COMPUTED_VALUE"""),1.0)</f>
        <v>1</v>
      </c>
      <c r="AK21" s="5">
        <f>IFERROR(__xludf.DUMMYFUNCTION("""COMPUTED_VALUE"""),56.0)</f>
        <v>56</v>
      </c>
      <c r="AL21" s="5">
        <f>IFERROR(__xludf.DUMMYFUNCTION("""COMPUTED_VALUE"""),142.0)</f>
        <v>142</v>
      </c>
      <c r="AM21" s="5">
        <f>IFERROR(__xludf.DUMMYFUNCTION("""COMPUTED_VALUE"""),54.0)</f>
        <v>54</v>
      </c>
    </row>
    <row r="22">
      <c r="U22" s="5" t="str">
        <f>IFERROR(__xludf.DUMMYFUNCTION("""COMPUTED_VALUE"""),"langfords2_7.csp")</f>
        <v>langfords2_7.csp</v>
      </c>
      <c r="V22" s="5" t="str">
        <f>IFERROR(__xludf.DUMMYFUNCTION("""COMPUTED_VALUE"""),"MAC")</f>
        <v>MAC</v>
      </c>
      <c r="W22" s="5">
        <f>IFERROR(__xludf.DUMMYFUNCTION("""COMPUTED_VALUE"""),1.0)</f>
        <v>1</v>
      </c>
      <c r="X22" s="5" t="str">
        <f>IFERROR(__xludf.DUMMYFUNCTION("""COMPUTED_VALUE"""),"ASCENDING")</f>
        <v>ASCENDING</v>
      </c>
      <c r="Y22" s="5" t="str">
        <f>IFERROR(__xludf.DUMMYFUNCTION("""COMPUTED_VALUE"""),"ASCENDING")</f>
        <v>ASCENDING</v>
      </c>
      <c r="Z22" s="5">
        <f>IFERROR(__xludf.DUMMYFUNCTION("""COMPUTED_VALUE"""),1.0)</f>
        <v>1</v>
      </c>
      <c r="AA22" s="5">
        <f>IFERROR(__xludf.DUMMYFUNCTION("""COMPUTED_VALUE"""),38.0)</f>
        <v>38</v>
      </c>
      <c r="AB22" s="5">
        <f>IFERROR(__xludf.DUMMYFUNCTION("""COMPUTED_VALUE"""),3416.0)</f>
        <v>3416</v>
      </c>
      <c r="AC22" s="5">
        <f>IFERROR(__xludf.DUMMYFUNCTION("""COMPUTED_VALUE"""),408.0)</f>
        <v>408</v>
      </c>
      <c r="AE22" s="5" t="str">
        <f>IFERROR(__xludf.DUMMYFUNCTION("""COMPUTED_VALUE"""),"langfords2_7.csp")</f>
        <v>langfords2_7.csp</v>
      </c>
      <c r="AF22" s="5" t="str">
        <f>IFERROR(__xludf.DUMMYFUNCTION("""COMPUTED_VALUE"""),"FC")</f>
        <v>FC</v>
      </c>
      <c r="AG22" s="5">
        <f>IFERROR(__xludf.DUMMYFUNCTION("""COMPUTED_VALUE"""),1.0)</f>
        <v>1</v>
      </c>
      <c r="AH22" s="5" t="str">
        <f>IFERROR(__xludf.DUMMYFUNCTION("""COMPUTED_VALUE"""),"ASCENDING")</f>
        <v>ASCENDING</v>
      </c>
      <c r="AI22" s="5" t="str">
        <f>IFERROR(__xludf.DUMMYFUNCTION("""COMPUTED_VALUE"""),"ASCENDING")</f>
        <v>ASCENDING</v>
      </c>
      <c r="AJ22" s="5">
        <f>IFERROR(__xludf.DUMMYFUNCTION("""COMPUTED_VALUE"""),1.0)</f>
        <v>1</v>
      </c>
      <c r="AK22" s="5">
        <f>IFERROR(__xludf.DUMMYFUNCTION("""COMPUTED_VALUE"""),472.0)</f>
        <v>472</v>
      </c>
      <c r="AL22" s="5">
        <f>IFERROR(__xludf.DUMMYFUNCTION("""COMPUTED_VALUE"""),1531.0)</f>
        <v>1531</v>
      </c>
      <c r="AM22" s="5">
        <f>IFERROR(__xludf.DUMMYFUNCTION("""COMPUTED_VALUE"""),670.0)</f>
        <v>670</v>
      </c>
    </row>
    <row r="23">
      <c r="U23" s="5" t="str">
        <f>IFERROR(__xludf.DUMMYFUNCTION("""COMPUTED_VALUE"""),"langfords2_8.csp")</f>
        <v>langfords2_8.csp</v>
      </c>
      <c r="V23" s="5" t="str">
        <f>IFERROR(__xludf.DUMMYFUNCTION("""COMPUTED_VALUE"""),"MAC")</f>
        <v>MAC</v>
      </c>
      <c r="W23" s="5">
        <f>IFERROR(__xludf.DUMMYFUNCTION("""COMPUTED_VALUE"""),1.0)</f>
        <v>1</v>
      </c>
      <c r="X23" s="5" t="str">
        <f>IFERROR(__xludf.DUMMYFUNCTION("""COMPUTED_VALUE"""),"ASCENDING")</f>
        <v>ASCENDING</v>
      </c>
      <c r="Y23" s="5" t="str">
        <f>IFERROR(__xludf.DUMMYFUNCTION("""COMPUTED_VALUE"""),"ASCENDING")</f>
        <v>ASCENDING</v>
      </c>
      <c r="Z23" s="5">
        <f>IFERROR(__xludf.DUMMYFUNCTION("""COMPUTED_VALUE"""),1.0)</f>
        <v>1</v>
      </c>
      <c r="AA23" s="5">
        <f>IFERROR(__xludf.DUMMYFUNCTION("""COMPUTED_VALUE"""),176.0)</f>
        <v>176</v>
      </c>
      <c r="AB23" s="5">
        <f>IFERROR(__xludf.DUMMYFUNCTION("""COMPUTED_VALUE"""),16045.0)</f>
        <v>16045</v>
      </c>
      <c r="AC23" s="5">
        <f>IFERROR(__xludf.DUMMYFUNCTION("""COMPUTED_VALUE"""),683.0)</f>
        <v>683</v>
      </c>
      <c r="AE23" s="5" t="str">
        <f>IFERROR(__xludf.DUMMYFUNCTION("""COMPUTED_VALUE"""),"langfords2_8.csp")</f>
        <v>langfords2_8.csp</v>
      </c>
      <c r="AF23" s="5" t="str">
        <f>IFERROR(__xludf.DUMMYFUNCTION("""COMPUTED_VALUE"""),"FC")</f>
        <v>FC</v>
      </c>
      <c r="AG23" s="5">
        <f>IFERROR(__xludf.DUMMYFUNCTION("""COMPUTED_VALUE"""),1.0)</f>
        <v>1</v>
      </c>
      <c r="AH23" s="5" t="str">
        <f>IFERROR(__xludf.DUMMYFUNCTION("""COMPUTED_VALUE"""),"ASCENDING")</f>
        <v>ASCENDING</v>
      </c>
      <c r="AI23" s="5" t="str">
        <f>IFERROR(__xludf.DUMMYFUNCTION("""COMPUTED_VALUE"""),"ASCENDING")</f>
        <v>ASCENDING</v>
      </c>
      <c r="AJ23" s="5">
        <f>IFERROR(__xludf.DUMMYFUNCTION("""COMPUTED_VALUE"""),1.0)</f>
        <v>1</v>
      </c>
      <c r="AK23" s="5">
        <f>IFERROR(__xludf.DUMMYFUNCTION("""COMPUTED_VALUE"""),2224.0)</f>
        <v>2224</v>
      </c>
      <c r="AL23" s="5">
        <f>IFERROR(__xludf.DUMMYFUNCTION("""COMPUTED_VALUE"""),7302.0)</f>
        <v>7302</v>
      </c>
      <c r="AM23" s="5">
        <f>IFERROR(__xludf.DUMMYFUNCTION("""COMPUTED_VALUE"""),1440.0)</f>
        <v>1440</v>
      </c>
    </row>
    <row r="24">
      <c r="U24" s="5" t="str">
        <f>IFERROR(__xludf.DUMMYFUNCTION("""COMPUTED_VALUE"""),"langfords3_10.csp")</f>
        <v>langfords3_10.csp</v>
      </c>
      <c r="V24" s="5" t="str">
        <f>IFERROR(__xludf.DUMMYFUNCTION("""COMPUTED_VALUE"""),"MAC")</f>
        <v>MAC</v>
      </c>
      <c r="W24" s="5">
        <f>IFERROR(__xludf.DUMMYFUNCTION("""COMPUTED_VALUE"""),1.0)</f>
        <v>1</v>
      </c>
      <c r="X24" s="5" t="str">
        <f>IFERROR(__xludf.DUMMYFUNCTION("""COMPUTED_VALUE"""),"ASCENDING")</f>
        <v>ASCENDING</v>
      </c>
      <c r="Y24" s="5" t="str">
        <f>IFERROR(__xludf.DUMMYFUNCTION("""COMPUTED_VALUE"""),"ASCENDING")</f>
        <v>ASCENDING</v>
      </c>
      <c r="Z24" s="5">
        <f>IFERROR(__xludf.DUMMYFUNCTION("""COMPUTED_VALUE"""),1.0)</f>
        <v>1</v>
      </c>
      <c r="AA24" s="5">
        <f>IFERROR(__xludf.DUMMYFUNCTION("""COMPUTED_VALUE"""),276.0)</f>
        <v>276</v>
      </c>
      <c r="AB24" s="5">
        <f>IFERROR(__xludf.DUMMYFUNCTION("""COMPUTED_VALUE"""),80363.0)</f>
        <v>80363</v>
      </c>
      <c r="AC24" s="5">
        <f>IFERROR(__xludf.DUMMYFUNCTION("""COMPUTED_VALUE"""),1130.0)</f>
        <v>1130</v>
      </c>
      <c r="AE24" s="5" t="str">
        <f>IFERROR(__xludf.DUMMYFUNCTION("""COMPUTED_VALUE"""),"langfords3_10.csp")</f>
        <v>langfords3_10.csp</v>
      </c>
      <c r="AF24" s="5" t="str">
        <f>IFERROR(__xludf.DUMMYFUNCTION("""COMPUTED_VALUE"""),"FC")</f>
        <v>FC</v>
      </c>
      <c r="AG24" s="5">
        <f>IFERROR(__xludf.DUMMYFUNCTION("""COMPUTED_VALUE"""),1.0)</f>
        <v>1</v>
      </c>
      <c r="AH24" s="5" t="str">
        <f>IFERROR(__xludf.DUMMYFUNCTION("""COMPUTED_VALUE"""),"ASCENDING")</f>
        <v>ASCENDING</v>
      </c>
      <c r="AI24" s="5" t="str">
        <f>IFERROR(__xludf.DUMMYFUNCTION("""COMPUTED_VALUE"""),"ASCENDING")</f>
        <v>ASCENDING</v>
      </c>
      <c r="AJ24" s="5">
        <f>IFERROR(__xludf.DUMMYFUNCTION("""COMPUTED_VALUE"""),1.0)</f>
        <v>1</v>
      </c>
      <c r="AK24" s="5">
        <f>IFERROR(__xludf.DUMMYFUNCTION("""COMPUTED_VALUE"""),30204.0)</f>
        <v>30204</v>
      </c>
      <c r="AL24" s="5">
        <f>IFERROR(__xludf.DUMMYFUNCTION("""COMPUTED_VALUE"""),197318.0)</f>
        <v>197318</v>
      </c>
      <c r="AM24" s="5">
        <f>IFERROR(__xludf.DUMMYFUNCTION("""COMPUTED_VALUE"""),12924.0)</f>
        <v>12924</v>
      </c>
    </row>
    <row r="25">
      <c r="U25" s="5" t="str">
        <f>IFERROR(__xludf.DUMMYFUNCTION("""COMPUTED_VALUE"""),"langfords3_9.csp")</f>
        <v>langfords3_9.csp</v>
      </c>
      <c r="V25" s="5" t="str">
        <f>IFERROR(__xludf.DUMMYFUNCTION("""COMPUTED_VALUE"""),"MAC")</f>
        <v>MAC</v>
      </c>
      <c r="W25" s="5">
        <f>IFERROR(__xludf.DUMMYFUNCTION("""COMPUTED_VALUE"""),1.0)</f>
        <v>1</v>
      </c>
      <c r="X25" s="5" t="str">
        <f>IFERROR(__xludf.DUMMYFUNCTION("""COMPUTED_VALUE"""),"ASCENDING")</f>
        <v>ASCENDING</v>
      </c>
      <c r="Y25" s="5" t="str">
        <f>IFERROR(__xludf.DUMMYFUNCTION("""COMPUTED_VALUE"""),"ASCENDING")</f>
        <v>ASCENDING</v>
      </c>
      <c r="Z25" s="5">
        <f>IFERROR(__xludf.DUMMYFUNCTION("""COMPUTED_VALUE"""),1.0)</f>
        <v>1</v>
      </c>
      <c r="AA25" s="5">
        <f>IFERROR(__xludf.DUMMYFUNCTION("""COMPUTED_VALUE"""),93.0)</f>
        <v>93</v>
      </c>
      <c r="AB25" s="5">
        <f>IFERROR(__xludf.DUMMYFUNCTION("""COMPUTED_VALUE"""),23646.0)</f>
        <v>23646</v>
      </c>
      <c r="AC25" s="5">
        <f>IFERROR(__xludf.DUMMYFUNCTION("""COMPUTED_VALUE"""),678.0)</f>
        <v>678</v>
      </c>
      <c r="AE25" s="5" t="str">
        <f>IFERROR(__xludf.DUMMYFUNCTION("""COMPUTED_VALUE"""),"langfords3_9.csp")</f>
        <v>langfords3_9.csp</v>
      </c>
      <c r="AF25" s="5" t="str">
        <f>IFERROR(__xludf.DUMMYFUNCTION("""COMPUTED_VALUE"""),"FC")</f>
        <v>FC</v>
      </c>
      <c r="AG25" s="5">
        <f>IFERROR(__xludf.DUMMYFUNCTION("""COMPUTED_VALUE"""),1.0)</f>
        <v>1</v>
      </c>
      <c r="AH25" s="5" t="str">
        <f>IFERROR(__xludf.DUMMYFUNCTION("""COMPUTED_VALUE"""),"ASCENDING")</f>
        <v>ASCENDING</v>
      </c>
      <c r="AI25" s="5" t="str">
        <f>IFERROR(__xludf.DUMMYFUNCTION("""COMPUTED_VALUE"""),"ASCENDING")</f>
        <v>ASCENDING</v>
      </c>
      <c r="AJ25" s="5">
        <f>IFERROR(__xludf.DUMMYFUNCTION("""COMPUTED_VALUE"""),1.0)</f>
        <v>1</v>
      </c>
      <c r="AK25" s="5">
        <f>IFERROR(__xludf.DUMMYFUNCTION("""COMPUTED_VALUE"""),7045.0)</f>
        <v>7045</v>
      </c>
      <c r="AL25" s="5">
        <f>IFERROR(__xludf.DUMMYFUNCTION("""COMPUTED_VALUE"""),41709.0)</f>
        <v>41709</v>
      </c>
      <c r="AM25" s="5">
        <f>IFERROR(__xludf.DUMMYFUNCTION("""COMPUTED_VALUE"""),4857.0)</f>
        <v>4857</v>
      </c>
    </row>
    <row r="26">
      <c r="U26" s="5" t="str">
        <f>IFERROR(__xludf.DUMMYFUNCTION("""COMPUTED_VALUE"""),"SimonisSudoku.csp")</f>
        <v>SimonisSudoku.csp</v>
      </c>
      <c r="V26" s="5" t="str">
        <f>IFERROR(__xludf.DUMMYFUNCTION("""COMPUTED_VALUE"""),"MAC")</f>
        <v>MAC</v>
      </c>
      <c r="W26" s="5">
        <f>IFERROR(__xludf.DUMMYFUNCTION("""COMPUTED_VALUE"""),1.0)</f>
        <v>1</v>
      </c>
      <c r="X26" s="5" t="str">
        <f>IFERROR(__xludf.DUMMYFUNCTION("""COMPUTED_VALUE"""),"ASCENDING")</f>
        <v>ASCENDING</v>
      </c>
      <c r="Y26" s="5" t="str">
        <f>IFERROR(__xludf.DUMMYFUNCTION("""COMPUTED_VALUE"""),"ASCENDING")</f>
        <v>ASCENDING</v>
      </c>
      <c r="Z26" s="5">
        <f>IFERROR(__xludf.DUMMYFUNCTION("""COMPUTED_VALUE"""),1.0)</f>
        <v>1</v>
      </c>
      <c r="AA26" s="5">
        <f>IFERROR(__xludf.DUMMYFUNCTION("""COMPUTED_VALUE"""),81.0)</f>
        <v>81</v>
      </c>
      <c r="AB26" s="5">
        <f>IFERROR(__xludf.DUMMYFUNCTION("""COMPUTED_VALUE"""),10488.0)</f>
        <v>10488</v>
      </c>
      <c r="AC26" s="5">
        <f>IFERROR(__xludf.DUMMYFUNCTION("""COMPUTED_VALUE"""),532.0)</f>
        <v>532</v>
      </c>
      <c r="AE26" s="5" t="str">
        <f>IFERROR(__xludf.DUMMYFUNCTION("""COMPUTED_VALUE"""),"SimonisSudoku.csp")</f>
        <v>SimonisSudoku.csp</v>
      </c>
      <c r="AF26" s="5" t="str">
        <f>IFERROR(__xludf.DUMMYFUNCTION("""COMPUTED_VALUE"""),"FC")</f>
        <v>FC</v>
      </c>
      <c r="AG26" s="5">
        <f>IFERROR(__xludf.DUMMYFUNCTION("""COMPUTED_VALUE"""),1.0)</f>
        <v>1</v>
      </c>
      <c r="AH26" s="5" t="str">
        <f>IFERROR(__xludf.DUMMYFUNCTION("""COMPUTED_VALUE"""),"ASCENDING")</f>
        <v>ASCENDING</v>
      </c>
      <c r="AI26" s="5" t="str">
        <f>IFERROR(__xludf.DUMMYFUNCTION("""COMPUTED_VALUE"""),"ASCENDING")</f>
        <v>ASCENDING</v>
      </c>
      <c r="AJ26" s="5">
        <f>IFERROR(__xludf.DUMMYFUNCTION("""COMPUTED_VALUE"""),1.0)</f>
        <v>1</v>
      </c>
      <c r="AK26" s="5">
        <f>IFERROR(__xludf.DUMMYFUNCTION("""COMPUTED_VALUE"""),295.0)</f>
        <v>295</v>
      </c>
      <c r="AL26" s="5">
        <f>IFERROR(__xludf.DUMMYFUNCTION("""COMPUTED_VALUE"""),8783.0)</f>
        <v>8783</v>
      </c>
      <c r="AM26" s="5">
        <f>IFERROR(__xludf.DUMMYFUNCTION("""COMPUTED_VALUE"""),697.0)</f>
        <v>697</v>
      </c>
    </row>
    <row r="36">
      <c r="A36" s="6" t="s">
        <v>43</v>
      </c>
      <c r="B36" s="6">
        <v>15.0</v>
      </c>
    </row>
    <row r="40">
      <c r="A40" s="5" t="str">
        <f>Data!$A$1</f>
        <v>Instance</v>
      </c>
      <c r="B40" s="5" t="str">
        <f>Data!$B$1</f>
        <v>Solver Type</v>
      </c>
      <c r="C40" s="5" t="str">
        <f>Data!$C$1</f>
        <v>Solutions To Find</v>
      </c>
      <c r="D40" s="5" t="str">
        <f>Data!$D$1</f>
        <v>Variable Ordering</v>
      </c>
      <c r="E40" s="5" t="str">
        <f>Data!$E$1</f>
        <v>Value Ordering</v>
      </c>
      <c r="F40" s="5" t="str">
        <f>Data!$F$1</f>
        <v>Solutions Found</v>
      </c>
      <c r="G40" s="5" t="str">
        <f>Data!$G$1</f>
        <v>Nodes Explored</v>
      </c>
      <c r="H40" s="5" t="str">
        <f>Data!$H$1</f>
        <v>Revisions Done</v>
      </c>
      <c r="I40" s="5" t="str">
        <f>Data!$I$1</f>
        <v>Time Taken</v>
      </c>
      <c r="K40" s="5" t="str">
        <f>Data!$A$1</f>
        <v>Instance</v>
      </c>
      <c r="L40" s="5" t="str">
        <f>Data!$B$1</f>
        <v>Solver Type</v>
      </c>
      <c r="M40" s="5" t="str">
        <f>Data!$C$1</f>
        <v>Solutions To Find</v>
      </c>
      <c r="N40" s="5" t="str">
        <f>Data!$D$1</f>
        <v>Variable Ordering</v>
      </c>
      <c r="O40" s="5" t="str">
        <f>Data!$E$1</f>
        <v>Value Ordering</v>
      </c>
      <c r="P40" s="5" t="str">
        <f>Data!$F$1</f>
        <v>Solutions Found</v>
      </c>
      <c r="Q40" s="5" t="str">
        <f>Data!$G$1</f>
        <v>Nodes Explored</v>
      </c>
      <c r="R40" s="5" t="str">
        <f>Data!$H$1</f>
        <v>Revisions Done</v>
      </c>
      <c r="S40" s="5" t="str">
        <f>Data!$I$1</f>
        <v>Time Taken</v>
      </c>
    </row>
    <row r="41">
      <c r="A41" s="5" t="str">
        <f t="array" ref="A41:S55">SORTN(U2:AM1000,$B$36,0,8,1)</f>
        <v>4Queens.csp</v>
      </c>
      <c r="B41" s="5" t="s">
        <v>11</v>
      </c>
      <c r="C41" s="5">
        <v>1.0</v>
      </c>
      <c r="D41" s="5" t="s">
        <v>12</v>
      </c>
      <c r="E41" s="5" t="s">
        <v>12</v>
      </c>
      <c r="F41" s="5">
        <v>1.0</v>
      </c>
      <c r="G41" s="5">
        <v>6.0</v>
      </c>
      <c r="H41" s="5">
        <v>48.0</v>
      </c>
      <c r="I41" s="5">
        <v>2.0</v>
      </c>
      <c r="J41" s="5"/>
      <c r="K41" s="5" t="s">
        <v>28</v>
      </c>
      <c r="L41" s="5" t="s">
        <v>15</v>
      </c>
      <c r="M41" s="5">
        <v>1.0</v>
      </c>
      <c r="N41" s="5" t="s">
        <v>12</v>
      </c>
      <c r="O41" s="5" t="s">
        <v>12</v>
      </c>
      <c r="P41" s="5">
        <v>1.0</v>
      </c>
      <c r="Q41" s="5">
        <v>12.0</v>
      </c>
      <c r="R41" s="5">
        <v>18.0</v>
      </c>
      <c r="S41" s="5">
        <v>15.0</v>
      </c>
    </row>
    <row r="42">
      <c r="A42" s="5" t="s">
        <v>29</v>
      </c>
      <c r="B42" s="5" t="s">
        <v>11</v>
      </c>
      <c r="C42" s="5">
        <v>1.0</v>
      </c>
      <c r="D42" s="5" t="s">
        <v>12</v>
      </c>
      <c r="E42" s="5" t="s">
        <v>12</v>
      </c>
      <c r="F42" s="5">
        <v>1.0</v>
      </c>
      <c r="G42" s="5">
        <v>5.0</v>
      </c>
      <c r="H42" s="5">
        <v>66.0</v>
      </c>
      <c r="I42" s="5">
        <v>2.0</v>
      </c>
      <c r="J42" s="5"/>
      <c r="K42" s="5" t="s">
        <v>29</v>
      </c>
      <c r="L42" s="5" t="s">
        <v>15</v>
      </c>
      <c r="M42" s="5">
        <v>1.0</v>
      </c>
      <c r="N42" s="5" t="s">
        <v>12</v>
      </c>
      <c r="O42" s="5" t="s">
        <v>12</v>
      </c>
      <c r="P42" s="5">
        <v>1.0</v>
      </c>
      <c r="Q42" s="5">
        <v>5.0</v>
      </c>
      <c r="R42" s="5">
        <v>10.0</v>
      </c>
      <c r="S42" s="5">
        <v>14.0</v>
      </c>
    </row>
    <row r="43">
      <c r="A43" s="5" t="s">
        <v>36</v>
      </c>
      <c r="B43" s="5" t="s">
        <v>11</v>
      </c>
      <c r="C43" s="5">
        <v>1.0</v>
      </c>
      <c r="D43" s="5" t="s">
        <v>12</v>
      </c>
      <c r="E43" s="5" t="s">
        <v>12</v>
      </c>
      <c r="F43" s="5">
        <v>1.0</v>
      </c>
      <c r="G43" s="5">
        <v>8.0</v>
      </c>
      <c r="H43" s="5">
        <v>123.0</v>
      </c>
      <c r="I43" s="5">
        <v>32.0</v>
      </c>
      <c r="J43" s="5"/>
      <c r="K43" s="5" t="s">
        <v>36</v>
      </c>
      <c r="L43" s="5" t="s">
        <v>15</v>
      </c>
      <c r="M43" s="5">
        <v>1.0</v>
      </c>
      <c r="N43" s="5" t="s">
        <v>12</v>
      </c>
      <c r="O43" s="5" t="s">
        <v>12</v>
      </c>
      <c r="P43" s="5">
        <v>1.0</v>
      </c>
      <c r="Q43" s="5">
        <v>18.0</v>
      </c>
      <c r="R43" s="5">
        <v>41.0</v>
      </c>
      <c r="S43" s="5">
        <v>38.0</v>
      </c>
    </row>
    <row r="44">
      <c r="A44" s="5" t="s">
        <v>31</v>
      </c>
      <c r="B44" s="5" t="s">
        <v>11</v>
      </c>
      <c r="C44" s="5">
        <v>1.0</v>
      </c>
      <c r="D44" s="5" t="s">
        <v>12</v>
      </c>
      <c r="E44" s="5" t="s">
        <v>12</v>
      </c>
      <c r="F44" s="5">
        <v>1.0</v>
      </c>
      <c r="G44" s="5">
        <v>7.0</v>
      </c>
      <c r="H44" s="5">
        <v>168.0</v>
      </c>
      <c r="I44" s="5">
        <v>20.0</v>
      </c>
      <c r="J44" s="5"/>
      <c r="K44" s="5" t="s">
        <v>31</v>
      </c>
      <c r="L44" s="5" t="s">
        <v>15</v>
      </c>
      <c r="M44" s="5">
        <v>1.0</v>
      </c>
      <c r="N44" s="5" t="s">
        <v>12</v>
      </c>
      <c r="O44" s="5" t="s">
        <v>12</v>
      </c>
      <c r="P44" s="5">
        <v>1.0</v>
      </c>
      <c r="Q44" s="5">
        <v>9.0</v>
      </c>
      <c r="R44" s="5">
        <v>26.0</v>
      </c>
      <c r="S44" s="5">
        <v>67.0</v>
      </c>
    </row>
    <row r="45">
      <c r="A45" s="5" t="s">
        <v>30</v>
      </c>
      <c r="B45" s="5" t="s">
        <v>11</v>
      </c>
      <c r="C45" s="5">
        <v>1.0</v>
      </c>
      <c r="D45" s="5" t="s">
        <v>12</v>
      </c>
      <c r="E45" s="5" t="s">
        <v>12</v>
      </c>
      <c r="F45" s="5">
        <v>1.0</v>
      </c>
      <c r="G45" s="5">
        <v>12.0</v>
      </c>
      <c r="H45" s="5">
        <v>258.0</v>
      </c>
      <c r="I45" s="5">
        <v>28.0</v>
      </c>
      <c r="J45" s="5"/>
      <c r="K45" s="5" t="s">
        <v>30</v>
      </c>
      <c r="L45" s="5" t="s">
        <v>15</v>
      </c>
      <c r="M45" s="5">
        <v>1.0</v>
      </c>
      <c r="N45" s="5" t="s">
        <v>12</v>
      </c>
      <c r="O45" s="5" t="s">
        <v>12</v>
      </c>
      <c r="P45" s="5">
        <v>1.0</v>
      </c>
      <c r="Q45" s="5">
        <v>46.0</v>
      </c>
      <c r="R45" s="5">
        <v>96.0</v>
      </c>
      <c r="S45" s="5">
        <v>17.0</v>
      </c>
    </row>
    <row r="46">
      <c r="A46" s="5" t="s">
        <v>37</v>
      </c>
      <c r="B46" s="5" t="s">
        <v>11</v>
      </c>
      <c r="C46" s="5">
        <v>1.0</v>
      </c>
      <c r="D46" s="5" t="s">
        <v>12</v>
      </c>
      <c r="E46" s="5" t="s">
        <v>12</v>
      </c>
      <c r="F46" s="5">
        <v>1.0</v>
      </c>
      <c r="G46" s="5">
        <v>12.0</v>
      </c>
      <c r="H46" s="5">
        <v>344.0</v>
      </c>
      <c r="I46" s="5">
        <v>139.0</v>
      </c>
      <c r="J46" s="5"/>
      <c r="K46" s="5" t="s">
        <v>37</v>
      </c>
      <c r="L46" s="5" t="s">
        <v>15</v>
      </c>
      <c r="M46" s="5">
        <v>1.0</v>
      </c>
      <c r="N46" s="5" t="s">
        <v>12</v>
      </c>
      <c r="O46" s="5" t="s">
        <v>12</v>
      </c>
      <c r="P46" s="5">
        <v>1.0</v>
      </c>
      <c r="Q46" s="5">
        <v>56.0</v>
      </c>
      <c r="R46" s="5">
        <v>142.0</v>
      </c>
      <c r="S46" s="5">
        <v>54.0</v>
      </c>
    </row>
    <row r="47">
      <c r="A47" s="5" t="s">
        <v>33</v>
      </c>
      <c r="B47" s="5" t="s">
        <v>11</v>
      </c>
      <c r="C47" s="5">
        <v>1.0</v>
      </c>
      <c r="D47" s="5" t="s">
        <v>12</v>
      </c>
      <c r="E47" s="5" t="s">
        <v>12</v>
      </c>
      <c r="F47" s="5">
        <v>1.0</v>
      </c>
      <c r="G47" s="5">
        <v>17.0</v>
      </c>
      <c r="H47" s="5">
        <v>605.0</v>
      </c>
      <c r="I47" s="5">
        <v>44.0</v>
      </c>
      <c r="J47" s="5"/>
      <c r="K47" s="5" t="s">
        <v>33</v>
      </c>
      <c r="L47" s="5" t="s">
        <v>15</v>
      </c>
      <c r="M47" s="5">
        <v>1.0</v>
      </c>
      <c r="N47" s="5" t="s">
        <v>12</v>
      </c>
      <c r="O47" s="5" t="s">
        <v>12</v>
      </c>
      <c r="P47" s="5">
        <v>1.0</v>
      </c>
      <c r="Q47" s="5">
        <v>51.0</v>
      </c>
      <c r="R47" s="5">
        <v>150.0</v>
      </c>
      <c r="S47" s="5">
        <v>282.0</v>
      </c>
    </row>
    <row r="48">
      <c r="A48" s="5" t="s">
        <v>16</v>
      </c>
      <c r="B48" s="5" t="s">
        <v>11</v>
      </c>
      <c r="C48" s="5">
        <v>1.0</v>
      </c>
      <c r="D48" s="5" t="s">
        <v>12</v>
      </c>
      <c r="E48" s="5" t="s">
        <v>12</v>
      </c>
      <c r="F48" s="5">
        <v>1.0</v>
      </c>
      <c r="G48" s="5">
        <v>17.0</v>
      </c>
      <c r="H48" s="5">
        <v>941.0</v>
      </c>
      <c r="I48" s="5">
        <v>183.0</v>
      </c>
      <c r="J48" s="5"/>
      <c r="K48" s="5" t="s">
        <v>16</v>
      </c>
      <c r="L48" s="5" t="s">
        <v>15</v>
      </c>
      <c r="M48" s="5">
        <v>1.0</v>
      </c>
      <c r="N48" s="5" t="s">
        <v>12</v>
      </c>
      <c r="O48" s="5" t="s">
        <v>12</v>
      </c>
      <c r="P48" s="5">
        <v>1.0</v>
      </c>
      <c r="Q48" s="5">
        <v>59.0</v>
      </c>
      <c r="R48" s="5">
        <v>216.0</v>
      </c>
      <c r="S48" s="5">
        <v>162.0</v>
      </c>
    </row>
    <row r="49">
      <c r="A49" s="5" t="s">
        <v>32</v>
      </c>
      <c r="B49" s="5" t="s">
        <v>11</v>
      </c>
      <c r="C49" s="5">
        <v>1.0</v>
      </c>
      <c r="D49" s="5" t="s">
        <v>12</v>
      </c>
      <c r="E49" s="5" t="s">
        <v>12</v>
      </c>
      <c r="F49" s="5">
        <v>1.0</v>
      </c>
      <c r="G49" s="5">
        <v>28.0</v>
      </c>
      <c r="H49" s="5">
        <v>1000.0</v>
      </c>
      <c r="I49" s="5">
        <v>72.0</v>
      </c>
      <c r="J49" s="5"/>
      <c r="K49" s="5" t="s">
        <v>32</v>
      </c>
      <c r="L49" s="5" t="s">
        <v>15</v>
      </c>
      <c r="M49" s="5">
        <v>1.0</v>
      </c>
      <c r="N49" s="5" t="s">
        <v>12</v>
      </c>
      <c r="O49" s="5" t="s">
        <v>12</v>
      </c>
      <c r="P49" s="5">
        <v>1.0</v>
      </c>
      <c r="Q49" s="5">
        <v>152.0</v>
      </c>
      <c r="R49" s="5">
        <v>366.0</v>
      </c>
      <c r="S49" s="5">
        <v>150.0</v>
      </c>
    </row>
    <row r="50">
      <c r="A50" s="5" t="s">
        <v>10</v>
      </c>
      <c r="B50" s="5" t="s">
        <v>11</v>
      </c>
      <c r="C50" s="5">
        <v>1.0</v>
      </c>
      <c r="D50" s="5" t="s">
        <v>12</v>
      </c>
      <c r="E50" s="5" t="s">
        <v>12</v>
      </c>
      <c r="F50" s="5">
        <v>1.0</v>
      </c>
      <c r="G50" s="5">
        <v>36.0</v>
      </c>
      <c r="H50" s="5">
        <v>1507.0</v>
      </c>
      <c r="I50" s="5">
        <v>51.0</v>
      </c>
      <c r="J50" s="5"/>
      <c r="K50" s="5" t="s">
        <v>10</v>
      </c>
      <c r="L50" s="5" t="s">
        <v>15</v>
      </c>
      <c r="M50" s="5">
        <v>1.0</v>
      </c>
      <c r="N50" s="5" t="s">
        <v>12</v>
      </c>
      <c r="O50" s="5" t="s">
        <v>12</v>
      </c>
      <c r="P50" s="5">
        <v>1.0</v>
      </c>
      <c r="Q50" s="5">
        <v>150.0</v>
      </c>
      <c r="R50" s="5">
        <v>415.0</v>
      </c>
      <c r="S50" s="5">
        <v>222.0</v>
      </c>
    </row>
    <row r="51">
      <c r="A51" s="5" t="s">
        <v>18</v>
      </c>
      <c r="B51" s="5" t="s">
        <v>11</v>
      </c>
      <c r="C51" s="5">
        <v>1.0</v>
      </c>
      <c r="D51" s="5" t="s">
        <v>12</v>
      </c>
      <c r="E51" s="5" t="s">
        <v>12</v>
      </c>
      <c r="F51" s="5">
        <v>1.0</v>
      </c>
      <c r="G51" s="5">
        <v>39.0</v>
      </c>
      <c r="H51" s="5">
        <v>2443.0</v>
      </c>
      <c r="I51" s="5">
        <v>382.0</v>
      </c>
      <c r="J51" s="5"/>
      <c r="K51" s="5" t="s">
        <v>18</v>
      </c>
      <c r="L51" s="5" t="s">
        <v>15</v>
      </c>
      <c r="M51" s="5">
        <v>1.0</v>
      </c>
      <c r="N51" s="5" t="s">
        <v>12</v>
      </c>
      <c r="O51" s="5" t="s">
        <v>12</v>
      </c>
      <c r="P51" s="5">
        <v>1.0</v>
      </c>
      <c r="Q51" s="5">
        <v>145.0</v>
      </c>
      <c r="R51" s="5">
        <v>525.0</v>
      </c>
      <c r="S51" s="5">
        <v>321.0</v>
      </c>
    </row>
    <row r="52">
      <c r="A52" s="5" t="s">
        <v>38</v>
      </c>
      <c r="B52" s="5" t="s">
        <v>11</v>
      </c>
      <c r="C52" s="5">
        <v>1.0</v>
      </c>
      <c r="D52" s="5" t="s">
        <v>12</v>
      </c>
      <c r="E52" s="5" t="s">
        <v>12</v>
      </c>
      <c r="F52" s="5">
        <v>1.0</v>
      </c>
      <c r="G52" s="5">
        <v>38.0</v>
      </c>
      <c r="H52" s="5">
        <v>3416.0</v>
      </c>
      <c r="I52" s="5">
        <v>408.0</v>
      </c>
      <c r="J52" s="5"/>
      <c r="K52" s="5" t="s">
        <v>38</v>
      </c>
      <c r="L52" s="5" t="s">
        <v>15</v>
      </c>
      <c r="M52" s="5">
        <v>1.0</v>
      </c>
      <c r="N52" s="5" t="s">
        <v>12</v>
      </c>
      <c r="O52" s="5" t="s">
        <v>12</v>
      </c>
      <c r="P52" s="5">
        <v>1.0</v>
      </c>
      <c r="Q52" s="5">
        <v>472.0</v>
      </c>
      <c r="R52" s="5">
        <v>1531.0</v>
      </c>
      <c r="S52" s="5">
        <v>670.0</v>
      </c>
    </row>
    <row r="53">
      <c r="A53" s="5" t="s">
        <v>17</v>
      </c>
      <c r="B53" s="5" t="s">
        <v>11</v>
      </c>
      <c r="C53" s="5">
        <v>1.0</v>
      </c>
      <c r="D53" s="5" t="s">
        <v>12</v>
      </c>
      <c r="E53" s="5" t="s">
        <v>12</v>
      </c>
      <c r="F53" s="5">
        <v>1.0</v>
      </c>
      <c r="G53" s="5">
        <v>60.0</v>
      </c>
      <c r="H53" s="5">
        <v>3759.0</v>
      </c>
      <c r="I53" s="5">
        <v>635.0</v>
      </c>
      <c r="J53" s="5"/>
      <c r="K53" s="5" t="s">
        <v>17</v>
      </c>
      <c r="L53" s="5" t="s">
        <v>15</v>
      </c>
      <c r="M53" s="5">
        <v>1.0</v>
      </c>
      <c r="N53" s="5" t="s">
        <v>12</v>
      </c>
      <c r="O53" s="5" t="s">
        <v>12</v>
      </c>
      <c r="P53" s="5">
        <v>1.0</v>
      </c>
      <c r="Q53" s="5">
        <v>326.0</v>
      </c>
      <c r="R53" s="5">
        <v>1048.0</v>
      </c>
      <c r="S53" s="5">
        <v>867.0</v>
      </c>
    </row>
    <row r="54">
      <c r="A54" s="5" t="s">
        <v>26</v>
      </c>
      <c r="B54" s="5" t="s">
        <v>11</v>
      </c>
      <c r="C54" s="5">
        <v>1.0</v>
      </c>
      <c r="D54" s="5" t="s">
        <v>12</v>
      </c>
      <c r="E54" s="5" t="s">
        <v>12</v>
      </c>
      <c r="F54" s="5">
        <v>1.0</v>
      </c>
      <c r="G54" s="5">
        <v>81.0</v>
      </c>
      <c r="H54" s="5">
        <v>10127.0</v>
      </c>
      <c r="I54" s="5">
        <v>491.0</v>
      </c>
      <c r="J54" s="5"/>
      <c r="K54" s="5" t="s">
        <v>26</v>
      </c>
      <c r="L54" s="5" t="s">
        <v>15</v>
      </c>
      <c r="M54" s="5">
        <v>1.0</v>
      </c>
      <c r="N54" s="5" t="s">
        <v>12</v>
      </c>
      <c r="O54" s="5" t="s">
        <v>12</v>
      </c>
      <c r="P54" s="5">
        <v>1.0</v>
      </c>
      <c r="Q54" s="5">
        <v>201.0</v>
      </c>
      <c r="R54" s="5">
        <v>7030.0</v>
      </c>
      <c r="S54" s="5">
        <v>612.0</v>
      </c>
    </row>
    <row r="55">
      <c r="A55" s="5" t="s">
        <v>42</v>
      </c>
      <c r="B55" s="5" t="s">
        <v>11</v>
      </c>
      <c r="C55" s="5">
        <v>1.0</v>
      </c>
      <c r="D55" s="5" t="s">
        <v>12</v>
      </c>
      <c r="E55" s="5" t="s">
        <v>12</v>
      </c>
      <c r="F55" s="5">
        <v>1.0</v>
      </c>
      <c r="G55" s="5">
        <v>81.0</v>
      </c>
      <c r="H55" s="5">
        <v>10488.0</v>
      </c>
      <c r="I55" s="5">
        <v>532.0</v>
      </c>
      <c r="J55" s="5"/>
      <c r="K55" s="5" t="s">
        <v>42</v>
      </c>
      <c r="L55" s="5" t="s">
        <v>15</v>
      </c>
      <c r="M55" s="5">
        <v>1.0</v>
      </c>
      <c r="N55" s="5" t="s">
        <v>12</v>
      </c>
      <c r="O55" s="5" t="s">
        <v>12</v>
      </c>
      <c r="P55" s="5">
        <v>1.0</v>
      </c>
      <c r="Q55" s="5">
        <v>295.0</v>
      </c>
      <c r="R55" s="5">
        <v>8783.0</v>
      </c>
      <c r="S55" s="5">
        <v>697.0</v>
      </c>
    </row>
    <row r="60">
      <c r="A60" s="5" t="str">
        <f>Data!$A$1</f>
        <v>Instance</v>
      </c>
      <c r="B60" s="5" t="str">
        <f>Data!$B$1</f>
        <v>Solver Type</v>
      </c>
      <c r="C60" s="5" t="str">
        <f>Data!$C$1</f>
        <v>Solutions To Find</v>
      </c>
      <c r="D60" s="5" t="str">
        <f>Data!$D$1</f>
        <v>Variable Ordering</v>
      </c>
      <c r="E60" s="5" t="str">
        <f>Data!$E$1</f>
        <v>Value Ordering</v>
      </c>
      <c r="F60" s="5" t="str">
        <f>Data!$F$1</f>
        <v>Solutions Found</v>
      </c>
      <c r="G60" s="5" t="str">
        <f>Data!$G$1</f>
        <v>Nodes Explored</v>
      </c>
      <c r="H60" s="5" t="str">
        <f>Data!$H$1</f>
        <v>Revisions Done</v>
      </c>
      <c r="I60" s="5" t="str">
        <f>Data!$I$1</f>
        <v>Time Taken</v>
      </c>
      <c r="K60" s="5" t="str">
        <f>Data!$A$1</f>
        <v>Instance</v>
      </c>
      <c r="L60" s="5" t="str">
        <f>Data!$B$1</f>
        <v>Solver Type</v>
      </c>
      <c r="M60" s="5" t="str">
        <f>Data!$C$1</f>
        <v>Solutions To Find</v>
      </c>
      <c r="N60" s="5" t="str">
        <f>Data!$D$1</f>
        <v>Variable Ordering</v>
      </c>
      <c r="O60" s="5" t="str">
        <f>Data!$E$1</f>
        <v>Value Ordering</v>
      </c>
      <c r="P60" s="5" t="str">
        <f>Data!$F$1</f>
        <v>Solutions Found</v>
      </c>
      <c r="Q60" s="5" t="str">
        <f>Data!$G$1</f>
        <v>Nodes Explored</v>
      </c>
      <c r="R60" s="5" t="str">
        <f>Data!$H$1</f>
        <v>Revisions Done</v>
      </c>
      <c r="S60" s="5" t="str">
        <f>Data!$I$1</f>
        <v>Time Taken</v>
      </c>
    </row>
    <row r="61">
      <c r="A61" s="5" t="str">
        <f t="array" ref="A61:S75">SORTN(U2:AM1000,$B$36,0,9,1)</f>
        <v>4Queens.csp</v>
      </c>
      <c r="B61" s="5" t="s">
        <v>11</v>
      </c>
      <c r="C61" s="5">
        <v>1.0</v>
      </c>
      <c r="D61" s="5" t="s">
        <v>12</v>
      </c>
      <c r="E61" s="5" t="s">
        <v>12</v>
      </c>
      <c r="F61" s="5">
        <v>1.0</v>
      </c>
      <c r="G61" s="5">
        <v>6.0</v>
      </c>
      <c r="H61" s="5">
        <v>48.0</v>
      </c>
      <c r="I61" s="5">
        <v>2.0</v>
      </c>
      <c r="J61" s="5"/>
      <c r="K61" s="5" t="s">
        <v>28</v>
      </c>
      <c r="L61" s="5" t="s">
        <v>15</v>
      </c>
      <c r="M61" s="5">
        <v>1.0</v>
      </c>
      <c r="N61" s="5" t="s">
        <v>12</v>
      </c>
      <c r="O61" s="5" t="s">
        <v>12</v>
      </c>
      <c r="P61" s="5">
        <v>1.0</v>
      </c>
      <c r="Q61" s="5">
        <v>12.0</v>
      </c>
      <c r="R61" s="5">
        <v>18.0</v>
      </c>
      <c r="S61" s="5">
        <v>15.0</v>
      </c>
    </row>
    <row r="62">
      <c r="A62" s="5" t="s">
        <v>29</v>
      </c>
      <c r="B62" s="5" t="s">
        <v>11</v>
      </c>
      <c r="C62" s="5">
        <v>1.0</v>
      </c>
      <c r="D62" s="5" t="s">
        <v>12</v>
      </c>
      <c r="E62" s="5" t="s">
        <v>12</v>
      </c>
      <c r="F62" s="5">
        <v>1.0</v>
      </c>
      <c r="G62" s="5">
        <v>5.0</v>
      </c>
      <c r="H62" s="5">
        <v>66.0</v>
      </c>
      <c r="I62" s="5">
        <v>2.0</v>
      </c>
      <c r="J62" s="5"/>
      <c r="K62" s="5" t="s">
        <v>29</v>
      </c>
      <c r="L62" s="5" t="s">
        <v>15</v>
      </c>
      <c r="M62" s="5">
        <v>1.0</v>
      </c>
      <c r="N62" s="5" t="s">
        <v>12</v>
      </c>
      <c r="O62" s="5" t="s">
        <v>12</v>
      </c>
      <c r="P62" s="5">
        <v>1.0</v>
      </c>
      <c r="Q62" s="5">
        <v>5.0</v>
      </c>
      <c r="R62" s="5">
        <v>10.0</v>
      </c>
      <c r="S62" s="5">
        <v>14.0</v>
      </c>
    </row>
    <row r="63">
      <c r="A63" s="5" t="s">
        <v>31</v>
      </c>
      <c r="B63" s="5" t="s">
        <v>11</v>
      </c>
      <c r="C63" s="5">
        <v>1.0</v>
      </c>
      <c r="D63" s="5" t="s">
        <v>12</v>
      </c>
      <c r="E63" s="5" t="s">
        <v>12</v>
      </c>
      <c r="F63" s="5">
        <v>1.0</v>
      </c>
      <c r="G63" s="5">
        <v>7.0</v>
      </c>
      <c r="H63" s="5">
        <v>168.0</v>
      </c>
      <c r="I63" s="5">
        <v>20.0</v>
      </c>
      <c r="J63" s="5"/>
      <c r="K63" s="5" t="s">
        <v>31</v>
      </c>
      <c r="L63" s="5" t="s">
        <v>15</v>
      </c>
      <c r="M63" s="5">
        <v>1.0</v>
      </c>
      <c r="N63" s="5" t="s">
        <v>12</v>
      </c>
      <c r="O63" s="5" t="s">
        <v>12</v>
      </c>
      <c r="P63" s="5">
        <v>1.0</v>
      </c>
      <c r="Q63" s="5">
        <v>9.0</v>
      </c>
      <c r="R63" s="5">
        <v>26.0</v>
      </c>
      <c r="S63" s="5">
        <v>67.0</v>
      </c>
    </row>
    <row r="64">
      <c r="A64" s="5" t="s">
        <v>30</v>
      </c>
      <c r="B64" s="5" t="s">
        <v>11</v>
      </c>
      <c r="C64" s="5">
        <v>1.0</v>
      </c>
      <c r="D64" s="5" t="s">
        <v>12</v>
      </c>
      <c r="E64" s="5" t="s">
        <v>12</v>
      </c>
      <c r="F64" s="5">
        <v>1.0</v>
      </c>
      <c r="G64" s="5">
        <v>12.0</v>
      </c>
      <c r="H64" s="5">
        <v>258.0</v>
      </c>
      <c r="I64" s="5">
        <v>28.0</v>
      </c>
      <c r="J64" s="5"/>
      <c r="K64" s="5" t="s">
        <v>30</v>
      </c>
      <c r="L64" s="5" t="s">
        <v>15</v>
      </c>
      <c r="M64" s="5">
        <v>1.0</v>
      </c>
      <c r="N64" s="5" t="s">
        <v>12</v>
      </c>
      <c r="O64" s="5" t="s">
        <v>12</v>
      </c>
      <c r="P64" s="5">
        <v>1.0</v>
      </c>
      <c r="Q64" s="5">
        <v>46.0</v>
      </c>
      <c r="R64" s="5">
        <v>96.0</v>
      </c>
      <c r="S64" s="5">
        <v>17.0</v>
      </c>
    </row>
    <row r="65">
      <c r="A65" s="5" t="s">
        <v>36</v>
      </c>
      <c r="B65" s="5" t="s">
        <v>11</v>
      </c>
      <c r="C65" s="5">
        <v>1.0</v>
      </c>
      <c r="D65" s="5" t="s">
        <v>12</v>
      </c>
      <c r="E65" s="5" t="s">
        <v>12</v>
      </c>
      <c r="F65" s="5">
        <v>1.0</v>
      </c>
      <c r="G65" s="5">
        <v>8.0</v>
      </c>
      <c r="H65" s="5">
        <v>123.0</v>
      </c>
      <c r="I65" s="5">
        <v>32.0</v>
      </c>
      <c r="J65" s="5"/>
      <c r="K65" s="5" t="s">
        <v>36</v>
      </c>
      <c r="L65" s="5" t="s">
        <v>15</v>
      </c>
      <c r="M65" s="5">
        <v>1.0</v>
      </c>
      <c r="N65" s="5" t="s">
        <v>12</v>
      </c>
      <c r="O65" s="5" t="s">
        <v>12</v>
      </c>
      <c r="P65" s="5">
        <v>1.0</v>
      </c>
      <c r="Q65" s="5">
        <v>18.0</v>
      </c>
      <c r="R65" s="5">
        <v>41.0</v>
      </c>
      <c r="S65" s="5">
        <v>38.0</v>
      </c>
    </row>
    <row r="66">
      <c r="A66" s="5" t="s">
        <v>33</v>
      </c>
      <c r="B66" s="5" t="s">
        <v>11</v>
      </c>
      <c r="C66" s="5">
        <v>1.0</v>
      </c>
      <c r="D66" s="5" t="s">
        <v>12</v>
      </c>
      <c r="E66" s="5" t="s">
        <v>12</v>
      </c>
      <c r="F66" s="5">
        <v>1.0</v>
      </c>
      <c r="G66" s="5">
        <v>17.0</v>
      </c>
      <c r="H66" s="5">
        <v>605.0</v>
      </c>
      <c r="I66" s="5">
        <v>44.0</v>
      </c>
      <c r="J66" s="5"/>
      <c r="K66" s="5" t="s">
        <v>33</v>
      </c>
      <c r="L66" s="5" t="s">
        <v>15</v>
      </c>
      <c r="M66" s="5">
        <v>1.0</v>
      </c>
      <c r="N66" s="5" t="s">
        <v>12</v>
      </c>
      <c r="O66" s="5" t="s">
        <v>12</v>
      </c>
      <c r="P66" s="5">
        <v>1.0</v>
      </c>
      <c r="Q66" s="5">
        <v>51.0</v>
      </c>
      <c r="R66" s="5">
        <v>150.0</v>
      </c>
      <c r="S66" s="5">
        <v>282.0</v>
      </c>
    </row>
    <row r="67">
      <c r="A67" s="5" t="s">
        <v>10</v>
      </c>
      <c r="B67" s="5" t="s">
        <v>11</v>
      </c>
      <c r="C67" s="5">
        <v>1.0</v>
      </c>
      <c r="D67" s="5" t="s">
        <v>12</v>
      </c>
      <c r="E67" s="5" t="s">
        <v>12</v>
      </c>
      <c r="F67" s="5">
        <v>1.0</v>
      </c>
      <c r="G67" s="5">
        <v>36.0</v>
      </c>
      <c r="H67" s="5">
        <v>1507.0</v>
      </c>
      <c r="I67" s="5">
        <v>51.0</v>
      </c>
      <c r="J67" s="5"/>
      <c r="K67" s="5" t="s">
        <v>10</v>
      </c>
      <c r="L67" s="5" t="s">
        <v>15</v>
      </c>
      <c r="M67" s="5">
        <v>1.0</v>
      </c>
      <c r="N67" s="5" t="s">
        <v>12</v>
      </c>
      <c r="O67" s="5" t="s">
        <v>12</v>
      </c>
      <c r="P67" s="5">
        <v>1.0</v>
      </c>
      <c r="Q67" s="5">
        <v>150.0</v>
      </c>
      <c r="R67" s="5">
        <v>415.0</v>
      </c>
      <c r="S67" s="5">
        <v>222.0</v>
      </c>
    </row>
    <row r="68">
      <c r="A68" s="5" t="s">
        <v>32</v>
      </c>
      <c r="B68" s="5" t="s">
        <v>11</v>
      </c>
      <c r="C68" s="5">
        <v>1.0</v>
      </c>
      <c r="D68" s="5" t="s">
        <v>12</v>
      </c>
      <c r="E68" s="5" t="s">
        <v>12</v>
      </c>
      <c r="F68" s="5">
        <v>1.0</v>
      </c>
      <c r="G68" s="5">
        <v>28.0</v>
      </c>
      <c r="H68" s="5">
        <v>1000.0</v>
      </c>
      <c r="I68" s="5">
        <v>72.0</v>
      </c>
      <c r="J68" s="5"/>
      <c r="K68" s="5" t="s">
        <v>32</v>
      </c>
      <c r="L68" s="5" t="s">
        <v>15</v>
      </c>
      <c r="M68" s="5">
        <v>1.0</v>
      </c>
      <c r="N68" s="5" t="s">
        <v>12</v>
      </c>
      <c r="O68" s="5" t="s">
        <v>12</v>
      </c>
      <c r="P68" s="5">
        <v>1.0</v>
      </c>
      <c r="Q68" s="5">
        <v>152.0</v>
      </c>
      <c r="R68" s="5">
        <v>366.0</v>
      </c>
      <c r="S68" s="5">
        <v>150.0</v>
      </c>
    </row>
    <row r="69">
      <c r="A69" s="5" t="s">
        <v>37</v>
      </c>
      <c r="B69" s="5" t="s">
        <v>11</v>
      </c>
      <c r="C69" s="5">
        <v>1.0</v>
      </c>
      <c r="D69" s="5" t="s">
        <v>12</v>
      </c>
      <c r="E69" s="5" t="s">
        <v>12</v>
      </c>
      <c r="F69" s="5">
        <v>1.0</v>
      </c>
      <c r="G69" s="5">
        <v>12.0</v>
      </c>
      <c r="H69" s="5">
        <v>344.0</v>
      </c>
      <c r="I69" s="5">
        <v>139.0</v>
      </c>
      <c r="J69" s="5"/>
      <c r="K69" s="5" t="s">
        <v>37</v>
      </c>
      <c r="L69" s="5" t="s">
        <v>15</v>
      </c>
      <c r="M69" s="5">
        <v>1.0</v>
      </c>
      <c r="N69" s="5" t="s">
        <v>12</v>
      </c>
      <c r="O69" s="5" t="s">
        <v>12</v>
      </c>
      <c r="P69" s="5">
        <v>1.0</v>
      </c>
      <c r="Q69" s="5">
        <v>56.0</v>
      </c>
      <c r="R69" s="5">
        <v>142.0</v>
      </c>
      <c r="S69" s="5">
        <v>54.0</v>
      </c>
    </row>
    <row r="70">
      <c r="A70" s="5" t="s">
        <v>16</v>
      </c>
      <c r="B70" s="5" t="s">
        <v>11</v>
      </c>
      <c r="C70" s="5">
        <v>1.0</v>
      </c>
      <c r="D70" s="5" t="s">
        <v>12</v>
      </c>
      <c r="E70" s="5" t="s">
        <v>12</v>
      </c>
      <c r="F70" s="5">
        <v>1.0</v>
      </c>
      <c r="G70" s="5">
        <v>17.0</v>
      </c>
      <c r="H70" s="5">
        <v>941.0</v>
      </c>
      <c r="I70" s="5">
        <v>183.0</v>
      </c>
      <c r="J70" s="5"/>
      <c r="K70" s="5" t="s">
        <v>16</v>
      </c>
      <c r="L70" s="5" t="s">
        <v>15</v>
      </c>
      <c r="M70" s="5">
        <v>1.0</v>
      </c>
      <c r="N70" s="5" t="s">
        <v>12</v>
      </c>
      <c r="O70" s="5" t="s">
        <v>12</v>
      </c>
      <c r="P70" s="5">
        <v>1.0</v>
      </c>
      <c r="Q70" s="5">
        <v>59.0</v>
      </c>
      <c r="R70" s="5">
        <v>216.0</v>
      </c>
      <c r="S70" s="5">
        <v>162.0</v>
      </c>
    </row>
    <row r="71">
      <c r="A71" s="5" t="s">
        <v>18</v>
      </c>
      <c r="B71" s="5" t="s">
        <v>11</v>
      </c>
      <c r="C71" s="5">
        <v>1.0</v>
      </c>
      <c r="D71" s="5" t="s">
        <v>12</v>
      </c>
      <c r="E71" s="5" t="s">
        <v>12</v>
      </c>
      <c r="F71" s="5">
        <v>1.0</v>
      </c>
      <c r="G71" s="5">
        <v>39.0</v>
      </c>
      <c r="H71" s="5">
        <v>2443.0</v>
      </c>
      <c r="I71" s="5">
        <v>382.0</v>
      </c>
      <c r="J71" s="5"/>
      <c r="K71" s="5" t="s">
        <v>18</v>
      </c>
      <c r="L71" s="5" t="s">
        <v>15</v>
      </c>
      <c r="M71" s="5">
        <v>1.0</v>
      </c>
      <c r="N71" s="5" t="s">
        <v>12</v>
      </c>
      <c r="O71" s="5" t="s">
        <v>12</v>
      </c>
      <c r="P71" s="5">
        <v>1.0</v>
      </c>
      <c r="Q71" s="5">
        <v>145.0</v>
      </c>
      <c r="R71" s="5">
        <v>525.0</v>
      </c>
      <c r="S71" s="5">
        <v>321.0</v>
      </c>
    </row>
    <row r="72">
      <c r="A72" s="5" t="s">
        <v>38</v>
      </c>
      <c r="B72" s="5" t="s">
        <v>11</v>
      </c>
      <c r="C72" s="5">
        <v>1.0</v>
      </c>
      <c r="D72" s="5" t="s">
        <v>12</v>
      </c>
      <c r="E72" s="5" t="s">
        <v>12</v>
      </c>
      <c r="F72" s="5">
        <v>1.0</v>
      </c>
      <c r="G72" s="5">
        <v>38.0</v>
      </c>
      <c r="H72" s="5">
        <v>3416.0</v>
      </c>
      <c r="I72" s="5">
        <v>408.0</v>
      </c>
      <c r="J72" s="5"/>
      <c r="K72" s="5" t="s">
        <v>38</v>
      </c>
      <c r="L72" s="5" t="s">
        <v>15</v>
      </c>
      <c r="M72" s="5">
        <v>1.0</v>
      </c>
      <c r="N72" s="5" t="s">
        <v>12</v>
      </c>
      <c r="O72" s="5" t="s">
        <v>12</v>
      </c>
      <c r="P72" s="5">
        <v>1.0</v>
      </c>
      <c r="Q72" s="5">
        <v>472.0</v>
      </c>
      <c r="R72" s="5">
        <v>1531.0</v>
      </c>
      <c r="S72" s="5">
        <v>670.0</v>
      </c>
    </row>
    <row r="73">
      <c r="A73" s="5" t="s">
        <v>26</v>
      </c>
      <c r="B73" s="5" t="s">
        <v>11</v>
      </c>
      <c r="C73" s="5">
        <v>1.0</v>
      </c>
      <c r="D73" s="5" t="s">
        <v>12</v>
      </c>
      <c r="E73" s="5" t="s">
        <v>12</v>
      </c>
      <c r="F73" s="5">
        <v>1.0</v>
      </c>
      <c r="G73" s="5">
        <v>81.0</v>
      </c>
      <c r="H73" s="5">
        <v>10127.0</v>
      </c>
      <c r="I73" s="5">
        <v>491.0</v>
      </c>
      <c r="J73" s="5"/>
      <c r="K73" s="5" t="s">
        <v>26</v>
      </c>
      <c r="L73" s="5" t="s">
        <v>15</v>
      </c>
      <c r="M73" s="5">
        <v>1.0</v>
      </c>
      <c r="N73" s="5" t="s">
        <v>12</v>
      </c>
      <c r="O73" s="5" t="s">
        <v>12</v>
      </c>
      <c r="P73" s="5">
        <v>1.0</v>
      </c>
      <c r="Q73" s="5">
        <v>201.0</v>
      </c>
      <c r="R73" s="5">
        <v>7030.0</v>
      </c>
      <c r="S73" s="5">
        <v>612.0</v>
      </c>
    </row>
    <row r="74">
      <c r="A74" s="5" t="s">
        <v>42</v>
      </c>
      <c r="B74" s="5" t="s">
        <v>11</v>
      </c>
      <c r="C74" s="5">
        <v>1.0</v>
      </c>
      <c r="D74" s="5" t="s">
        <v>12</v>
      </c>
      <c r="E74" s="5" t="s">
        <v>12</v>
      </c>
      <c r="F74" s="5">
        <v>1.0</v>
      </c>
      <c r="G74" s="5">
        <v>81.0</v>
      </c>
      <c r="H74" s="5">
        <v>10488.0</v>
      </c>
      <c r="I74" s="5">
        <v>532.0</v>
      </c>
      <c r="J74" s="5"/>
      <c r="K74" s="5" t="s">
        <v>42</v>
      </c>
      <c r="L74" s="5" t="s">
        <v>15</v>
      </c>
      <c r="M74" s="5">
        <v>1.0</v>
      </c>
      <c r="N74" s="5" t="s">
        <v>12</v>
      </c>
      <c r="O74" s="5" t="s">
        <v>12</v>
      </c>
      <c r="P74" s="5">
        <v>1.0</v>
      </c>
      <c r="Q74" s="5">
        <v>295.0</v>
      </c>
      <c r="R74" s="5">
        <v>8783.0</v>
      </c>
      <c r="S74" s="5">
        <v>697.0</v>
      </c>
    </row>
    <row r="75">
      <c r="A75" s="5" t="s">
        <v>17</v>
      </c>
      <c r="B75" s="5" t="s">
        <v>11</v>
      </c>
      <c r="C75" s="5">
        <v>1.0</v>
      </c>
      <c r="D75" s="5" t="s">
        <v>12</v>
      </c>
      <c r="E75" s="5" t="s">
        <v>12</v>
      </c>
      <c r="F75" s="5">
        <v>1.0</v>
      </c>
      <c r="G75" s="5">
        <v>60.0</v>
      </c>
      <c r="H75" s="5">
        <v>3759.0</v>
      </c>
      <c r="I75" s="5">
        <v>635.0</v>
      </c>
      <c r="J75" s="5"/>
      <c r="K75" s="5" t="s">
        <v>17</v>
      </c>
      <c r="L75" s="5" t="s">
        <v>15</v>
      </c>
      <c r="M75" s="5">
        <v>1.0</v>
      </c>
      <c r="N75" s="5" t="s">
        <v>12</v>
      </c>
      <c r="O75" s="5" t="s">
        <v>12</v>
      </c>
      <c r="P75" s="5">
        <v>1.0</v>
      </c>
      <c r="Q75" s="5">
        <v>326.0</v>
      </c>
      <c r="R75" s="5">
        <v>1048.0</v>
      </c>
      <c r="S75" s="5">
        <v>867.0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75"/>
  </cols>
  <sheetData>
    <row r="1">
      <c r="A1" s="5" t="str">
        <f>Data!$A$1</f>
        <v>Instance</v>
      </c>
      <c r="B1" s="5" t="str">
        <f>Data!$B$1</f>
        <v>Solver Type</v>
      </c>
      <c r="C1" s="5" t="str">
        <f>Data!$C$1</f>
        <v>Solutions To Find</v>
      </c>
      <c r="D1" s="5" t="str">
        <f>Data!$D$1</f>
        <v>Variable Ordering</v>
      </c>
      <c r="E1" s="5" t="str">
        <f>Data!$E$1</f>
        <v>Value Ordering</v>
      </c>
      <c r="F1" s="5" t="str">
        <f>Data!$F$1</f>
        <v>Solutions Found</v>
      </c>
      <c r="G1" s="5" t="str">
        <f>Data!$G$1</f>
        <v>Nodes Explored</v>
      </c>
      <c r="H1" s="5" t="str">
        <f>Data!$H$1</f>
        <v>Revisions Done</v>
      </c>
      <c r="I1" s="5" t="str">
        <f>Data!$I$1</f>
        <v>Time Taken</v>
      </c>
      <c r="K1" s="5" t="str">
        <f>Data!$A$1</f>
        <v>Instance</v>
      </c>
      <c r="L1" s="5" t="str">
        <f>Data!$B$1</f>
        <v>Solver Type</v>
      </c>
      <c r="M1" s="5" t="str">
        <f>Data!$C$1</f>
        <v>Solutions To Find</v>
      </c>
      <c r="N1" s="5" t="str">
        <f>Data!$D$1</f>
        <v>Variable Ordering</v>
      </c>
      <c r="O1" s="5" t="str">
        <f>Data!$E$1</f>
        <v>Value Ordering</v>
      </c>
      <c r="P1" s="5" t="str">
        <f>Data!$F$1</f>
        <v>Solutions Found</v>
      </c>
      <c r="Q1" s="5" t="str">
        <f>Data!$G$1</f>
        <v>Nodes Explored</v>
      </c>
      <c r="R1" s="5" t="str">
        <f>Data!$H$1</f>
        <v>Revisions Done</v>
      </c>
      <c r="S1" s="5" t="str">
        <f>Data!$I$1</f>
        <v>Time Taken</v>
      </c>
      <c r="U1" s="5" t="str">
        <f>Data!$A$1</f>
        <v>Instance</v>
      </c>
      <c r="V1" s="5" t="str">
        <f>Data!$B$1</f>
        <v>Solver Type</v>
      </c>
      <c r="W1" s="5" t="str">
        <f>Data!$C$1</f>
        <v>Solutions To Find</v>
      </c>
      <c r="X1" s="5" t="str">
        <f>Data!$D$1</f>
        <v>Variable Ordering</v>
      </c>
      <c r="Y1" s="5" t="str">
        <f>Data!$E$1</f>
        <v>Value Ordering</v>
      </c>
      <c r="Z1" s="5" t="str">
        <f>Data!$F$1</f>
        <v>Solutions Found</v>
      </c>
      <c r="AA1" s="5" t="str">
        <f>Data!$G$1</f>
        <v>Nodes Explored</v>
      </c>
      <c r="AB1" s="5" t="str">
        <f>Data!$H$1</f>
        <v>Revisions Done</v>
      </c>
      <c r="AC1" s="5" t="str">
        <f>Data!$I$1</f>
        <v>Time Taken</v>
      </c>
      <c r="AE1" s="5" t="str">
        <f>Data!$A$1</f>
        <v>Instance</v>
      </c>
      <c r="AF1" s="5" t="str">
        <f>Data!$B$1</f>
        <v>Solver Type</v>
      </c>
      <c r="AG1" s="5" t="str">
        <f>Data!$C$1</f>
        <v>Solutions To Find</v>
      </c>
      <c r="AH1" s="5" t="str">
        <f>Data!$D$1</f>
        <v>Variable Ordering</v>
      </c>
      <c r="AI1" s="5" t="str">
        <f>Data!$E$1</f>
        <v>Value Ordering</v>
      </c>
      <c r="AJ1" s="5" t="str">
        <f>Data!$F$1</f>
        <v>Solutions Found</v>
      </c>
      <c r="AK1" s="5" t="str">
        <f>Data!$G$1</f>
        <v>Nodes Explored</v>
      </c>
      <c r="AL1" s="5" t="str">
        <f>Data!$H$1</f>
        <v>Revisions Done</v>
      </c>
      <c r="AM1" s="5" t="str">
        <f>Data!$I$1</f>
        <v>Time Taken</v>
      </c>
    </row>
    <row r="2">
      <c r="A2" s="5" t="str">
        <f t="array" ref="A2:S6">SORTN(U2:AM1000,$B$36,0,7,1)</f>
        <v>4Queens.csp</v>
      </c>
      <c r="B2" s="5" t="s">
        <v>11</v>
      </c>
      <c r="C2" s="5">
        <v>0.0</v>
      </c>
      <c r="D2" s="5" t="s">
        <v>12</v>
      </c>
      <c r="E2" s="5" t="s">
        <v>12</v>
      </c>
      <c r="F2" s="5">
        <v>2.0</v>
      </c>
      <c r="G2" s="5">
        <v>18.0</v>
      </c>
      <c r="H2" s="5">
        <v>80.0</v>
      </c>
      <c r="I2" s="5">
        <v>10.0</v>
      </c>
      <c r="J2" s="5"/>
      <c r="K2" s="5" t="s">
        <v>28</v>
      </c>
      <c r="L2" s="5" t="s">
        <v>15</v>
      </c>
      <c r="M2" s="5">
        <v>0.0</v>
      </c>
      <c r="N2" s="5" t="s">
        <v>12</v>
      </c>
      <c r="O2" s="5" t="s">
        <v>12</v>
      </c>
      <c r="P2" s="5">
        <v>2.0</v>
      </c>
      <c r="Q2" s="5">
        <v>30.0</v>
      </c>
      <c r="R2" s="5">
        <v>37.0</v>
      </c>
      <c r="S2" s="5">
        <v>17.0</v>
      </c>
      <c r="U2" s="2" t="str">
        <f>IFERROR(__xludf.DUMMYFUNCTION("FILTER(Data!A:I, Data!D:D=""ASCENDING"", Data!E:E=""ASCENDING"", Data!C:C=0, Data!B:B=""MAC"")"),"10Queens.csp")</f>
        <v>10Queens.csp</v>
      </c>
      <c r="V2" s="5" t="str">
        <f>IFERROR(__xludf.DUMMYFUNCTION("""COMPUTED_VALUE"""),"MAC")</f>
        <v>MAC</v>
      </c>
      <c r="W2" s="5">
        <f>IFERROR(__xludf.DUMMYFUNCTION("""COMPUTED_VALUE"""),0.0)</f>
        <v>0</v>
      </c>
      <c r="X2" s="5" t="str">
        <f>IFERROR(__xludf.DUMMYFUNCTION("""COMPUTED_VALUE"""),"ASCENDING")</f>
        <v>ASCENDING</v>
      </c>
      <c r="Y2" s="5" t="str">
        <f>IFERROR(__xludf.DUMMYFUNCTION("""COMPUTED_VALUE"""),"ASCENDING")</f>
        <v>ASCENDING</v>
      </c>
      <c r="Z2" s="5">
        <f>IFERROR(__xludf.DUMMYFUNCTION("""COMPUTED_VALUE"""),724.0)</f>
        <v>724</v>
      </c>
      <c r="AA2" s="5">
        <f>IFERROR(__xludf.DUMMYFUNCTION("""COMPUTED_VALUE"""),16454.0)</f>
        <v>16454</v>
      </c>
      <c r="AB2" s="5">
        <f>IFERROR(__xludf.DUMMYFUNCTION("""COMPUTED_VALUE"""),399132.0)</f>
        <v>399132</v>
      </c>
      <c r="AC2" s="5">
        <f>IFERROR(__xludf.DUMMYFUNCTION("""COMPUTED_VALUE"""),2516.0)</f>
        <v>2516</v>
      </c>
      <c r="AE2" s="5" t="str">
        <f>IFERROR(__xludf.DUMMYFUNCTION("FILTER(Data!A:I, Data!D:D=""ASCENDING"", Data!E:E=""ASCENDING"", Data!C:C=0, Data!B:B=""FC"")"),"10Queens.csp")</f>
        <v>10Queens.csp</v>
      </c>
      <c r="AF2" s="5" t="str">
        <f>IFERROR(__xludf.DUMMYFUNCTION("""COMPUTED_VALUE"""),"FC")</f>
        <v>FC</v>
      </c>
      <c r="AG2" s="5">
        <f>IFERROR(__xludf.DUMMYFUNCTION("""COMPUTED_VALUE"""),0.0)</f>
        <v>0</v>
      </c>
      <c r="AH2" s="5" t="str">
        <f>IFERROR(__xludf.DUMMYFUNCTION("""COMPUTED_VALUE"""),"ASCENDING")</f>
        <v>ASCENDING</v>
      </c>
      <c r="AI2" s="5" t="str">
        <f>IFERROR(__xludf.DUMMYFUNCTION("""COMPUTED_VALUE"""),"ASCENDING")</f>
        <v>ASCENDING</v>
      </c>
      <c r="AJ2" s="5">
        <f>IFERROR(__xludf.DUMMYFUNCTION("""COMPUTED_VALUE"""),724.0)</f>
        <v>724</v>
      </c>
      <c r="AK2" s="5">
        <f>IFERROR(__xludf.DUMMYFUNCTION("""COMPUTED_VALUE"""),50274.0)</f>
        <v>50274</v>
      </c>
      <c r="AL2" s="5">
        <f>IFERROR(__xludf.DUMMYFUNCTION("""COMPUTED_VALUE"""),119049.0)</f>
        <v>119049</v>
      </c>
      <c r="AM2" s="5">
        <f>IFERROR(__xludf.DUMMYFUNCTION("""COMPUTED_VALUE"""),2644.0)</f>
        <v>2644</v>
      </c>
    </row>
    <row r="3">
      <c r="A3" s="5" t="s">
        <v>36</v>
      </c>
      <c r="B3" s="5" t="s">
        <v>11</v>
      </c>
      <c r="C3" s="5">
        <v>0.0</v>
      </c>
      <c r="D3" s="5" t="s">
        <v>12</v>
      </c>
      <c r="E3" s="5" t="s">
        <v>12</v>
      </c>
      <c r="F3" s="5">
        <v>2.0</v>
      </c>
      <c r="G3" s="5">
        <v>26.0</v>
      </c>
      <c r="H3" s="5">
        <v>193.0</v>
      </c>
      <c r="I3" s="5">
        <v>26.0</v>
      </c>
      <c r="J3" s="5"/>
      <c r="K3" s="5" t="s">
        <v>36</v>
      </c>
      <c r="L3" s="5" t="s">
        <v>15</v>
      </c>
      <c r="M3" s="5">
        <v>0.0</v>
      </c>
      <c r="N3" s="5" t="s">
        <v>12</v>
      </c>
      <c r="O3" s="5" t="s">
        <v>12</v>
      </c>
      <c r="P3" s="5">
        <v>2.0</v>
      </c>
      <c r="Q3" s="5">
        <v>48.0</v>
      </c>
      <c r="R3" s="5">
        <v>92.0</v>
      </c>
      <c r="S3" s="5">
        <v>35.0</v>
      </c>
      <c r="U3" s="5" t="str">
        <f>IFERROR(__xludf.DUMMYFUNCTION("""COMPUTED_VALUE"""),"11Queens.csp")</f>
        <v>11Queens.csp</v>
      </c>
      <c r="V3" s="5" t="str">
        <f>IFERROR(__xludf.DUMMYFUNCTION("""COMPUTED_VALUE"""),"MAC")</f>
        <v>MAC</v>
      </c>
      <c r="W3" s="5">
        <f>IFERROR(__xludf.DUMMYFUNCTION("""COMPUTED_VALUE"""),0.0)</f>
        <v>0</v>
      </c>
      <c r="X3" s="5" t="str">
        <f>IFERROR(__xludf.DUMMYFUNCTION("""COMPUTED_VALUE"""),"ASCENDING")</f>
        <v>ASCENDING</v>
      </c>
      <c r="Y3" s="5" t="str">
        <f>IFERROR(__xludf.DUMMYFUNCTION("""COMPUTED_VALUE"""),"ASCENDING")</f>
        <v>ASCENDING</v>
      </c>
      <c r="Z3" s="5">
        <f>IFERROR(__xludf.DUMMYFUNCTION("""COMPUTED_VALUE"""),2680.0)</f>
        <v>2680</v>
      </c>
      <c r="AA3" s="5">
        <f>IFERROR(__xludf.DUMMYFUNCTION("""COMPUTED_VALUE"""),68570.0)</f>
        <v>68570</v>
      </c>
      <c r="AB3" s="5">
        <f>IFERROR(__xludf.DUMMYFUNCTION("""COMPUTED_VALUE"""),1988391.0)</f>
        <v>1988391</v>
      </c>
      <c r="AC3" s="5">
        <f>IFERROR(__xludf.DUMMYFUNCTION("""COMPUTED_VALUE"""),7773.0)</f>
        <v>7773</v>
      </c>
      <c r="AE3" s="5" t="str">
        <f>IFERROR(__xludf.DUMMYFUNCTION("""COMPUTED_VALUE"""),"11Queens.csp")</f>
        <v>11Queens.csp</v>
      </c>
      <c r="AF3" s="5" t="str">
        <f>IFERROR(__xludf.DUMMYFUNCTION("""COMPUTED_VALUE"""),"FC")</f>
        <v>FC</v>
      </c>
      <c r="AG3" s="5">
        <f>IFERROR(__xludf.DUMMYFUNCTION("""COMPUTED_VALUE"""),0.0)</f>
        <v>0</v>
      </c>
      <c r="AH3" s="5" t="str">
        <f>IFERROR(__xludf.DUMMYFUNCTION("""COMPUTED_VALUE"""),"ASCENDING")</f>
        <v>ASCENDING</v>
      </c>
      <c r="AI3" s="5" t="str">
        <f>IFERROR(__xludf.DUMMYFUNCTION("""COMPUTED_VALUE"""),"ASCENDING")</f>
        <v>ASCENDING</v>
      </c>
      <c r="AJ3" s="5">
        <f>IFERROR(__xludf.DUMMYFUNCTION("""COMPUTED_VALUE"""),2680.0)</f>
        <v>2680</v>
      </c>
      <c r="AK3" s="5">
        <f>IFERROR(__xludf.DUMMYFUNCTION("""COMPUTED_VALUE"""),228120.0)</f>
        <v>228120</v>
      </c>
      <c r="AL3" s="5">
        <f>IFERROR(__xludf.DUMMYFUNCTION("""COMPUTED_VALUE"""),567030.0)</f>
        <v>567030</v>
      </c>
      <c r="AM3" s="5">
        <f>IFERROR(__xludf.DUMMYFUNCTION("""COMPUTED_VALUE"""),12873.0)</f>
        <v>12873</v>
      </c>
    </row>
    <row r="4">
      <c r="A4" s="5" t="s">
        <v>37</v>
      </c>
      <c r="B4" s="5" t="s">
        <v>11</v>
      </c>
      <c r="C4" s="5">
        <v>0.0</v>
      </c>
      <c r="D4" s="5" t="s">
        <v>12</v>
      </c>
      <c r="E4" s="5" t="s">
        <v>12</v>
      </c>
      <c r="F4" s="5">
        <v>2.0</v>
      </c>
      <c r="G4" s="5">
        <v>48.0</v>
      </c>
      <c r="H4" s="5">
        <v>908.0</v>
      </c>
      <c r="I4" s="5">
        <v>47.0</v>
      </c>
      <c r="J4" s="5"/>
      <c r="K4" s="5" t="s">
        <v>37</v>
      </c>
      <c r="L4" s="5" t="s">
        <v>15</v>
      </c>
      <c r="M4" s="5">
        <v>0.0</v>
      </c>
      <c r="N4" s="5" t="s">
        <v>12</v>
      </c>
      <c r="O4" s="5" t="s">
        <v>12</v>
      </c>
      <c r="P4" s="5">
        <v>2.0</v>
      </c>
      <c r="Q4" s="5">
        <v>198.0</v>
      </c>
      <c r="R4" s="5">
        <v>470.0</v>
      </c>
      <c r="S4" s="5">
        <v>162.0</v>
      </c>
      <c r="U4" s="5" t="str">
        <f>IFERROR(__xludf.DUMMYFUNCTION("""COMPUTED_VALUE"""),"12Queens.csp")</f>
        <v>12Queens.csp</v>
      </c>
      <c r="V4" s="5" t="str">
        <f>IFERROR(__xludf.DUMMYFUNCTION("""COMPUTED_VALUE"""),"MAC")</f>
        <v>MAC</v>
      </c>
      <c r="W4" s="5">
        <f>IFERROR(__xludf.DUMMYFUNCTION("""COMPUTED_VALUE"""),0.0)</f>
        <v>0</v>
      </c>
      <c r="X4" s="5" t="str">
        <f>IFERROR(__xludf.DUMMYFUNCTION("""COMPUTED_VALUE"""),"ASCENDING")</f>
        <v>ASCENDING</v>
      </c>
      <c r="Y4" s="5" t="str">
        <f>IFERROR(__xludf.DUMMYFUNCTION("""COMPUTED_VALUE"""),"ASCENDING")</f>
        <v>ASCENDING</v>
      </c>
      <c r="Z4" s="5">
        <f>IFERROR(__xludf.DUMMYFUNCTION("""COMPUTED_VALUE"""),14200.0)</f>
        <v>14200</v>
      </c>
      <c r="AA4" s="5">
        <f>IFERROR(__xludf.DUMMYFUNCTION("""COMPUTED_VALUE"""),348466.0)</f>
        <v>348466</v>
      </c>
      <c r="AB4" s="5">
        <f>IFERROR(__xludf.DUMMYFUNCTION("""COMPUTED_VALUE"""),1.0844028E7)</f>
        <v>10844028</v>
      </c>
      <c r="AC4" s="5">
        <f>IFERROR(__xludf.DUMMYFUNCTION("""COMPUTED_VALUE"""),25879.0)</f>
        <v>25879</v>
      </c>
      <c r="AE4" s="5" t="str">
        <f>IFERROR(__xludf.DUMMYFUNCTION("""COMPUTED_VALUE"""),"12Queens.csp")</f>
        <v>12Queens.csp</v>
      </c>
      <c r="AF4" s="5" t="str">
        <f>IFERROR(__xludf.DUMMYFUNCTION("""COMPUTED_VALUE"""),"FC")</f>
        <v>FC</v>
      </c>
      <c r="AG4" s="5">
        <f>IFERROR(__xludf.DUMMYFUNCTION("""COMPUTED_VALUE"""),0.0)</f>
        <v>0</v>
      </c>
      <c r="AH4" s="5" t="str">
        <f>IFERROR(__xludf.DUMMYFUNCTION("""COMPUTED_VALUE"""),"ASCENDING")</f>
        <v>ASCENDING</v>
      </c>
      <c r="AI4" s="5" t="str">
        <f>IFERROR(__xludf.DUMMYFUNCTION("""COMPUTED_VALUE"""),"ASCENDING")</f>
        <v>ASCENDING</v>
      </c>
      <c r="AJ4" s="5">
        <f>IFERROR(__xludf.DUMMYFUNCTION("""COMPUTED_VALUE"""),14200.0)</f>
        <v>14200</v>
      </c>
      <c r="AK4" s="5">
        <f>IFERROR(__xludf.DUMMYFUNCTION("""COMPUTED_VALUE"""),1145464.0)</f>
        <v>1145464</v>
      </c>
      <c r="AL4" s="5">
        <f>IFERROR(__xludf.DUMMYFUNCTION("""COMPUTED_VALUE"""),2938054.0)</f>
        <v>2938054</v>
      </c>
      <c r="AM4" s="5">
        <f>IFERROR(__xludf.DUMMYFUNCTION("""COMPUTED_VALUE"""),39394.0)</f>
        <v>39394</v>
      </c>
    </row>
    <row r="5">
      <c r="A5" s="5" t="s">
        <v>30</v>
      </c>
      <c r="B5" s="5" t="s">
        <v>11</v>
      </c>
      <c r="C5" s="5">
        <v>0.0</v>
      </c>
      <c r="D5" s="5" t="s">
        <v>12</v>
      </c>
      <c r="E5" s="5" t="s">
        <v>12</v>
      </c>
      <c r="F5" s="5">
        <v>4.0</v>
      </c>
      <c r="G5" s="5">
        <v>76.0</v>
      </c>
      <c r="H5" s="5">
        <v>976.0</v>
      </c>
      <c r="I5" s="5">
        <v>96.0</v>
      </c>
      <c r="J5" s="5"/>
      <c r="K5" s="5" t="s">
        <v>30</v>
      </c>
      <c r="L5" s="5" t="s">
        <v>15</v>
      </c>
      <c r="M5" s="5">
        <v>0.0</v>
      </c>
      <c r="N5" s="5" t="s">
        <v>12</v>
      </c>
      <c r="O5" s="5" t="s">
        <v>12</v>
      </c>
      <c r="P5" s="5">
        <v>4.0</v>
      </c>
      <c r="Q5" s="5">
        <v>244.0</v>
      </c>
      <c r="R5" s="5">
        <v>448.0</v>
      </c>
      <c r="S5" s="5">
        <v>48.0</v>
      </c>
      <c r="U5" s="5" t="str">
        <f>IFERROR(__xludf.DUMMYFUNCTION("""COMPUTED_VALUE"""),"13Queens.csp")</f>
        <v>13Queens.csp</v>
      </c>
      <c r="V5" s="5" t="str">
        <f>IFERROR(__xludf.DUMMYFUNCTION("""COMPUTED_VALUE"""),"MAC")</f>
        <v>MAC</v>
      </c>
      <c r="W5" s="5">
        <f>IFERROR(__xludf.DUMMYFUNCTION("""COMPUTED_VALUE"""),0.0)</f>
        <v>0</v>
      </c>
      <c r="X5" s="5" t="str">
        <f>IFERROR(__xludf.DUMMYFUNCTION("""COMPUTED_VALUE"""),"ASCENDING")</f>
        <v>ASCENDING</v>
      </c>
      <c r="Y5" s="5" t="str">
        <f>IFERROR(__xludf.DUMMYFUNCTION("""COMPUTED_VALUE"""),"ASCENDING")</f>
        <v>ASCENDING</v>
      </c>
      <c r="Z5" s="5">
        <f>IFERROR(__xludf.DUMMYFUNCTION("""COMPUTED_VALUE"""),73712.0)</f>
        <v>73712</v>
      </c>
      <c r="AA5" s="5">
        <f>IFERROR(__xludf.DUMMYFUNCTION("""COMPUTED_VALUE"""),1838678.0)</f>
        <v>1838678</v>
      </c>
      <c r="AB5" s="5">
        <f>IFERROR(__xludf.DUMMYFUNCTION("""COMPUTED_VALUE"""),6.260204E7)</f>
        <v>62602040</v>
      </c>
      <c r="AC5" s="5">
        <f>IFERROR(__xludf.DUMMYFUNCTION("""COMPUTED_VALUE"""),89520.0)</f>
        <v>89520</v>
      </c>
      <c r="AE5" s="5" t="str">
        <f>IFERROR(__xludf.DUMMYFUNCTION("""COMPUTED_VALUE"""),"13Queens.csp")</f>
        <v>13Queens.csp</v>
      </c>
      <c r="AF5" s="5" t="str">
        <f>IFERROR(__xludf.DUMMYFUNCTION("""COMPUTED_VALUE"""),"FC")</f>
        <v>FC</v>
      </c>
      <c r="AG5" s="5">
        <f>IFERROR(__xludf.DUMMYFUNCTION("""COMPUTED_VALUE"""),0.0)</f>
        <v>0</v>
      </c>
      <c r="AH5" s="5" t="str">
        <f>IFERROR(__xludf.DUMMYFUNCTION("""COMPUTED_VALUE"""),"ASCENDING")</f>
        <v>ASCENDING</v>
      </c>
      <c r="AI5" s="5" t="str">
        <f>IFERROR(__xludf.DUMMYFUNCTION("""COMPUTED_VALUE"""),"ASCENDING")</f>
        <v>ASCENDING</v>
      </c>
      <c r="AJ5" s="5">
        <f>IFERROR(__xludf.DUMMYFUNCTION("""COMPUTED_VALUE"""),73712.0)</f>
        <v>73712</v>
      </c>
      <c r="AK5" s="5">
        <f>IFERROR(__xludf.DUMMYFUNCTION("""COMPUTED_VALUE"""),6171402.0)</f>
        <v>6171402</v>
      </c>
      <c r="AL5" s="5">
        <f>IFERROR(__xludf.DUMMYFUNCTION("""COMPUTED_VALUE"""),1.6247936E7)</f>
        <v>16247936</v>
      </c>
      <c r="AM5" s="5">
        <f>IFERROR(__xludf.DUMMYFUNCTION("""COMPUTED_VALUE"""),124929.0)</f>
        <v>124929</v>
      </c>
    </row>
    <row r="6">
      <c r="A6" s="5" t="s">
        <v>29</v>
      </c>
      <c r="B6" s="5" t="s">
        <v>11</v>
      </c>
      <c r="C6" s="5">
        <v>0.0</v>
      </c>
      <c r="D6" s="5" t="s">
        <v>12</v>
      </c>
      <c r="E6" s="5" t="s">
        <v>12</v>
      </c>
      <c r="F6" s="5">
        <v>10.0</v>
      </c>
      <c r="G6" s="5">
        <v>92.0</v>
      </c>
      <c r="H6" s="5">
        <v>386.0</v>
      </c>
      <c r="I6" s="5">
        <v>31.0</v>
      </c>
      <c r="J6" s="5"/>
      <c r="K6" s="5" t="s">
        <v>29</v>
      </c>
      <c r="L6" s="5" t="s">
        <v>15</v>
      </c>
      <c r="M6" s="5">
        <v>0.0</v>
      </c>
      <c r="N6" s="5" t="s">
        <v>12</v>
      </c>
      <c r="O6" s="5" t="s">
        <v>12</v>
      </c>
      <c r="P6" s="5">
        <v>10.0</v>
      </c>
      <c r="Q6" s="5">
        <v>106.0</v>
      </c>
      <c r="R6" s="5">
        <v>135.0</v>
      </c>
      <c r="S6" s="5">
        <v>25.0</v>
      </c>
      <c r="U6" s="5" t="str">
        <f>IFERROR(__xludf.DUMMYFUNCTION("""COMPUTED_VALUE"""),"4Queens.csp")</f>
        <v>4Queens.csp</v>
      </c>
      <c r="V6" s="5" t="str">
        <f>IFERROR(__xludf.DUMMYFUNCTION("""COMPUTED_VALUE"""),"MAC")</f>
        <v>MAC</v>
      </c>
      <c r="W6" s="5">
        <f>IFERROR(__xludf.DUMMYFUNCTION("""COMPUTED_VALUE"""),0.0)</f>
        <v>0</v>
      </c>
      <c r="X6" s="5" t="str">
        <f>IFERROR(__xludf.DUMMYFUNCTION("""COMPUTED_VALUE"""),"ASCENDING")</f>
        <v>ASCENDING</v>
      </c>
      <c r="Y6" s="5" t="str">
        <f>IFERROR(__xludf.DUMMYFUNCTION("""COMPUTED_VALUE"""),"ASCENDING")</f>
        <v>ASCENDING</v>
      </c>
      <c r="Z6" s="5">
        <f>IFERROR(__xludf.DUMMYFUNCTION("""COMPUTED_VALUE"""),2.0)</f>
        <v>2</v>
      </c>
      <c r="AA6" s="5">
        <f>IFERROR(__xludf.DUMMYFUNCTION("""COMPUTED_VALUE"""),18.0)</f>
        <v>18</v>
      </c>
      <c r="AB6" s="5">
        <f>IFERROR(__xludf.DUMMYFUNCTION("""COMPUTED_VALUE"""),80.0)</f>
        <v>80</v>
      </c>
      <c r="AC6" s="5">
        <f>IFERROR(__xludf.DUMMYFUNCTION("""COMPUTED_VALUE"""),10.0)</f>
        <v>10</v>
      </c>
      <c r="AE6" s="5" t="str">
        <f>IFERROR(__xludf.DUMMYFUNCTION("""COMPUTED_VALUE"""),"4Queens.csp")</f>
        <v>4Queens.csp</v>
      </c>
      <c r="AF6" s="5" t="str">
        <f>IFERROR(__xludf.DUMMYFUNCTION("""COMPUTED_VALUE"""),"FC")</f>
        <v>FC</v>
      </c>
      <c r="AG6" s="5">
        <f>IFERROR(__xludf.DUMMYFUNCTION("""COMPUTED_VALUE"""),0.0)</f>
        <v>0</v>
      </c>
      <c r="AH6" s="5" t="str">
        <f>IFERROR(__xludf.DUMMYFUNCTION("""COMPUTED_VALUE"""),"ASCENDING")</f>
        <v>ASCENDING</v>
      </c>
      <c r="AI6" s="5" t="str">
        <f>IFERROR(__xludf.DUMMYFUNCTION("""COMPUTED_VALUE"""),"ASCENDING")</f>
        <v>ASCENDING</v>
      </c>
      <c r="AJ6" s="5">
        <f>IFERROR(__xludf.DUMMYFUNCTION("""COMPUTED_VALUE"""),2.0)</f>
        <v>2</v>
      </c>
      <c r="AK6" s="5">
        <f>IFERROR(__xludf.DUMMYFUNCTION("""COMPUTED_VALUE"""),30.0)</f>
        <v>30</v>
      </c>
      <c r="AL6" s="5">
        <f>IFERROR(__xludf.DUMMYFUNCTION("""COMPUTED_VALUE"""),37.0)</f>
        <v>37</v>
      </c>
      <c r="AM6" s="5">
        <f>IFERROR(__xludf.DUMMYFUNCTION("""COMPUTED_VALUE"""),17.0)</f>
        <v>17</v>
      </c>
    </row>
    <row r="7">
      <c r="U7" s="5" t="str">
        <f>IFERROR(__xludf.DUMMYFUNCTION("""COMPUTED_VALUE"""),"5Queens.csp")</f>
        <v>5Queens.csp</v>
      </c>
      <c r="V7" s="5" t="str">
        <f>IFERROR(__xludf.DUMMYFUNCTION("""COMPUTED_VALUE"""),"MAC")</f>
        <v>MAC</v>
      </c>
      <c r="W7" s="5">
        <f>IFERROR(__xludf.DUMMYFUNCTION("""COMPUTED_VALUE"""),0.0)</f>
        <v>0</v>
      </c>
      <c r="X7" s="5" t="str">
        <f>IFERROR(__xludf.DUMMYFUNCTION("""COMPUTED_VALUE"""),"ASCENDING")</f>
        <v>ASCENDING</v>
      </c>
      <c r="Y7" s="5" t="str">
        <f>IFERROR(__xludf.DUMMYFUNCTION("""COMPUTED_VALUE"""),"ASCENDING")</f>
        <v>ASCENDING</v>
      </c>
      <c r="Z7" s="5">
        <f>IFERROR(__xludf.DUMMYFUNCTION("""COMPUTED_VALUE"""),10.0)</f>
        <v>10</v>
      </c>
      <c r="AA7" s="5">
        <f>IFERROR(__xludf.DUMMYFUNCTION("""COMPUTED_VALUE"""),92.0)</f>
        <v>92</v>
      </c>
      <c r="AB7" s="5">
        <f>IFERROR(__xludf.DUMMYFUNCTION("""COMPUTED_VALUE"""),386.0)</f>
        <v>386</v>
      </c>
      <c r="AC7" s="5">
        <f>IFERROR(__xludf.DUMMYFUNCTION("""COMPUTED_VALUE"""),31.0)</f>
        <v>31</v>
      </c>
      <c r="AE7" s="5" t="str">
        <f>IFERROR(__xludf.DUMMYFUNCTION("""COMPUTED_VALUE"""),"5Queens.csp")</f>
        <v>5Queens.csp</v>
      </c>
      <c r="AF7" s="5" t="str">
        <f>IFERROR(__xludf.DUMMYFUNCTION("""COMPUTED_VALUE"""),"FC")</f>
        <v>FC</v>
      </c>
      <c r="AG7" s="5">
        <f>IFERROR(__xludf.DUMMYFUNCTION("""COMPUTED_VALUE"""),0.0)</f>
        <v>0</v>
      </c>
      <c r="AH7" s="5" t="str">
        <f>IFERROR(__xludf.DUMMYFUNCTION("""COMPUTED_VALUE"""),"ASCENDING")</f>
        <v>ASCENDING</v>
      </c>
      <c r="AI7" s="5" t="str">
        <f>IFERROR(__xludf.DUMMYFUNCTION("""COMPUTED_VALUE"""),"ASCENDING")</f>
        <v>ASCENDING</v>
      </c>
      <c r="AJ7" s="5">
        <f>IFERROR(__xludf.DUMMYFUNCTION("""COMPUTED_VALUE"""),10.0)</f>
        <v>10</v>
      </c>
      <c r="AK7" s="5">
        <f>IFERROR(__xludf.DUMMYFUNCTION("""COMPUTED_VALUE"""),106.0)</f>
        <v>106</v>
      </c>
      <c r="AL7" s="5">
        <f>IFERROR(__xludf.DUMMYFUNCTION("""COMPUTED_VALUE"""),135.0)</f>
        <v>135</v>
      </c>
      <c r="AM7" s="5">
        <f>IFERROR(__xludf.DUMMYFUNCTION("""COMPUTED_VALUE"""),25.0)</f>
        <v>25</v>
      </c>
    </row>
    <row r="8">
      <c r="U8" s="5" t="str">
        <f>IFERROR(__xludf.DUMMYFUNCTION("""COMPUTED_VALUE"""),"6Queens.csp")</f>
        <v>6Queens.csp</v>
      </c>
      <c r="V8" s="5" t="str">
        <f>IFERROR(__xludf.DUMMYFUNCTION("""COMPUTED_VALUE"""),"MAC")</f>
        <v>MAC</v>
      </c>
      <c r="W8" s="5">
        <f>IFERROR(__xludf.DUMMYFUNCTION("""COMPUTED_VALUE"""),0.0)</f>
        <v>0</v>
      </c>
      <c r="X8" s="5" t="str">
        <f>IFERROR(__xludf.DUMMYFUNCTION("""COMPUTED_VALUE"""),"ASCENDING")</f>
        <v>ASCENDING</v>
      </c>
      <c r="Y8" s="5" t="str">
        <f>IFERROR(__xludf.DUMMYFUNCTION("""COMPUTED_VALUE"""),"ASCENDING")</f>
        <v>ASCENDING</v>
      </c>
      <c r="Z8" s="5">
        <f>IFERROR(__xludf.DUMMYFUNCTION("""COMPUTED_VALUE"""),4.0)</f>
        <v>4</v>
      </c>
      <c r="AA8" s="5">
        <f>IFERROR(__xludf.DUMMYFUNCTION("""COMPUTED_VALUE"""),76.0)</f>
        <v>76</v>
      </c>
      <c r="AB8" s="5">
        <f>IFERROR(__xludf.DUMMYFUNCTION("""COMPUTED_VALUE"""),976.0)</f>
        <v>976</v>
      </c>
      <c r="AC8" s="5">
        <f>IFERROR(__xludf.DUMMYFUNCTION("""COMPUTED_VALUE"""),96.0)</f>
        <v>96</v>
      </c>
      <c r="AE8" s="5" t="str">
        <f>IFERROR(__xludf.DUMMYFUNCTION("""COMPUTED_VALUE"""),"6Queens.csp")</f>
        <v>6Queens.csp</v>
      </c>
      <c r="AF8" s="5" t="str">
        <f>IFERROR(__xludf.DUMMYFUNCTION("""COMPUTED_VALUE"""),"FC")</f>
        <v>FC</v>
      </c>
      <c r="AG8" s="5">
        <f>IFERROR(__xludf.DUMMYFUNCTION("""COMPUTED_VALUE"""),0.0)</f>
        <v>0</v>
      </c>
      <c r="AH8" s="5" t="str">
        <f>IFERROR(__xludf.DUMMYFUNCTION("""COMPUTED_VALUE"""),"ASCENDING")</f>
        <v>ASCENDING</v>
      </c>
      <c r="AI8" s="5" t="str">
        <f>IFERROR(__xludf.DUMMYFUNCTION("""COMPUTED_VALUE"""),"ASCENDING")</f>
        <v>ASCENDING</v>
      </c>
      <c r="AJ8" s="5">
        <f>IFERROR(__xludf.DUMMYFUNCTION("""COMPUTED_VALUE"""),4.0)</f>
        <v>4</v>
      </c>
      <c r="AK8" s="5">
        <f>IFERROR(__xludf.DUMMYFUNCTION("""COMPUTED_VALUE"""),244.0)</f>
        <v>244</v>
      </c>
      <c r="AL8" s="5">
        <f>IFERROR(__xludf.DUMMYFUNCTION("""COMPUTED_VALUE"""),448.0)</f>
        <v>448</v>
      </c>
      <c r="AM8" s="5">
        <f>IFERROR(__xludf.DUMMYFUNCTION("""COMPUTED_VALUE"""),48.0)</f>
        <v>48</v>
      </c>
    </row>
    <row r="9">
      <c r="U9" s="5" t="str">
        <f>IFERROR(__xludf.DUMMYFUNCTION("""COMPUTED_VALUE"""),"8Queens.csp")</f>
        <v>8Queens.csp</v>
      </c>
      <c r="V9" s="5" t="str">
        <f>IFERROR(__xludf.DUMMYFUNCTION("""COMPUTED_VALUE"""),"MAC")</f>
        <v>MAC</v>
      </c>
      <c r="W9" s="5">
        <f>IFERROR(__xludf.DUMMYFUNCTION("""COMPUTED_VALUE"""),0.0)</f>
        <v>0</v>
      </c>
      <c r="X9" s="5" t="str">
        <f>IFERROR(__xludf.DUMMYFUNCTION("""COMPUTED_VALUE"""),"ASCENDING")</f>
        <v>ASCENDING</v>
      </c>
      <c r="Y9" s="5" t="str">
        <f>IFERROR(__xludf.DUMMYFUNCTION("""COMPUTED_VALUE"""),"ASCENDING")</f>
        <v>ASCENDING</v>
      </c>
      <c r="Z9" s="5">
        <f>IFERROR(__xludf.DUMMYFUNCTION("""COMPUTED_VALUE"""),92.0)</f>
        <v>92</v>
      </c>
      <c r="AA9" s="5">
        <f>IFERROR(__xludf.DUMMYFUNCTION("""COMPUTED_VALUE"""),1374.0)</f>
        <v>1374</v>
      </c>
      <c r="AB9" s="5">
        <f>IFERROR(__xludf.DUMMYFUNCTION("""COMPUTED_VALUE"""),19603.0)</f>
        <v>19603</v>
      </c>
      <c r="AC9" s="5">
        <f>IFERROR(__xludf.DUMMYFUNCTION("""COMPUTED_VALUE"""),1313.0)</f>
        <v>1313</v>
      </c>
      <c r="AE9" s="5" t="str">
        <f>IFERROR(__xludf.DUMMYFUNCTION("""COMPUTED_VALUE"""),"8Queens.csp")</f>
        <v>8Queens.csp</v>
      </c>
      <c r="AF9" s="5" t="str">
        <f>IFERROR(__xludf.DUMMYFUNCTION("""COMPUTED_VALUE"""),"FC")</f>
        <v>FC</v>
      </c>
      <c r="AG9" s="5">
        <f>IFERROR(__xludf.DUMMYFUNCTION("""COMPUTED_VALUE"""),0.0)</f>
        <v>0</v>
      </c>
      <c r="AH9" s="5" t="str">
        <f>IFERROR(__xludf.DUMMYFUNCTION("""COMPUTED_VALUE"""),"ASCENDING")</f>
        <v>ASCENDING</v>
      </c>
      <c r="AI9" s="5" t="str">
        <f>IFERROR(__xludf.DUMMYFUNCTION("""COMPUTED_VALUE"""),"ASCENDING")</f>
        <v>ASCENDING</v>
      </c>
      <c r="AJ9" s="5">
        <f>IFERROR(__xludf.DUMMYFUNCTION("""COMPUTED_VALUE"""),92.0)</f>
        <v>92</v>
      </c>
      <c r="AK9" s="5">
        <f>IFERROR(__xludf.DUMMYFUNCTION("""COMPUTED_VALUE"""),3134.0)</f>
        <v>3134</v>
      </c>
      <c r="AL9" s="5">
        <f>IFERROR(__xludf.DUMMYFUNCTION("""COMPUTED_VALUE"""),6315.0)</f>
        <v>6315</v>
      </c>
      <c r="AM9" s="5">
        <f>IFERROR(__xludf.DUMMYFUNCTION("""COMPUTED_VALUE"""),1173.0)</f>
        <v>1173</v>
      </c>
    </row>
    <row r="10">
      <c r="U10" s="5" t="str">
        <f>IFERROR(__xludf.DUMMYFUNCTION("""COMPUTED_VALUE"""),"langfords2_3.csp")</f>
        <v>langfords2_3.csp</v>
      </c>
      <c r="V10" s="5" t="str">
        <f>IFERROR(__xludf.DUMMYFUNCTION("""COMPUTED_VALUE"""),"MAC")</f>
        <v>MAC</v>
      </c>
      <c r="W10" s="5">
        <f>IFERROR(__xludf.DUMMYFUNCTION("""COMPUTED_VALUE"""),0.0)</f>
        <v>0</v>
      </c>
      <c r="X10" s="5" t="str">
        <f>IFERROR(__xludf.DUMMYFUNCTION("""COMPUTED_VALUE"""),"ASCENDING")</f>
        <v>ASCENDING</v>
      </c>
      <c r="Y10" s="5" t="str">
        <f>IFERROR(__xludf.DUMMYFUNCTION("""COMPUTED_VALUE"""),"ASCENDING")</f>
        <v>ASCENDING</v>
      </c>
      <c r="Z10" s="5">
        <f>IFERROR(__xludf.DUMMYFUNCTION("""COMPUTED_VALUE"""),2.0)</f>
        <v>2</v>
      </c>
      <c r="AA10" s="5">
        <f>IFERROR(__xludf.DUMMYFUNCTION("""COMPUTED_VALUE"""),26.0)</f>
        <v>26</v>
      </c>
      <c r="AB10" s="5">
        <f>IFERROR(__xludf.DUMMYFUNCTION("""COMPUTED_VALUE"""),193.0)</f>
        <v>193</v>
      </c>
      <c r="AC10" s="5">
        <f>IFERROR(__xludf.DUMMYFUNCTION("""COMPUTED_VALUE"""),26.0)</f>
        <v>26</v>
      </c>
      <c r="AE10" s="5" t="str">
        <f>IFERROR(__xludf.DUMMYFUNCTION("""COMPUTED_VALUE"""),"langfords2_3.csp")</f>
        <v>langfords2_3.csp</v>
      </c>
      <c r="AF10" s="5" t="str">
        <f>IFERROR(__xludf.DUMMYFUNCTION("""COMPUTED_VALUE"""),"FC")</f>
        <v>FC</v>
      </c>
      <c r="AG10" s="5">
        <f>IFERROR(__xludf.DUMMYFUNCTION("""COMPUTED_VALUE"""),0.0)</f>
        <v>0</v>
      </c>
      <c r="AH10" s="5" t="str">
        <f>IFERROR(__xludf.DUMMYFUNCTION("""COMPUTED_VALUE"""),"ASCENDING")</f>
        <v>ASCENDING</v>
      </c>
      <c r="AI10" s="5" t="str">
        <f>IFERROR(__xludf.DUMMYFUNCTION("""COMPUTED_VALUE"""),"ASCENDING")</f>
        <v>ASCENDING</v>
      </c>
      <c r="AJ10" s="5">
        <f>IFERROR(__xludf.DUMMYFUNCTION("""COMPUTED_VALUE"""),2.0)</f>
        <v>2</v>
      </c>
      <c r="AK10" s="5">
        <f>IFERROR(__xludf.DUMMYFUNCTION("""COMPUTED_VALUE"""),48.0)</f>
        <v>48</v>
      </c>
      <c r="AL10" s="5">
        <f>IFERROR(__xludf.DUMMYFUNCTION("""COMPUTED_VALUE"""),92.0)</f>
        <v>92</v>
      </c>
      <c r="AM10" s="5">
        <f>IFERROR(__xludf.DUMMYFUNCTION("""COMPUTED_VALUE"""),35.0)</f>
        <v>35</v>
      </c>
    </row>
    <row r="11">
      <c r="U11" s="5" t="str">
        <f>IFERROR(__xludf.DUMMYFUNCTION("""COMPUTED_VALUE"""),"langfords2_4.csp")</f>
        <v>langfords2_4.csp</v>
      </c>
      <c r="V11" s="5" t="str">
        <f>IFERROR(__xludf.DUMMYFUNCTION("""COMPUTED_VALUE"""),"MAC")</f>
        <v>MAC</v>
      </c>
      <c r="W11" s="5">
        <f>IFERROR(__xludf.DUMMYFUNCTION("""COMPUTED_VALUE"""),0.0)</f>
        <v>0</v>
      </c>
      <c r="X11" s="5" t="str">
        <f>IFERROR(__xludf.DUMMYFUNCTION("""COMPUTED_VALUE"""),"ASCENDING")</f>
        <v>ASCENDING</v>
      </c>
      <c r="Y11" s="5" t="str">
        <f>IFERROR(__xludf.DUMMYFUNCTION("""COMPUTED_VALUE"""),"ASCENDING")</f>
        <v>ASCENDING</v>
      </c>
      <c r="Z11" s="5">
        <f>IFERROR(__xludf.DUMMYFUNCTION("""COMPUTED_VALUE"""),2.0)</f>
        <v>2</v>
      </c>
      <c r="AA11" s="5">
        <f>IFERROR(__xludf.DUMMYFUNCTION("""COMPUTED_VALUE"""),48.0)</f>
        <v>48</v>
      </c>
      <c r="AB11" s="5">
        <f>IFERROR(__xludf.DUMMYFUNCTION("""COMPUTED_VALUE"""),908.0)</f>
        <v>908</v>
      </c>
      <c r="AC11" s="5">
        <f>IFERROR(__xludf.DUMMYFUNCTION("""COMPUTED_VALUE"""),47.0)</f>
        <v>47</v>
      </c>
      <c r="AE11" s="5" t="str">
        <f>IFERROR(__xludf.DUMMYFUNCTION("""COMPUTED_VALUE"""),"langfords2_4.csp")</f>
        <v>langfords2_4.csp</v>
      </c>
      <c r="AF11" s="5" t="str">
        <f>IFERROR(__xludf.DUMMYFUNCTION("""COMPUTED_VALUE"""),"FC")</f>
        <v>FC</v>
      </c>
      <c r="AG11" s="5">
        <f>IFERROR(__xludf.DUMMYFUNCTION("""COMPUTED_VALUE"""),0.0)</f>
        <v>0</v>
      </c>
      <c r="AH11" s="5" t="str">
        <f>IFERROR(__xludf.DUMMYFUNCTION("""COMPUTED_VALUE"""),"ASCENDING")</f>
        <v>ASCENDING</v>
      </c>
      <c r="AI11" s="5" t="str">
        <f>IFERROR(__xludf.DUMMYFUNCTION("""COMPUTED_VALUE"""),"ASCENDING")</f>
        <v>ASCENDING</v>
      </c>
      <c r="AJ11" s="5">
        <f>IFERROR(__xludf.DUMMYFUNCTION("""COMPUTED_VALUE"""),2.0)</f>
        <v>2</v>
      </c>
      <c r="AK11" s="5">
        <f>IFERROR(__xludf.DUMMYFUNCTION("""COMPUTED_VALUE"""),198.0)</f>
        <v>198</v>
      </c>
      <c r="AL11" s="5">
        <f>IFERROR(__xludf.DUMMYFUNCTION("""COMPUTED_VALUE"""),470.0)</f>
        <v>470</v>
      </c>
      <c r="AM11" s="5">
        <f>IFERROR(__xludf.DUMMYFUNCTION("""COMPUTED_VALUE"""),162.0)</f>
        <v>162</v>
      </c>
    </row>
    <row r="12">
      <c r="U12" s="5" t="str">
        <f>IFERROR(__xludf.DUMMYFUNCTION("""COMPUTED_VALUE"""),"langfords2_7.csp")</f>
        <v>langfords2_7.csp</v>
      </c>
      <c r="V12" s="5" t="str">
        <f>IFERROR(__xludf.DUMMYFUNCTION("""COMPUTED_VALUE"""),"MAC")</f>
        <v>MAC</v>
      </c>
      <c r="W12" s="5">
        <f>IFERROR(__xludf.DUMMYFUNCTION("""COMPUTED_VALUE"""),0.0)</f>
        <v>0</v>
      </c>
      <c r="X12" s="5" t="str">
        <f>IFERROR(__xludf.DUMMYFUNCTION("""COMPUTED_VALUE"""),"ASCENDING")</f>
        <v>ASCENDING</v>
      </c>
      <c r="Y12" s="5" t="str">
        <f>IFERROR(__xludf.DUMMYFUNCTION("""COMPUTED_VALUE"""),"ASCENDING")</f>
        <v>ASCENDING</v>
      </c>
      <c r="Z12" s="5">
        <f>IFERROR(__xludf.DUMMYFUNCTION("""COMPUTED_VALUE"""),52.0)</f>
        <v>52</v>
      </c>
      <c r="AA12" s="5">
        <f>IFERROR(__xludf.DUMMYFUNCTION("""COMPUTED_VALUE"""),2702.0)</f>
        <v>2702</v>
      </c>
      <c r="AB12" s="5">
        <f>IFERROR(__xludf.DUMMYFUNCTION("""COMPUTED_VALUE"""),136436.0)</f>
        <v>136436</v>
      </c>
      <c r="AC12" s="5">
        <f>IFERROR(__xludf.DUMMYFUNCTION("""COMPUTED_VALUE"""),1390.0)</f>
        <v>1390</v>
      </c>
      <c r="AE12" s="5" t="str">
        <f>IFERROR(__xludf.DUMMYFUNCTION("""COMPUTED_VALUE"""),"langfords2_7.csp")</f>
        <v>langfords2_7.csp</v>
      </c>
      <c r="AF12" s="5" t="str">
        <f>IFERROR(__xludf.DUMMYFUNCTION("""COMPUTED_VALUE"""),"FC")</f>
        <v>FC</v>
      </c>
      <c r="AG12" s="5">
        <f>IFERROR(__xludf.DUMMYFUNCTION("""COMPUTED_VALUE"""),0.0)</f>
        <v>0</v>
      </c>
      <c r="AH12" s="5" t="str">
        <f>IFERROR(__xludf.DUMMYFUNCTION("""COMPUTED_VALUE"""),"ASCENDING")</f>
        <v>ASCENDING</v>
      </c>
      <c r="AI12" s="5" t="str">
        <f>IFERROR(__xludf.DUMMYFUNCTION("""COMPUTED_VALUE"""),"ASCENDING")</f>
        <v>ASCENDING</v>
      </c>
      <c r="AJ12" s="5">
        <f>IFERROR(__xludf.DUMMYFUNCTION("""COMPUTED_VALUE"""),52.0)</f>
        <v>52</v>
      </c>
      <c r="AK12" s="5">
        <f>IFERROR(__xludf.DUMMYFUNCTION("""COMPUTED_VALUE"""),20112.0)</f>
        <v>20112</v>
      </c>
      <c r="AL12" s="5">
        <f>IFERROR(__xludf.DUMMYFUNCTION("""COMPUTED_VALUE"""),65822.0)</f>
        <v>65822</v>
      </c>
      <c r="AM12" s="5">
        <f>IFERROR(__xludf.DUMMYFUNCTION("""COMPUTED_VALUE"""),2384.0)</f>
        <v>2384</v>
      </c>
    </row>
    <row r="13">
      <c r="U13" s="5" t="str">
        <f>IFERROR(__xludf.DUMMYFUNCTION("""COMPUTED_VALUE"""),"langfords2_8.csp")</f>
        <v>langfords2_8.csp</v>
      </c>
      <c r="V13" s="5" t="str">
        <f>IFERROR(__xludf.DUMMYFUNCTION("""COMPUTED_VALUE"""),"MAC")</f>
        <v>MAC</v>
      </c>
      <c r="W13" s="5">
        <f>IFERROR(__xludf.DUMMYFUNCTION("""COMPUTED_VALUE"""),0.0)</f>
        <v>0</v>
      </c>
      <c r="X13" s="5" t="str">
        <f>IFERROR(__xludf.DUMMYFUNCTION("""COMPUTED_VALUE"""),"ASCENDING")</f>
        <v>ASCENDING</v>
      </c>
      <c r="Y13" s="5" t="str">
        <f>IFERROR(__xludf.DUMMYFUNCTION("""COMPUTED_VALUE"""),"ASCENDING")</f>
        <v>ASCENDING</v>
      </c>
      <c r="Z13" s="5">
        <f>IFERROR(__xludf.DUMMYFUNCTION("""COMPUTED_VALUE"""),300.0)</f>
        <v>300</v>
      </c>
      <c r="AA13" s="5">
        <f>IFERROR(__xludf.DUMMYFUNCTION("""COMPUTED_VALUE"""),15172.0)</f>
        <v>15172</v>
      </c>
      <c r="AB13" s="5">
        <f>IFERROR(__xludf.DUMMYFUNCTION("""COMPUTED_VALUE"""),876117.0)</f>
        <v>876117</v>
      </c>
      <c r="AC13" s="5">
        <f>IFERROR(__xludf.DUMMYFUNCTION("""COMPUTED_VALUE"""),2521.0)</f>
        <v>2521</v>
      </c>
      <c r="AE13" s="5" t="str">
        <f>IFERROR(__xludf.DUMMYFUNCTION("""COMPUTED_VALUE"""),"langfords2_8.csp")</f>
        <v>langfords2_8.csp</v>
      </c>
      <c r="AF13" s="5" t="str">
        <f>IFERROR(__xludf.DUMMYFUNCTION("""COMPUTED_VALUE"""),"FC")</f>
        <v>FC</v>
      </c>
      <c r="AG13" s="5">
        <f>IFERROR(__xludf.DUMMYFUNCTION("""COMPUTED_VALUE"""),0.0)</f>
        <v>0</v>
      </c>
      <c r="AH13" s="5" t="str">
        <f>IFERROR(__xludf.DUMMYFUNCTION("""COMPUTED_VALUE"""),"ASCENDING")</f>
        <v>ASCENDING</v>
      </c>
      <c r="AI13" s="5" t="str">
        <f>IFERROR(__xludf.DUMMYFUNCTION("""COMPUTED_VALUE"""),"ASCENDING")</f>
        <v>ASCENDING</v>
      </c>
      <c r="AJ13" s="5">
        <f>IFERROR(__xludf.DUMMYFUNCTION("""COMPUTED_VALUE"""),300.0)</f>
        <v>300</v>
      </c>
      <c r="AK13" s="5">
        <f>IFERROR(__xludf.DUMMYFUNCTION("""COMPUTED_VALUE"""),123586.0)</f>
        <v>123586</v>
      </c>
      <c r="AL13" s="5">
        <f>IFERROR(__xludf.DUMMYFUNCTION("""COMPUTED_VALUE"""),424964.0)</f>
        <v>424964</v>
      </c>
      <c r="AM13" s="5">
        <f>IFERROR(__xludf.DUMMYFUNCTION("""COMPUTED_VALUE"""),7074.0)</f>
        <v>7074</v>
      </c>
    </row>
    <row r="14">
      <c r="U14" s="5" t="str">
        <f>IFERROR(__xludf.DUMMYFUNCTION("""COMPUTED_VALUE"""),"langfords3_10.csp")</f>
        <v>langfords3_10.csp</v>
      </c>
      <c r="V14" s="5" t="str">
        <f>IFERROR(__xludf.DUMMYFUNCTION("""COMPUTED_VALUE"""),"MAC")</f>
        <v>MAC</v>
      </c>
      <c r="W14" s="5">
        <f>IFERROR(__xludf.DUMMYFUNCTION("""COMPUTED_VALUE"""),0.0)</f>
        <v>0</v>
      </c>
      <c r="X14" s="5" t="str">
        <f>IFERROR(__xludf.DUMMYFUNCTION("""COMPUTED_VALUE"""),"ASCENDING")</f>
        <v>ASCENDING</v>
      </c>
      <c r="Y14" s="5" t="str">
        <f>IFERROR(__xludf.DUMMYFUNCTION("""COMPUTED_VALUE"""),"ASCENDING")</f>
        <v>ASCENDING</v>
      </c>
      <c r="Z14" s="5">
        <f>IFERROR(__xludf.DUMMYFUNCTION("""COMPUTED_VALUE"""),10.0)</f>
        <v>10</v>
      </c>
      <c r="AA14" s="5">
        <f>IFERROR(__xludf.DUMMYFUNCTION("""COMPUTED_VALUE"""),90058.0)</f>
        <v>90058</v>
      </c>
      <c r="AB14" s="5">
        <f>IFERROR(__xludf.DUMMYFUNCTION("""COMPUTED_VALUE"""),2.3030822E7)</f>
        <v>23030822</v>
      </c>
      <c r="AC14" s="5">
        <f>IFERROR(__xludf.DUMMYFUNCTION("""COMPUTED_VALUE"""),80840.0)</f>
        <v>80840</v>
      </c>
      <c r="AE14" s="5" t="str">
        <f>IFERROR(__xludf.DUMMYFUNCTION("""COMPUTED_VALUE"""),"langfords3_10.csp")</f>
        <v>langfords3_10.csp</v>
      </c>
      <c r="AF14" s="5" t="str">
        <f>IFERROR(__xludf.DUMMYFUNCTION("""COMPUTED_VALUE"""),"FC")</f>
        <v>FC</v>
      </c>
      <c r="AG14" s="5">
        <f>IFERROR(__xludf.DUMMYFUNCTION("""COMPUTED_VALUE"""),0.0)</f>
        <v>0</v>
      </c>
      <c r="AH14" s="5" t="str">
        <f>IFERROR(__xludf.DUMMYFUNCTION("""COMPUTED_VALUE"""),"ASCENDING")</f>
        <v>ASCENDING</v>
      </c>
      <c r="AI14" s="5" t="str">
        <f>IFERROR(__xludf.DUMMYFUNCTION("""COMPUTED_VALUE"""),"ASCENDING")</f>
        <v>ASCENDING</v>
      </c>
      <c r="AJ14" s="5">
        <f>IFERROR(__xludf.DUMMYFUNCTION("""COMPUTED_VALUE"""),10.0)</f>
        <v>10</v>
      </c>
      <c r="AK14" s="5">
        <f>IFERROR(__xludf.DUMMYFUNCTION("""COMPUTED_VALUE"""),6823174.0)</f>
        <v>6823174</v>
      </c>
      <c r="AL14" s="5">
        <f>IFERROR(__xludf.DUMMYFUNCTION("""COMPUTED_VALUE"""),4.6865603E7)</f>
        <v>46865603</v>
      </c>
      <c r="AM14" s="5">
        <f>IFERROR(__xludf.DUMMYFUNCTION("""COMPUTED_VALUE"""),2303079.0)</f>
        <v>2303079</v>
      </c>
    </row>
    <row r="15">
      <c r="U15" s="5" t="str">
        <f>IFERROR(__xludf.DUMMYFUNCTION("""COMPUTED_VALUE"""),"langfords3_9.csp")</f>
        <v>langfords3_9.csp</v>
      </c>
      <c r="V15" s="5" t="str">
        <f>IFERROR(__xludf.DUMMYFUNCTION("""COMPUTED_VALUE"""),"MAC")</f>
        <v>MAC</v>
      </c>
      <c r="W15" s="5">
        <f>IFERROR(__xludf.DUMMYFUNCTION("""COMPUTED_VALUE"""),0.0)</f>
        <v>0</v>
      </c>
      <c r="X15" s="5" t="str">
        <f>IFERROR(__xludf.DUMMYFUNCTION("""COMPUTED_VALUE"""),"ASCENDING")</f>
        <v>ASCENDING</v>
      </c>
      <c r="Y15" s="5" t="str">
        <f>IFERROR(__xludf.DUMMYFUNCTION("""COMPUTED_VALUE"""),"ASCENDING")</f>
        <v>ASCENDING</v>
      </c>
      <c r="Z15" s="5">
        <f>IFERROR(__xludf.DUMMYFUNCTION("""COMPUTED_VALUE"""),6.0)</f>
        <v>6</v>
      </c>
      <c r="AA15" s="5">
        <f>IFERROR(__xludf.DUMMYFUNCTION("""COMPUTED_VALUE"""),18968.0)</f>
        <v>18968</v>
      </c>
      <c r="AB15" s="5">
        <f>IFERROR(__xludf.DUMMYFUNCTION("""COMPUTED_VALUE"""),4100997.0)</f>
        <v>4100997</v>
      </c>
      <c r="AC15" s="5">
        <f>IFERROR(__xludf.DUMMYFUNCTION("""COMPUTED_VALUE"""),19615.0)</f>
        <v>19615</v>
      </c>
      <c r="AE15" s="5" t="str">
        <f>IFERROR(__xludf.DUMMYFUNCTION("""COMPUTED_VALUE"""),"langfords3_9.csp")</f>
        <v>langfords3_9.csp</v>
      </c>
      <c r="AF15" s="5" t="str">
        <f>IFERROR(__xludf.DUMMYFUNCTION("""COMPUTED_VALUE"""),"FC")</f>
        <v>FC</v>
      </c>
      <c r="AG15" s="5">
        <f>IFERROR(__xludf.DUMMYFUNCTION("""COMPUTED_VALUE"""),0.0)</f>
        <v>0</v>
      </c>
      <c r="AH15" s="5" t="str">
        <f>IFERROR(__xludf.DUMMYFUNCTION("""COMPUTED_VALUE"""),"ASCENDING")</f>
        <v>ASCENDING</v>
      </c>
      <c r="AI15" s="5" t="str">
        <f>IFERROR(__xludf.DUMMYFUNCTION("""COMPUTED_VALUE"""),"ASCENDING")</f>
        <v>ASCENDING</v>
      </c>
      <c r="AJ15" s="5">
        <f>IFERROR(__xludf.DUMMYFUNCTION("""COMPUTED_VALUE"""),6.0)</f>
        <v>6</v>
      </c>
      <c r="AK15" s="5">
        <f>IFERROR(__xludf.DUMMYFUNCTION("""COMPUTED_VALUE"""),1107350.0)</f>
        <v>1107350</v>
      </c>
      <c r="AL15" s="5">
        <f>IFERROR(__xludf.DUMMYFUNCTION("""COMPUTED_VALUE"""),7113836.0)</f>
        <v>7113836</v>
      </c>
      <c r="AM15" s="5">
        <f>IFERROR(__xludf.DUMMYFUNCTION("""COMPUTED_VALUE"""),363780.0)</f>
        <v>363780</v>
      </c>
    </row>
    <row r="36">
      <c r="A36" s="6" t="s">
        <v>43</v>
      </c>
      <c r="B36" s="6">
        <v>5.0</v>
      </c>
    </row>
    <row r="40">
      <c r="A40" s="5" t="str">
        <f>Data!$A$1</f>
        <v>Instance</v>
      </c>
      <c r="B40" s="5" t="str">
        <f>Data!$B$1</f>
        <v>Solver Type</v>
      </c>
      <c r="C40" s="5" t="str">
        <f>Data!$C$1</f>
        <v>Solutions To Find</v>
      </c>
      <c r="D40" s="5" t="str">
        <f>Data!$D$1</f>
        <v>Variable Ordering</v>
      </c>
      <c r="E40" s="5" t="str">
        <f>Data!$E$1</f>
        <v>Value Ordering</v>
      </c>
      <c r="F40" s="5" t="str">
        <f>Data!$F$1</f>
        <v>Solutions Found</v>
      </c>
      <c r="G40" s="5" t="str">
        <f>Data!$G$1</f>
        <v>Nodes Explored</v>
      </c>
      <c r="H40" s="5" t="str">
        <f>Data!$H$1</f>
        <v>Revisions Done</v>
      </c>
      <c r="I40" s="5" t="str">
        <f>Data!$I$1</f>
        <v>Time Taken</v>
      </c>
      <c r="K40" s="5" t="str">
        <f>Data!$A$1</f>
        <v>Instance</v>
      </c>
      <c r="L40" s="5" t="str">
        <f>Data!$B$1</f>
        <v>Solver Type</v>
      </c>
      <c r="M40" s="5" t="str">
        <f>Data!$C$1</f>
        <v>Solutions To Find</v>
      </c>
      <c r="N40" s="5" t="str">
        <f>Data!$D$1</f>
        <v>Variable Ordering</v>
      </c>
      <c r="O40" s="5" t="str">
        <f>Data!$E$1</f>
        <v>Value Ordering</v>
      </c>
      <c r="P40" s="5" t="str">
        <f>Data!$F$1</f>
        <v>Solutions Found</v>
      </c>
      <c r="Q40" s="5" t="str">
        <f>Data!$G$1</f>
        <v>Nodes Explored</v>
      </c>
      <c r="R40" s="5" t="str">
        <f>Data!$H$1</f>
        <v>Revisions Done</v>
      </c>
      <c r="S40" s="5" t="str">
        <f>Data!$I$1</f>
        <v>Time Taken</v>
      </c>
    </row>
    <row r="41">
      <c r="A41" s="5" t="str">
        <f t="array" ref="A41:S45">SORTN(U2:AM1000,$B$36,0,8,1)</f>
        <v>4Queens.csp</v>
      </c>
      <c r="B41" s="5" t="s">
        <v>11</v>
      </c>
      <c r="C41" s="5">
        <v>0.0</v>
      </c>
      <c r="D41" s="5" t="s">
        <v>12</v>
      </c>
      <c r="E41" s="5" t="s">
        <v>12</v>
      </c>
      <c r="F41" s="5">
        <v>2.0</v>
      </c>
      <c r="G41" s="5">
        <v>18.0</v>
      </c>
      <c r="H41" s="5">
        <v>80.0</v>
      </c>
      <c r="I41" s="5">
        <v>10.0</v>
      </c>
      <c r="J41" s="5"/>
      <c r="K41" s="5" t="s">
        <v>28</v>
      </c>
      <c r="L41" s="5" t="s">
        <v>15</v>
      </c>
      <c r="M41" s="5">
        <v>0.0</v>
      </c>
      <c r="N41" s="5" t="s">
        <v>12</v>
      </c>
      <c r="O41" s="5" t="s">
        <v>12</v>
      </c>
      <c r="P41" s="5">
        <v>2.0</v>
      </c>
      <c r="Q41" s="5">
        <v>30.0</v>
      </c>
      <c r="R41" s="5">
        <v>37.0</v>
      </c>
      <c r="S41" s="5">
        <v>17.0</v>
      </c>
    </row>
    <row r="42">
      <c r="A42" s="5" t="s">
        <v>36</v>
      </c>
      <c r="B42" s="5" t="s">
        <v>11</v>
      </c>
      <c r="C42" s="5">
        <v>0.0</v>
      </c>
      <c r="D42" s="5" t="s">
        <v>12</v>
      </c>
      <c r="E42" s="5" t="s">
        <v>12</v>
      </c>
      <c r="F42" s="5">
        <v>2.0</v>
      </c>
      <c r="G42" s="5">
        <v>26.0</v>
      </c>
      <c r="H42" s="5">
        <v>193.0</v>
      </c>
      <c r="I42" s="5">
        <v>26.0</v>
      </c>
      <c r="J42" s="5"/>
      <c r="K42" s="5" t="s">
        <v>36</v>
      </c>
      <c r="L42" s="5" t="s">
        <v>15</v>
      </c>
      <c r="M42" s="5">
        <v>0.0</v>
      </c>
      <c r="N42" s="5" t="s">
        <v>12</v>
      </c>
      <c r="O42" s="5" t="s">
        <v>12</v>
      </c>
      <c r="P42" s="5">
        <v>2.0</v>
      </c>
      <c r="Q42" s="5">
        <v>48.0</v>
      </c>
      <c r="R42" s="5">
        <v>92.0</v>
      </c>
      <c r="S42" s="5">
        <v>35.0</v>
      </c>
    </row>
    <row r="43">
      <c r="A43" s="5" t="s">
        <v>29</v>
      </c>
      <c r="B43" s="5" t="s">
        <v>11</v>
      </c>
      <c r="C43" s="5">
        <v>0.0</v>
      </c>
      <c r="D43" s="5" t="s">
        <v>12</v>
      </c>
      <c r="E43" s="5" t="s">
        <v>12</v>
      </c>
      <c r="F43" s="5">
        <v>10.0</v>
      </c>
      <c r="G43" s="5">
        <v>92.0</v>
      </c>
      <c r="H43" s="5">
        <v>386.0</v>
      </c>
      <c r="I43" s="5">
        <v>31.0</v>
      </c>
      <c r="J43" s="5"/>
      <c r="K43" s="5" t="s">
        <v>29</v>
      </c>
      <c r="L43" s="5" t="s">
        <v>15</v>
      </c>
      <c r="M43" s="5">
        <v>0.0</v>
      </c>
      <c r="N43" s="5" t="s">
        <v>12</v>
      </c>
      <c r="O43" s="5" t="s">
        <v>12</v>
      </c>
      <c r="P43" s="5">
        <v>10.0</v>
      </c>
      <c r="Q43" s="5">
        <v>106.0</v>
      </c>
      <c r="R43" s="5">
        <v>135.0</v>
      </c>
      <c r="S43" s="5">
        <v>25.0</v>
      </c>
    </row>
    <row r="44">
      <c r="A44" s="5" t="s">
        <v>37</v>
      </c>
      <c r="B44" s="5" t="s">
        <v>11</v>
      </c>
      <c r="C44" s="5">
        <v>0.0</v>
      </c>
      <c r="D44" s="5" t="s">
        <v>12</v>
      </c>
      <c r="E44" s="5" t="s">
        <v>12</v>
      </c>
      <c r="F44" s="5">
        <v>2.0</v>
      </c>
      <c r="G44" s="5">
        <v>48.0</v>
      </c>
      <c r="H44" s="5">
        <v>908.0</v>
      </c>
      <c r="I44" s="5">
        <v>47.0</v>
      </c>
      <c r="J44" s="5"/>
      <c r="K44" s="5" t="s">
        <v>37</v>
      </c>
      <c r="L44" s="5" t="s">
        <v>15</v>
      </c>
      <c r="M44" s="5">
        <v>0.0</v>
      </c>
      <c r="N44" s="5" t="s">
        <v>12</v>
      </c>
      <c r="O44" s="5" t="s">
        <v>12</v>
      </c>
      <c r="P44" s="5">
        <v>2.0</v>
      </c>
      <c r="Q44" s="5">
        <v>198.0</v>
      </c>
      <c r="R44" s="5">
        <v>470.0</v>
      </c>
      <c r="S44" s="5">
        <v>162.0</v>
      </c>
    </row>
    <row r="45">
      <c r="A45" s="5" t="s">
        <v>30</v>
      </c>
      <c r="B45" s="5" t="s">
        <v>11</v>
      </c>
      <c r="C45" s="5">
        <v>0.0</v>
      </c>
      <c r="D45" s="5" t="s">
        <v>12</v>
      </c>
      <c r="E45" s="5" t="s">
        <v>12</v>
      </c>
      <c r="F45" s="5">
        <v>4.0</v>
      </c>
      <c r="G45" s="5">
        <v>76.0</v>
      </c>
      <c r="H45" s="5">
        <v>976.0</v>
      </c>
      <c r="I45" s="5">
        <v>96.0</v>
      </c>
      <c r="J45" s="5"/>
      <c r="K45" s="5" t="s">
        <v>30</v>
      </c>
      <c r="L45" s="5" t="s">
        <v>15</v>
      </c>
      <c r="M45" s="5">
        <v>0.0</v>
      </c>
      <c r="N45" s="5" t="s">
        <v>12</v>
      </c>
      <c r="O45" s="5" t="s">
        <v>12</v>
      </c>
      <c r="P45" s="5">
        <v>4.0</v>
      </c>
      <c r="Q45" s="5">
        <v>244.0</v>
      </c>
      <c r="R45" s="5">
        <v>448.0</v>
      </c>
      <c r="S45" s="5">
        <v>48.0</v>
      </c>
    </row>
    <row r="60">
      <c r="A60" s="5" t="str">
        <f>Data!$A$1</f>
        <v>Instance</v>
      </c>
      <c r="B60" s="5" t="str">
        <f>Data!$B$1</f>
        <v>Solver Type</v>
      </c>
      <c r="C60" s="5" t="str">
        <f>Data!$C$1</f>
        <v>Solutions To Find</v>
      </c>
      <c r="D60" s="5" t="str">
        <f>Data!$D$1</f>
        <v>Variable Ordering</v>
      </c>
      <c r="E60" s="5" t="str">
        <f>Data!$E$1</f>
        <v>Value Ordering</v>
      </c>
      <c r="F60" s="5" t="str">
        <f>Data!$F$1</f>
        <v>Solutions Found</v>
      </c>
      <c r="G60" s="5" t="str">
        <f>Data!$G$1</f>
        <v>Nodes Explored</v>
      </c>
      <c r="H60" s="5" t="str">
        <f>Data!$H$1</f>
        <v>Revisions Done</v>
      </c>
      <c r="I60" s="5" t="str">
        <f>Data!$I$1</f>
        <v>Time Taken</v>
      </c>
      <c r="K60" s="5" t="str">
        <f>Data!$A$1</f>
        <v>Instance</v>
      </c>
      <c r="L60" s="5" t="str">
        <f>Data!$B$1</f>
        <v>Solver Type</v>
      </c>
      <c r="M60" s="5" t="str">
        <f>Data!$C$1</f>
        <v>Solutions To Find</v>
      </c>
      <c r="N60" s="5" t="str">
        <f>Data!$D$1</f>
        <v>Variable Ordering</v>
      </c>
      <c r="O60" s="5" t="str">
        <f>Data!$E$1</f>
        <v>Value Ordering</v>
      </c>
      <c r="P60" s="5" t="str">
        <f>Data!$F$1</f>
        <v>Solutions Found</v>
      </c>
      <c r="Q60" s="5" t="str">
        <f>Data!$G$1</f>
        <v>Nodes Explored</v>
      </c>
      <c r="R60" s="5" t="str">
        <f>Data!$H$1</f>
        <v>Revisions Done</v>
      </c>
      <c r="S60" s="5" t="str">
        <f>Data!$I$1</f>
        <v>Time Taken</v>
      </c>
    </row>
    <row r="61">
      <c r="A61" s="5" t="str">
        <f t="array" ref="A61:S65">SORTN(U2:AM1000,$B$36,0,9,1)</f>
        <v>4Queens.csp</v>
      </c>
      <c r="B61" s="5" t="s">
        <v>11</v>
      </c>
      <c r="C61" s="5">
        <v>0.0</v>
      </c>
      <c r="D61" s="5" t="s">
        <v>12</v>
      </c>
      <c r="E61" s="5" t="s">
        <v>12</v>
      </c>
      <c r="F61" s="5">
        <v>2.0</v>
      </c>
      <c r="G61" s="5">
        <v>18.0</v>
      </c>
      <c r="H61" s="5">
        <v>80.0</v>
      </c>
      <c r="I61" s="5">
        <v>10.0</v>
      </c>
      <c r="J61" s="5"/>
      <c r="K61" s="5" t="s">
        <v>28</v>
      </c>
      <c r="L61" s="5" t="s">
        <v>15</v>
      </c>
      <c r="M61" s="5">
        <v>0.0</v>
      </c>
      <c r="N61" s="5" t="s">
        <v>12</v>
      </c>
      <c r="O61" s="5" t="s">
        <v>12</v>
      </c>
      <c r="P61" s="5">
        <v>2.0</v>
      </c>
      <c r="Q61" s="5">
        <v>30.0</v>
      </c>
      <c r="R61" s="5">
        <v>37.0</v>
      </c>
      <c r="S61" s="5">
        <v>17.0</v>
      </c>
    </row>
    <row r="62">
      <c r="A62" s="5" t="s">
        <v>36</v>
      </c>
      <c r="B62" s="5" t="s">
        <v>11</v>
      </c>
      <c r="C62" s="5">
        <v>0.0</v>
      </c>
      <c r="D62" s="5" t="s">
        <v>12</v>
      </c>
      <c r="E62" s="5" t="s">
        <v>12</v>
      </c>
      <c r="F62" s="5">
        <v>2.0</v>
      </c>
      <c r="G62" s="5">
        <v>26.0</v>
      </c>
      <c r="H62" s="5">
        <v>193.0</v>
      </c>
      <c r="I62" s="5">
        <v>26.0</v>
      </c>
      <c r="J62" s="5"/>
      <c r="K62" s="5" t="s">
        <v>36</v>
      </c>
      <c r="L62" s="5" t="s">
        <v>15</v>
      </c>
      <c r="M62" s="5">
        <v>0.0</v>
      </c>
      <c r="N62" s="5" t="s">
        <v>12</v>
      </c>
      <c r="O62" s="5" t="s">
        <v>12</v>
      </c>
      <c r="P62" s="5">
        <v>2.0</v>
      </c>
      <c r="Q62" s="5">
        <v>48.0</v>
      </c>
      <c r="R62" s="5">
        <v>92.0</v>
      </c>
      <c r="S62" s="5">
        <v>35.0</v>
      </c>
    </row>
    <row r="63">
      <c r="A63" s="5" t="s">
        <v>29</v>
      </c>
      <c r="B63" s="5" t="s">
        <v>11</v>
      </c>
      <c r="C63" s="5">
        <v>0.0</v>
      </c>
      <c r="D63" s="5" t="s">
        <v>12</v>
      </c>
      <c r="E63" s="5" t="s">
        <v>12</v>
      </c>
      <c r="F63" s="5">
        <v>10.0</v>
      </c>
      <c r="G63" s="5">
        <v>92.0</v>
      </c>
      <c r="H63" s="5">
        <v>386.0</v>
      </c>
      <c r="I63" s="5">
        <v>31.0</v>
      </c>
      <c r="J63" s="5"/>
      <c r="K63" s="5" t="s">
        <v>29</v>
      </c>
      <c r="L63" s="5" t="s">
        <v>15</v>
      </c>
      <c r="M63" s="5">
        <v>0.0</v>
      </c>
      <c r="N63" s="5" t="s">
        <v>12</v>
      </c>
      <c r="O63" s="5" t="s">
        <v>12</v>
      </c>
      <c r="P63" s="5">
        <v>10.0</v>
      </c>
      <c r="Q63" s="5">
        <v>106.0</v>
      </c>
      <c r="R63" s="5">
        <v>135.0</v>
      </c>
      <c r="S63" s="5">
        <v>25.0</v>
      </c>
    </row>
    <row r="64">
      <c r="A64" s="5" t="s">
        <v>37</v>
      </c>
      <c r="B64" s="5" t="s">
        <v>11</v>
      </c>
      <c r="C64" s="5">
        <v>0.0</v>
      </c>
      <c r="D64" s="5" t="s">
        <v>12</v>
      </c>
      <c r="E64" s="5" t="s">
        <v>12</v>
      </c>
      <c r="F64" s="5">
        <v>2.0</v>
      </c>
      <c r="G64" s="5">
        <v>48.0</v>
      </c>
      <c r="H64" s="5">
        <v>908.0</v>
      </c>
      <c r="I64" s="5">
        <v>47.0</v>
      </c>
      <c r="J64" s="5"/>
      <c r="K64" s="5" t="s">
        <v>37</v>
      </c>
      <c r="L64" s="5" t="s">
        <v>15</v>
      </c>
      <c r="M64" s="5">
        <v>0.0</v>
      </c>
      <c r="N64" s="5" t="s">
        <v>12</v>
      </c>
      <c r="O64" s="5" t="s">
        <v>12</v>
      </c>
      <c r="P64" s="5">
        <v>2.0</v>
      </c>
      <c r="Q64" s="5">
        <v>198.0</v>
      </c>
      <c r="R64" s="5">
        <v>470.0</v>
      </c>
      <c r="S64" s="5">
        <v>162.0</v>
      </c>
    </row>
    <row r="65">
      <c r="A65" s="5" t="s">
        <v>30</v>
      </c>
      <c r="B65" s="5" t="s">
        <v>11</v>
      </c>
      <c r="C65" s="5">
        <v>0.0</v>
      </c>
      <c r="D65" s="5" t="s">
        <v>12</v>
      </c>
      <c r="E65" s="5" t="s">
        <v>12</v>
      </c>
      <c r="F65" s="5">
        <v>4.0</v>
      </c>
      <c r="G65" s="5">
        <v>76.0</v>
      </c>
      <c r="H65" s="5">
        <v>976.0</v>
      </c>
      <c r="I65" s="5">
        <v>96.0</v>
      </c>
      <c r="J65" s="5"/>
      <c r="K65" s="5" t="s">
        <v>30</v>
      </c>
      <c r="L65" s="5" t="s">
        <v>15</v>
      </c>
      <c r="M65" s="5">
        <v>0.0</v>
      </c>
      <c r="N65" s="5" t="s">
        <v>12</v>
      </c>
      <c r="O65" s="5" t="s">
        <v>12</v>
      </c>
      <c r="P65" s="5">
        <v>4.0</v>
      </c>
      <c r="Q65" s="5">
        <v>244.0</v>
      </c>
      <c r="R65" s="5">
        <v>448.0</v>
      </c>
      <c r="S65" s="5">
        <v>48.0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75"/>
  </cols>
  <sheetData>
    <row r="1">
      <c r="A1" s="5" t="str">
        <f>Data!$A$1</f>
        <v>Instance</v>
      </c>
      <c r="B1" s="5" t="str">
        <f>Data!$B$1</f>
        <v>Solver Type</v>
      </c>
      <c r="C1" s="5" t="str">
        <f>Data!$C$1</f>
        <v>Solutions To Find</v>
      </c>
      <c r="D1" s="5" t="str">
        <f>Data!$D$1</f>
        <v>Variable Ordering</v>
      </c>
      <c r="E1" s="5" t="str">
        <f>Data!$E$1</f>
        <v>Value Ordering</v>
      </c>
      <c r="F1" s="5" t="str">
        <f>Data!$F$1</f>
        <v>Solutions Found</v>
      </c>
      <c r="G1" s="5" t="str">
        <f>Data!$G$1</f>
        <v>Nodes Explored</v>
      </c>
      <c r="H1" s="5" t="str">
        <f>Data!$H$1</f>
        <v>Revisions Done</v>
      </c>
      <c r="I1" s="5" t="str">
        <f>Data!$I$1</f>
        <v>Time Taken</v>
      </c>
      <c r="K1" s="5" t="str">
        <f>Data!$A$1</f>
        <v>Instance</v>
      </c>
      <c r="L1" s="5" t="str">
        <f>Data!$B$1</f>
        <v>Solver Type</v>
      </c>
      <c r="M1" s="5" t="str">
        <f>Data!$C$1</f>
        <v>Solutions To Find</v>
      </c>
      <c r="N1" s="5" t="str">
        <f>Data!$D$1</f>
        <v>Variable Ordering</v>
      </c>
      <c r="O1" s="5" t="str">
        <f>Data!$E$1</f>
        <v>Value Ordering</v>
      </c>
      <c r="P1" s="5" t="str">
        <f>Data!$F$1</f>
        <v>Solutions Found</v>
      </c>
      <c r="Q1" s="5" t="str">
        <f>Data!$G$1</f>
        <v>Nodes Explored</v>
      </c>
      <c r="R1" s="5" t="str">
        <f>Data!$H$1</f>
        <v>Revisions Done</v>
      </c>
      <c r="S1" s="5" t="str">
        <f>Data!$I$1</f>
        <v>Time Taken</v>
      </c>
      <c r="U1" s="5" t="str">
        <f>Data!$A$1</f>
        <v>Instance</v>
      </c>
      <c r="V1" s="5" t="str">
        <f>Data!$B$1</f>
        <v>Solver Type</v>
      </c>
      <c r="W1" s="5" t="str">
        <f>Data!$C$1</f>
        <v>Solutions To Find</v>
      </c>
      <c r="X1" s="5" t="str">
        <f>Data!$D$1</f>
        <v>Variable Ordering</v>
      </c>
      <c r="Y1" s="5" t="str">
        <f>Data!$E$1</f>
        <v>Value Ordering</v>
      </c>
      <c r="Z1" s="5" t="str">
        <f>Data!$F$1</f>
        <v>Solutions Found</v>
      </c>
      <c r="AA1" s="5" t="str">
        <f>Data!$G$1</f>
        <v>Nodes Explored</v>
      </c>
      <c r="AB1" s="5" t="str">
        <f>Data!$H$1</f>
        <v>Revisions Done</v>
      </c>
      <c r="AC1" s="5" t="str">
        <f>Data!$I$1</f>
        <v>Time Taken</v>
      </c>
      <c r="AE1" s="5" t="str">
        <f>Data!$A$1</f>
        <v>Instance</v>
      </c>
      <c r="AF1" s="5" t="str">
        <f>Data!$B$1</f>
        <v>Solver Type</v>
      </c>
      <c r="AG1" s="5" t="str">
        <f>Data!$C$1</f>
        <v>Solutions To Find</v>
      </c>
      <c r="AH1" s="5" t="str">
        <f>Data!$D$1</f>
        <v>Variable Ordering</v>
      </c>
      <c r="AI1" s="5" t="str">
        <f>Data!$E$1</f>
        <v>Value Ordering</v>
      </c>
      <c r="AJ1" s="5" t="str">
        <f>Data!$F$1</f>
        <v>Solutions Found</v>
      </c>
      <c r="AK1" s="5" t="str">
        <f>Data!$G$1</f>
        <v>Nodes Explored</v>
      </c>
      <c r="AL1" s="5" t="str">
        <f>Data!$H$1</f>
        <v>Revisions Done</v>
      </c>
      <c r="AM1" s="5" t="str">
        <f>Data!$I$1</f>
        <v>Time Taken</v>
      </c>
    </row>
    <row r="2">
      <c r="A2" s="5" t="str">
        <f t="array" ref="A2:S14">SORTN(U2:AM1000,$B$36,0,7,1)</f>
        <v>5Queens.csp</v>
      </c>
      <c r="B2" s="5" t="s">
        <v>11</v>
      </c>
      <c r="C2" s="5">
        <v>1.0</v>
      </c>
      <c r="D2" s="5" t="s">
        <v>12</v>
      </c>
      <c r="E2" s="5" t="s">
        <v>12</v>
      </c>
      <c r="F2" s="5">
        <v>1.0</v>
      </c>
      <c r="G2" s="5">
        <v>5.0</v>
      </c>
      <c r="H2" s="5">
        <v>66.0</v>
      </c>
      <c r="I2" s="5">
        <v>2.0</v>
      </c>
      <c r="J2" s="5"/>
      <c r="K2" s="5" t="s">
        <v>29</v>
      </c>
      <c r="L2" s="5" t="s">
        <v>11</v>
      </c>
      <c r="M2" s="5">
        <v>1.0</v>
      </c>
      <c r="N2" s="5" t="s">
        <v>14</v>
      </c>
      <c r="O2" s="5" t="s">
        <v>12</v>
      </c>
      <c r="P2" s="5">
        <v>1.0</v>
      </c>
      <c r="Q2" s="5">
        <v>5.0</v>
      </c>
      <c r="R2" s="5">
        <v>66.0</v>
      </c>
      <c r="S2" s="5">
        <v>8.0</v>
      </c>
      <c r="U2" s="2" t="str">
        <f>IFERROR(__xludf.DUMMYFUNCTION("FILTER(Data!A:I, Data!D:D=""ASCENDING"", Data!E:E=""ASCENDING"", Data!C:C=1, Data!B:B=""MAC"", NOT(REGEXMATCH(Data!A:A, "".*Sudoku.*"")))"),"10Queens.csp")</f>
        <v>10Queens.csp</v>
      </c>
      <c r="V2" s="5" t="str">
        <f>IFERROR(__xludf.DUMMYFUNCTION("""COMPUTED_VALUE"""),"MAC")</f>
        <v>MAC</v>
      </c>
      <c r="W2" s="5">
        <f>IFERROR(__xludf.DUMMYFUNCTION("""COMPUTED_VALUE"""),1.0)</f>
        <v>1</v>
      </c>
      <c r="X2" s="5" t="str">
        <f>IFERROR(__xludf.DUMMYFUNCTION("""COMPUTED_VALUE"""),"ASCENDING")</f>
        <v>ASCENDING</v>
      </c>
      <c r="Y2" s="5" t="str">
        <f>IFERROR(__xludf.DUMMYFUNCTION("""COMPUTED_VALUE"""),"ASCENDING")</f>
        <v>ASCENDING</v>
      </c>
      <c r="Z2" s="5">
        <f>IFERROR(__xludf.DUMMYFUNCTION("""COMPUTED_VALUE"""),1.0)</f>
        <v>1</v>
      </c>
      <c r="AA2" s="5">
        <f>IFERROR(__xludf.DUMMYFUNCTION("""COMPUTED_VALUE"""),36.0)</f>
        <v>36</v>
      </c>
      <c r="AB2" s="5">
        <f>IFERROR(__xludf.DUMMYFUNCTION("""COMPUTED_VALUE"""),1507.0)</f>
        <v>1507</v>
      </c>
      <c r="AC2" s="5">
        <f>IFERROR(__xludf.DUMMYFUNCTION("""COMPUTED_VALUE"""),51.0)</f>
        <v>51</v>
      </c>
      <c r="AE2" s="5" t="str">
        <f>IFERROR(__xludf.DUMMYFUNCTION("FILTER(Data!A:I, Data!D:D=""SMALLEST_DOMAIN"", Data!E:E=""ASCENDING"", Data!C:C=1, Data!B:B=""MAC"", NOT(REGEXMATCH(Data!A:A, "".*Sudoku.*"")))"),"10Queens.csp")</f>
        <v>10Queens.csp</v>
      </c>
      <c r="AF2" s="5" t="str">
        <f>IFERROR(__xludf.DUMMYFUNCTION("""COMPUTED_VALUE"""),"MAC")</f>
        <v>MAC</v>
      </c>
      <c r="AG2" s="5">
        <f>IFERROR(__xludf.DUMMYFUNCTION("""COMPUTED_VALUE"""),1.0)</f>
        <v>1</v>
      </c>
      <c r="AH2" s="5" t="str">
        <f>IFERROR(__xludf.DUMMYFUNCTION("""COMPUTED_VALUE"""),"SMALLEST_DOMAIN")</f>
        <v>SMALLEST_DOMAIN</v>
      </c>
      <c r="AI2" s="5" t="str">
        <f>IFERROR(__xludf.DUMMYFUNCTION("""COMPUTED_VALUE"""),"ASCENDING")</f>
        <v>ASCENDING</v>
      </c>
      <c r="AJ2" s="5">
        <f>IFERROR(__xludf.DUMMYFUNCTION("""COMPUTED_VALUE"""),1.0)</f>
        <v>1</v>
      </c>
      <c r="AK2" s="5">
        <f>IFERROR(__xludf.DUMMYFUNCTION("""COMPUTED_VALUE"""),22.0)</f>
        <v>22</v>
      </c>
      <c r="AL2" s="5">
        <f>IFERROR(__xludf.DUMMYFUNCTION("""COMPUTED_VALUE"""),929.0)</f>
        <v>929</v>
      </c>
      <c r="AM2" s="5">
        <f>IFERROR(__xludf.DUMMYFUNCTION("""COMPUTED_VALUE"""),115.0)</f>
        <v>115</v>
      </c>
    </row>
    <row r="3">
      <c r="A3" s="5" t="s">
        <v>28</v>
      </c>
      <c r="B3" s="5" t="s">
        <v>11</v>
      </c>
      <c r="C3" s="5">
        <v>1.0</v>
      </c>
      <c r="D3" s="5" t="s">
        <v>12</v>
      </c>
      <c r="E3" s="5" t="s">
        <v>12</v>
      </c>
      <c r="F3" s="5">
        <v>1.0</v>
      </c>
      <c r="G3" s="5">
        <v>6.0</v>
      </c>
      <c r="H3" s="5">
        <v>48.0</v>
      </c>
      <c r="I3" s="5">
        <v>2.0</v>
      </c>
      <c r="J3" s="5"/>
      <c r="K3" s="5" t="s">
        <v>28</v>
      </c>
      <c r="L3" s="5" t="s">
        <v>11</v>
      </c>
      <c r="M3" s="5">
        <v>1.0</v>
      </c>
      <c r="N3" s="5" t="s">
        <v>14</v>
      </c>
      <c r="O3" s="5" t="s">
        <v>12</v>
      </c>
      <c r="P3" s="5">
        <v>1.0</v>
      </c>
      <c r="Q3" s="5">
        <v>6.0</v>
      </c>
      <c r="R3" s="5">
        <v>48.0</v>
      </c>
      <c r="S3" s="5">
        <v>25.0</v>
      </c>
      <c r="U3" s="5" t="str">
        <f>IFERROR(__xludf.DUMMYFUNCTION("""COMPUTED_VALUE"""),"11Queens.csp")</f>
        <v>11Queens.csp</v>
      </c>
      <c r="V3" s="5" t="str">
        <f>IFERROR(__xludf.DUMMYFUNCTION("""COMPUTED_VALUE"""),"MAC")</f>
        <v>MAC</v>
      </c>
      <c r="W3" s="5">
        <f>IFERROR(__xludf.DUMMYFUNCTION("""COMPUTED_VALUE"""),1.0)</f>
        <v>1</v>
      </c>
      <c r="X3" s="5" t="str">
        <f>IFERROR(__xludf.DUMMYFUNCTION("""COMPUTED_VALUE"""),"ASCENDING")</f>
        <v>ASCENDING</v>
      </c>
      <c r="Y3" s="5" t="str">
        <f>IFERROR(__xludf.DUMMYFUNCTION("""COMPUTED_VALUE"""),"ASCENDING")</f>
        <v>ASCENDING</v>
      </c>
      <c r="Z3" s="5">
        <f>IFERROR(__xludf.DUMMYFUNCTION("""COMPUTED_VALUE"""),1.0)</f>
        <v>1</v>
      </c>
      <c r="AA3" s="5">
        <f>IFERROR(__xludf.DUMMYFUNCTION("""COMPUTED_VALUE"""),17.0)</f>
        <v>17</v>
      </c>
      <c r="AB3" s="5">
        <f>IFERROR(__xludf.DUMMYFUNCTION("""COMPUTED_VALUE"""),941.0)</f>
        <v>941</v>
      </c>
      <c r="AC3" s="5">
        <f>IFERROR(__xludf.DUMMYFUNCTION("""COMPUTED_VALUE"""),183.0)</f>
        <v>183</v>
      </c>
      <c r="AE3" s="5" t="str">
        <f>IFERROR(__xludf.DUMMYFUNCTION("""COMPUTED_VALUE"""),"11Queens.csp")</f>
        <v>11Queens.csp</v>
      </c>
      <c r="AF3" s="5" t="str">
        <f>IFERROR(__xludf.DUMMYFUNCTION("""COMPUTED_VALUE"""),"MAC")</f>
        <v>MAC</v>
      </c>
      <c r="AG3" s="5">
        <f>IFERROR(__xludf.DUMMYFUNCTION("""COMPUTED_VALUE"""),1.0)</f>
        <v>1</v>
      </c>
      <c r="AH3" s="5" t="str">
        <f>IFERROR(__xludf.DUMMYFUNCTION("""COMPUTED_VALUE"""),"SMALLEST_DOMAIN")</f>
        <v>SMALLEST_DOMAIN</v>
      </c>
      <c r="AI3" s="5" t="str">
        <f>IFERROR(__xludf.DUMMYFUNCTION("""COMPUTED_VALUE"""),"ASCENDING")</f>
        <v>ASCENDING</v>
      </c>
      <c r="AJ3" s="5">
        <f>IFERROR(__xludf.DUMMYFUNCTION("""COMPUTED_VALUE"""),1.0)</f>
        <v>1</v>
      </c>
      <c r="AK3" s="5">
        <f>IFERROR(__xludf.DUMMYFUNCTION("""COMPUTED_VALUE"""),33.0)</f>
        <v>33</v>
      </c>
      <c r="AL3" s="5">
        <f>IFERROR(__xludf.DUMMYFUNCTION("""COMPUTED_VALUE"""),1791.0)</f>
        <v>1791</v>
      </c>
      <c r="AM3" s="5">
        <f>IFERROR(__xludf.DUMMYFUNCTION("""COMPUTED_VALUE"""),270.0)</f>
        <v>270</v>
      </c>
    </row>
    <row r="4">
      <c r="A4" s="5" t="s">
        <v>31</v>
      </c>
      <c r="B4" s="5" t="s">
        <v>11</v>
      </c>
      <c r="C4" s="5">
        <v>1.0</v>
      </c>
      <c r="D4" s="5" t="s">
        <v>12</v>
      </c>
      <c r="E4" s="5" t="s">
        <v>12</v>
      </c>
      <c r="F4" s="5">
        <v>1.0</v>
      </c>
      <c r="G4" s="5">
        <v>7.0</v>
      </c>
      <c r="H4" s="5">
        <v>168.0</v>
      </c>
      <c r="I4" s="5">
        <v>20.0</v>
      </c>
      <c r="J4" s="5"/>
      <c r="K4" s="5" t="s">
        <v>31</v>
      </c>
      <c r="L4" s="5" t="s">
        <v>11</v>
      </c>
      <c r="M4" s="5">
        <v>1.0</v>
      </c>
      <c r="N4" s="5" t="s">
        <v>14</v>
      </c>
      <c r="O4" s="5" t="s">
        <v>12</v>
      </c>
      <c r="P4" s="5">
        <v>1.0</v>
      </c>
      <c r="Q4" s="5">
        <v>9.0</v>
      </c>
      <c r="R4" s="5">
        <v>200.0</v>
      </c>
      <c r="S4" s="5">
        <v>13.0</v>
      </c>
      <c r="U4" s="5" t="str">
        <f>IFERROR(__xludf.DUMMYFUNCTION("""COMPUTED_VALUE"""),"12Queens.csp")</f>
        <v>12Queens.csp</v>
      </c>
      <c r="V4" s="5" t="str">
        <f>IFERROR(__xludf.DUMMYFUNCTION("""COMPUTED_VALUE"""),"MAC")</f>
        <v>MAC</v>
      </c>
      <c r="W4" s="5">
        <f>IFERROR(__xludf.DUMMYFUNCTION("""COMPUTED_VALUE"""),1.0)</f>
        <v>1</v>
      </c>
      <c r="X4" s="5" t="str">
        <f>IFERROR(__xludf.DUMMYFUNCTION("""COMPUTED_VALUE"""),"ASCENDING")</f>
        <v>ASCENDING</v>
      </c>
      <c r="Y4" s="5" t="str">
        <f>IFERROR(__xludf.DUMMYFUNCTION("""COMPUTED_VALUE"""),"ASCENDING")</f>
        <v>ASCENDING</v>
      </c>
      <c r="Z4" s="5">
        <f>IFERROR(__xludf.DUMMYFUNCTION("""COMPUTED_VALUE"""),1.0)</f>
        <v>1</v>
      </c>
      <c r="AA4" s="5">
        <f>IFERROR(__xludf.DUMMYFUNCTION("""COMPUTED_VALUE"""),60.0)</f>
        <v>60</v>
      </c>
      <c r="AB4" s="5">
        <f>IFERROR(__xludf.DUMMYFUNCTION("""COMPUTED_VALUE"""),3759.0)</f>
        <v>3759</v>
      </c>
      <c r="AC4" s="5">
        <f>IFERROR(__xludf.DUMMYFUNCTION("""COMPUTED_VALUE"""),635.0)</f>
        <v>635</v>
      </c>
      <c r="AE4" s="5" t="str">
        <f>IFERROR(__xludf.DUMMYFUNCTION("""COMPUTED_VALUE"""),"12Queens.csp")</f>
        <v>12Queens.csp</v>
      </c>
      <c r="AF4" s="5" t="str">
        <f>IFERROR(__xludf.DUMMYFUNCTION("""COMPUTED_VALUE"""),"MAC")</f>
        <v>MAC</v>
      </c>
      <c r="AG4" s="5">
        <f>IFERROR(__xludf.DUMMYFUNCTION("""COMPUTED_VALUE"""),1.0)</f>
        <v>1</v>
      </c>
      <c r="AH4" s="5" t="str">
        <f>IFERROR(__xludf.DUMMYFUNCTION("""COMPUTED_VALUE"""),"SMALLEST_DOMAIN")</f>
        <v>SMALLEST_DOMAIN</v>
      </c>
      <c r="AI4" s="5" t="str">
        <f>IFERROR(__xludf.DUMMYFUNCTION("""COMPUTED_VALUE"""),"ASCENDING")</f>
        <v>ASCENDING</v>
      </c>
      <c r="AJ4" s="5">
        <f>IFERROR(__xludf.DUMMYFUNCTION("""COMPUTED_VALUE"""),1.0)</f>
        <v>1</v>
      </c>
      <c r="AK4" s="5">
        <f>IFERROR(__xludf.DUMMYFUNCTION("""COMPUTED_VALUE"""),72.0)</f>
        <v>72</v>
      </c>
      <c r="AL4" s="5">
        <f>IFERROR(__xludf.DUMMYFUNCTION("""COMPUTED_VALUE"""),4086.0)</f>
        <v>4086</v>
      </c>
      <c r="AM4" s="5">
        <f>IFERROR(__xludf.DUMMYFUNCTION("""COMPUTED_VALUE"""),752.0)</f>
        <v>752</v>
      </c>
    </row>
    <row r="5">
      <c r="A5" s="5" t="s">
        <v>36</v>
      </c>
      <c r="B5" s="5" t="s">
        <v>11</v>
      </c>
      <c r="C5" s="5">
        <v>1.0</v>
      </c>
      <c r="D5" s="5" t="s">
        <v>12</v>
      </c>
      <c r="E5" s="5" t="s">
        <v>12</v>
      </c>
      <c r="F5" s="5">
        <v>1.0</v>
      </c>
      <c r="G5" s="5">
        <v>8.0</v>
      </c>
      <c r="H5" s="5">
        <v>123.0</v>
      </c>
      <c r="I5" s="5">
        <v>32.0</v>
      </c>
      <c r="J5" s="5"/>
      <c r="K5" s="5" t="s">
        <v>36</v>
      </c>
      <c r="L5" s="5" t="s">
        <v>11</v>
      </c>
      <c r="M5" s="5">
        <v>1.0</v>
      </c>
      <c r="N5" s="5" t="s">
        <v>14</v>
      </c>
      <c r="O5" s="5" t="s">
        <v>12</v>
      </c>
      <c r="P5" s="5">
        <v>1.0</v>
      </c>
      <c r="Q5" s="5">
        <v>6.0</v>
      </c>
      <c r="R5" s="5">
        <v>104.0</v>
      </c>
      <c r="S5" s="5">
        <v>8.0</v>
      </c>
      <c r="U5" s="5" t="str">
        <f>IFERROR(__xludf.DUMMYFUNCTION("""COMPUTED_VALUE"""),"13Queens.csp")</f>
        <v>13Queens.csp</v>
      </c>
      <c r="V5" s="5" t="str">
        <f>IFERROR(__xludf.DUMMYFUNCTION("""COMPUTED_VALUE"""),"MAC")</f>
        <v>MAC</v>
      </c>
      <c r="W5" s="5">
        <f>IFERROR(__xludf.DUMMYFUNCTION("""COMPUTED_VALUE"""),1.0)</f>
        <v>1</v>
      </c>
      <c r="X5" s="5" t="str">
        <f>IFERROR(__xludf.DUMMYFUNCTION("""COMPUTED_VALUE"""),"ASCENDING")</f>
        <v>ASCENDING</v>
      </c>
      <c r="Y5" s="5" t="str">
        <f>IFERROR(__xludf.DUMMYFUNCTION("""COMPUTED_VALUE"""),"ASCENDING")</f>
        <v>ASCENDING</v>
      </c>
      <c r="Z5" s="5">
        <f>IFERROR(__xludf.DUMMYFUNCTION("""COMPUTED_VALUE"""),1.0)</f>
        <v>1</v>
      </c>
      <c r="AA5" s="5">
        <f>IFERROR(__xludf.DUMMYFUNCTION("""COMPUTED_VALUE"""),39.0)</f>
        <v>39</v>
      </c>
      <c r="AB5" s="5">
        <f>IFERROR(__xludf.DUMMYFUNCTION("""COMPUTED_VALUE"""),2443.0)</f>
        <v>2443</v>
      </c>
      <c r="AC5" s="5">
        <f>IFERROR(__xludf.DUMMYFUNCTION("""COMPUTED_VALUE"""),382.0)</f>
        <v>382</v>
      </c>
      <c r="AE5" s="5" t="str">
        <f>IFERROR(__xludf.DUMMYFUNCTION("""COMPUTED_VALUE"""),"13Queens.csp")</f>
        <v>13Queens.csp</v>
      </c>
      <c r="AF5" s="5" t="str">
        <f>IFERROR(__xludf.DUMMYFUNCTION("""COMPUTED_VALUE"""),"MAC")</f>
        <v>MAC</v>
      </c>
      <c r="AG5" s="5">
        <f>IFERROR(__xludf.DUMMYFUNCTION("""COMPUTED_VALUE"""),1.0)</f>
        <v>1</v>
      </c>
      <c r="AH5" s="5" t="str">
        <f>IFERROR(__xludf.DUMMYFUNCTION("""COMPUTED_VALUE"""),"SMALLEST_DOMAIN")</f>
        <v>SMALLEST_DOMAIN</v>
      </c>
      <c r="AI5" s="5" t="str">
        <f>IFERROR(__xludf.DUMMYFUNCTION("""COMPUTED_VALUE"""),"ASCENDING")</f>
        <v>ASCENDING</v>
      </c>
      <c r="AJ5" s="5">
        <f>IFERROR(__xludf.DUMMYFUNCTION("""COMPUTED_VALUE"""),1.0)</f>
        <v>1</v>
      </c>
      <c r="AK5" s="5">
        <f>IFERROR(__xludf.DUMMYFUNCTION("""COMPUTED_VALUE"""),89.0)</f>
        <v>89</v>
      </c>
      <c r="AL5" s="5">
        <f>IFERROR(__xludf.DUMMYFUNCTION("""COMPUTED_VALUE"""),5798.0)</f>
        <v>5798</v>
      </c>
      <c r="AM5" s="5">
        <f>IFERROR(__xludf.DUMMYFUNCTION("""COMPUTED_VALUE"""),596.0)</f>
        <v>596</v>
      </c>
    </row>
    <row r="6">
      <c r="A6" s="5" t="s">
        <v>30</v>
      </c>
      <c r="B6" s="5" t="s">
        <v>11</v>
      </c>
      <c r="C6" s="5">
        <v>1.0</v>
      </c>
      <c r="D6" s="5" t="s">
        <v>12</v>
      </c>
      <c r="E6" s="5" t="s">
        <v>12</v>
      </c>
      <c r="F6" s="5">
        <v>1.0</v>
      </c>
      <c r="G6" s="5">
        <v>12.0</v>
      </c>
      <c r="H6" s="5">
        <v>258.0</v>
      </c>
      <c r="I6" s="5">
        <v>28.0</v>
      </c>
      <c r="J6" s="5"/>
      <c r="K6" s="5" t="s">
        <v>30</v>
      </c>
      <c r="L6" s="5" t="s">
        <v>11</v>
      </c>
      <c r="M6" s="5">
        <v>1.0</v>
      </c>
      <c r="N6" s="5" t="s">
        <v>14</v>
      </c>
      <c r="O6" s="5" t="s">
        <v>12</v>
      </c>
      <c r="P6" s="5">
        <v>1.0</v>
      </c>
      <c r="Q6" s="5">
        <v>12.0</v>
      </c>
      <c r="R6" s="5">
        <v>258.0</v>
      </c>
      <c r="S6" s="5">
        <v>19.0</v>
      </c>
      <c r="U6" s="5" t="str">
        <f>IFERROR(__xludf.DUMMYFUNCTION("""COMPUTED_VALUE"""),"14Queens.csp")</f>
        <v>14Queens.csp</v>
      </c>
      <c r="V6" s="5" t="str">
        <f>IFERROR(__xludf.DUMMYFUNCTION("""COMPUTED_VALUE"""),"MAC")</f>
        <v>MAC</v>
      </c>
      <c r="W6" s="5">
        <f>IFERROR(__xludf.DUMMYFUNCTION("""COMPUTED_VALUE"""),1.0)</f>
        <v>1</v>
      </c>
      <c r="X6" s="5" t="str">
        <f>IFERROR(__xludf.DUMMYFUNCTION("""COMPUTED_VALUE"""),"ASCENDING")</f>
        <v>ASCENDING</v>
      </c>
      <c r="Y6" s="5" t="str">
        <f>IFERROR(__xludf.DUMMYFUNCTION("""COMPUTED_VALUE"""),"ASCENDING")</f>
        <v>ASCENDING</v>
      </c>
      <c r="Z6" s="5">
        <f>IFERROR(__xludf.DUMMYFUNCTION("""COMPUTED_VALUE"""),1.0)</f>
        <v>1</v>
      </c>
      <c r="AA6" s="5">
        <f>IFERROR(__xludf.DUMMYFUNCTION("""COMPUTED_VALUE"""),476.0)</f>
        <v>476</v>
      </c>
      <c r="AB6" s="5">
        <f>IFERROR(__xludf.DUMMYFUNCTION("""COMPUTED_VALUE"""),30491.0)</f>
        <v>30491</v>
      </c>
      <c r="AC6" s="5">
        <f>IFERROR(__xludf.DUMMYFUNCTION("""COMPUTED_VALUE"""),1774.0)</f>
        <v>1774</v>
      </c>
      <c r="AE6" s="5" t="str">
        <f>IFERROR(__xludf.DUMMYFUNCTION("""COMPUTED_VALUE"""),"14Queens.csp")</f>
        <v>14Queens.csp</v>
      </c>
      <c r="AF6" s="5" t="str">
        <f>IFERROR(__xludf.DUMMYFUNCTION("""COMPUTED_VALUE"""),"MAC")</f>
        <v>MAC</v>
      </c>
      <c r="AG6" s="5">
        <f>IFERROR(__xludf.DUMMYFUNCTION("""COMPUTED_VALUE"""),1.0)</f>
        <v>1</v>
      </c>
      <c r="AH6" s="5" t="str">
        <f>IFERROR(__xludf.DUMMYFUNCTION("""COMPUTED_VALUE"""),"SMALLEST_DOMAIN")</f>
        <v>SMALLEST_DOMAIN</v>
      </c>
      <c r="AI6" s="5" t="str">
        <f>IFERROR(__xludf.DUMMYFUNCTION("""COMPUTED_VALUE"""),"ASCENDING")</f>
        <v>ASCENDING</v>
      </c>
      <c r="AJ6" s="5">
        <f>IFERROR(__xludf.DUMMYFUNCTION("""COMPUTED_VALUE"""),1.0)</f>
        <v>1</v>
      </c>
      <c r="AK6" s="5">
        <f>IFERROR(__xludf.DUMMYFUNCTION("""COMPUTED_VALUE"""),50.0)</f>
        <v>50</v>
      </c>
      <c r="AL6" s="5">
        <f>IFERROR(__xludf.DUMMYFUNCTION("""COMPUTED_VALUE"""),4252.0)</f>
        <v>4252</v>
      </c>
      <c r="AM6" s="5">
        <f>IFERROR(__xludf.DUMMYFUNCTION("""COMPUTED_VALUE"""),740.0)</f>
        <v>740</v>
      </c>
    </row>
    <row r="7">
      <c r="A7" s="5" t="s">
        <v>37</v>
      </c>
      <c r="B7" s="5" t="s">
        <v>11</v>
      </c>
      <c r="C7" s="5">
        <v>1.0</v>
      </c>
      <c r="D7" s="5" t="s">
        <v>12</v>
      </c>
      <c r="E7" s="5" t="s">
        <v>12</v>
      </c>
      <c r="F7" s="5">
        <v>1.0</v>
      </c>
      <c r="G7" s="5">
        <v>12.0</v>
      </c>
      <c r="H7" s="5">
        <v>344.0</v>
      </c>
      <c r="I7" s="5">
        <v>139.0</v>
      </c>
      <c r="J7" s="5"/>
      <c r="K7" s="5" t="s">
        <v>37</v>
      </c>
      <c r="L7" s="5" t="s">
        <v>11</v>
      </c>
      <c r="M7" s="5">
        <v>1.0</v>
      </c>
      <c r="N7" s="5" t="s">
        <v>14</v>
      </c>
      <c r="O7" s="5" t="s">
        <v>12</v>
      </c>
      <c r="P7" s="5">
        <v>1.0</v>
      </c>
      <c r="Q7" s="5">
        <v>8.0</v>
      </c>
      <c r="R7" s="5">
        <v>276.0</v>
      </c>
      <c r="S7" s="5">
        <v>44.0</v>
      </c>
      <c r="U7" s="5" t="str">
        <f>IFERROR(__xludf.DUMMYFUNCTION("""COMPUTED_VALUE"""),"15Queens.csp")</f>
        <v>15Queens.csp</v>
      </c>
      <c r="V7" s="5" t="str">
        <f>IFERROR(__xludf.DUMMYFUNCTION("""COMPUTED_VALUE"""),"MAC")</f>
        <v>MAC</v>
      </c>
      <c r="W7" s="5">
        <f>IFERROR(__xludf.DUMMYFUNCTION("""COMPUTED_VALUE"""),1.0)</f>
        <v>1</v>
      </c>
      <c r="X7" s="5" t="str">
        <f>IFERROR(__xludf.DUMMYFUNCTION("""COMPUTED_VALUE"""),"ASCENDING")</f>
        <v>ASCENDING</v>
      </c>
      <c r="Y7" s="5" t="str">
        <f>IFERROR(__xludf.DUMMYFUNCTION("""COMPUTED_VALUE"""),"ASCENDING")</f>
        <v>ASCENDING</v>
      </c>
      <c r="Z7" s="5">
        <f>IFERROR(__xludf.DUMMYFUNCTION("""COMPUTED_VALUE"""),1.0)</f>
        <v>1</v>
      </c>
      <c r="AA7" s="5">
        <f>IFERROR(__xludf.DUMMYFUNCTION("""COMPUTED_VALUE"""),297.0)</f>
        <v>297</v>
      </c>
      <c r="AB7" s="5">
        <f>IFERROR(__xludf.DUMMYFUNCTION("""COMPUTED_VALUE"""),22803.0)</f>
        <v>22803</v>
      </c>
      <c r="AC7" s="5">
        <f>IFERROR(__xludf.DUMMYFUNCTION("""COMPUTED_VALUE"""),1647.0)</f>
        <v>1647</v>
      </c>
      <c r="AE7" s="5" t="str">
        <f>IFERROR(__xludf.DUMMYFUNCTION("""COMPUTED_VALUE"""),"15Queens.csp")</f>
        <v>15Queens.csp</v>
      </c>
      <c r="AF7" s="5" t="str">
        <f>IFERROR(__xludf.DUMMYFUNCTION("""COMPUTED_VALUE"""),"MAC")</f>
        <v>MAC</v>
      </c>
      <c r="AG7" s="5">
        <f>IFERROR(__xludf.DUMMYFUNCTION("""COMPUTED_VALUE"""),1.0)</f>
        <v>1</v>
      </c>
      <c r="AH7" s="5" t="str">
        <f>IFERROR(__xludf.DUMMYFUNCTION("""COMPUTED_VALUE"""),"SMALLEST_DOMAIN")</f>
        <v>SMALLEST_DOMAIN</v>
      </c>
      <c r="AI7" s="5" t="str">
        <f>IFERROR(__xludf.DUMMYFUNCTION("""COMPUTED_VALUE"""),"ASCENDING")</f>
        <v>ASCENDING</v>
      </c>
      <c r="AJ7" s="5">
        <f>IFERROR(__xludf.DUMMYFUNCTION("""COMPUTED_VALUE"""),1.0)</f>
        <v>1</v>
      </c>
      <c r="AK7" s="5">
        <f>IFERROR(__xludf.DUMMYFUNCTION("""COMPUTED_VALUE"""),17.0)</f>
        <v>17</v>
      </c>
      <c r="AL7" s="5">
        <f>IFERROR(__xludf.DUMMYFUNCTION("""COMPUTED_VALUE"""),1873.0)</f>
        <v>1873</v>
      </c>
      <c r="AM7" s="5">
        <f>IFERROR(__xludf.DUMMYFUNCTION("""COMPUTED_VALUE"""),430.0)</f>
        <v>430</v>
      </c>
    </row>
    <row r="8">
      <c r="A8" s="5" t="s">
        <v>16</v>
      </c>
      <c r="B8" s="5" t="s">
        <v>11</v>
      </c>
      <c r="C8" s="5">
        <v>1.0</v>
      </c>
      <c r="D8" s="5" t="s">
        <v>12</v>
      </c>
      <c r="E8" s="5" t="s">
        <v>12</v>
      </c>
      <c r="F8" s="5">
        <v>1.0</v>
      </c>
      <c r="G8" s="5">
        <v>17.0</v>
      </c>
      <c r="H8" s="5">
        <v>941.0</v>
      </c>
      <c r="I8" s="5">
        <v>183.0</v>
      </c>
      <c r="J8" s="5"/>
      <c r="K8" s="5" t="s">
        <v>16</v>
      </c>
      <c r="L8" s="5" t="s">
        <v>11</v>
      </c>
      <c r="M8" s="5">
        <v>1.0</v>
      </c>
      <c r="N8" s="5" t="s">
        <v>14</v>
      </c>
      <c r="O8" s="5" t="s">
        <v>12</v>
      </c>
      <c r="P8" s="5">
        <v>1.0</v>
      </c>
      <c r="Q8" s="5">
        <v>33.0</v>
      </c>
      <c r="R8" s="5">
        <v>1791.0</v>
      </c>
      <c r="S8" s="5">
        <v>270.0</v>
      </c>
      <c r="U8" s="5" t="str">
        <f>IFERROR(__xludf.DUMMYFUNCTION("""COMPUTED_VALUE"""),"16Queens.csp")</f>
        <v>16Queens.csp</v>
      </c>
      <c r="V8" s="5" t="str">
        <f>IFERROR(__xludf.DUMMYFUNCTION("""COMPUTED_VALUE"""),"MAC")</f>
        <v>MAC</v>
      </c>
      <c r="W8" s="5">
        <f>IFERROR(__xludf.DUMMYFUNCTION("""COMPUTED_VALUE"""),1.0)</f>
        <v>1</v>
      </c>
      <c r="X8" s="5" t="str">
        <f>IFERROR(__xludf.DUMMYFUNCTION("""COMPUTED_VALUE"""),"ASCENDING")</f>
        <v>ASCENDING</v>
      </c>
      <c r="Y8" s="5" t="str">
        <f>IFERROR(__xludf.DUMMYFUNCTION("""COMPUTED_VALUE"""),"ASCENDING")</f>
        <v>ASCENDING</v>
      </c>
      <c r="Z8" s="5">
        <f>IFERROR(__xludf.DUMMYFUNCTION("""COMPUTED_VALUE"""),1.0)</f>
        <v>1</v>
      </c>
      <c r="AA8" s="5">
        <f>IFERROR(__xludf.DUMMYFUNCTION("""COMPUTED_VALUE"""),2054.0)</f>
        <v>2054</v>
      </c>
      <c r="AB8" s="5">
        <f>IFERROR(__xludf.DUMMYFUNCTION("""COMPUTED_VALUE"""),172394.0)</f>
        <v>172394</v>
      </c>
      <c r="AC8" s="5">
        <f>IFERROR(__xludf.DUMMYFUNCTION("""COMPUTED_VALUE"""),1724.0)</f>
        <v>1724</v>
      </c>
      <c r="AE8" s="5" t="str">
        <f>IFERROR(__xludf.DUMMYFUNCTION("""COMPUTED_VALUE"""),"16Queens.csp")</f>
        <v>16Queens.csp</v>
      </c>
      <c r="AF8" s="5" t="str">
        <f>IFERROR(__xludf.DUMMYFUNCTION("""COMPUTED_VALUE"""),"MAC")</f>
        <v>MAC</v>
      </c>
      <c r="AG8" s="5">
        <f>IFERROR(__xludf.DUMMYFUNCTION("""COMPUTED_VALUE"""),1.0)</f>
        <v>1</v>
      </c>
      <c r="AH8" s="5" t="str">
        <f>IFERROR(__xludf.DUMMYFUNCTION("""COMPUTED_VALUE"""),"SMALLEST_DOMAIN")</f>
        <v>SMALLEST_DOMAIN</v>
      </c>
      <c r="AI8" s="5" t="str">
        <f>IFERROR(__xludf.DUMMYFUNCTION("""COMPUTED_VALUE"""),"ASCENDING")</f>
        <v>ASCENDING</v>
      </c>
      <c r="AJ8" s="5">
        <f>IFERROR(__xludf.DUMMYFUNCTION("""COMPUTED_VALUE"""),1.0)</f>
        <v>1</v>
      </c>
      <c r="AK8" s="5">
        <f>IFERROR(__xludf.DUMMYFUNCTION("""COMPUTED_VALUE"""),24.0)</f>
        <v>24</v>
      </c>
      <c r="AL8" s="5">
        <f>IFERROR(__xludf.DUMMYFUNCTION("""COMPUTED_VALUE"""),2666.0)</f>
        <v>2666</v>
      </c>
      <c r="AM8" s="5">
        <f>IFERROR(__xludf.DUMMYFUNCTION("""COMPUTED_VALUE"""),403.0)</f>
        <v>403</v>
      </c>
    </row>
    <row r="9">
      <c r="A9" s="5" t="s">
        <v>33</v>
      </c>
      <c r="B9" s="5" t="s">
        <v>11</v>
      </c>
      <c r="C9" s="5">
        <v>1.0</v>
      </c>
      <c r="D9" s="5" t="s">
        <v>12</v>
      </c>
      <c r="E9" s="5" t="s">
        <v>12</v>
      </c>
      <c r="F9" s="5">
        <v>1.0</v>
      </c>
      <c r="G9" s="5">
        <v>17.0</v>
      </c>
      <c r="H9" s="5">
        <v>605.0</v>
      </c>
      <c r="I9" s="5">
        <v>44.0</v>
      </c>
      <c r="J9" s="5"/>
      <c r="K9" s="5" t="s">
        <v>33</v>
      </c>
      <c r="L9" s="5" t="s">
        <v>11</v>
      </c>
      <c r="M9" s="5">
        <v>1.0</v>
      </c>
      <c r="N9" s="5" t="s">
        <v>14</v>
      </c>
      <c r="O9" s="5" t="s">
        <v>12</v>
      </c>
      <c r="P9" s="5">
        <v>1.0</v>
      </c>
      <c r="Q9" s="5">
        <v>15.0</v>
      </c>
      <c r="R9" s="5">
        <v>606.0</v>
      </c>
      <c r="S9" s="5">
        <v>20.0</v>
      </c>
      <c r="U9" s="5" t="str">
        <f>IFERROR(__xludf.DUMMYFUNCTION("""COMPUTED_VALUE"""),"17Queens.csp")</f>
        <v>17Queens.csp</v>
      </c>
      <c r="V9" s="5" t="str">
        <f>IFERROR(__xludf.DUMMYFUNCTION("""COMPUTED_VALUE"""),"MAC")</f>
        <v>MAC</v>
      </c>
      <c r="W9" s="5">
        <f>IFERROR(__xludf.DUMMYFUNCTION("""COMPUTED_VALUE"""),1.0)</f>
        <v>1</v>
      </c>
      <c r="X9" s="5" t="str">
        <f>IFERROR(__xludf.DUMMYFUNCTION("""COMPUTED_VALUE"""),"ASCENDING")</f>
        <v>ASCENDING</v>
      </c>
      <c r="Y9" s="5" t="str">
        <f>IFERROR(__xludf.DUMMYFUNCTION("""COMPUTED_VALUE"""),"ASCENDING")</f>
        <v>ASCENDING</v>
      </c>
      <c r="Z9" s="5">
        <f>IFERROR(__xludf.DUMMYFUNCTION("""COMPUTED_VALUE"""),1.0)</f>
        <v>1</v>
      </c>
      <c r="AA9" s="5">
        <f>IFERROR(__xludf.DUMMYFUNCTION("""COMPUTED_VALUE"""),1203.0)</f>
        <v>1203</v>
      </c>
      <c r="AB9" s="5">
        <f>IFERROR(__xludf.DUMMYFUNCTION("""COMPUTED_VALUE"""),107553.0)</f>
        <v>107553</v>
      </c>
      <c r="AC9" s="5">
        <f>IFERROR(__xludf.DUMMYFUNCTION("""COMPUTED_VALUE"""),1369.0)</f>
        <v>1369</v>
      </c>
      <c r="AE9" s="5" t="str">
        <f>IFERROR(__xludf.DUMMYFUNCTION("""COMPUTED_VALUE"""),"17Queens.csp")</f>
        <v>17Queens.csp</v>
      </c>
      <c r="AF9" s="5" t="str">
        <f>IFERROR(__xludf.DUMMYFUNCTION("""COMPUTED_VALUE"""),"MAC")</f>
        <v>MAC</v>
      </c>
      <c r="AG9" s="5">
        <f>IFERROR(__xludf.DUMMYFUNCTION("""COMPUTED_VALUE"""),1.0)</f>
        <v>1</v>
      </c>
      <c r="AH9" s="5" t="str">
        <f>IFERROR(__xludf.DUMMYFUNCTION("""COMPUTED_VALUE"""),"SMALLEST_DOMAIN")</f>
        <v>SMALLEST_DOMAIN</v>
      </c>
      <c r="AI9" s="5" t="str">
        <f>IFERROR(__xludf.DUMMYFUNCTION("""COMPUTED_VALUE"""),"ASCENDING")</f>
        <v>ASCENDING</v>
      </c>
      <c r="AJ9" s="5">
        <f>IFERROR(__xludf.DUMMYFUNCTION("""COMPUTED_VALUE"""),1.0)</f>
        <v>1</v>
      </c>
      <c r="AK9" s="5">
        <f>IFERROR(__xludf.DUMMYFUNCTION("""COMPUTED_VALUE"""),27.0)</f>
        <v>27</v>
      </c>
      <c r="AL9" s="5">
        <f>IFERROR(__xludf.DUMMYFUNCTION("""COMPUTED_VALUE"""),3884.0)</f>
        <v>3884</v>
      </c>
      <c r="AM9" s="5">
        <f>IFERROR(__xludf.DUMMYFUNCTION("""COMPUTED_VALUE"""),430.0)</f>
        <v>430</v>
      </c>
    </row>
    <row r="10">
      <c r="A10" s="5" t="s">
        <v>32</v>
      </c>
      <c r="B10" s="5" t="s">
        <v>11</v>
      </c>
      <c r="C10" s="5">
        <v>1.0</v>
      </c>
      <c r="D10" s="5" t="s">
        <v>12</v>
      </c>
      <c r="E10" s="5" t="s">
        <v>12</v>
      </c>
      <c r="F10" s="5">
        <v>1.0</v>
      </c>
      <c r="G10" s="5">
        <v>28.0</v>
      </c>
      <c r="H10" s="5">
        <v>1000.0</v>
      </c>
      <c r="I10" s="5">
        <v>72.0</v>
      </c>
      <c r="J10" s="5"/>
      <c r="K10" s="5" t="s">
        <v>32</v>
      </c>
      <c r="L10" s="5" t="s">
        <v>11</v>
      </c>
      <c r="M10" s="5">
        <v>1.0</v>
      </c>
      <c r="N10" s="5" t="s">
        <v>14</v>
      </c>
      <c r="O10" s="5" t="s">
        <v>12</v>
      </c>
      <c r="P10" s="5">
        <v>1.0</v>
      </c>
      <c r="Q10" s="5">
        <v>28.0</v>
      </c>
      <c r="R10" s="5">
        <v>1000.0</v>
      </c>
      <c r="S10" s="5">
        <v>99.0</v>
      </c>
      <c r="U10" s="5" t="str">
        <f>IFERROR(__xludf.DUMMYFUNCTION("""COMPUTED_VALUE"""),"18Queens.csp")</f>
        <v>18Queens.csp</v>
      </c>
      <c r="V10" s="5" t="str">
        <f>IFERROR(__xludf.DUMMYFUNCTION("""COMPUTED_VALUE"""),"MAC")</f>
        <v>MAC</v>
      </c>
      <c r="W10" s="5">
        <f>IFERROR(__xludf.DUMMYFUNCTION("""COMPUTED_VALUE"""),1.0)</f>
        <v>1</v>
      </c>
      <c r="X10" s="5" t="str">
        <f>IFERROR(__xludf.DUMMYFUNCTION("""COMPUTED_VALUE"""),"ASCENDING")</f>
        <v>ASCENDING</v>
      </c>
      <c r="Y10" s="5" t="str">
        <f>IFERROR(__xludf.DUMMYFUNCTION("""COMPUTED_VALUE"""),"ASCENDING")</f>
        <v>ASCENDING</v>
      </c>
      <c r="Z10" s="5">
        <f>IFERROR(__xludf.DUMMYFUNCTION("""COMPUTED_VALUE"""),1.0)</f>
        <v>1</v>
      </c>
      <c r="AA10" s="5">
        <f>IFERROR(__xludf.DUMMYFUNCTION("""COMPUTED_VALUE"""),8452.0)</f>
        <v>8452</v>
      </c>
      <c r="AB10" s="5">
        <f>IFERROR(__xludf.DUMMYFUNCTION("""COMPUTED_VALUE"""),784097.0)</f>
        <v>784097</v>
      </c>
      <c r="AC10" s="5">
        <f>IFERROR(__xludf.DUMMYFUNCTION("""COMPUTED_VALUE"""),2066.0)</f>
        <v>2066</v>
      </c>
      <c r="AE10" s="5" t="str">
        <f>IFERROR(__xludf.DUMMYFUNCTION("""COMPUTED_VALUE"""),"18Queens.csp")</f>
        <v>18Queens.csp</v>
      </c>
      <c r="AF10" s="5" t="str">
        <f>IFERROR(__xludf.DUMMYFUNCTION("""COMPUTED_VALUE"""),"MAC")</f>
        <v>MAC</v>
      </c>
      <c r="AG10" s="5">
        <f>IFERROR(__xludf.DUMMYFUNCTION("""COMPUTED_VALUE"""),1.0)</f>
        <v>1</v>
      </c>
      <c r="AH10" s="5" t="str">
        <f>IFERROR(__xludf.DUMMYFUNCTION("""COMPUTED_VALUE"""),"SMALLEST_DOMAIN")</f>
        <v>SMALLEST_DOMAIN</v>
      </c>
      <c r="AI10" s="5" t="str">
        <f>IFERROR(__xludf.DUMMYFUNCTION("""COMPUTED_VALUE"""),"ASCENDING")</f>
        <v>ASCENDING</v>
      </c>
      <c r="AJ10" s="5">
        <f>IFERROR(__xludf.DUMMYFUNCTION("""COMPUTED_VALUE"""),1.0)</f>
        <v>1</v>
      </c>
      <c r="AK10" s="5">
        <f>IFERROR(__xludf.DUMMYFUNCTION("""COMPUTED_VALUE"""),46.0)</f>
        <v>46</v>
      </c>
      <c r="AL10" s="5">
        <f>IFERROR(__xludf.DUMMYFUNCTION("""COMPUTED_VALUE"""),5816.0)</f>
        <v>5816</v>
      </c>
      <c r="AM10" s="5">
        <f>IFERROR(__xludf.DUMMYFUNCTION("""COMPUTED_VALUE"""),668.0)</f>
        <v>668</v>
      </c>
    </row>
    <row r="11">
      <c r="A11" s="5" t="s">
        <v>10</v>
      </c>
      <c r="B11" s="5" t="s">
        <v>11</v>
      </c>
      <c r="C11" s="5">
        <v>1.0</v>
      </c>
      <c r="D11" s="5" t="s">
        <v>12</v>
      </c>
      <c r="E11" s="5" t="s">
        <v>12</v>
      </c>
      <c r="F11" s="5">
        <v>1.0</v>
      </c>
      <c r="G11" s="5">
        <v>36.0</v>
      </c>
      <c r="H11" s="5">
        <v>1507.0</v>
      </c>
      <c r="I11" s="5">
        <v>51.0</v>
      </c>
      <c r="J11" s="5"/>
      <c r="K11" s="5" t="s">
        <v>10</v>
      </c>
      <c r="L11" s="5" t="s">
        <v>11</v>
      </c>
      <c r="M11" s="5">
        <v>1.0</v>
      </c>
      <c r="N11" s="5" t="s">
        <v>14</v>
      </c>
      <c r="O11" s="5" t="s">
        <v>12</v>
      </c>
      <c r="P11" s="5">
        <v>1.0</v>
      </c>
      <c r="Q11" s="5">
        <v>22.0</v>
      </c>
      <c r="R11" s="5">
        <v>929.0</v>
      </c>
      <c r="S11" s="5">
        <v>115.0</v>
      </c>
      <c r="U11" s="5" t="str">
        <f>IFERROR(__xludf.DUMMYFUNCTION("""COMPUTED_VALUE"""),"4Queens.csp")</f>
        <v>4Queens.csp</v>
      </c>
      <c r="V11" s="5" t="str">
        <f>IFERROR(__xludf.DUMMYFUNCTION("""COMPUTED_VALUE"""),"MAC")</f>
        <v>MAC</v>
      </c>
      <c r="W11" s="5">
        <f>IFERROR(__xludf.DUMMYFUNCTION("""COMPUTED_VALUE"""),1.0)</f>
        <v>1</v>
      </c>
      <c r="X11" s="5" t="str">
        <f>IFERROR(__xludf.DUMMYFUNCTION("""COMPUTED_VALUE"""),"ASCENDING")</f>
        <v>ASCENDING</v>
      </c>
      <c r="Y11" s="5" t="str">
        <f>IFERROR(__xludf.DUMMYFUNCTION("""COMPUTED_VALUE"""),"ASCENDING")</f>
        <v>ASCENDING</v>
      </c>
      <c r="Z11" s="5">
        <f>IFERROR(__xludf.DUMMYFUNCTION("""COMPUTED_VALUE"""),1.0)</f>
        <v>1</v>
      </c>
      <c r="AA11" s="5">
        <f>IFERROR(__xludf.DUMMYFUNCTION("""COMPUTED_VALUE"""),6.0)</f>
        <v>6</v>
      </c>
      <c r="AB11" s="5">
        <f>IFERROR(__xludf.DUMMYFUNCTION("""COMPUTED_VALUE"""),48.0)</f>
        <v>48</v>
      </c>
      <c r="AC11" s="5">
        <f>IFERROR(__xludf.DUMMYFUNCTION("""COMPUTED_VALUE"""),2.0)</f>
        <v>2</v>
      </c>
      <c r="AE11" s="5" t="str">
        <f>IFERROR(__xludf.DUMMYFUNCTION("""COMPUTED_VALUE"""),"4Queens.csp")</f>
        <v>4Queens.csp</v>
      </c>
      <c r="AF11" s="5" t="str">
        <f>IFERROR(__xludf.DUMMYFUNCTION("""COMPUTED_VALUE"""),"MAC")</f>
        <v>MAC</v>
      </c>
      <c r="AG11" s="5">
        <f>IFERROR(__xludf.DUMMYFUNCTION("""COMPUTED_VALUE"""),1.0)</f>
        <v>1</v>
      </c>
      <c r="AH11" s="5" t="str">
        <f>IFERROR(__xludf.DUMMYFUNCTION("""COMPUTED_VALUE"""),"SMALLEST_DOMAIN")</f>
        <v>SMALLEST_DOMAIN</v>
      </c>
      <c r="AI11" s="5" t="str">
        <f>IFERROR(__xludf.DUMMYFUNCTION("""COMPUTED_VALUE"""),"ASCENDING")</f>
        <v>ASCENDING</v>
      </c>
      <c r="AJ11" s="5">
        <f>IFERROR(__xludf.DUMMYFUNCTION("""COMPUTED_VALUE"""),1.0)</f>
        <v>1</v>
      </c>
      <c r="AK11" s="5">
        <f>IFERROR(__xludf.DUMMYFUNCTION("""COMPUTED_VALUE"""),6.0)</f>
        <v>6</v>
      </c>
      <c r="AL11" s="5">
        <f>IFERROR(__xludf.DUMMYFUNCTION("""COMPUTED_VALUE"""),48.0)</f>
        <v>48</v>
      </c>
      <c r="AM11" s="5">
        <f>IFERROR(__xludf.DUMMYFUNCTION("""COMPUTED_VALUE"""),25.0)</f>
        <v>25</v>
      </c>
    </row>
    <row r="12">
      <c r="A12" s="5" t="s">
        <v>38</v>
      </c>
      <c r="B12" s="5" t="s">
        <v>11</v>
      </c>
      <c r="C12" s="5">
        <v>1.0</v>
      </c>
      <c r="D12" s="5" t="s">
        <v>12</v>
      </c>
      <c r="E12" s="5" t="s">
        <v>12</v>
      </c>
      <c r="F12" s="5">
        <v>1.0</v>
      </c>
      <c r="G12" s="5">
        <v>38.0</v>
      </c>
      <c r="H12" s="5">
        <v>3416.0</v>
      </c>
      <c r="I12" s="5">
        <v>408.0</v>
      </c>
      <c r="J12" s="5"/>
      <c r="K12" s="5" t="s">
        <v>38</v>
      </c>
      <c r="L12" s="5" t="s">
        <v>11</v>
      </c>
      <c r="M12" s="5">
        <v>1.0</v>
      </c>
      <c r="N12" s="5" t="s">
        <v>14</v>
      </c>
      <c r="O12" s="5" t="s">
        <v>12</v>
      </c>
      <c r="P12" s="5">
        <v>1.0</v>
      </c>
      <c r="Q12" s="5">
        <v>16.0</v>
      </c>
      <c r="R12" s="5">
        <v>1664.0</v>
      </c>
      <c r="S12" s="5">
        <v>181.0</v>
      </c>
      <c r="U12" s="5" t="str">
        <f>IFERROR(__xludf.DUMMYFUNCTION("""COMPUTED_VALUE"""),"5Queens.csp")</f>
        <v>5Queens.csp</v>
      </c>
      <c r="V12" s="5" t="str">
        <f>IFERROR(__xludf.DUMMYFUNCTION("""COMPUTED_VALUE"""),"MAC")</f>
        <v>MAC</v>
      </c>
      <c r="W12" s="5">
        <f>IFERROR(__xludf.DUMMYFUNCTION("""COMPUTED_VALUE"""),1.0)</f>
        <v>1</v>
      </c>
      <c r="X12" s="5" t="str">
        <f>IFERROR(__xludf.DUMMYFUNCTION("""COMPUTED_VALUE"""),"ASCENDING")</f>
        <v>ASCENDING</v>
      </c>
      <c r="Y12" s="5" t="str">
        <f>IFERROR(__xludf.DUMMYFUNCTION("""COMPUTED_VALUE"""),"ASCENDING")</f>
        <v>ASCENDING</v>
      </c>
      <c r="Z12" s="5">
        <f>IFERROR(__xludf.DUMMYFUNCTION("""COMPUTED_VALUE"""),1.0)</f>
        <v>1</v>
      </c>
      <c r="AA12" s="5">
        <f>IFERROR(__xludf.DUMMYFUNCTION("""COMPUTED_VALUE"""),5.0)</f>
        <v>5</v>
      </c>
      <c r="AB12" s="5">
        <f>IFERROR(__xludf.DUMMYFUNCTION("""COMPUTED_VALUE"""),66.0)</f>
        <v>66</v>
      </c>
      <c r="AC12" s="5">
        <f>IFERROR(__xludf.DUMMYFUNCTION("""COMPUTED_VALUE"""),2.0)</f>
        <v>2</v>
      </c>
      <c r="AE12" s="5" t="str">
        <f>IFERROR(__xludf.DUMMYFUNCTION("""COMPUTED_VALUE"""),"5Queens.csp")</f>
        <v>5Queens.csp</v>
      </c>
      <c r="AF12" s="5" t="str">
        <f>IFERROR(__xludf.DUMMYFUNCTION("""COMPUTED_VALUE"""),"MAC")</f>
        <v>MAC</v>
      </c>
      <c r="AG12" s="5">
        <f>IFERROR(__xludf.DUMMYFUNCTION("""COMPUTED_VALUE"""),1.0)</f>
        <v>1</v>
      </c>
      <c r="AH12" s="5" t="str">
        <f>IFERROR(__xludf.DUMMYFUNCTION("""COMPUTED_VALUE"""),"SMALLEST_DOMAIN")</f>
        <v>SMALLEST_DOMAIN</v>
      </c>
      <c r="AI12" s="5" t="str">
        <f>IFERROR(__xludf.DUMMYFUNCTION("""COMPUTED_VALUE"""),"ASCENDING")</f>
        <v>ASCENDING</v>
      </c>
      <c r="AJ12" s="5">
        <f>IFERROR(__xludf.DUMMYFUNCTION("""COMPUTED_VALUE"""),1.0)</f>
        <v>1</v>
      </c>
      <c r="AK12" s="5">
        <f>IFERROR(__xludf.DUMMYFUNCTION("""COMPUTED_VALUE"""),5.0)</f>
        <v>5</v>
      </c>
      <c r="AL12" s="5">
        <f>IFERROR(__xludf.DUMMYFUNCTION("""COMPUTED_VALUE"""),66.0)</f>
        <v>66</v>
      </c>
      <c r="AM12" s="5">
        <f>IFERROR(__xludf.DUMMYFUNCTION("""COMPUTED_VALUE"""),8.0)</f>
        <v>8</v>
      </c>
    </row>
    <row r="13">
      <c r="A13" s="5" t="s">
        <v>18</v>
      </c>
      <c r="B13" s="5" t="s">
        <v>11</v>
      </c>
      <c r="C13" s="5">
        <v>1.0</v>
      </c>
      <c r="D13" s="5" t="s">
        <v>12</v>
      </c>
      <c r="E13" s="5" t="s">
        <v>12</v>
      </c>
      <c r="F13" s="5">
        <v>1.0</v>
      </c>
      <c r="G13" s="5">
        <v>39.0</v>
      </c>
      <c r="H13" s="5">
        <v>2443.0</v>
      </c>
      <c r="I13" s="5">
        <v>382.0</v>
      </c>
      <c r="J13" s="5"/>
      <c r="K13" s="5" t="s">
        <v>18</v>
      </c>
      <c r="L13" s="5" t="s">
        <v>11</v>
      </c>
      <c r="M13" s="5">
        <v>1.0</v>
      </c>
      <c r="N13" s="5" t="s">
        <v>14</v>
      </c>
      <c r="O13" s="5" t="s">
        <v>12</v>
      </c>
      <c r="P13" s="5">
        <v>1.0</v>
      </c>
      <c r="Q13" s="5">
        <v>89.0</v>
      </c>
      <c r="R13" s="5">
        <v>5798.0</v>
      </c>
      <c r="S13" s="5">
        <v>596.0</v>
      </c>
      <c r="U13" s="5" t="str">
        <f>IFERROR(__xludf.DUMMYFUNCTION("""COMPUTED_VALUE"""),"6Queens.csp")</f>
        <v>6Queens.csp</v>
      </c>
      <c r="V13" s="5" t="str">
        <f>IFERROR(__xludf.DUMMYFUNCTION("""COMPUTED_VALUE"""),"MAC")</f>
        <v>MAC</v>
      </c>
      <c r="W13" s="5">
        <f>IFERROR(__xludf.DUMMYFUNCTION("""COMPUTED_VALUE"""),1.0)</f>
        <v>1</v>
      </c>
      <c r="X13" s="5" t="str">
        <f>IFERROR(__xludf.DUMMYFUNCTION("""COMPUTED_VALUE"""),"ASCENDING")</f>
        <v>ASCENDING</v>
      </c>
      <c r="Y13" s="5" t="str">
        <f>IFERROR(__xludf.DUMMYFUNCTION("""COMPUTED_VALUE"""),"ASCENDING")</f>
        <v>ASCENDING</v>
      </c>
      <c r="Z13" s="5">
        <f>IFERROR(__xludf.DUMMYFUNCTION("""COMPUTED_VALUE"""),1.0)</f>
        <v>1</v>
      </c>
      <c r="AA13" s="5">
        <f>IFERROR(__xludf.DUMMYFUNCTION("""COMPUTED_VALUE"""),12.0)</f>
        <v>12</v>
      </c>
      <c r="AB13" s="5">
        <f>IFERROR(__xludf.DUMMYFUNCTION("""COMPUTED_VALUE"""),258.0)</f>
        <v>258</v>
      </c>
      <c r="AC13" s="5">
        <f>IFERROR(__xludf.DUMMYFUNCTION("""COMPUTED_VALUE"""),28.0)</f>
        <v>28</v>
      </c>
      <c r="AE13" s="5" t="str">
        <f>IFERROR(__xludf.DUMMYFUNCTION("""COMPUTED_VALUE"""),"6Queens.csp")</f>
        <v>6Queens.csp</v>
      </c>
      <c r="AF13" s="5" t="str">
        <f>IFERROR(__xludf.DUMMYFUNCTION("""COMPUTED_VALUE"""),"MAC")</f>
        <v>MAC</v>
      </c>
      <c r="AG13" s="5">
        <f>IFERROR(__xludf.DUMMYFUNCTION("""COMPUTED_VALUE"""),1.0)</f>
        <v>1</v>
      </c>
      <c r="AH13" s="5" t="str">
        <f>IFERROR(__xludf.DUMMYFUNCTION("""COMPUTED_VALUE"""),"SMALLEST_DOMAIN")</f>
        <v>SMALLEST_DOMAIN</v>
      </c>
      <c r="AI13" s="5" t="str">
        <f>IFERROR(__xludf.DUMMYFUNCTION("""COMPUTED_VALUE"""),"ASCENDING")</f>
        <v>ASCENDING</v>
      </c>
      <c r="AJ13" s="5">
        <f>IFERROR(__xludf.DUMMYFUNCTION("""COMPUTED_VALUE"""),1.0)</f>
        <v>1</v>
      </c>
      <c r="AK13" s="5">
        <f>IFERROR(__xludf.DUMMYFUNCTION("""COMPUTED_VALUE"""),12.0)</f>
        <v>12</v>
      </c>
      <c r="AL13" s="5">
        <f>IFERROR(__xludf.DUMMYFUNCTION("""COMPUTED_VALUE"""),258.0)</f>
        <v>258</v>
      </c>
      <c r="AM13" s="5">
        <f>IFERROR(__xludf.DUMMYFUNCTION("""COMPUTED_VALUE"""),19.0)</f>
        <v>19</v>
      </c>
    </row>
    <row r="14">
      <c r="A14" s="5" t="s">
        <v>17</v>
      </c>
      <c r="B14" s="5" t="s">
        <v>11</v>
      </c>
      <c r="C14" s="5">
        <v>1.0</v>
      </c>
      <c r="D14" s="5" t="s">
        <v>12</v>
      </c>
      <c r="E14" s="5" t="s">
        <v>12</v>
      </c>
      <c r="F14" s="5">
        <v>1.0</v>
      </c>
      <c r="G14" s="5">
        <v>60.0</v>
      </c>
      <c r="H14" s="5">
        <v>3759.0</v>
      </c>
      <c r="I14" s="5">
        <v>635.0</v>
      </c>
      <c r="J14" s="5"/>
      <c r="K14" s="5" t="s">
        <v>17</v>
      </c>
      <c r="L14" s="5" t="s">
        <v>11</v>
      </c>
      <c r="M14" s="5">
        <v>1.0</v>
      </c>
      <c r="N14" s="5" t="s">
        <v>14</v>
      </c>
      <c r="O14" s="5" t="s">
        <v>12</v>
      </c>
      <c r="P14" s="5">
        <v>1.0</v>
      </c>
      <c r="Q14" s="5">
        <v>72.0</v>
      </c>
      <c r="R14" s="5">
        <v>4086.0</v>
      </c>
      <c r="S14" s="5">
        <v>752.0</v>
      </c>
      <c r="U14" s="5" t="str">
        <f>IFERROR(__xludf.DUMMYFUNCTION("""COMPUTED_VALUE"""),"7Queens.csp")</f>
        <v>7Queens.csp</v>
      </c>
      <c r="V14" s="5" t="str">
        <f>IFERROR(__xludf.DUMMYFUNCTION("""COMPUTED_VALUE"""),"MAC")</f>
        <v>MAC</v>
      </c>
      <c r="W14" s="5">
        <f>IFERROR(__xludf.DUMMYFUNCTION("""COMPUTED_VALUE"""),1.0)</f>
        <v>1</v>
      </c>
      <c r="X14" s="5" t="str">
        <f>IFERROR(__xludf.DUMMYFUNCTION("""COMPUTED_VALUE"""),"ASCENDING")</f>
        <v>ASCENDING</v>
      </c>
      <c r="Y14" s="5" t="str">
        <f>IFERROR(__xludf.DUMMYFUNCTION("""COMPUTED_VALUE"""),"ASCENDING")</f>
        <v>ASCENDING</v>
      </c>
      <c r="Z14" s="5">
        <f>IFERROR(__xludf.DUMMYFUNCTION("""COMPUTED_VALUE"""),1.0)</f>
        <v>1</v>
      </c>
      <c r="AA14" s="5">
        <f>IFERROR(__xludf.DUMMYFUNCTION("""COMPUTED_VALUE"""),7.0)</f>
        <v>7</v>
      </c>
      <c r="AB14" s="5">
        <f>IFERROR(__xludf.DUMMYFUNCTION("""COMPUTED_VALUE"""),168.0)</f>
        <v>168</v>
      </c>
      <c r="AC14" s="5">
        <f>IFERROR(__xludf.DUMMYFUNCTION("""COMPUTED_VALUE"""),20.0)</f>
        <v>20</v>
      </c>
      <c r="AE14" s="5" t="str">
        <f>IFERROR(__xludf.DUMMYFUNCTION("""COMPUTED_VALUE"""),"7Queens.csp")</f>
        <v>7Queens.csp</v>
      </c>
      <c r="AF14" s="5" t="str">
        <f>IFERROR(__xludf.DUMMYFUNCTION("""COMPUTED_VALUE"""),"MAC")</f>
        <v>MAC</v>
      </c>
      <c r="AG14" s="5">
        <f>IFERROR(__xludf.DUMMYFUNCTION("""COMPUTED_VALUE"""),1.0)</f>
        <v>1</v>
      </c>
      <c r="AH14" s="5" t="str">
        <f>IFERROR(__xludf.DUMMYFUNCTION("""COMPUTED_VALUE"""),"SMALLEST_DOMAIN")</f>
        <v>SMALLEST_DOMAIN</v>
      </c>
      <c r="AI14" s="5" t="str">
        <f>IFERROR(__xludf.DUMMYFUNCTION("""COMPUTED_VALUE"""),"ASCENDING")</f>
        <v>ASCENDING</v>
      </c>
      <c r="AJ14" s="5">
        <f>IFERROR(__xludf.DUMMYFUNCTION("""COMPUTED_VALUE"""),1.0)</f>
        <v>1</v>
      </c>
      <c r="AK14" s="5">
        <f>IFERROR(__xludf.DUMMYFUNCTION("""COMPUTED_VALUE"""),9.0)</f>
        <v>9</v>
      </c>
      <c r="AL14" s="5">
        <f>IFERROR(__xludf.DUMMYFUNCTION("""COMPUTED_VALUE"""),200.0)</f>
        <v>200</v>
      </c>
      <c r="AM14" s="5">
        <f>IFERROR(__xludf.DUMMYFUNCTION("""COMPUTED_VALUE"""),13.0)</f>
        <v>13</v>
      </c>
    </row>
    <row r="15">
      <c r="U15" s="5" t="str">
        <f>IFERROR(__xludf.DUMMYFUNCTION("""COMPUTED_VALUE"""),"8Queens.csp")</f>
        <v>8Queens.csp</v>
      </c>
      <c r="V15" s="5" t="str">
        <f>IFERROR(__xludf.DUMMYFUNCTION("""COMPUTED_VALUE"""),"MAC")</f>
        <v>MAC</v>
      </c>
      <c r="W15" s="5">
        <f>IFERROR(__xludf.DUMMYFUNCTION("""COMPUTED_VALUE"""),1.0)</f>
        <v>1</v>
      </c>
      <c r="X15" s="5" t="str">
        <f>IFERROR(__xludf.DUMMYFUNCTION("""COMPUTED_VALUE"""),"ASCENDING")</f>
        <v>ASCENDING</v>
      </c>
      <c r="Y15" s="5" t="str">
        <f>IFERROR(__xludf.DUMMYFUNCTION("""COMPUTED_VALUE"""),"ASCENDING")</f>
        <v>ASCENDING</v>
      </c>
      <c r="Z15" s="5">
        <f>IFERROR(__xludf.DUMMYFUNCTION("""COMPUTED_VALUE"""),1.0)</f>
        <v>1</v>
      </c>
      <c r="AA15" s="5">
        <f>IFERROR(__xludf.DUMMYFUNCTION("""COMPUTED_VALUE"""),28.0)</f>
        <v>28</v>
      </c>
      <c r="AB15" s="5">
        <f>IFERROR(__xludf.DUMMYFUNCTION("""COMPUTED_VALUE"""),1000.0)</f>
        <v>1000</v>
      </c>
      <c r="AC15" s="5">
        <f>IFERROR(__xludf.DUMMYFUNCTION("""COMPUTED_VALUE"""),72.0)</f>
        <v>72</v>
      </c>
      <c r="AE15" s="5" t="str">
        <f>IFERROR(__xludf.DUMMYFUNCTION("""COMPUTED_VALUE"""),"8Queens.csp")</f>
        <v>8Queens.csp</v>
      </c>
      <c r="AF15" s="5" t="str">
        <f>IFERROR(__xludf.DUMMYFUNCTION("""COMPUTED_VALUE"""),"MAC")</f>
        <v>MAC</v>
      </c>
      <c r="AG15" s="5">
        <f>IFERROR(__xludf.DUMMYFUNCTION("""COMPUTED_VALUE"""),1.0)</f>
        <v>1</v>
      </c>
      <c r="AH15" s="5" t="str">
        <f>IFERROR(__xludf.DUMMYFUNCTION("""COMPUTED_VALUE"""),"SMALLEST_DOMAIN")</f>
        <v>SMALLEST_DOMAIN</v>
      </c>
      <c r="AI15" s="5" t="str">
        <f>IFERROR(__xludf.DUMMYFUNCTION("""COMPUTED_VALUE"""),"ASCENDING")</f>
        <v>ASCENDING</v>
      </c>
      <c r="AJ15" s="5">
        <f>IFERROR(__xludf.DUMMYFUNCTION("""COMPUTED_VALUE"""),1.0)</f>
        <v>1</v>
      </c>
      <c r="AK15" s="5">
        <f>IFERROR(__xludf.DUMMYFUNCTION("""COMPUTED_VALUE"""),28.0)</f>
        <v>28</v>
      </c>
      <c r="AL15" s="5">
        <f>IFERROR(__xludf.DUMMYFUNCTION("""COMPUTED_VALUE"""),1000.0)</f>
        <v>1000</v>
      </c>
      <c r="AM15" s="5">
        <f>IFERROR(__xludf.DUMMYFUNCTION("""COMPUTED_VALUE"""),99.0)</f>
        <v>99</v>
      </c>
    </row>
    <row r="16">
      <c r="U16" s="5" t="str">
        <f>IFERROR(__xludf.DUMMYFUNCTION("""COMPUTED_VALUE"""),"9Queens.csp")</f>
        <v>9Queens.csp</v>
      </c>
      <c r="V16" s="5" t="str">
        <f>IFERROR(__xludf.DUMMYFUNCTION("""COMPUTED_VALUE"""),"MAC")</f>
        <v>MAC</v>
      </c>
      <c r="W16" s="5">
        <f>IFERROR(__xludf.DUMMYFUNCTION("""COMPUTED_VALUE"""),1.0)</f>
        <v>1</v>
      </c>
      <c r="X16" s="5" t="str">
        <f>IFERROR(__xludf.DUMMYFUNCTION("""COMPUTED_VALUE"""),"ASCENDING")</f>
        <v>ASCENDING</v>
      </c>
      <c r="Y16" s="5" t="str">
        <f>IFERROR(__xludf.DUMMYFUNCTION("""COMPUTED_VALUE"""),"ASCENDING")</f>
        <v>ASCENDING</v>
      </c>
      <c r="Z16" s="5">
        <f>IFERROR(__xludf.DUMMYFUNCTION("""COMPUTED_VALUE"""),1.0)</f>
        <v>1</v>
      </c>
      <c r="AA16" s="5">
        <f>IFERROR(__xludf.DUMMYFUNCTION("""COMPUTED_VALUE"""),17.0)</f>
        <v>17</v>
      </c>
      <c r="AB16" s="5">
        <f>IFERROR(__xludf.DUMMYFUNCTION("""COMPUTED_VALUE"""),605.0)</f>
        <v>605</v>
      </c>
      <c r="AC16" s="5">
        <f>IFERROR(__xludf.DUMMYFUNCTION("""COMPUTED_VALUE"""),44.0)</f>
        <v>44</v>
      </c>
      <c r="AE16" s="5" t="str">
        <f>IFERROR(__xludf.DUMMYFUNCTION("""COMPUTED_VALUE"""),"9Queens.csp")</f>
        <v>9Queens.csp</v>
      </c>
      <c r="AF16" s="5" t="str">
        <f>IFERROR(__xludf.DUMMYFUNCTION("""COMPUTED_VALUE"""),"MAC")</f>
        <v>MAC</v>
      </c>
      <c r="AG16" s="5">
        <f>IFERROR(__xludf.DUMMYFUNCTION("""COMPUTED_VALUE"""),1.0)</f>
        <v>1</v>
      </c>
      <c r="AH16" s="5" t="str">
        <f>IFERROR(__xludf.DUMMYFUNCTION("""COMPUTED_VALUE"""),"SMALLEST_DOMAIN")</f>
        <v>SMALLEST_DOMAIN</v>
      </c>
      <c r="AI16" s="5" t="str">
        <f>IFERROR(__xludf.DUMMYFUNCTION("""COMPUTED_VALUE"""),"ASCENDING")</f>
        <v>ASCENDING</v>
      </c>
      <c r="AJ16" s="5">
        <f>IFERROR(__xludf.DUMMYFUNCTION("""COMPUTED_VALUE"""),1.0)</f>
        <v>1</v>
      </c>
      <c r="AK16" s="5">
        <f>IFERROR(__xludf.DUMMYFUNCTION("""COMPUTED_VALUE"""),15.0)</f>
        <v>15</v>
      </c>
      <c r="AL16" s="5">
        <f>IFERROR(__xludf.DUMMYFUNCTION("""COMPUTED_VALUE"""),606.0)</f>
        <v>606</v>
      </c>
      <c r="AM16" s="5">
        <f>IFERROR(__xludf.DUMMYFUNCTION("""COMPUTED_VALUE"""),20.0)</f>
        <v>20</v>
      </c>
    </row>
    <row r="17">
      <c r="U17" s="5" t="str">
        <f>IFERROR(__xludf.DUMMYFUNCTION("""COMPUTED_VALUE"""),"langfords2_11.csp")</f>
        <v>langfords2_11.csp</v>
      </c>
      <c r="V17" s="5" t="str">
        <f>IFERROR(__xludf.DUMMYFUNCTION("""COMPUTED_VALUE"""),"MAC")</f>
        <v>MAC</v>
      </c>
      <c r="W17" s="5">
        <f>IFERROR(__xludf.DUMMYFUNCTION("""COMPUTED_VALUE"""),1.0)</f>
        <v>1</v>
      </c>
      <c r="X17" s="5" t="str">
        <f>IFERROR(__xludf.DUMMYFUNCTION("""COMPUTED_VALUE"""),"ASCENDING")</f>
        <v>ASCENDING</v>
      </c>
      <c r="Y17" s="5" t="str">
        <f>IFERROR(__xludf.DUMMYFUNCTION("""COMPUTED_VALUE"""),"ASCENDING")</f>
        <v>ASCENDING</v>
      </c>
      <c r="Z17" s="5">
        <f>IFERROR(__xludf.DUMMYFUNCTION("""COMPUTED_VALUE"""),1.0)</f>
        <v>1</v>
      </c>
      <c r="AA17" s="5">
        <f>IFERROR(__xludf.DUMMYFUNCTION("""COMPUTED_VALUE"""),2570.0)</f>
        <v>2570</v>
      </c>
      <c r="AB17" s="5">
        <f>IFERROR(__xludf.DUMMYFUNCTION("""COMPUTED_VALUE"""),309569.0)</f>
        <v>309569</v>
      </c>
      <c r="AC17" s="5">
        <f>IFERROR(__xludf.DUMMYFUNCTION("""COMPUTED_VALUE"""),2125.0)</f>
        <v>2125</v>
      </c>
      <c r="AE17" s="5" t="str">
        <f>IFERROR(__xludf.DUMMYFUNCTION("""COMPUTED_VALUE"""),"langfords2_11.csp")</f>
        <v>langfords2_11.csp</v>
      </c>
      <c r="AF17" s="5" t="str">
        <f>IFERROR(__xludf.DUMMYFUNCTION("""COMPUTED_VALUE"""),"MAC")</f>
        <v>MAC</v>
      </c>
      <c r="AG17" s="5">
        <f>IFERROR(__xludf.DUMMYFUNCTION("""COMPUTED_VALUE"""),1.0)</f>
        <v>1</v>
      </c>
      <c r="AH17" s="5" t="str">
        <f>IFERROR(__xludf.DUMMYFUNCTION("""COMPUTED_VALUE"""),"SMALLEST_DOMAIN")</f>
        <v>SMALLEST_DOMAIN</v>
      </c>
      <c r="AI17" s="5" t="str">
        <f>IFERROR(__xludf.DUMMYFUNCTION("""COMPUTED_VALUE"""),"ASCENDING")</f>
        <v>ASCENDING</v>
      </c>
      <c r="AJ17" s="5">
        <f>IFERROR(__xludf.DUMMYFUNCTION("""COMPUTED_VALUE"""),1.0)</f>
        <v>1</v>
      </c>
      <c r="AK17" s="5">
        <f>IFERROR(__xludf.DUMMYFUNCTION("""COMPUTED_VALUE"""),54.0)</f>
        <v>54</v>
      </c>
      <c r="AL17" s="5">
        <f>IFERROR(__xludf.DUMMYFUNCTION("""COMPUTED_VALUE"""),11334.0)</f>
        <v>11334</v>
      </c>
      <c r="AM17" s="5">
        <f>IFERROR(__xludf.DUMMYFUNCTION("""COMPUTED_VALUE"""),820.0)</f>
        <v>820</v>
      </c>
    </row>
    <row r="18">
      <c r="U18" s="5" t="str">
        <f>IFERROR(__xludf.DUMMYFUNCTION("""COMPUTED_VALUE"""),"langfords2_12.csp")</f>
        <v>langfords2_12.csp</v>
      </c>
      <c r="V18" s="5" t="str">
        <f>IFERROR(__xludf.DUMMYFUNCTION("""COMPUTED_VALUE"""),"MAC")</f>
        <v>MAC</v>
      </c>
      <c r="W18" s="5">
        <f>IFERROR(__xludf.DUMMYFUNCTION("""COMPUTED_VALUE"""),1.0)</f>
        <v>1</v>
      </c>
      <c r="X18" s="5" t="str">
        <f>IFERROR(__xludf.DUMMYFUNCTION("""COMPUTED_VALUE"""),"ASCENDING")</f>
        <v>ASCENDING</v>
      </c>
      <c r="Y18" s="5" t="str">
        <f>IFERROR(__xludf.DUMMYFUNCTION("""COMPUTED_VALUE"""),"ASCENDING")</f>
        <v>ASCENDING</v>
      </c>
      <c r="Z18" s="5">
        <f>IFERROR(__xludf.DUMMYFUNCTION("""COMPUTED_VALUE"""),1.0)</f>
        <v>1</v>
      </c>
      <c r="AA18" s="5">
        <f>IFERROR(__xludf.DUMMYFUNCTION("""COMPUTED_VALUE"""),2890.0)</f>
        <v>2890</v>
      </c>
      <c r="AB18" s="5">
        <f>IFERROR(__xludf.DUMMYFUNCTION("""COMPUTED_VALUE"""),392092.0)</f>
        <v>392092</v>
      </c>
      <c r="AC18" s="5">
        <f>IFERROR(__xludf.DUMMYFUNCTION("""COMPUTED_VALUE"""),2306.0)</f>
        <v>2306</v>
      </c>
      <c r="AE18" s="5" t="str">
        <f>IFERROR(__xludf.DUMMYFUNCTION("""COMPUTED_VALUE"""),"langfords2_12.csp")</f>
        <v>langfords2_12.csp</v>
      </c>
      <c r="AF18" s="5" t="str">
        <f>IFERROR(__xludf.DUMMYFUNCTION("""COMPUTED_VALUE"""),"MAC")</f>
        <v>MAC</v>
      </c>
      <c r="AG18" s="5">
        <f>IFERROR(__xludf.DUMMYFUNCTION("""COMPUTED_VALUE"""),1.0)</f>
        <v>1</v>
      </c>
      <c r="AH18" s="5" t="str">
        <f>IFERROR(__xludf.DUMMYFUNCTION("""COMPUTED_VALUE"""),"SMALLEST_DOMAIN")</f>
        <v>SMALLEST_DOMAIN</v>
      </c>
      <c r="AI18" s="5" t="str">
        <f>IFERROR(__xludf.DUMMYFUNCTION("""COMPUTED_VALUE"""),"ASCENDING")</f>
        <v>ASCENDING</v>
      </c>
      <c r="AJ18" s="5">
        <f>IFERROR(__xludf.DUMMYFUNCTION("""COMPUTED_VALUE"""),1.0)</f>
        <v>1</v>
      </c>
      <c r="AK18" s="5">
        <f>IFERROR(__xludf.DUMMYFUNCTION("""COMPUTED_VALUE"""),42.0)</f>
        <v>42</v>
      </c>
      <c r="AL18" s="5">
        <f>IFERROR(__xludf.DUMMYFUNCTION("""COMPUTED_VALUE"""),10737.0)</f>
        <v>10737</v>
      </c>
      <c r="AM18" s="5">
        <f>IFERROR(__xludf.DUMMYFUNCTION("""COMPUTED_VALUE"""),707.0)</f>
        <v>707</v>
      </c>
    </row>
    <row r="19">
      <c r="U19" s="5" t="str">
        <f>IFERROR(__xludf.DUMMYFUNCTION("""COMPUTED_VALUE"""),"langfords2_3.csp")</f>
        <v>langfords2_3.csp</v>
      </c>
      <c r="V19" s="5" t="str">
        <f>IFERROR(__xludf.DUMMYFUNCTION("""COMPUTED_VALUE"""),"MAC")</f>
        <v>MAC</v>
      </c>
      <c r="W19" s="5">
        <f>IFERROR(__xludf.DUMMYFUNCTION("""COMPUTED_VALUE"""),1.0)</f>
        <v>1</v>
      </c>
      <c r="X19" s="5" t="str">
        <f>IFERROR(__xludf.DUMMYFUNCTION("""COMPUTED_VALUE"""),"ASCENDING")</f>
        <v>ASCENDING</v>
      </c>
      <c r="Y19" s="5" t="str">
        <f>IFERROR(__xludf.DUMMYFUNCTION("""COMPUTED_VALUE"""),"ASCENDING")</f>
        <v>ASCENDING</v>
      </c>
      <c r="Z19" s="5">
        <f>IFERROR(__xludf.DUMMYFUNCTION("""COMPUTED_VALUE"""),1.0)</f>
        <v>1</v>
      </c>
      <c r="AA19" s="5">
        <f>IFERROR(__xludf.DUMMYFUNCTION("""COMPUTED_VALUE"""),8.0)</f>
        <v>8</v>
      </c>
      <c r="AB19" s="5">
        <f>IFERROR(__xludf.DUMMYFUNCTION("""COMPUTED_VALUE"""),123.0)</f>
        <v>123</v>
      </c>
      <c r="AC19" s="5">
        <f>IFERROR(__xludf.DUMMYFUNCTION("""COMPUTED_VALUE"""),32.0)</f>
        <v>32</v>
      </c>
      <c r="AE19" s="5" t="str">
        <f>IFERROR(__xludf.DUMMYFUNCTION("""COMPUTED_VALUE"""),"langfords2_3.csp")</f>
        <v>langfords2_3.csp</v>
      </c>
      <c r="AF19" s="5" t="str">
        <f>IFERROR(__xludf.DUMMYFUNCTION("""COMPUTED_VALUE"""),"MAC")</f>
        <v>MAC</v>
      </c>
      <c r="AG19" s="5">
        <f>IFERROR(__xludf.DUMMYFUNCTION("""COMPUTED_VALUE"""),1.0)</f>
        <v>1</v>
      </c>
      <c r="AH19" s="5" t="str">
        <f>IFERROR(__xludf.DUMMYFUNCTION("""COMPUTED_VALUE"""),"SMALLEST_DOMAIN")</f>
        <v>SMALLEST_DOMAIN</v>
      </c>
      <c r="AI19" s="5" t="str">
        <f>IFERROR(__xludf.DUMMYFUNCTION("""COMPUTED_VALUE"""),"ASCENDING")</f>
        <v>ASCENDING</v>
      </c>
      <c r="AJ19" s="5">
        <f>IFERROR(__xludf.DUMMYFUNCTION("""COMPUTED_VALUE"""),1.0)</f>
        <v>1</v>
      </c>
      <c r="AK19" s="5">
        <f>IFERROR(__xludf.DUMMYFUNCTION("""COMPUTED_VALUE"""),6.0)</f>
        <v>6</v>
      </c>
      <c r="AL19" s="5">
        <f>IFERROR(__xludf.DUMMYFUNCTION("""COMPUTED_VALUE"""),104.0)</f>
        <v>104</v>
      </c>
      <c r="AM19" s="5">
        <f>IFERROR(__xludf.DUMMYFUNCTION("""COMPUTED_VALUE"""),8.0)</f>
        <v>8</v>
      </c>
    </row>
    <row r="20">
      <c r="U20" s="5" t="str">
        <f>IFERROR(__xludf.DUMMYFUNCTION("""COMPUTED_VALUE"""),"langfords2_4.csp")</f>
        <v>langfords2_4.csp</v>
      </c>
      <c r="V20" s="5" t="str">
        <f>IFERROR(__xludf.DUMMYFUNCTION("""COMPUTED_VALUE"""),"MAC")</f>
        <v>MAC</v>
      </c>
      <c r="W20" s="5">
        <f>IFERROR(__xludf.DUMMYFUNCTION("""COMPUTED_VALUE"""),1.0)</f>
        <v>1</v>
      </c>
      <c r="X20" s="5" t="str">
        <f>IFERROR(__xludf.DUMMYFUNCTION("""COMPUTED_VALUE"""),"ASCENDING")</f>
        <v>ASCENDING</v>
      </c>
      <c r="Y20" s="5" t="str">
        <f>IFERROR(__xludf.DUMMYFUNCTION("""COMPUTED_VALUE"""),"ASCENDING")</f>
        <v>ASCENDING</v>
      </c>
      <c r="Z20" s="5">
        <f>IFERROR(__xludf.DUMMYFUNCTION("""COMPUTED_VALUE"""),1.0)</f>
        <v>1</v>
      </c>
      <c r="AA20" s="5">
        <f>IFERROR(__xludf.DUMMYFUNCTION("""COMPUTED_VALUE"""),12.0)</f>
        <v>12</v>
      </c>
      <c r="AB20" s="5">
        <f>IFERROR(__xludf.DUMMYFUNCTION("""COMPUTED_VALUE"""),344.0)</f>
        <v>344</v>
      </c>
      <c r="AC20" s="5">
        <f>IFERROR(__xludf.DUMMYFUNCTION("""COMPUTED_VALUE"""),139.0)</f>
        <v>139</v>
      </c>
      <c r="AE20" s="5" t="str">
        <f>IFERROR(__xludf.DUMMYFUNCTION("""COMPUTED_VALUE"""),"langfords2_4.csp")</f>
        <v>langfords2_4.csp</v>
      </c>
      <c r="AF20" s="5" t="str">
        <f>IFERROR(__xludf.DUMMYFUNCTION("""COMPUTED_VALUE"""),"MAC")</f>
        <v>MAC</v>
      </c>
      <c r="AG20" s="5">
        <f>IFERROR(__xludf.DUMMYFUNCTION("""COMPUTED_VALUE"""),1.0)</f>
        <v>1</v>
      </c>
      <c r="AH20" s="5" t="str">
        <f>IFERROR(__xludf.DUMMYFUNCTION("""COMPUTED_VALUE"""),"SMALLEST_DOMAIN")</f>
        <v>SMALLEST_DOMAIN</v>
      </c>
      <c r="AI20" s="5" t="str">
        <f>IFERROR(__xludf.DUMMYFUNCTION("""COMPUTED_VALUE"""),"ASCENDING")</f>
        <v>ASCENDING</v>
      </c>
      <c r="AJ20" s="5">
        <f>IFERROR(__xludf.DUMMYFUNCTION("""COMPUTED_VALUE"""),1.0)</f>
        <v>1</v>
      </c>
      <c r="AK20" s="5">
        <f>IFERROR(__xludf.DUMMYFUNCTION("""COMPUTED_VALUE"""),8.0)</f>
        <v>8</v>
      </c>
      <c r="AL20" s="5">
        <f>IFERROR(__xludf.DUMMYFUNCTION("""COMPUTED_VALUE"""),276.0)</f>
        <v>276</v>
      </c>
      <c r="AM20" s="5">
        <f>IFERROR(__xludf.DUMMYFUNCTION("""COMPUTED_VALUE"""),44.0)</f>
        <v>44</v>
      </c>
    </row>
    <row r="21">
      <c r="U21" s="5" t="str">
        <f>IFERROR(__xludf.DUMMYFUNCTION("""COMPUTED_VALUE"""),"langfords2_7.csp")</f>
        <v>langfords2_7.csp</v>
      </c>
      <c r="V21" s="5" t="str">
        <f>IFERROR(__xludf.DUMMYFUNCTION("""COMPUTED_VALUE"""),"MAC")</f>
        <v>MAC</v>
      </c>
      <c r="W21" s="5">
        <f>IFERROR(__xludf.DUMMYFUNCTION("""COMPUTED_VALUE"""),1.0)</f>
        <v>1</v>
      </c>
      <c r="X21" s="5" t="str">
        <f>IFERROR(__xludf.DUMMYFUNCTION("""COMPUTED_VALUE"""),"ASCENDING")</f>
        <v>ASCENDING</v>
      </c>
      <c r="Y21" s="5" t="str">
        <f>IFERROR(__xludf.DUMMYFUNCTION("""COMPUTED_VALUE"""),"ASCENDING")</f>
        <v>ASCENDING</v>
      </c>
      <c r="Z21" s="5">
        <f>IFERROR(__xludf.DUMMYFUNCTION("""COMPUTED_VALUE"""),1.0)</f>
        <v>1</v>
      </c>
      <c r="AA21" s="5">
        <f>IFERROR(__xludf.DUMMYFUNCTION("""COMPUTED_VALUE"""),38.0)</f>
        <v>38</v>
      </c>
      <c r="AB21" s="5">
        <f>IFERROR(__xludf.DUMMYFUNCTION("""COMPUTED_VALUE"""),3416.0)</f>
        <v>3416</v>
      </c>
      <c r="AC21" s="5">
        <f>IFERROR(__xludf.DUMMYFUNCTION("""COMPUTED_VALUE"""),408.0)</f>
        <v>408</v>
      </c>
      <c r="AE21" s="5" t="str">
        <f>IFERROR(__xludf.DUMMYFUNCTION("""COMPUTED_VALUE"""),"langfords2_7.csp")</f>
        <v>langfords2_7.csp</v>
      </c>
      <c r="AF21" s="5" t="str">
        <f>IFERROR(__xludf.DUMMYFUNCTION("""COMPUTED_VALUE"""),"MAC")</f>
        <v>MAC</v>
      </c>
      <c r="AG21" s="5">
        <f>IFERROR(__xludf.DUMMYFUNCTION("""COMPUTED_VALUE"""),1.0)</f>
        <v>1</v>
      </c>
      <c r="AH21" s="5" t="str">
        <f>IFERROR(__xludf.DUMMYFUNCTION("""COMPUTED_VALUE"""),"SMALLEST_DOMAIN")</f>
        <v>SMALLEST_DOMAIN</v>
      </c>
      <c r="AI21" s="5" t="str">
        <f>IFERROR(__xludf.DUMMYFUNCTION("""COMPUTED_VALUE"""),"ASCENDING")</f>
        <v>ASCENDING</v>
      </c>
      <c r="AJ21" s="5">
        <f>IFERROR(__xludf.DUMMYFUNCTION("""COMPUTED_VALUE"""),1.0)</f>
        <v>1</v>
      </c>
      <c r="AK21" s="5">
        <f>IFERROR(__xludf.DUMMYFUNCTION("""COMPUTED_VALUE"""),16.0)</f>
        <v>16</v>
      </c>
      <c r="AL21" s="5">
        <f>IFERROR(__xludf.DUMMYFUNCTION("""COMPUTED_VALUE"""),1664.0)</f>
        <v>1664</v>
      </c>
      <c r="AM21" s="5">
        <f>IFERROR(__xludf.DUMMYFUNCTION("""COMPUTED_VALUE"""),181.0)</f>
        <v>181</v>
      </c>
    </row>
    <row r="22">
      <c r="U22" s="5" t="str">
        <f>IFERROR(__xludf.DUMMYFUNCTION("""COMPUTED_VALUE"""),"langfords2_8.csp")</f>
        <v>langfords2_8.csp</v>
      </c>
      <c r="V22" s="5" t="str">
        <f>IFERROR(__xludf.DUMMYFUNCTION("""COMPUTED_VALUE"""),"MAC")</f>
        <v>MAC</v>
      </c>
      <c r="W22" s="5">
        <f>IFERROR(__xludf.DUMMYFUNCTION("""COMPUTED_VALUE"""),1.0)</f>
        <v>1</v>
      </c>
      <c r="X22" s="5" t="str">
        <f>IFERROR(__xludf.DUMMYFUNCTION("""COMPUTED_VALUE"""),"ASCENDING")</f>
        <v>ASCENDING</v>
      </c>
      <c r="Y22" s="5" t="str">
        <f>IFERROR(__xludf.DUMMYFUNCTION("""COMPUTED_VALUE"""),"ASCENDING")</f>
        <v>ASCENDING</v>
      </c>
      <c r="Z22" s="5">
        <f>IFERROR(__xludf.DUMMYFUNCTION("""COMPUTED_VALUE"""),1.0)</f>
        <v>1</v>
      </c>
      <c r="AA22" s="5">
        <f>IFERROR(__xludf.DUMMYFUNCTION("""COMPUTED_VALUE"""),176.0)</f>
        <v>176</v>
      </c>
      <c r="AB22" s="5">
        <f>IFERROR(__xludf.DUMMYFUNCTION("""COMPUTED_VALUE"""),16045.0)</f>
        <v>16045</v>
      </c>
      <c r="AC22" s="5">
        <f>IFERROR(__xludf.DUMMYFUNCTION("""COMPUTED_VALUE"""),683.0)</f>
        <v>683</v>
      </c>
      <c r="AE22" s="5" t="str">
        <f>IFERROR(__xludf.DUMMYFUNCTION("""COMPUTED_VALUE"""),"langfords2_8.csp")</f>
        <v>langfords2_8.csp</v>
      </c>
      <c r="AF22" s="5" t="str">
        <f>IFERROR(__xludf.DUMMYFUNCTION("""COMPUTED_VALUE"""),"MAC")</f>
        <v>MAC</v>
      </c>
      <c r="AG22" s="5">
        <f>IFERROR(__xludf.DUMMYFUNCTION("""COMPUTED_VALUE"""),1.0)</f>
        <v>1</v>
      </c>
      <c r="AH22" s="5" t="str">
        <f>IFERROR(__xludf.DUMMYFUNCTION("""COMPUTED_VALUE"""),"SMALLEST_DOMAIN")</f>
        <v>SMALLEST_DOMAIN</v>
      </c>
      <c r="AI22" s="5" t="str">
        <f>IFERROR(__xludf.DUMMYFUNCTION("""COMPUTED_VALUE"""),"ASCENDING")</f>
        <v>ASCENDING</v>
      </c>
      <c r="AJ22" s="5">
        <f>IFERROR(__xludf.DUMMYFUNCTION("""COMPUTED_VALUE"""),1.0)</f>
        <v>1</v>
      </c>
      <c r="AK22" s="5">
        <f>IFERROR(__xludf.DUMMYFUNCTION("""COMPUTED_VALUE"""),88.0)</f>
        <v>88</v>
      </c>
      <c r="AL22" s="5">
        <f>IFERROR(__xludf.DUMMYFUNCTION("""COMPUTED_VALUE"""),7370.0)</f>
        <v>7370</v>
      </c>
      <c r="AM22" s="5">
        <f>IFERROR(__xludf.DUMMYFUNCTION("""COMPUTED_VALUE"""),438.0)</f>
        <v>438</v>
      </c>
    </row>
    <row r="23">
      <c r="U23" s="5" t="str">
        <f>IFERROR(__xludf.DUMMYFUNCTION("""COMPUTED_VALUE"""),"langfords3_10.csp")</f>
        <v>langfords3_10.csp</v>
      </c>
      <c r="V23" s="5" t="str">
        <f>IFERROR(__xludf.DUMMYFUNCTION("""COMPUTED_VALUE"""),"MAC")</f>
        <v>MAC</v>
      </c>
      <c r="W23" s="5">
        <f>IFERROR(__xludf.DUMMYFUNCTION("""COMPUTED_VALUE"""),1.0)</f>
        <v>1</v>
      </c>
      <c r="X23" s="5" t="str">
        <f>IFERROR(__xludf.DUMMYFUNCTION("""COMPUTED_VALUE"""),"ASCENDING")</f>
        <v>ASCENDING</v>
      </c>
      <c r="Y23" s="5" t="str">
        <f>IFERROR(__xludf.DUMMYFUNCTION("""COMPUTED_VALUE"""),"ASCENDING")</f>
        <v>ASCENDING</v>
      </c>
      <c r="Z23" s="5">
        <f>IFERROR(__xludf.DUMMYFUNCTION("""COMPUTED_VALUE"""),1.0)</f>
        <v>1</v>
      </c>
      <c r="AA23" s="5">
        <f>IFERROR(__xludf.DUMMYFUNCTION("""COMPUTED_VALUE"""),276.0)</f>
        <v>276</v>
      </c>
      <c r="AB23" s="5">
        <f>IFERROR(__xludf.DUMMYFUNCTION("""COMPUTED_VALUE"""),80363.0)</f>
        <v>80363</v>
      </c>
      <c r="AC23" s="5">
        <f>IFERROR(__xludf.DUMMYFUNCTION("""COMPUTED_VALUE"""),1130.0)</f>
        <v>1130</v>
      </c>
      <c r="AE23" s="5" t="str">
        <f>IFERROR(__xludf.DUMMYFUNCTION("""COMPUTED_VALUE"""),"langfords3_10.csp")</f>
        <v>langfords3_10.csp</v>
      </c>
      <c r="AF23" s="5" t="str">
        <f>IFERROR(__xludf.DUMMYFUNCTION("""COMPUTED_VALUE"""),"MAC")</f>
        <v>MAC</v>
      </c>
      <c r="AG23" s="5">
        <f>IFERROR(__xludf.DUMMYFUNCTION("""COMPUTED_VALUE"""),1.0)</f>
        <v>1</v>
      </c>
      <c r="AH23" s="5" t="str">
        <f>IFERROR(__xludf.DUMMYFUNCTION("""COMPUTED_VALUE"""),"SMALLEST_DOMAIN")</f>
        <v>SMALLEST_DOMAIN</v>
      </c>
      <c r="AI23" s="5" t="str">
        <f>IFERROR(__xludf.DUMMYFUNCTION("""COMPUTED_VALUE"""),"ASCENDING")</f>
        <v>ASCENDING</v>
      </c>
      <c r="AJ23" s="5">
        <f>IFERROR(__xludf.DUMMYFUNCTION("""COMPUTED_VALUE"""),1.0)</f>
        <v>1</v>
      </c>
      <c r="AK23" s="5">
        <f>IFERROR(__xludf.DUMMYFUNCTION("""COMPUTED_VALUE"""),2960.0)</f>
        <v>2960</v>
      </c>
      <c r="AL23" s="5">
        <f>IFERROR(__xludf.DUMMYFUNCTION("""COMPUTED_VALUE"""),856730.0)</f>
        <v>856730</v>
      </c>
      <c r="AM23" s="5">
        <f>IFERROR(__xludf.DUMMYFUNCTION("""COMPUTED_VALUE"""),4403.0)</f>
        <v>4403</v>
      </c>
    </row>
    <row r="24">
      <c r="U24" s="5" t="str">
        <f>IFERROR(__xludf.DUMMYFUNCTION("""COMPUTED_VALUE"""),"langfords3_9.csp")</f>
        <v>langfords3_9.csp</v>
      </c>
      <c r="V24" s="5" t="str">
        <f>IFERROR(__xludf.DUMMYFUNCTION("""COMPUTED_VALUE"""),"MAC")</f>
        <v>MAC</v>
      </c>
      <c r="W24" s="5">
        <f>IFERROR(__xludf.DUMMYFUNCTION("""COMPUTED_VALUE"""),1.0)</f>
        <v>1</v>
      </c>
      <c r="X24" s="5" t="str">
        <f>IFERROR(__xludf.DUMMYFUNCTION("""COMPUTED_VALUE"""),"ASCENDING")</f>
        <v>ASCENDING</v>
      </c>
      <c r="Y24" s="5" t="str">
        <f>IFERROR(__xludf.DUMMYFUNCTION("""COMPUTED_VALUE"""),"ASCENDING")</f>
        <v>ASCENDING</v>
      </c>
      <c r="Z24" s="5">
        <f>IFERROR(__xludf.DUMMYFUNCTION("""COMPUTED_VALUE"""),1.0)</f>
        <v>1</v>
      </c>
      <c r="AA24" s="5">
        <f>IFERROR(__xludf.DUMMYFUNCTION("""COMPUTED_VALUE"""),93.0)</f>
        <v>93</v>
      </c>
      <c r="AB24" s="5">
        <f>IFERROR(__xludf.DUMMYFUNCTION("""COMPUTED_VALUE"""),23646.0)</f>
        <v>23646</v>
      </c>
      <c r="AC24" s="5">
        <f>IFERROR(__xludf.DUMMYFUNCTION("""COMPUTED_VALUE"""),678.0)</f>
        <v>678</v>
      </c>
      <c r="AE24" s="5" t="str">
        <f>IFERROR(__xludf.DUMMYFUNCTION("""COMPUTED_VALUE"""),"langfords3_9.csp")</f>
        <v>langfords3_9.csp</v>
      </c>
      <c r="AF24" s="5" t="str">
        <f>IFERROR(__xludf.DUMMYFUNCTION("""COMPUTED_VALUE"""),"MAC")</f>
        <v>MAC</v>
      </c>
      <c r="AG24" s="5">
        <f>IFERROR(__xludf.DUMMYFUNCTION("""COMPUTED_VALUE"""),1.0)</f>
        <v>1</v>
      </c>
      <c r="AH24" s="5" t="str">
        <f>IFERROR(__xludf.DUMMYFUNCTION("""COMPUTED_VALUE"""),"SMALLEST_DOMAIN")</f>
        <v>SMALLEST_DOMAIN</v>
      </c>
      <c r="AI24" s="5" t="str">
        <f>IFERROR(__xludf.DUMMYFUNCTION("""COMPUTED_VALUE"""),"ASCENDING")</f>
        <v>ASCENDING</v>
      </c>
      <c r="AJ24" s="5">
        <f>IFERROR(__xludf.DUMMYFUNCTION("""COMPUTED_VALUE"""),1.0)</f>
        <v>1</v>
      </c>
      <c r="AK24" s="5">
        <f>IFERROR(__xludf.DUMMYFUNCTION("""COMPUTED_VALUE"""),813.0)</f>
        <v>813</v>
      </c>
      <c r="AL24" s="5">
        <f>IFERROR(__xludf.DUMMYFUNCTION("""COMPUTED_VALUE"""),224796.0)</f>
        <v>224796</v>
      </c>
      <c r="AM24" s="5">
        <f>IFERROR(__xludf.DUMMYFUNCTION("""COMPUTED_VALUE"""),2072.0)</f>
        <v>2072</v>
      </c>
    </row>
    <row r="36">
      <c r="A36" s="6" t="s">
        <v>43</v>
      </c>
      <c r="B36" s="6">
        <v>13.0</v>
      </c>
    </row>
    <row r="40">
      <c r="A40" s="5" t="str">
        <f>Data!$A$1</f>
        <v>Instance</v>
      </c>
      <c r="B40" s="5" t="str">
        <f>Data!$B$1</f>
        <v>Solver Type</v>
      </c>
      <c r="C40" s="5" t="str">
        <f>Data!$C$1</f>
        <v>Solutions To Find</v>
      </c>
      <c r="D40" s="5" t="str">
        <f>Data!$D$1</f>
        <v>Variable Ordering</v>
      </c>
      <c r="E40" s="5" t="str">
        <f>Data!$E$1</f>
        <v>Value Ordering</v>
      </c>
      <c r="F40" s="5" t="str">
        <f>Data!$F$1</f>
        <v>Solutions Found</v>
      </c>
      <c r="G40" s="5" t="str">
        <f>Data!$G$1</f>
        <v>Nodes Explored</v>
      </c>
      <c r="H40" s="5" t="str">
        <f>Data!$H$1</f>
        <v>Revisions Done</v>
      </c>
      <c r="I40" s="5" t="str">
        <f>Data!$I$1</f>
        <v>Time Taken</v>
      </c>
      <c r="K40" s="5" t="str">
        <f>Data!$A$1</f>
        <v>Instance</v>
      </c>
      <c r="L40" s="5" t="str">
        <f>Data!$B$1</f>
        <v>Solver Type</v>
      </c>
      <c r="M40" s="5" t="str">
        <f>Data!$C$1</f>
        <v>Solutions To Find</v>
      </c>
      <c r="N40" s="5" t="str">
        <f>Data!$D$1</f>
        <v>Variable Ordering</v>
      </c>
      <c r="O40" s="5" t="str">
        <f>Data!$E$1</f>
        <v>Value Ordering</v>
      </c>
      <c r="P40" s="5" t="str">
        <f>Data!$F$1</f>
        <v>Solutions Found</v>
      </c>
      <c r="Q40" s="5" t="str">
        <f>Data!$G$1</f>
        <v>Nodes Explored</v>
      </c>
      <c r="R40" s="5" t="str">
        <f>Data!$H$1</f>
        <v>Revisions Done</v>
      </c>
      <c r="S40" s="5" t="str">
        <f>Data!$I$1</f>
        <v>Time Taken</v>
      </c>
    </row>
    <row r="41">
      <c r="A41" s="5" t="str">
        <f t="array" ref="A41:S53">SORTN(U2:AM1000,$B$36,0,8,1)</f>
        <v>4Queens.csp</v>
      </c>
      <c r="B41" s="5" t="s">
        <v>11</v>
      </c>
      <c r="C41" s="5">
        <v>1.0</v>
      </c>
      <c r="D41" s="5" t="s">
        <v>12</v>
      </c>
      <c r="E41" s="5" t="s">
        <v>12</v>
      </c>
      <c r="F41" s="5">
        <v>1.0</v>
      </c>
      <c r="G41" s="5">
        <v>6.0</v>
      </c>
      <c r="H41" s="5">
        <v>48.0</v>
      </c>
      <c r="I41" s="5">
        <v>2.0</v>
      </c>
      <c r="J41" s="5"/>
      <c r="K41" s="5" t="s">
        <v>28</v>
      </c>
      <c r="L41" s="5" t="s">
        <v>11</v>
      </c>
      <c r="M41" s="5">
        <v>1.0</v>
      </c>
      <c r="N41" s="5" t="s">
        <v>14</v>
      </c>
      <c r="O41" s="5" t="s">
        <v>12</v>
      </c>
      <c r="P41" s="5">
        <v>1.0</v>
      </c>
      <c r="Q41" s="5">
        <v>6.0</v>
      </c>
      <c r="R41" s="5">
        <v>48.0</v>
      </c>
      <c r="S41" s="5">
        <v>25.0</v>
      </c>
    </row>
    <row r="42">
      <c r="A42" s="5" t="s">
        <v>29</v>
      </c>
      <c r="B42" s="5" t="s">
        <v>11</v>
      </c>
      <c r="C42" s="5">
        <v>1.0</v>
      </c>
      <c r="D42" s="5" t="s">
        <v>12</v>
      </c>
      <c r="E42" s="5" t="s">
        <v>12</v>
      </c>
      <c r="F42" s="5">
        <v>1.0</v>
      </c>
      <c r="G42" s="5">
        <v>5.0</v>
      </c>
      <c r="H42" s="5">
        <v>66.0</v>
      </c>
      <c r="I42" s="5">
        <v>2.0</v>
      </c>
      <c r="J42" s="5"/>
      <c r="K42" s="5" t="s">
        <v>29</v>
      </c>
      <c r="L42" s="5" t="s">
        <v>11</v>
      </c>
      <c r="M42" s="5">
        <v>1.0</v>
      </c>
      <c r="N42" s="5" t="s">
        <v>14</v>
      </c>
      <c r="O42" s="5" t="s">
        <v>12</v>
      </c>
      <c r="P42" s="5">
        <v>1.0</v>
      </c>
      <c r="Q42" s="5">
        <v>5.0</v>
      </c>
      <c r="R42" s="5">
        <v>66.0</v>
      </c>
      <c r="S42" s="5">
        <v>8.0</v>
      </c>
    </row>
    <row r="43">
      <c r="A43" s="5" t="s">
        <v>36</v>
      </c>
      <c r="B43" s="5" t="s">
        <v>11</v>
      </c>
      <c r="C43" s="5">
        <v>1.0</v>
      </c>
      <c r="D43" s="5" t="s">
        <v>12</v>
      </c>
      <c r="E43" s="5" t="s">
        <v>12</v>
      </c>
      <c r="F43" s="5">
        <v>1.0</v>
      </c>
      <c r="G43" s="5">
        <v>8.0</v>
      </c>
      <c r="H43" s="5">
        <v>123.0</v>
      </c>
      <c r="I43" s="5">
        <v>32.0</v>
      </c>
      <c r="J43" s="5"/>
      <c r="K43" s="5" t="s">
        <v>36</v>
      </c>
      <c r="L43" s="5" t="s">
        <v>11</v>
      </c>
      <c r="M43" s="5">
        <v>1.0</v>
      </c>
      <c r="N43" s="5" t="s">
        <v>14</v>
      </c>
      <c r="O43" s="5" t="s">
        <v>12</v>
      </c>
      <c r="P43" s="5">
        <v>1.0</v>
      </c>
      <c r="Q43" s="5">
        <v>6.0</v>
      </c>
      <c r="R43" s="5">
        <v>104.0</v>
      </c>
      <c r="S43" s="5">
        <v>8.0</v>
      </c>
    </row>
    <row r="44">
      <c r="A44" s="5" t="s">
        <v>31</v>
      </c>
      <c r="B44" s="5" t="s">
        <v>11</v>
      </c>
      <c r="C44" s="5">
        <v>1.0</v>
      </c>
      <c r="D44" s="5" t="s">
        <v>12</v>
      </c>
      <c r="E44" s="5" t="s">
        <v>12</v>
      </c>
      <c r="F44" s="5">
        <v>1.0</v>
      </c>
      <c r="G44" s="5">
        <v>7.0</v>
      </c>
      <c r="H44" s="5">
        <v>168.0</v>
      </c>
      <c r="I44" s="5">
        <v>20.0</v>
      </c>
      <c r="J44" s="5"/>
      <c r="K44" s="5" t="s">
        <v>31</v>
      </c>
      <c r="L44" s="5" t="s">
        <v>11</v>
      </c>
      <c r="M44" s="5">
        <v>1.0</v>
      </c>
      <c r="N44" s="5" t="s">
        <v>14</v>
      </c>
      <c r="O44" s="5" t="s">
        <v>12</v>
      </c>
      <c r="P44" s="5">
        <v>1.0</v>
      </c>
      <c r="Q44" s="5">
        <v>9.0</v>
      </c>
      <c r="R44" s="5">
        <v>200.0</v>
      </c>
      <c r="S44" s="5">
        <v>13.0</v>
      </c>
    </row>
    <row r="45">
      <c r="A45" s="5" t="s">
        <v>30</v>
      </c>
      <c r="B45" s="5" t="s">
        <v>11</v>
      </c>
      <c r="C45" s="5">
        <v>1.0</v>
      </c>
      <c r="D45" s="5" t="s">
        <v>12</v>
      </c>
      <c r="E45" s="5" t="s">
        <v>12</v>
      </c>
      <c r="F45" s="5">
        <v>1.0</v>
      </c>
      <c r="G45" s="5">
        <v>12.0</v>
      </c>
      <c r="H45" s="5">
        <v>258.0</v>
      </c>
      <c r="I45" s="5">
        <v>28.0</v>
      </c>
      <c r="J45" s="5"/>
      <c r="K45" s="5" t="s">
        <v>30</v>
      </c>
      <c r="L45" s="5" t="s">
        <v>11</v>
      </c>
      <c r="M45" s="5">
        <v>1.0</v>
      </c>
      <c r="N45" s="5" t="s">
        <v>14</v>
      </c>
      <c r="O45" s="5" t="s">
        <v>12</v>
      </c>
      <c r="P45" s="5">
        <v>1.0</v>
      </c>
      <c r="Q45" s="5">
        <v>12.0</v>
      </c>
      <c r="R45" s="5">
        <v>258.0</v>
      </c>
      <c r="S45" s="5">
        <v>19.0</v>
      </c>
    </row>
    <row r="46">
      <c r="A46" s="5" t="s">
        <v>37</v>
      </c>
      <c r="B46" s="5" t="s">
        <v>11</v>
      </c>
      <c r="C46" s="5">
        <v>1.0</v>
      </c>
      <c r="D46" s="5" t="s">
        <v>12</v>
      </c>
      <c r="E46" s="5" t="s">
        <v>12</v>
      </c>
      <c r="F46" s="5">
        <v>1.0</v>
      </c>
      <c r="G46" s="5">
        <v>12.0</v>
      </c>
      <c r="H46" s="5">
        <v>344.0</v>
      </c>
      <c r="I46" s="5">
        <v>139.0</v>
      </c>
      <c r="J46" s="5"/>
      <c r="K46" s="5" t="s">
        <v>37</v>
      </c>
      <c r="L46" s="5" t="s">
        <v>11</v>
      </c>
      <c r="M46" s="5">
        <v>1.0</v>
      </c>
      <c r="N46" s="5" t="s">
        <v>14</v>
      </c>
      <c r="O46" s="5" t="s">
        <v>12</v>
      </c>
      <c r="P46" s="5">
        <v>1.0</v>
      </c>
      <c r="Q46" s="5">
        <v>8.0</v>
      </c>
      <c r="R46" s="5">
        <v>276.0</v>
      </c>
      <c r="S46" s="5">
        <v>44.0</v>
      </c>
    </row>
    <row r="47">
      <c r="A47" s="5" t="s">
        <v>33</v>
      </c>
      <c r="B47" s="5" t="s">
        <v>11</v>
      </c>
      <c r="C47" s="5">
        <v>1.0</v>
      </c>
      <c r="D47" s="5" t="s">
        <v>12</v>
      </c>
      <c r="E47" s="5" t="s">
        <v>12</v>
      </c>
      <c r="F47" s="5">
        <v>1.0</v>
      </c>
      <c r="G47" s="5">
        <v>17.0</v>
      </c>
      <c r="H47" s="5">
        <v>605.0</v>
      </c>
      <c r="I47" s="5">
        <v>44.0</v>
      </c>
      <c r="J47" s="5"/>
      <c r="K47" s="5" t="s">
        <v>33</v>
      </c>
      <c r="L47" s="5" t="s">
        <v>11</v>
      </c>
      <c r="M47" s="5">
        <v>1.0</v>
      </c>
      <c r="N47" s="5" t="s">
        <v>14</v>
      </c>
      <c r="O47" s="5" t="s">
        <v>12</v>
      </c>
      <c r="P47" s="5">
        <v>1.0</v>
      </c>
      <c r="Q47" s="5">
        <v>15.0</v>
      </c>
      <c r="R47" s="5">
        <v>606.0</v>
      </c>
      <c r="S47" s="5">
        <v>20.0</v>
      </c>
    </row>
    <row r="48">
      <c r="A48" s="5" t="s">
        <v>16</v>
      </c>
      <c r="B48" s="5" t="s">
        <v>11</v>
      </c>
      <c r="C48" s="5">
        <v>1.0</v>
      </c>
      <c r="D48" s="5" t="s">
        <v>12</v>
      </c>
      <c r="E48" s="5" t="s">
        <v>12</v>
      </c>
      <c r="F48" s="5">
        <v>1.0</v>
      </c>
      <c r="G48" s="5">
        <v>17.0</v>
      </c>
      <c r="H48" s="5">
        <v>941.0</v>
      </c>
      <c r="I48" s="5">
        <v>183.0</v>
      </c>
      <c r="J48" s="5"/>
      <c r="K48" s="5" t="s">
        <v>16</v>
      </c>
      <c r="L48" s="5" t="s">
        <v>11</v>
      </c>
      <c r="M48" s="5">
        <v>1.0</v>
      </c>
      <c r="N48" s="5" t="s">
        <v>14</v>
      </c>
      <c r="O48" s="5" t="s">
        <v>12</v>
      </c>
      <c r="P48" s="5">
        <v>1.0</v>
      </c>
      <c r="Q48" s="5">
        <v>33.0</v>
      </c>
      <c r="R48" s="5">
        <v>1791.0</v>
      </c>
      <c r="S48" s="5">
        <v>270.0</v>
      </c>
    </row>
    <row r="49">
      <c r="A49" s="5" t="s">
        <v>32</v>
      </c>
      <c r="B49" s="5" t="s">
        <v>11</v>
      </c>
      <c r="C49" s="5">
        <v>1.0</v>
      </c>
      <c r="D49" s="5" t="s">
        <v>12</v>
      </c>
      <c r="E49" s="5" t="s">
        <v>12</v>
      </c>
      <c r="F49" s="5">
        <v>1.0</v>
      </c>
      <c r="G49" s="5">
        <v>28.0</v>
      </c>
      <c r="H49" s="5">
        <v>1000.0</v>
      </c>
      <c r="I49" s="5">
        <v>72.0</v>
      </c>
      <c r="J49" s="5"/>
      <c r="K49" s="5" t="s">
        <v>32</v>
      </c>
      <c r="L49" s="5" t="s">
        <v>11</v>
      </c>
      <c r="M49" s="5">
        <v>1.0</v>
      </c>
      <c r="N49" s="5" t="s">
        <v>14</v>
      </c>
      <c r="O49" s="5" t="s">
        <v>12</v>
      </c>
      <c r="P49" s="5">
        <v>1.0</v>
      </c>
      <c r="Q49" s="5">
        <v>28.0</v>
      </c>
      <c r="R49" s="5">
        <v>1000.0</v>
      </c>
      <c r="S49" s="5">
        <v>99.0</v>
      </c>
    </row>
    <row r="50">
      <c r="A50" s="5" t="s">
        <v>10</v>
      </c>
      <c r="B50" s="5" t="s">
        <v>11</v>
      </c>
      <c r="C50" s="5">
        <v>1.0</v>
      </c>
      <c r="D50" s="5" t="s">
        <v>12</v>
      </c>
      <c r="E50" s="5" t="s">
        <v>12</v>
      </c>
      <c r="F50" s="5">
        <v>1.0</v>
      </c>
      <c r="G50" s="5">
        <v>36.0</v>
      </c>
      <c r="H50" s="5">
        <v>1507.0</v>
      </c>
      <c r="I50" s="5">
        <v>51.0</v>
      </c>
      <c r="J50" s="5"/>
      <c r="K50" s="5" t="s">
        <v>10</v>
      </c>
      <c r="L50" s="5" t="s">
        <v>11</v>
      </c>
      <c r="M50" s="5">
        <v>1.0</v>
      </c>
      <c r="N50" s="5" t="s">
        <v>14</v>
      </c>
      <c r="O50" s="5" t="s">
        <v>12</v>
      </c>
      <c r="P50" s="5">
        <v>1.0</v>
      </c>
      <c r="Q50" s="5">
        <v>22.0</v>
      </c>
      <c r="R50" s="5">
        <v>929.0</v>
      </c>
      <c r="S50" s="5">
        <v>115.0</v>
      </c>
    </row>
    <row r="51">
      <c r="A51" s="5" t="s">
        <v>18</v>
      </c>
      <c r="B51" s="5" t="s">
        <v>11</v>
      </c>
      <c r="C51" s="5">
        <v>1.0</v>
      </c>
      <c r="D51" s="5" t="s">
        <v>12</v>
      </c>
      <c r="E51" s="5" t="s">
        <v>12</v>
      </c>
      <c r="F51" s="5">
        <v>1.0</v>
      </c>
      <c r="G51" s="5">
        <v>39.0</v>
      </c>
      <c r="H51" s="5">
        <v>2443.0</v>
      </c>
      <c r="I51" s="5">
        <v>382.0</v>
      </c>
      <c r="J51" s="5"/>
      <c r="K51" s="5" t="s">
        <v>18</v>
      </c>
      <c r="L51" s="5" t="s">
        <v>11</v>
      </c>
      <c r="M51" s="5">
        <v>1.0</v>
      </c>
      <c r="N51" s="5" t="s">
        <v>14</v>
      </c>
      <c r="O51" s="5" t="s">
        <v>12</v>
      </c>
      <c r="P51" s="5">
        <v>1.0</v>
      </c>
      <c r="Q51" s="5">
        <v>89.0</v>
      </c>
      <c r="R51" s="5">
        <v>5798.0</v>
      </c>
      <c r="S51" s="5">
        <v>596.0</v>
      </c>
    </row>
    <row r="52">
      <c r="A52" s="5" t="s">
        <v>38</v>
      </c>
      <c r="B52" s="5" t="s">
        <v>11</v>
      </c>
      <c r="C52" s="5">
        <v>1.0</v>
      </c>
      <c r="D52" s="5" t="s">
        <v>12</v>
      </c>
      <c r="E52" s="5" t="s">
        <v>12</v>
      </c>
      <c r="F52" s="5">
        <v>1.0</v>
      </c>
      <c r="G52" s="5">
        <v>38.0</v>
      </c>
      <c r="H52" s="5">
        <v>3416.0</v>
      </c>
      <c r="I52" s="5">
        <v>408.0</v>
      </c>
      <c r="J52" s="5"/>
      <c r="K52" s="5" t="s">
        <v>38</v>
      </c>
      <c r="L52" s="5" t="s">
        <v>11</v>
      </c>
      <c r="M52" s="5">
        <v>1.0</v>
      </c>
      <c r="N52" s="5" t="s">
        <v>14</v>
      </c>
      <c r="O52" s="5" t="s">
        <v>12</v>
      </c>
      <c r="P52" s="5">
        <v>1.0</v>
      </c>
      <c r="Q52" s="5">
        <v>16.0</v>
      </c>
      <c r="R52" s="5">
        <v>1664.0</v>
      </c>
      <c r="S52" s="5">
        <v>181.0</v>
      </c>
    </row>
    <row r="53">
      <c r="A53" s="5" t="s">
        <v>17</v>
      </c>
      <c r="B53" s="5" t="s">
        <v>11</v>
      </c>
      <c r="C53" s="5">
        <v>1.0</v>
      </c>
      <c r="D53" s="5" t="s">
        <v>12</v>
      </c>
      <c r="E53" s="5" t="s">
        <v>12</v>
      </c>
      <c r="F53" s="5">
        <v>1.0</v>
      </c>
      <c r="G53" s="5">
        <v>60.0</v>
      </c>
      <c r="H53" s="5">
        <v>3759.0</v>
      </c>
      <c r="I53" s="5">
        <v>635.0</v>
      </c>
      <c r="J53" s="5"/>
      <c r="K53" s="5" t="s">
        <v>17</v>
      </c>
      <c r="L53" s="5" t="s">
        <v>11</v>
      </c>
      <c r="M53" s="5">
        <v>1.0</v>
      </c>
      <c r="N53" s="5" t="s">
        <v>14</v>
      </c>
      <c r="O53" s="5" t="s">
        <v>12</v>
      </c>
      <c r="P53" s="5">
        <v>1.0</v>
      </c>
      <c r="Q53" s="5">
        <v>72.0</v>
      </c>
      <c r="R53" s="5">
        <v>4086.0</v>
      </c>
      <c r="S53" s="5">
        <v>752.0</v>
      </c>
    </row>
    <row r="60">
      <c r="A60" s="5" t="str">
        <f>Data!$A$1</f>
        <v>Instance</v>
      </c>
      <c r="B60" s="5" t="str">
        <f>Data!$B$1</f>
        <v>Solver Type</v>
      </c>
      <c r="C60" s="5" t="str">
        <f>Data!$C$1</f>
        <v>Solutions To Find</v>
      </c>
      <c r="D60" s="5" t="str">
        <f>Data!$D$1</f>
        <v>Variable Ordering</v>
      </c>
      <c r="E60" s="5" t="str">
        <f>Data!$E$1</f>
        <v>Value Ordering</v>
      </c>
      <c r="F60" s="5" t="str">
        <f>Data!$F$1</f>
        <v>Solutions Found</v>
      </c>
      <c r="G60" s="5" t="str">
        <f>Data!$G$1</f>
        <v>Nodes Explored</v>
      </c>
      <c r="H60" s="5" t="str">
        <f>Data!$H$1</f>
        <v>Revisions Done</v>
      </c>
      <c r="I60" s="5" t="str">
        <f>Data!$I$1</f>
        <v>Time Taken</v>
      </c>
      <c r="K60" s="5" t="str">
        <f>Data!$A$1</f>
        <v>Instance</v>
      </c>
      <c r="L60" s="5" t="str">
        <f>Data!$B$1</f>
        <v>Solver Type</v>
      </c>
      <c r="M60" s="5" t="str">
        <f>Data!$C$1</f>
        <v>Solutions To Find</v>
      </c>
      <c r="N60" s="5" t="str">
        <f>Data!$D$1</f>
        <v>Variable Ordering</v>
      </c>
      <c r="O60" s="5" t="str">
        <f>Data!$E$1</f>
        <v>Value Ordering</v>
      </c>
      <c r="P60" s="5" t="str">
        <f>Data!$F$1</f>
        <v>Solutions Found</v>
      </c>
      <c r="Q60" s="5" t="str">
        <f>Data!$G$1</f>
        <v>Nodes Explored</v>
      </c>
      <c r="R60" s="5" t="str">
        <f>Data!$H$1</f>
        <v>Revisions Done</v>
      </c>
      <c r="S60" s="5" t="str">
        <f>Data!$I$1</f>
        <v>Time Taken</v>
      </c>
    </row>
    <row r="61">
      <c r="A61" s="5" t="str">
        <f t="array" ref="A61:S73">SORTN(U2:AM1000,$B$36,0,9,1)</f>
        <v>4Queens.csp</v>
      </c>
      <c r="B61" s="5" t="s">
        <v>11</v>
      </c>
      <c r="C61" s="5">
        <v>1.0</v>
      </c>
      <c r="D61" s="5" t="s">
        <v>12</v>
      </c>
      <c r="E61" s="5" t="s">
        <v>12</v>
      </c>
      <c r="F61" s="5">
        <v>1.0</v>
      </c>
      <c r="G61" s="5">
        <v>6.0</v>
      </c>
      <c r="H61" s="5">
        <v>48.0</v>
      </c>
      <c r="I61" s="5">
        <v>2.0</v>
      </c>
      <c r="J61" s="5"/>
      <c r="K61" s="5" t="s">
        <v>28</v>
      </c>
      <c r="L61" s="5" t="s">
        <v>11</v>
      </c>
      <c r="M61" s="5">
        <v>1.0</v>
      </c>
      <c r="N61" s="5" t="s">
        <v>14</v>
      </c>
      <c r="O61" s="5" t="s">
        <v>12</v>
      </c>
      <c r="P61" s="5">
        <v>1.0</v>
      </c>
      <c r="Q61" s="5">
        <v>6.0</v>
      </c>
      <c r="R61" s="5">
        <v>48.0</v>
      </c>
      <c r="S61" s="5">
        <v>25.0</v>
      </c>
    </row>
    <row r="62">
      <c r="A62" s="5" t="s">
        <v>29</v>
      </c>
      <c r="B62" s="5" t="s">
        <v>11</v>
      </c>
      <c r="C62" s="5">
        <v>1.0</v>
      </c>
      <c r="D62" s="5" t="s">
        <v>12</v>
      </c>
      <c r="E62" s="5" t="s">
        <v>12</v>
      </c>
      <c r="F62" s="5">
        <v>1.0</v>
      </c>
      <c r="G62" s="5">
        <v>5.0</v>
      </c>
      <c r="H62" s="5">
        <v>66.0</v>
      </c>
      <c r="I62" s="5">
        <v>2.0</v>
      </c>
      <c r="J62" s="5"/>
      <c r="K62" s="5" t="s">
        <v>29</v>
      </c>
      <c r="L62" s="5" t="s">
        <v>11</v>
      </c>
      <c r="M62" s="5">
        <v>1.0</v>
      </c>
      <c r="N62" s="5" t="s">
        <v>14</v>
      </c>
      <c r="O62" s="5" t="s">
        <v>12</v>
      </c>
      <c r="P62" s="5">
        <v>1.0</v>
      </c>
      <c r="Q62" s="5">
        <v>5.0</v>
      </c>
      <c r="R62" s="5">
        <v>66.0</v>
      </c>
      <c r="S62" s="5">
        <v>8.0</v>
      </c>
    </row>
    <row r="63">
      <c r="A63" s="5" t="s">
        <v>31</v>
      </c>
      <c r="B63" s="5" t="s">
        <v>11</v>
      </c>
      <c r="C63" s="5">
        <v>1.0</v>
      </c>
      <c r="D63" s="5" t="s">
        <v>12</v>
      </c>
      <c r="E63" s="5" t="s">
        <v>12</v>
      </c>
      <c r="F63" s="5">
        <v>1.0</v>
      </c>
      <c r="G63" s="5">
        <v>7.0</v>
      </c>
      <c r="H63" s="5">
        <v>168.0</v>
      </c>
      <c r="I63" s="5">
        <v>20.0</v>
      </c>
      <c r="J63" s="5"/>
      <c r="K63" s="5" t="s">
        <v>31</v>
      </c>
      <c r="L63" s="5" t="s">
        <v>11</v>
      </c>
      <c r="M63" s="5">
        <v>1.0</v>
      </c>
      <c r="N63" s="5" t="s">
        <v>14</v>
      </c>
      <c r="O63" s="5" t="s">
        <v>12</v>
      </c>
      <c r="P63" s="5">
        <v>1.0</v>
      </c>
      <c r="Q63" s="5">
        <v>9.0</v>
      </c>
      <c r="R63" s="5">
        <v>200.0</v>
      </c>
      <c r="S63" s="5">
        <v>13.0</v>
      </c>
    </row>
    <row r="64">
      <c r="A64" s="5" t="s">
        <v>30</v>
      </c>
      <c r="B64" s="5" t="s">
        <v>11</v>
      </c>
      <c r="C64" s="5">
        <v>1.0</v>
      </c>
      <c r="D64" s="5" t="s">
        <v>12</v>
      </c>
      <c r="E64" s="5" t="s">
        <v>12</v>
      </c>
      <c r="F64" s="5">
        <v>1.0</v>
      </c>
      <c r="G64" s="5">
        <v>12.0</v>
      </c>
      <c r="H64" s="5">
        <v>258.0</v>
      </c>
      <c r="I64" s="5">
        <v>28.0</v>
      </c>
      <c r="J64" s="5"/>
      <c r="K64" s="5" t="s">
        <v>30</v>
      </c>
      <c r="L64" s="5" t="s">
        <v>11</v>
      </c>
      <c r="M64" s="5">
        <v>1.0</v>
      </c>
      <c r="N64" s="5" t="s">
        <v>14</v>
      </c>
      <c r="O64" s="5" t="s">
        <v>12</v>
      </c>
      <c r="P64" s="5">
        <v>1.0</v>
      </c>
      <c r="Q64" s="5">
        <v>12.0</v>
      </c>
      <c r="R64" s="5">
        <v>258.0</v>
      </c>
      <c r="S64" s="5">
        <v>19.0</v>
      </c>
    </row>
    <row r="65">
      <c r="A65" s="5" t="s">
        <v>36</v>
      </c>
      <c r="B65" s="5" t="s">
        <v>11</v>
      </c>
      <c r="C65" s="5">
        <v>1.0</v>
      </c>
      <c r="D65" s="5" t="s">
        <v>12</v>
      </c>
      <c r="E65" s="5" t="s">
        <v>12</v>
      </c>
      <c r="F65" s="5">
        <v>1.0</v>
      </c>
      <c r="G65" s="5">
        <v>8.0</v>
      </c>
      <c r="H65" s="5">
        <v>123.0</v>
      </c>
      <c r="I65" s="5">
        <v>32.0</v>
      </c>
      <c r="J65" s="5"/>
      <c r="K65" s="5" t="s">
        <v>36</v>
      </c>
      <c r="L65" s="5" t="s">
        <v>11</v>
      </c>
      <c r="M65" s="5">
        <v>1.0</v>
      </c>
      <c r="N65" s="5" t="s">
        <v>14</v>
      </c>
      <c r="O65" s="5" t="s">
        <v>12</v>
      </c>
      <c r="P65" s="5">
        <v>1.0</v>
      </c>
      <c r="Q65" s="5">
        <v>6.0</v>
      </c>
      <c r="R65" s="5">
        <v>104.0</v>
      </c>
      <c r="S65" s="5">
        <v>8.0</v>
      </c>
    </row>
    <row r="66">
      <c r="A66" s="5" t="s">
        <v>33</v>
      </c>
      <c r="B66" s="5" t="s">
        <v>11</v>
      </c>
      <c r="C66" s="5">
        <v>1.0</v>
      </c>
      <c r="D66" s="5" t="s">
        <v>12</v>
      </c>
      <c r="E66" s="5" t="s">
        <v>12</v>
      </c>
      <c r="F66" s="5">
        <v>1.0</v>
      </c>
      <c r="G66" s="5">
        <v>17.0</v>
      </c>
      <c r="H66" s="5">
        <v>605.0</v>
      </c>
      <c r="I66" s="5">
        <v>44.0</v>
      </c>
      <c r="J66" s="5"/>
      <c r="K66" s="5" t="s">
        <v>33</v>
      </c>
      <c r="L66" s="5" t="s">
        <v>11</v>
      </c>
      <c r="M66" s="5">
        <v>1.0</v>
      </c>
      <c r="N66" s="5" t="s">
        <v>14</v>
      </c>
      <c r="O66" s="5" t="s">
        <v>12</v>
      </c>
      <c r="P66" s="5">
        <v>1.0</v>
      </c>
      <c r="Q66" s="5">
        <v>15.0</v>
      </c>
      <c r="R66" s="5">
        <v>606.0</v>
      </c>
      <c r="S66" s="5">
        <v>20.0</v>
      </c>
    </row>
    <row r="67">
      <c r="A67" s="5" t="s">
        <v>10</v>
      </c>
      <c r="B67" s="5" t="s">
        <v>11</v>
      </c>
      <c r="C67" s="5">
        <v>1.0</v>
      </c>
      <c r="D67" s="5" t="s">
        <v>12</v>
      </c>
      <c r="E67" s="5" t="s">
        <v>12</v>
      </c>
      <c r="F67" s="5">
        <v>1.0</v>
      </c>
      <c r="G67" s="5">
        <v>36.0</v>
      </c>
      <c r="H67" s="5">
        <v>1507.0</v>
      </c>
      <c r="I67" s="5">
        <v>51.0</v>
      </c>
      <c r="J67" s="5"/>
      <c r="K67" s="5" t="s">
        <v>10</v>
      </c>
      <c r="L67" s="5" t="s">
        <v>11</v>
      </c>
      <c r="M67" s="5">
        <v>1.0</v>
      </c>
      <c r="N67" s="5" t="s">
        <v>14</v>
      </c>
      <c r="O67" s="5" t="s">
        <v>12</v>
      </c>
      <c r="P67" s="5">
        <v>1.0</v>
      </c>
      <c r="Q67" s="5">
        <v>22.0</v>
      </c>
      <c r="R67" s="5">
        <v>929.0</v>
      </c>
      <c r="S67" s="5">
        <v>115.0</v>
      </c>
    </row>
    <row r="68">
      <c r="A68" s="5" t="s">
        <v>32</v>
      </c>
      <c r="B68" s="5" t="s">
        <v>11</v>
      </c>
      <c r="C68" s="5">
        <v>1.0</v>
      </c>
      <c r="D68" s="5" t="s">
        <v>12</v>
      </c>
      <c r="E68" s="5" t="s">
        <v>12</v>
      </c>
      <c r="F68" s="5">
        <v>1.0</v>
      </c>
      <c r="G68" s="5">
        <v>28.0</v>
      </c>
      <c r="H68" s="5">
        <v>1000.0</v>
      </c>
      <c r="I68" s="5">
        <v>72.0</v>
      </c>
      <c r="J68" s="5"/>
      <c r="K68" s="5" t="s">
        <v>32</v>
      </c>
      <c r="L68" s="5" t="s">
        <v>11</v>
      </c>
      <c r="M68" s="5">
        <v>1.0</v>
      </c>
      <c r="N68" s="5" t="s">
        <v>14</v>
      </c>
      <c r="O68" s="5" t="s">
        <v>12</v>
      </c>
      <c r="P68" s="5">
        <v>1.0</v>
      </c>
      <c r="Q68" s="5">
        <v>28.0</v>
      </c>
      <c r="R68" s="5">
        <v>1000.0</v>
      </c>
      <c r="S68" s="5">
        <v>99.0</v>
      </c>
    </row>
    <row r="69">
      <c r="A69" s="5" t="s">
        <v>37</v>
      </c>
      <c r="B69" s="5" t="s">
        <v>11</v>
      </c>
      <c r="C69" s="5">
        <v>1.0</v>
      </c>
      <c r="D69" s="5" t="s">
        <v>12</v>
      </c>
      <c r="E69" s="5" t="s">
        <v>12</v>
      </c>
      <c r="F69" s="5">
        <v>1.0</v>
      </c>
      <c r="G69" s="5">
        <v>12.0</v>
      </c>
      <c r="H69" s="5">
        <v>344.0</v>
      </c>
      <c r="I69" s="5">
        <v>139.0</v>
      </c>
      <c r="J69" s="5"/>
      <c r="K69" s="5" t="s">
        <v>37</v>
      </c>
      <c r="L69" s="5" t="s">
        <v>11</v>
      </c>
      <c r="M69" s="5">
        <v>1.0</v>
      </c>
      <c r="N69" s="5" t="s">
        <v>14</v>
      </c>
      <c r="O69" s="5" t="s">
        <v>12</v>
      </c>
      <c r="P69" s="5">
        <v>1.0</v>
      </c>
      <c r="Q69" s="5">
        <v>8.0</v>
      </c>
      <c r="R69" s="5">
        <v>276.0</v>
      </c>
      <c r="S69" s="5">
        <v>44.0</v>
      </c>
    </row>
    <row r="70">
      <c r="A70" s="5" t="s">
        <v>16</v>
      </c>
      <c r="B70" s="5" t="s">
        <v>11</v>
      </c>
      <c r="C70" s="5">
        <v>1.0</v>
      </c>
      <c r="D70" s="5" t="s">
        <v>12</v>
      </c>
      <c r="E70" s="5" t="s">
        <v>12</v>
      </c>
      <c r="F70" s="5">
        <v>1.0</v>
      </c>
      <c r="G70" s="5">
        <v>17.0</v>
      </c>
      <c r="H70" s="5">
        <v>941.0</v>
      </c>
      <c r="I70" s="5">
        <v>183.0</v>
      </c>
      <c r="J70" s="5"/>
      <c r="K70" s="5" t="s">
        <v>16</v>
      </c>
      <c r="L70" s="5" t="s">
        <v>11</v>
      </c>
      <c r="M70" s="5">
        <v>1.0</v>
      </c>
      <c r="N70" s="5" t="s">
        <v>14</v>
      </c>
      <c r="O70" s="5" t="s">
        <v>12</v>
      </c>
      <c r="P70" s="5">
        <v>1.0</v>
      </c>
      <c r="Q70" s="5">
        <v>33.0</v>
      </c>
      <c r="R70" s="5">
        <v>1791.0</v>
      </c>
      <c r="S70" s="5">
        <v>270.0</v>
      </c>
    </row>
    <row r="71">
      <c r="A71" s="5" t="s">
        <v>18</v>
      </c>
      <c r="B71" s="5" t="s">
        <v>11</v>
      </c>
      <c r="C71" s="5">
        <v>1.0</v>
      </c>
      <c r="D71" s="5" t="s">
        <v>12</v>
      </c>
      <c r="E71" s="5" t="s">
        <v>12</v>
      </c>
      <c r="F71" s="5">
        <v>1.0</v>
      </c>
      <c r="G71" s="5">
        <v>39.0</v>
      </c>
      <c r="H71" s="5">
        <v>2443.0</v>
      </c>
      <c r="I71" s="5">
        <v>382.0</v>
      </c>
      <c r="J71" s="5"/>
      <c r="K71" s="5" t="s">
        <v>18</v>
      </c>
      <c r="L71" s="5" t="s">
        <v>11</v>
      </c>
      <c r="M71" s="5">
        <v>1.0</v>
      </c>
      <c r="N71" s="5" t="s">
        <v>14</v>
      </c>
      <c r="O71" s="5" t="s">
        <v>12</v>
      </c>
      <c r="P71" s="5">
        <v>1.0</v>
      </c>
      <c r="Q71" s="5">
        <v>89.0</v>
      </c>
      <c r="R71" s="5">
        <v>5798.0</v>
      </c>
      <c r="S71" s="5">
        <v>596.0</v>
      </c>
    </row>
    <row r="72">
      <c r="A72" s="5" t="s">
        <v>38</v>
      </c>
      <c r="B72" s="5" t="s">
        <v>11</v>
      </c>
      <c r="C72" s="5">
        <v>1.0</v>
      </c>
      <c r="D72" s="5" t="s">
        <v>12</v>
      </c>
      <c r="E72" s="5" t="s">
        <v>12</v>
      </c>
      <c r="F72" s="5">
        <v>1.0</v>
      </c>
      <c r="G72" s="5">
        <v>38.0</v>
      </c>
      <c r="H72" s="5">
        <v>3416.0</v>
      </c>
      <c r="I72" s="5">
        <v>408.0</v>
      </c>
      <c r="J72" s="5"/>
      <c r="K72" s="5" t="s">
        <v>38</v>
      </c>
      <c r="L72" s="5" t="s">
        <v>11</v>
      </c>
      <c r="M72" s="5">
        <v>1.0</v>
      </c>
      <c r="N72" s="5" t="s">
        <v>14</v>
      </c>
      <c r="O72" s="5" t="s">
        <v>12</v>
      </c>
      <c r="P72" s="5">
        <v>1.0</v>
      </c>
      <c r="Q72" s="5">
        <v>16.0</v>
      </c>
      <c r="R72" s="5">
        <v>1664.0</v>
      </c>
      <c r="S72" s="5">
        <v>181.0</v>
      </c>
    </row>
    <row r="73">
      <c r="A73" s="5" t="s">
        <v>17</v>
      </c>
      <c r="B73" s="5" t="s">
        <v>11</v>
      </c>
      <c r="C73" s="5">
        <v>1.0</v>
      </c>
      <c r="D73" s="5" t="s">
        <v>12</v>
      </c>
      <c r="E73" s="5" t="s">
        <v>12</v>
      </c>
      <c r="F73" s="5">
        <v>1.0</v>
      </c>
      <c r="G73" s="5">
        <v>60.0</v>
      </c>
      <c r="H73" s="5">
        <v>3759.0</v>
      </c>
      <c r="I73" s="5">
        <v>635.0</v>
      </c>
      <c r="J73" s="5"/>
      <c r="K73" s="5" t="s">
        <v>17</v>
      </c>
      <c r="L73" s="5" t="s">
        <v>11</v>
      </c>
      <c r="M73" s="5">
        <v>1.0</v>
      </c>
      <c r="N73" s="5" t="s">
        <v>14</v>
      </c>
      <c r="O73" s="5" t="s">
        <v>12</v>
      </c>
      <c r="P73" s="5">
        <v>1.0</v>
      </c>
      <c r="Q73" s="5">
        <v>72.0</v>
      </c>
      <c r="R73" s="5">
        <v>4086.0</v>
      </c>
      <c r="S73" s="5">
        <v>752.0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75"/>
  </cols>
  <sheetData>
    <row r="1">
      <c r="A1" s="5" t="str">
        <f>Data!$A$1</f>
        <v>Instance</v>
      </c>
      <c r="B1" s="5" t="str">
        <f>Data!$B$1</f>
        <v>Solver Type</v>
      </c>
      <c r="C1" s="5" t="str">
        <f>Data!$C$1</f>
        <v>Solutions To Find</v>
      </c>
      <c r="D1" s="5" t="str">
        <f>Data!$D$1</f>
        <v>Variable Ordering</v>
      </c>
      <c r="E1" s="5" t="str">
        <f>Data!$E$1</f>
        <v>Value Ordering</v>
      </c>
      <c r="F1" s="5" t="str">
        <f>Data!$F$1</f>
        <v>Solutions Found</v>
      </c>
      <c r="G1" s="5" t="str">
        <f>Data!$G$1</f>
        <v>Nodes Explored</v>
      </c>
      <c r="H1" s="5" t="str">
        <f>Data!$H$1</f>
        <v>Revisions Done</v>
      </c>
      <c r="I1" s="5" t="str">
        <f>Data!$I$1</f>
        <v>Time Taken</v>
      </c>
      <c r="K1" s="5" t="str">
        <f>Data!$A$1</f>
        <v>Instance</v>
      </c>
      <c r="L1" s="5" t="str">
        <f>Data!$B$1</f>
        <v>Solver Type</v>
      </c>
      <c r="M1" s="5" t="str">
        <f>Data!$C$1</f>
        <v>Solutions To Find</v>
      </c>
      <c r="N1" s="5" t="str">
        <f>Data!$D$1</f>
        <v>Variable Ordering</v>
      </c>
      <c r="O1" s="5" t="str">
        <f>Data!$E$1</f>
        <v>Value Ordering</v>
      </c>
      <c r="P1" s="5" t="str">
        <f>Data!$F$1</f>
        <v>Solutions Found</v>
      </c>
      <c r="Q1" s="5" t="str">
        <f>Data!$G$1</f>
        <v>Nodes Explored</v>
      </c>
      <c r="R1" s="5" t="str">
        <f>Data!$H$1</f>
        <v>Revisions Done</v>
      </c>
      <c r="S1" s="5" t="str">
        <f>Data!$I$1</f>
        <v>Time Taken</v>
      </c>
      <c r="U1" s="5" t="str">
        <f>Data!$A$1</f>
        <v>Instance</v>
      </c>
      <c r="V1" s="5" t="str">
        <f>Data!$B$1</f>
        <v>Solver Type</v>
      </c>
      <c r="W1" s="5" t="str">
        <f>Data!$C$1</f>
        <v>Solutions To Find</v>
      </c>
      <c r="X1" s="5" t="str">
        <f>Data!$D$1</f>
        <v>Variable Ordering</v>
      </c>
      <c r="Y1" s="5" t="str">
        <f>Data!$E$1</f>
        <v>Value Ordering</v>
      </c>
      <c r="Z1" s="5" t="str">
        <f>Data!$F$1</f>
        <v>Solutions Found</v>
      </c>
      <c r="AA1" s="5" t="str">
        <f>Data!$G$1</f>
        <v>Nodes Explored</v>
      </c>
      <c r="AB1" s="5" t="str">
        <f>Data!$H$1</f>
        <v>Revisions Done</v>
      </c>
      <c r="AC1" s="5" t="str">
        <f>Data!$I$1</f>
        <v>Time Taken</v>
      </c>
      <c r="AE1" s="5" t="str">
        <f>Data!$A$1</f>
        <v>Instance</v>
      </c>
      <c r="AF1" s="5" t="str">
        <f>Data!$B$1</f>
        <v>Solver Type</v>
      </c>
      <c r="AG1" s="5" t="str">
        <f>Data!$C$1</f>
        <v>Solutions To Find</v>
      </c>
      <c r="AH1" s="5" t="str">
        <f>Data!$D$1</f>
        <v>Variable Ordering</v>
      </c>
      <c r="AI1" s="5" t="str">
        <f>Data!$E$1</f>
        <v>Value Ordering</v>
      </c>
      <c r="AJ1" s="5" t="str">
        <f>Data!$F$1</f>
        <v>Solutions Found</v>
      </c>
      <c r="AK1" s="5" t="str">
        <f>Data!$G$1</f>
        <v>Nodes Explored</v>
      </c>
      <c r="AL1" s="5" t="str">
        <f>Data!$H$1</f>
        <v>Revisions Done</v>
      </c>
      <c r="AM1" s="5" t="str">
        <f>Data!$I$1</f>
        <v>Time Taken</v>
      </c>
    </row>
    <row r="2">
      <c r="A2" s="5" t="str">
        <f t="array" ref="A2:S6">SORTN(U2:AM1000,$B$36,0,7,1)</f>
        <v>4Queens.csp</v>
      </c>
      <c r="B2" s="5" t="s">
        <v>11</v>
      </c>
      <c r="C2" s="5">
        <v>0.0</v>
      </c>
      <c r="D2" s="5" t="s">
        <v>12</v>
      </c>
      <c r="E2" s="5" t="s">
        <v>12</v>
      </c>
      <c r="F2" s="5">
        <v>2.0</v>
      </c>
      <c r="G2" s="5">
        <v>18.0</v>
      </c>
      <c r="H2" s="5">
        <v>80.0</v>
      </c>
      <c r="I2" s="5">
        <v>10.0</v>
      </c>
      <c r="J2" s="5"/>
      <c r="K2" s="5" t="s">
        <v>28</v>
      </c>
      <c r="L2" s="5" t="s">
        <v>11</v>
      </c>
      <c r="M2" s="5">
        <v>0.0</v>
      </c>
      <c r="N2" s="5" t="s">
        <v>14</v>
      </c>
      <c r="O2" s="5" t="s">
        <v>12</v>
      </c>
      <c r="P2" s="5">
        <v>2.0</v>
      </c>
      <c r="Q2" s="5">
        <v>18.0</v>
      </c>
      <c r="R2" s="5">
        <v>80.0</v>
      </c>
      <c r="S2" s="5">
        <v>11.0</v>
      </c>
      <c r="U2" s="2" t="str">
        <f>IFERROR(__xludf.DUMMYFUNCTION("FILTER(Data!A:I, Data!D:D=""ASCENDING"", Data!E:E=""ASCENDING"", Data!C:C=0, Data!B:B=""MAC"")"),"10Queens.csp")</f>
        <v>10Queens.csp</v>
      </c>
      <c r="V2" s="5" t="str">
        <f>IFERROR(__xludf.DUMMYFUNCTION("""COMPUTED_VALUE"""),"MAC")</f>
        <v>MAC</v>
      </c>
      <c r="W2" s="5">
        <f>IFERROR(__xludf.DUMMYFUNCTION("""COMPUTED_VALUE"""),0.0)</f>
        <v>0</v>
      </c>
      <c r="X2" s="5" t="str">
        <f>IFERROR(__xludf.DUMMYFUNCTION("""COMPUTED_VALUE"""),"ASCENDING")</f>
        <v>ASCENDING</v>
      </c>
      <c r="Y2" s="5" t="str">
        <f>IFERROR(__xludf.DUMMYFUNCTION("""COMPUTED_VALUE"""),"ASCENDING")</f>
        <v>ASCENDING</v>
      </c>
      <c r="Z2" s="5">
        <f>IFERROR(__xludf.DUMMYFUNCTION("""COMPUTED_VALUE"""),724.0)</f>
        <v>724</v>
      </c>
      <c r="AA2" s="5">
        <f>IFERROR(__xludf.DUMMYFUNCTION("""COMPUTED_VALUE"""),16454.0)</f>
        <v>16454</v>
      </c>
      <c r="AB2" s="5">
        <f>IFERROR(__xludf.DUMMYFUNCTION("""COMPUTED_VALUE"""),399132.0)</f>
        <v>399132</v>
      </c>
      <c r="AC2" s="5">
        <f>IFERROR(__xludf.DUMMYFUNCTION("""COMPUTED_VALUE"""),2516.0)</f>
        <v>2516</v>
      </c>
      <c r="AE2" s="5" t="str">
        <f>IFERROR(__xludf.DUMMYFUNCTION("FILTER(Data!A:I, Data!D:D=""SMALLEST_DOMAIN"", Data!E:E=""ASCENDING"", Data!C:C=0, Data!B:B=""MAC"")"),"10Queens.csp")</f>
        <v>10Queens.csp</v>
      </c>
      <c r="AF2" s="5" t="str">
        <f>IFERROR(__xludf.DUMMYFUNCTION("""COMPUTED_VALUE"""),"MAC")</f>
        <v>MAC</v>
      </c>
      <c r="AG2" s="5">
        <f>IFERROR(__xludf.DUMMYFUNCTION("""COMPUTED_VALUE"""),0.0)</f>
        <v>0</v>
      </c>
      <c r="AH2" s="5" t="str">
        <f>IFERROR(__xludf.DUMMYFUNCTION("""COMPUTED_VALUE"""),"SMALLEST_DOMAIN")</f>
        <v>SMALLEST_DOMAIN</v>
      </c>
      <c r="AI2" s="5" t="str">
        <f>IFERROR(__xludf.DUMMYFUNCTION("""COMPUTED_VALUE"""),"ASCENDING")</f>
        <v>ASCENDING</v>
      </c>
      <c r="AJ2" s="5">
        <f>IFERROR(__xludf.DUMMYFUNCTION("""COMPUTED_VALUE"""),724.0)</f>
        <v>724</v>
      </c>
      <c r="AK2" s="5">
        <f>IFERROR(__xludf.DUMMYFUNCTION("""COMPUTED_VALUE"""),15250.0)</f>
        <v>15250</v>
      </c>
      <c r="AL2" s="5">
        <f>IFERROR(__xludf.DUMMYFUNCTION("""COMPUTED_VALUE"""),364256.0)</f>
        <v>364256</v>
      </c>
      <c r="AM2" s="5">
        <f>IFERROR(__xludf.DUMMYFUNCTION("""COMPUTED_VALUE"""),2456.0)</f>
        <v>2456</v>
      </c>
    </row>
    <row r="3">
      <c r="A3" s="5" t="s">
        <v>36</v>
      </c>
      <c r="B3" s="5" t="s">
        <v>11</v>
      </c>
      <c r="C3" s="5">
        <v>0.0</v>
      </c>
      <c r="D3" s="5" t="s">
        <v>12</v>
      </c>
      <c r="E3" s="5" t="s">
        <v>12</v>
      </c>
      <c r="F3" s="5">
        <v>2.0</v>
      </c>
      <c r="G3" s="5">
        <v>26.0</v>
      </c>
      <c r="H3" s="5">
        <v>193.0</v>
      </c>
      <c r="I3" s="5">
        <v>26.0</v>
      </c>
      <c r="J3" s="5"/>
      <c r="K3" s="5" t="s">
        <v>36</v>
      </c>
      <c r="L3" s="5" t="s">
        <v>11</v>
      </c>
      <c r="M3" s="5">
        <v>0.0</v>
      </c>
      <c r="N3" s="5" t="s">
        <v>14</v>
      </c>
      <c r="O3" s="5" t="s">
        <v>12</v>
      </c>
      <c r="P3" s="5">
        <v>2.0</v>
      </c>
      <c r="Q3" s="5">
        <v>24.0</v>
      </c>
      <c r="R3" s="5">
        <v>158.0</v>
      </c>
      <c r="S3" s="5">
        <v>27.0</v>
      </c>
      <c r="U3" s="5" t="str">
        <f>IFERROR(__xludf.DUMMYFUNCTION("""COMPUTED_VALUE"""),"11Queens.csp")</f>
        <v>11Queens.csp</v>
      </c>
      <c r="V3" s="5" t="str">
        <f>IFERROR(__xludf.DUMMYFUNCTION("""COMPUTED_VALUE"""),"MAC")</f>
        <v>MAC</v>
      </c>
      <c r="W3" s="5">
        <f>IFERROR(__xludf.DUMMYFUNCTION("""COMPUTED_VALUE"""),0.0)</f>
        <v>0</v>
      </c>
      <c r="X3" s="5" t="str">
        <f>IFERROR(__xludf.DUMMYFUNCTION("""COMPUTED_VALUE"""),"ASCENDING")</f>
        <v>ASCENDING</v>
      </c>
      <c r="Y3" s="5" t="str">
        <f>IFERROR(__xludf.DUMMYFUNCTION("""COMPUTED_VALUE"""),"ASCENDING")</f>
        <v>ASCENDING</v>
      </c>
      <c r="Z3" s="5">
        <f>IFERROR(__xludf.DUMMYFUNCTION("""COMPUTED_VALUE"""),2680.0)</f>
        <v>2680</v>
      </c>
      <c r="AA3" s="5">
        <f>IFERROR(__xludf.DUMMYFUNCTION("""COMPUTED_VALUE"""),68570.0)</f>
        <v>68570</v>
      </c>
      <c r="AB3" s="5">
        <f>IFERROR(__xludf.DUMMYFUNCTION("""COMPUTED_VALUE"""),1988391.0)</f>
        <v>1988391</v>
      </c>
      <c r="AC3" s="5">
        <f>IFERROR(__xludf.DUMMYFUNCTION("""COMPUTED_VALUE"""),7773.0)</f>
        <v>7773</v>
      </c>
      <c r="AE3" s="5" t="str">
        <f>IFERROR(__xludf.DUMMYFUNCTION("""COMPUTED_VALUE"""),"11Queens.csp")</f>
        <v>11Queens.csp</v>
      </c>
      <c r="AF3" s="5" t="str">
        <f>IFERROR(__xludf.DUMMYFUNCTION("""COMPUTED_VALUE"""),"MAC")</f>
        <v>MAC</v>
      </c>
      <c r="AG3" s="5">
        <f>IFERROR(__xludf.DUMMYFUNCTION("""COMPUTED_VALUE"""),0.0)</f>
        <v>0</v>
      </c>
      <c r="AH3" s="5" t="str">
        <f>IFERROR(__xludf.DUMMYFUNCTION("""COMPUTED_VALUE"""),"SMALLEST_DOMAIN")</f>
        <v>SMALLEST_DOMAIN</v>
      </c>
      <c r="AI3" s="5" t="str">
        <f>IFERROR(__xludf.DUMMYFUNCTION("""COMPUTED_VALUE"""),"ASCENDING")</f>
        <v>ASCENDING</v>
      </c>
      <c r="AJ3" s="5">
        <f>IFERROR(__xludf.DUMMYFUNCTION("""COMPUTED_VALUE"""),2680.0)</f>
        <v>2680</v>
      </c>
      <c r="AK3" s="5">
        <f>IFERROR(__xludf.DUMMYFUNCTION("""COMPUTED_VALUE"""),62410.0)</f>
        <v>62410</v>
      </c>
      <c r="AL3" s="5">
        <f>IFERROR(__xludf.DUMMYFUNCTION("""COMPUTED_VALUE"""),1766954.0)</f>
        <v>1766954</v>
      </c>
      <c r="AM3" s="5">
        <f>IFERROR(__xludf.DUMMYFUNCTION("""COMPUTED_VALUE"""),7173.0)</f>
        <v>7173</v>
      </c>
    </row>
    <row r="4">
      <c r="A4" s="5" t="s">
        <v>37</v>
      </c>
      <c r="B4" s="5" t="s">
        <v>11</v>
      </c>
      <c r="C4" s="5">
        <v>0.0</v>
      </c>
      <c r="D4" s="5" t="s">
        <v>12</v>
      </c>
      <c r="E4" s="5" t="s">
        <v>12</v>
      </c>
      <c r="F4" s="5">
        <v>2.0</v>
      </c>
      <c r="G4" s="5">
        <v>48.0</v>
      </c>
      <c r="H4" s="5">
        <v>908.0</v>
      </c>
      <c r="I4" s="5">
        <v>47.0</v>
      </c>
      <c r="J4" s="5"/>
      <c r="K4" s="5" t="s">
        <v>37</v>
      </c>
      <c r="L4" s="5" t="s">
        <v>11</v>
      </c>
      <c r="M4" s="5">
        <v>0.0</v>
      </c>
      <c r="N4" s="5" t="s">
        <v>14</v>
      </c>
      <c r="O4" s="5" t="s">
        <v>12</v>
      </c>
      <c r="P4" s="5">
        <v>2.0</v>
      </c>
      <c r="Q4" s="5">
        <v>40.0</v>
      </c>
      <c r="R4" s="5">
        <v>806.0</v>
      </c>
      <c r="S4" s="5">
        <v>68.0</v>
      </c>
      <c r="U4" s="5" t="str">
        <f>IFERROR(__xludf.DUMMYFUNCTION("""COMPUTED_VALUE"""),"12Queens.csp")</f>
        <v>12Queens.csp</v>
      </c>
      <c r="V4" s="5" t="str">
        <f>IFERROR(__xludf.DUMMYFUNCTION("""COMPUTED_VALUE"""),"MAC")</f>
        <v>MAC</v>
      </c>
      <c r="W4" s="5">
        <f>IFERROR(__xludf.DUMMYFUNCTION("""COMPUTED_VALUE"""),0.0)</f>
        <v>0</v>
      </c>
      <c r="X4" s="5" t="str">
        <f>IFERROR(__xludf.DUMMYFUNCTION("""COMPUTED_VALUE"""),"ASCENDING")</f>
        <v>ASCENDING</v>
      </c>
      <c r="Y4" s="5" t="str">
        <f>IFERROR(__xludf.DUMMYFUNCTION("""COMPUTED_VALUE"""),"ASCENDING")</f>
        <v>ASCENDING</v>
      </c>
      <c r="Z4" s="5">
        <f>IFERROR(__xludf.DUMMYFUNCTION("""COMPUTED_VALUE"""),14200.0)</f>
        <v>14200</v>
      </c>
      <c r="AA4" s="5">
        <f>IFERROR(__xludf.DUMMYFUNCTION("""COMPUTED_VALUE"""),348466.0)</f>
        <v>348466</v>
      </c>
      <c r="AB4" s="5">
        <f>IFERROR(__xludf.DUMMYFUNCTION("""COMPUTED_VALUE"""),1.0844028E7)</f>
        <v>10844028</v>
      </c>
      <c r="AC4" s="5">
        <f>IFERROR(__xludf.DUMMYFUNCTION("""COMPUTED_VALUE"""),25879.0)</f>
        <v>25879</v>
      </c>
      <c r="AE4" s="5" t="str">
        <f>IFERROR(__xludf.DUMMYFUNCTION("""COMPUTED_VALUE"""),"12Queens.csp")</f>
        <v>12Queens.csp</v>
      </c>
      <c r="AF4" s="5" t="str">
        <f>IFERROR(__xludf.DUMMYFUNCTION("""COMPUTED_VALUE"""),"MAC")</f>
        <v>MAC</v>
      </c>
      <c r="AG4" s="5">
        <f>IFERROR(__xludf.DUMMYFUNCTION("""COMPUTED_VALUE"""),0.0)</f>
        <v>0</v>
      </c>
      <c r="AH4" s="5" t="str">
        <f>IFERROR(__xludf.DUMMYFUNCTION("""COMPUTED_VALUE"""),"SMALLEST_DOMAIN")</f>
        <v>SMALLEST_DOMAIN</v>
      </c>
      <c r="AI4" s="5" t="str">
        <f>IFERROR(__xludf.DUMMYFUNCTION("""COMPUTED_VALUE"""),"ASCENDING")</f>
        <v>ASCENDING</v>
      </c>
      <c r="AJ4" s="5">
        <f>IFERROR(__xludf.DUMMYFUNCTION("""COMPUTED_VALUE"""),14200.0)</f>
        <v>14200</v>
      </c>
      <c r="AK4" s="5">
        <f>IFERROR(__xludf.DUMMYFUNCTION("""COMPUTED_VALUE"""),313580.0)</f>
        <v>313580</v>
      </c>
      <c r="AL4" s="5">
        <f>IFERROR(__xludf.DUMMYFUNCTION("""COMPUTED_VALUE"""),9482646.0)</f>
        <v>9482646</v>
      </c>
      <c r="AM4" s="5">
        <f>IFERROR(__xludf.DUMMYFUNCTION("""COMPUTED_VALUE"""),23589.0)</f>
        <v>23589</v>
      </c>
    </row>
    <row r="5">
      <c r="A5" s="5" t="s">
        <v>30</v>
      </c>
      <c r="B5" s="5" t="s">
        <v>11</v>
      </c>
      <c r="C5" s="5">
        <v>0.0</v>
      </c>
      <c r="D5" s="5" t="s">
        <v>12</v>
      </c>
      <c r="E5" s="5" t="s">
        <v>12</v>
      </c>
      <c r="F5" s="5">
        <v>4.0</v>
      </c>
      <c r="G5" s="5">
        <v>76.0</v>
      </c>
      <c r="H5" s="5">
        <v>976.0</v>
      </c>
      <c r="I5" s="5">
        <v>96.0</v>
      </c>
      <c r="J5" s="5"/>
      <c r="K5" s="5" t="s">
        <v>30</v>
      </c>
      <c r="L5" s="5" t="s">
        <v>11</v>
      </c>
      <c r="M5" s="5">
        <v>0.0</v>
      </c>
      <c r="N5" s="5" t="s">
        <v>14</v>
      </c>
      <c r="O5" s="5" t="s">
        <v>12</v>
      </c>
      <c r="P5" s="5">
        <v>4.0</v>
      </c>
      <c r="Q5" s="5">
        <v>76.0</v>
      </c>
      <c r="R5" s="5">
        <v>976.0</v>
      </c>
      <c r="S5" s="5">
        <v>52.0</v>
      </c>
      <c r="U5" s="5" t="str">
        <f>IFERROR(__xludf.DUMMYFUNCTION("""COMPUTED_VALUE"""),"13Queens.csp")</f>
        <v>13Queens.csp</v>
      </c>
      <c r="V5" s="5" t="str">
        <f>IFERROR(__xludf.DUMMYFUNCTION("""COMPUTED_VALUE"""),"MAC")</f>
        <v>MAC</v>
      </c>
      <c r="W5" s="5">
        <f>IFERROR(__xludf.DUMMYFUNCTION("""COMPUTED_VALUE"""),0.0)</f>
        <v>0</v>
      </c>
      <c r="X5" s="5" t="str">
        <f>IFERROR(__xludf.DUMMYFUNCTION("""COMPUTED_VALUE"""),"ASCENDING")</f>
        <v>ASCENDING</v>
      </c>
      <c r="Y5" s="5" t="str">
        <f>IFERROR(__xludf.DUMMYFUNCTION("""COMPUTED_VALUE"""),"ASCENDING")</f>
        <v>ASCENDING</v>
      </c>
      <c r="Z5" s="5">
        <f>IFERROR(__xludf.DUMMYFUNCTION("""COMPUTED_VALUE"""),73712.0)</f>
        <v>73712</v>
      </c>
      <c r="AA5" s="5">
        <f>IFERROR(__xludf.DUMMYFUNCTION("""COMPUTED_VALUE"""),1838678.0)</f>
        <v>1838678</v>
      </c>
      <c r="AB5" s="5">
        <f>IFERROR(__xludf.DUMMYFUNCTION("""COMPUTED_VALUE"""),6.260204E7)</f>
        <v>62602040</v>
      </c>
      <c r="AC5" s="5">
        <f>IFERROR(__xludf.DUMMYFUNCTION("""COMPUTED_VALUE"""),89520.0)</f>
        <v>89520</v>
      </c>
      <c r="AE5" s="5" t="str">
        <f>IFERROR(__xludf.DUMMYFUNCTION("""COMPUTED_VALUE"""),"13Queens.csp")</f>
        <v>13Queens.csp</v>
      </c>
      <c r="AF5" s="5" t="str">
        <f>IFERROR(__xludf.DUMMYFUNCTION("""COMPUTED_VALUE"""),"MAC")</f>
        <v>MAC</v>
      </c>
      <c r="AG5" s="5">
        <f>IFERROR(__xludf.DUMMYFUNCTION("""COMPUTED_VALUE"""),0.0)</f>
        <v>0</v>
      </c>
      <c r="AH5" s="5" t="str">
        <f>IFERROR(__xludf.DUMMYFUNCTION("""COMPUTED_VALUE"""),"SMALLEST_DOMAIN")</f>
        <v>SMALLEST_DOMAIN</v>
      </c>
      <c r="AI5" s="5" t="str">
        <f>IFERROR(__xludf.DUMMYFUNCTION("""COMPUTED_VALUE"""),"ASCENDING")</f>
        <v>ASCENDING</v>
      </c>
      <c r="AJ5" s="5">
        <f>IFERROR(__xludf.DUMMYFUNCTION("""COMPUTED_VALUE"""),73712.0)</f>
        <v>73712</v>
      </c>
      <c r="AK5" s="5">
        <f>IFERROR(__xludf.DUMMYFUNCTION("""COMPUTED_VALUE"""),1634164.0)</f>
        <v>1634164</v>
      </c>
      <c r="AL5" s="5">
        <f>IFERROR(__xludf.DUMMYFUNCTION("""COMPUTED_VALUE"""),5.3706577E7)</f>
        <v>53706577</v>
      </c>
      <c r="AM5" s="5">
        <f>IFERROR(__xludf.DUMMYFUNCTION("""COMPUTED_VALUE"""),79263.0)</f>
        <v>79263</v>
      </c>
    </row>
    <row r="6">
      <c r="A6" s="5" t="s">
        <v>29</v>
      </c>
      <c r="B6" s="5" t="s">
        <v>11</v>
      </c>
      <c r="C6" s="5">
        <v>0.0</v>
      </c>
      <c r="D6" s="5" t="s">
        <v>12</v>
      </c>
      <c r="E6" s="5" t="s">
        <v>12</v>
      </c>
      <c r="F6" s="5">
        <v>10.0</v>
      </c>
      <c r="G6" s="5">
        <v>92.0</v>
      </c>
      <c r="H6" s="5">
        <v>386.0</v>
      </c>
      <c r="I6" s="5">
        <v>31.0</v>
      </c>
      <c r="J6" s="5"/>
      <c r="K6" s="5" t="s">
        <v>29</v>
      </c>
      <c r="L6" s="5" t="s">
        <v>11</v>
      </c>
      <c r="M6" s="5">
        <v>0.0</v>
      </c>
      <c r="N6" s="5" t="s">
        <v>14</v>
      </c>
      <c r="O6" s="5" t="s">
        <v>12</v>
      </c>
      <c r="P6" s="5">
        <v>10.0</v>
      </c>
      <c r="Q6" s="5">
        <v>90.0</v>
      </c>
      <c r="R6" s="5">
        <v>368.0</v>
      </c>
      <c r="S6" s="5">
        <v>17.0</v>
      </c>
      <c r="U6" s="5" t="str">
        <f>IFERROR(__xludf.DUMMYFUNCTION("""COMPUTED_VALUE"""),"4Queens.csp")</f>
        <v>4Queens.csp</v>
      </c>
      <c r="V6" s="5" t="str">
        <f>IFERROR(__xludf.DUMMYFUNCTION("""COMPUTED_VALUE"""),"MAC")</f>
        <v>MAC</v>
      </c>
      <c r="W6" s="5">
        <f>IFERROR(__xludf.DUMMYFUNCTION("""COMPUTED_VALUE"""),0.0)</f>
        <v>0</v>
      </c>
      <c r="X6" s="5" t="str">
        <f>IFERROR(__xludf.DUMMYFUNCTION("""COMPUTED_VALUE"""),"ASCENDING")</f>
        <v>ASCENDING</v>
      </c>
      <c r="Y6" s="5" t="str">
        <f>IFERROR(__xludf.DUMMYFUNCTION("""COMPUTED_VALUE"""),"ASCENDING")</f>
        <v>ASCENDING</v>
      </c>
      <c r="Z6" s="5">
        <f>IFERROR(__xludf.DUMMYFUNCTION("""COMPUTED_VALUE"""),2.0)</f>
        <v>2</v>
      </c>
      <c r="AA6" s="5">
        <f>IFERROR(__xludf.DUMMYFUNCTION("""COMPUTED_VALUE"""),18.0)</f>
        <v>18</v>
      </c>
      <c r="AB6" s="5">
        <f>IFERROR(__xludf.DUMMYFUNCTION("""COMPUTED_VALUE"""),80.0)</f>
        <v>80</v>
      </c>
      <c r="AC6" s="5">
        <f>IFERROR(__xludf.DUMMYFUNCTION("""COMPUTED_VALUE"""),10.0)</f>
        <v>10</v>
      </c>
      <c r="AE6" s="5" t="str">
        <f>IFERROR(__xludf.DUMMYFUNCTION("""COMPUTED_VALUE"""),"4Queens.csp")</f>
        <v>4Queens.csp</v>
      </c>
      <c r="AF6" s="5" t="str">
        <f>IFERROR(__xludf.DUMMYFUNCTION("""COMPUTED_VALUE"""),"MAC")</f>
        <v>MAC</v>
      </c>
      <c r="AG6" s="5">
        <f>IFERROR(__xludf.DUMMYFUNCTION("""COMPUTED_VALUE"""),0.0)</f>
        <v>0</v>
      </c>
      <c r="AH6" s="5" t="str">
        <f>IFERROR(__xludf.DUMMYFUNCTION("""COMPUTED_VALUE"""),"SMALLEST_DOMAIN")</f>
        <v>SMALLEST_DOMAIN</v>
      </c>
      <c r="AI6" s="5" t="str">
        <f>IFERROR(__xludf.DUMMYFUNCTION("""COMPUTED_VALUE"""),"ASCENDING")</f>
        <v>ASCENDING</v>
      </c>
      <c r="AJ6" s="5">
        <f>IFERROR(__xludf.DUMMYFUNCTION("""COMPUTED_VALUE"""),2.0)</f>
        <v>2</v>
      </c>
      <c r="AK6" s="5">
        <f>IFERROR(__xludf.DUMMYFUNCTION("""COMPUTED_VALUE"""),18.0)</f>
        <v>18</v>
      </c>
      <c r="AL6" s="5">
        <f>IFERROR(__xludf.DUMMYFUNCTION("""COMPUTED_VALUE"""),80.0)</f>
        <v>80</v>
      </c>
      <c r="AM6" s="5">
        <f>IFERROR(__xludf.DUMMYFUNCTION("""COMPUTED_VALUE"""),11.0)</f>
        <v>11</v>
      </c>
    </row>
    <row r="7">
      <c r="U7" s="5" t="str">
        <f>IFERROR(__xludf.DUMMYFUNCTION("""COMPUTED_VALUE"""),"5Queens.csp")</f>
        <v>5Queens.csp</v>
      </c>
      <c r="V7" s="5" t="str">
        <f>IFERROR(__xludf.DUMMYFUNCTION("""COMPUTED_VALUE"""),"MAC")</f>
        <v>MAC</v>
      </c>
      <c r="W7" s="5">
        <f>IFERROR(__xludf.DUMMYFUNCTION("""COMPUTED_VALUE"""),0.0)</f>
        <v>0</v>
      </c>
      <c r="X7" s="5" t="str">
        <f>IFERROR(__xludf.DUMMYFUNCTION("""COMPUTED_VALUE"""),"ASCENDING")</f>
        <v>ASCENDING</v>
      </c>
      <c r="Y7" s="5" t="str">
        <f>IFERROR(__xludf.DUMMYFUNCTION("""COMPUTED_VALUE"""),"ASCENDING")</f>
        <v>ASCENDING</v>
      </c>
      <c r="Z7" s="5">
        <f>IFERROR(__xludf.DUMMYFUNCTION("""COMPUTED_VALUE"""),10.0)</f>
        <v>10</v>
      </c>
      <c r="AA7" s="5">
        <f>IFERROR(__xludf.DUMMYFUNCTION("""COMPUTED_VALUE"""),92.0)</f>
        <v>92</v>
      </c>
      <c r="AB7" s="5">
        <f>IFERROR(__xludf.DUMMYFUNCTION("""COMPUTED_VALUE"""),386.0)</f>
        <v>386</v>
      </c>
      <c r="AC7" s="5">
        <f>IFERROR(__xludf.DUMMYFUNCTION("""COMPUTED_VALUE"""),31.0)</f>
        <v>31</v>
      </c>
      <c r="AE7" s="5" t="str">
        <f>IFERROR(__xludf.DUMMYFUNCTION("""COMPUTED_VALUE"""),"5Queens.csp")</f>
        <v>5Queens.csp</v>
      </c>
      <c r="AF7" s="5" t="str">
        <f>IFERROR(__xludf.DUMMYFUNCTION("""COMPUTED_VALUE"""),"MAC")</f>
        <v>MAC</v>
      </c>
      <c r="AG7" s="5">
        <f>IFERROR(__xludf.DUMMYFUNCTION("""COMPUTED_VALUE"""),0.0)</f>
        <v>0</v>
      </c>
      <c r="AH7" s="5" t="str">
        <f>IFERROR(__xludf.DUMMYFUNCTION("""COMPUTED_VALUE"""),"SMALLEST_DOMAIN")</f>
        <v>SMALLEST_DOMAIN</v>
      </c>
      <c r="AI7" s="5" t="str">
        <f>IFERROR(__xludf.DUMMYFUNCTION("""COMPUTED_VALUE"""),"ASCENDING")</f>
        <v>ASCENDING</v>
      </c>
      <c r="AJ7" s="5">
        <f>IFERROR(__xludf.DUMMYFUNCTION("""COMPUTED_VALUE"""),10.0)</f>
        <v>10</v>
      </c>
      <c r="AK7" s="5">
        <f>IFERROR(__xludf.DUMMYFUNCTION("""COMPUTED_VALUE"""),90.0)</f>
        <v>90</v>
      </c>
      <c r="AL7" s="5">
        <f>IFERROR(__xludf.DUMMYFUNCTION("""COMPUTED_VALUE"""),368.0)</f>
        <v>368</v>
      </c>
      <c r="AM7" s="5">
        <f>IFERROR(__xludf.DUMMYFUNCTION("""COMPUTED_VALUE"""),17.0)</f>
        <v>17</v>
      </c>
    </row>
    <row r="8">
      <c r="U8" s="5" t="str">
        <f>IFERROR(__xludf.DUMMYFUNCTION("""COMPUTED_VALUE"""),"6Queens.csp")</f>
        <v>6Queens.csp</v>
      </c>
      <c r="V8" s="5" t="str">
        <f>IFERROR(__xludf.DUMMYFUNCTION("""COMPUTED_VALUE"""),"MAC")</f>
        <v>MAC</v>
      </c>
      <c r="W8" s="5">
        <f>IFERROR(__xludf.DUMMYFUNCTION("""COMPUTED_VALUE"""),0.0)</f>
        <v>0</v>
      </c>
      <c r="X8" s="5" t="str">
        <f>IFERROR(__xludf.DUMMYFUNCTION("""COMPUTED_VALUE"""),"ASCENDING")</f>
        <v>ASCENDING</v>
      </c>
      <c r="Y8" s="5" t="str">
        <f>IFERROR(__xludf.DUMMYFUNCTION("""COMPUTED_VALUE"""),"ASCENDING")</f>
        <v>ASCENDING</v>
      </c>
      <c r="Z8" s="5">
        <f>IFERROR(__xludf.DUMMYFUNCTION("""COMPUTED_VALUE"""),4.0)</f>
        <v>4</v>
      </c>
      <c r="AA8" s="5">
        <f>IFERROR(__xludf.DUMMYFUNCTION("""COMPUTED_VALUE"""),76.0)</f>
        <v>76</v>
      </c>
      <c r="AB8" s="5">
        <f>IFERROR(__xludf.DUMMYFUNCTION("""COMPUTED_VALUE"""),976.0)</f>
        <v>976</v>
      </c>
      <c r="AC8" s="5">
        <f>IFERROR(__xludf.DUMMYFUNCTION("""COMPUTED_VALUE"""),96.0)</f>
        <v>96</v>
      </c>
      <c r="AE8" s="5" t="str">
        <f>IFERROR(__xludf.DUMMYFUNCTION("""COMPUTED_VALUE"""),"6Queens.csp")</f>
        <v>6Queens.csp</v>
      </c>
      <c r="AF8" s="5" t="str">
        <f>IFERROR(__xludf.DUMMYFUNCTION("""COMPUTED_VALUE"""),"MAC")</f>
        <v>MAC</v>
      </c>
      <c r="AG8" s="5">
        <f>IFERROR(__xludf.DUMMYFUNCTION("""COMPUTED_VALUE"""),0.0)</f>
        <v>0</v>
      </c>
      <c r="AH8" s="5" t="str">
        <f>IFERROR(__xludf.DUMMYFUNCTION("""COMPUTED_VALUE"""),"SMALLEST_DOMAIN")</f>
        <v>SMALLEST_DOMAIN</v>
      </c>
      <c r="AI8" s="5" t="str">
        <f>IFERROR(__xludf.DUMMYFUNCTION("""COMPUTED_VALUE"""),"ASCENDING")</f>
        <v>ASCENDING</v>
      </c>
      <c r="AJ8" s="5">
        <f>IFERROR(__xludf.DUMMYFUNCTION("""COMPUTED_VALUE"""),4.0)</f>
        <v>4</v>
      </c>
      <c r="AK8" s="5">
        <f>IFERROR(__xludf.DUMMYFUNCTION("""COMPUTED_VALUE"""),76.0)</f>
        <v>76</v>
      </c>
      <c r="AL8" s="5">
        <f>IFERROR(__xludf.DUMMYFUNCTION("""COMPUTED_VALUE"""),976.0)</f>
        <v>976</v>
      </c>
      <c r="AM8" s="5">
        <f>IFERROR(__xludf.DUMMYFUNCTION("""COMPUTED_VALUE"""),52.0)</f>
        <v>52</v>
      </c>
    </row>
    <row r="9">
      <c r="U9" s="5" t="str">
        <f>IFERROR(__xludf.DUMMYFUNCTION("""COMPUTED_VALUE"""),"8Queens.csp")</f>
        <v>8Queens.csp</v>
      </c>
      <c r="V9" s="5" t="str">
        <f>IFERROR(__xludf.DUMMYFUNCTION("""COMPUTED_VALUE"""),"MAC")</f>
        <v>MAC</v>
      </c>
      <c r="W9" s="5">
        <f>IFERROR(__xludf.DUMMYFUNCTION("""COMPUTED_VALUE"""),0.0)</f>
        <v>0</v>
      </c>
      <c r="X9" s="5" t="str">
        <f>IFERROR(__xludf.DUMMYFUNCTION("""COMPUTED_VALUE"""),"ASCENDING")</f>
        <v>ASCENDING</v>
      </c>
      <c r="Y9" s="5" t="str">
        <f>IFERROR(__xludf.DUMMYFUNCTION("""COMPUTED_VALUE"""),"ASCENDING")</f>
        <v>ASCENDING</v>
      </c>
      <c r="Z9" s="5">
        <f>IFERROR(__xludf.DUMMYFUNCTION("""COMPUTED_VALUE"""),92.0)</f>
        <v>92</v>
      </c>
      <c r="AA9" s="5">
        <f>IFERROR(__xludf.DUMMYFUNCTION("""COMPUTED_VALUE"""),1374.0)</f>
        <v>1374</v>
      </c>
      <c r="AB9" s="5">
        <f>IFERROR(__xludf.DUMMYFUNCTION("""COMPUTED_VALUE"""),19603.0)</f>
        <v>19603</v>
      </c>
      <c r="AC9" s="5">
        <f>IFERROR(__xludf.DUMMYFUNCTION("""COMPUTED_VALUE"""),1313.0)</f>
        <v>1313</v>
      </c>
      <c r="AE9" s="5" t="str">
        <f>IFERROR(__xludf.DUMMYFUNCTION("""COMPUTED_VALUE"""),"8Queens.csp")</f>
        <v>8Queens.csp</v>
      </c>
      <c r="AF9" s="5" t="str">
        <f>IFERROR(__xludf.DUMMYFUNCTION("""COMPUTED_VALUE"""),"MAC")</f>
        <v>MAC</v>
      </c>
      <c r="AG9" s="5">
        <f>IFERROR(__xludf.DUMMYFUNCTION("""COMPUTED_VALUE"""),0.0)</f>
        <v>0</v>
      </c>
      <c r="AH9" s="5" t="str">
        <f>IFERROR(__xludf.DUMMYFUNCTION("""COMPUTED_VALUE"""),"SMALLEST_DOMAIN")</f>
        <v>SMALLEST_DOMAIN</v>
      </c>
      <c r="AI9" s="5" t="str">
        <f>IFERROR(__xludf.DUMMYFUNCTION("""COMPUTED_VALUE"""),"ASCENDING")</f>
        <v>ASCENDING</v>
      </c>
      <c r="AJ9" s="5">
        <f>IFERROR(__xludf.DUMMYFUNCTION("""COMPUTED_VALUE"""),92.0)</f>
        <v>92</v>
      </c>
      <c r="AK9" s="5">
        <f>IFERROR(__xludf.DUMMYFUNCTION("""COMPUTED_VALUE"""),1332.0)</f>
        <v>1332</v>
      </c>
      <c r="AL9" s="5">
        <f>IFERROR(__xludf.DUMMYFUNCTION("""COMPUTED_VALUE"""),19030.0)</f>
        <v>19030</v>
      </c>
      <c r="AM9" s="5">
        <f>IFERROR(__xludf.DUMMYFUNCTION("""COMPUTED_VALUE"""),1205.0)</f>
        <v>1205</v>
      </c>
    </row>
    <row r="10">
      <c r="U10" s="5" t="str">
        <f>IFERROR(__xludf.DUMMYFUNCTION("""COMPUTED_VALUE"""),"langfords2_3.csp")</f>
        <v>langfords2_3.csp</v>
      </c>
      <c r="V10" s="5" t="str">
        <f>IFERROR(__xludf.DUMMYFUNCTION("""COMPUTED_VALUE"""),"MAC")</f>
        <v>MAC</v>
      </c>
      <c r="W10" s="5">
        <f>IFERROR(__xludf.DUMMYFUNCTION("""COMPUTED_VALUE"""),0.0)</f>
        <v>0</v>
      </c>
      <c r="X10" s="5" t="str">
        <f>IFERROR(__xludf.DUMMYFUNCTION("""COMPUTED_VALUE"""),"ASCENDING")</f>
        <v>ASCENDING</v>
      </c>
      <c r="Y10" s="5" t="str">
        <f>IFERROR(__xludf.DUMMYFUNCTION("""COMPUTED_VALUE"""),"ASCENDING")</f>
        <v>ASCENDING</v>
      </c>
      <c r="Z10" s="5">
        <f>IFERROR(__xludf.DUMMYFUNCTION("""COMPUTED_VALUE"""),2.0)</f>
        <v>2</v>
      </c>
      <c r="AA10" s="5">
        <f>IFERROR(__xludf.DUMMYFUNCTION("""COMPUTED_VALUE"""),26.0)</f>
        <v>26</v>
      </c>
      <c r="AB10" s="5">
        <f>IFERROR(__xludf.DUMMYFUNCTION("""COMPUTED_VALUE"""),193.0)</f>
        <v>193</v>
      </c>
      <c r="AC10" s="5">
        <f>IFERROR(__xludf.DUMMYFUNCTION("""COMPUTED_VALUE"""),26.0)</f>
        <v>26</v>
      </c>
      <c r="AE10" s="5" t="str">
        <f>IFERROR(__xludf.DUMMYFUNCTION("""COMPUTED_VALUE"""),"langfords2_3.csp")</f>
        <v>langfords2_3.csp</v>
      </c>
      <c r="AF10" s="5" t="str">
        <f>IFERROR(__xludf.DUMMYFUNCTION("""COMPUTED_VALUE"""),"MAC")</f>
        <v>MAC</v>
      </c>
      <c r="AG10" s="5">
        <f>IFERROR(__xludf.DUMMYFUNCTION("""COMPUTED_VALUE"""),0.0)</f>
        <v>0</v>
      </c>
      <c r="AH10" s="5" t="str">
        <f>IFERROR(__xludf.DUMMYFUNCTION("""COMPUTED_VALUE"""),"SMALLEST_DOMAIN")</f>
        <v>SMALLEST_DOMAIN</v>
      </c>
      <c r="AI10" s="5" t="str">
        <f>IFERROR(__xludf.DUMMYFUNCTION("""COMPUTED_VALUE"""),"ASCENDING")</f>
        <v>ASCENDING</v>
      </c>
      <c r="AJ10" s="5">
        <f>IFERROR(__xludf.DUMMYFUNCTION("""COMPUTED_VALUE"""),2.0)</f>
        <v>2</v>
      </c>
      <c r="AK10" s="5">
        <f>IFERROR(__xludf.DUMMYFUNCTION("""COMPUTED_VALUE"""),24.0)</f>
        <v>24</v>
      </c>
      <c r="AL10" s="5">
        <f>IFERROR(__xludf.DUMMYFUNCTION("""COMPUTED_VALUE"""),158.0)</f>
        <v>158</v>
      </c>
      <c r="AM10" s="5">
        <f>IFERROR(__xludf.DUMMYFUNCTION("""COMPUTED_VALUE"""),27.0)</f>
        <v>27</v>
      </c>
    </row>
    <row r="11">
      <c r="U11" s="5" t="str">
        <f>IFERROR(__xludf.DUMMYFUNCTION("""COMPUTED_VALUE"""),"langfords2_4.csp")</f>
        <v>langfords2_4.csp</v>
      </c>
      <c r="V11" s="5" t="str">
        <f>IFERROR(__xludf.DUMMYFUNCTION("""COMPUTED_VALUE"""),"MAC")</f>
        <v>MAC</v>
      </c>
      <c r="W11" s="5">
        <f>IFERROR(__xludf.DUMMYFUNCTION("""COMPUTED_VALUE"""),0.0)</f>
        <v>0</v>
      </c>
      <c r="X11" s="5" t="str">
        <f>IFERROR(__xludf.DUMMYFUNCTION("""COMPUTED_VALUE"""),"ASCENDING")</f>
        <v>ASCENDING</v>
      </c>
      <c r="Y11" s="5" t="str">
        <f>IFERROR(__xludf.DUMMYFUNCTION("""COMPUTED_VALUE"""),"ASCENDING")</f>
        <v>ASCENDING</v>
      </c>
      <c r="Z11" s="5">
        <f>IFERROR(__xludf.DUMMYFUNCTION("""COMPUTED_VALUE"""),2.0)</f>
        <v>2</v>
      </c>
      <c r="AA11" s="5">
        <f>IFERROR(__xludf.DUMMYFUNCTION("""COMPUTED_VALUE"""),48.0)</f>
        <v>48</v>
      </c>
      <c r="AB11" s="5">
        <f>IFERROR(__xludf.DUMMYFUNCTION("""COMPUTED_VALUE"""),908.0)</f>
        <v>908</v>
      </c>
      <c r="AC11" s="5">
        <f>IFERROR(__xludf.DUMMYFUNCTION("""COMPUTED_VALUE"""),47.0)</f>
        <v>47</v>
      </c>
      <c r="AE11" s="5" t="str">
        <f>IFERROR(__xludf.DUMMYFUNCTION("""COMPUTED_VALUE"""),"langfords2_4.csp")</f>
        <v>langfords2_4.csp</v>
      </c>
      <c r="AF11" s="5" t="str">
        <f>IFERROR(__xludf.DUMMYFUNCTION("""COMPUTED_VALUE"""),"MAC")</f>
        <v>MAC</v>
      </c>
      <c r="AG11" s="5">
        <f>IFERROR(__xludf.DUMMYFUNCTION("""COMPUTED_VALUE"""),0.0)</f>
        <v>0</v>
      </c>
      <c r="AH11" s="5" t="str">
        <f>IFERROR(__xludf.DUMMYFUNCTION("""COMPUTED_VALUE"""),"SMALLEST_DOMAIN")</f>
        <v>SMALLEST_DOMAIN</v>
      </c>
      <c r="AI11" s="5" t="str">
        <f>IFERROR(__xludf.DUMMYFUNCTION("""COMPUTED_VALUE"""),"ASCENDING")</f>
        <v>ASCENDING</v>
      </c>
      <c r="AJ11" s="5">
        <f>IFERROR(__xludf.DUMMYFUNCTION("""COMPUTED_VALUE"""),2.0)</f>
        <v>2</v>
      </c>
      <c r="AK11" s="5">
        <f>IFERROR(__xludf.DUMMYFUNCTION("""COMPUTED_VALUE"""),40.0)</f>
        <v>40</v>
      </c>
      <c r="AL11" s="5">
        <f>IFERROR(__xludf.DUMMYFUNCTION("""COMPUTED_VALUE"""),806.0)</f>
        <v>806</v>
      </c>
      <c r="AM11" s="5">
        <f>IFERROR(__xludf.DUMMYFUNCTION("""COMPUTED_VALUE"""),68.0)</f>
        <v>68</v>
      </c>
    </row>
    <row r="12">
      <c r="U12" s="5" t="str">
        <f>IFERROR(__xludf.DUMMYFUNCTION("""COMPUTED_VALUE"""),"langfords2_7.csp")</f>
        <v>langfords2_7.csp</v>
      </c>
      <c r="V12" s="5" t="str">
        <f>IFERROR(__xludf.DUMMYFUNCTION("""COMPUTED_VALUE"""),"MAC")</f>
        <v>MAC</v>
      </c>
      <c r="W12" s="5">
        <f>IFERROR(__xludf.DUMMYFUNCTION("""COMPUTED_VALUE"""),0.0)</f>
        <v>0</v>
      </c>
      <c r="X12" s="5" t="str">
        <f>IFERROR(__xludf.DUMMYFUNCTION("""COMPUTED_VALUE"""),"ASCENDING")</f>
        <v>ASCENDING</v>
      </c>
      <c r="Y12" s="5" t="str">
        <f>IFERROR(__xludf.DUMMYFUNCTION("""COMPUTED_VALUE"""),"ASCENDING")</f>
        <v>ASCENDING</v>
      </c>
      <c r="Z12" s="5">
        <f>IFERROR(__xludf.DUMMYFUNCTION("""COMPUTED_VALUE"""),52.0)</f>
        <v>52</v>
      </c>
      <c r="AA12" s="5">
        <f>IFERROR(__xludf.DUMMYFUNCTION("""COMPUTED_VALUE"""),2702.0)</f>
        <v>2702</v>
      </c>
      <c r="AB12" s="5">
        <f>IFERROR(__xludf.DUMMYFUNCTION("""COMPUTED_VALUE"""),136436.0)</f>
        <v>136436</v>
      </c>
      <c r="AC12" s="5">
        <f>IFERROR(__xludf.DUMMYFUNCTION("""COMPUTED_VALUE"""),1390.0)</f>
        <v>1390</v>
      </c>
      <c r="AE12" s="5" t="str">
        <f>IFERROR(__xludf.DUMMYFUNCTION("""COMPUTED_VALUE"""),"langfords2_7.csp")</f>
        <v>langfords2_7.csp</v>
      </c>
      <c r="AF12" s="5" t="str">
        <f>IFERROR(__xludf.DUMMYFUNCTION("""COMPUTED_VALUE"""),"MAC")</f>
        <v>MAC</v>
      </c>
      <c r="AG12" s="5">
        <f>IFERROR(__xludf.DUMMYFUNCTION("""COMPUTED_VALUE"""),0.0)</f>
        <v>0</v>
      </c>
      <c r="AH12" s="5" t="str">
        <f>IFERROR(__xludf.DUMMYFUNCTION("""COMPUTED_VALUE"""),"SMALLEST_DOMAIN")</f>
        <v>SMALLEST_DOMAIN</v>
      </c>
      <c r="AI12" s="5" t="str">
        <f>IFERROR(__xludf.DUMMYFUNCTION("""COMPUTED_VALUE"""),"ASCENDING")</f>
        <v>ASCENDING</v>
      </c>
      <c r="AJ12" s="5">
        <f>IFERROR(__xludf.DUMMYFUNCTION("""COMPUTED_VALUE"""),52.0)</f>
        <v>52</v>
      </c>
      <c r="AK12" s="5">
        <f>IFERROR(__xludf.DUMMYFUNCTION("""COMPUTED_VALUE"""),1810.0)</f>
        <v>1810</v>
      </c>
      <c r="AL12" s="5">
        <f>IFERROR(__xludf.DUMMYFUNCTION("""COMPUTED_VALUE"""),86659.0)</f>
        <v>86659</v>
      </c>
      <c r="AM12" s="5">
        <f>IFERROR(__xludf.DUMMYFUNCTION("""COMPUTED_VALUE"""),1270.0)</f>
        <v>1270</v>
      </c>
    </row>
    <row r="13">
      <c r="U13" s="5" t="str">
        <f>IFERROR(__xludf.DUMMYFUNCTION("""COMPUTED_VALUE"""),"langfords2_8.csp")</f>
        <v>langfords2_8.csp</v>
      </c>
      <c r="V13" s="5" t="str">
        <f>IFERROR(__xludf.DUMMYFUNCTION("""COMPUTED_VALUE"""),"MAC")</f>
        <v>MAC</v>
      </c>
      <c r="W13" s="5">
        <f>IFERROR(__xludf.DUMMYFUNCTION("""COMPUTED_VALUE"""),0.0)</f>
        <v>0</v>
      </c>
      <c r="X13" s="5" t="str">
        <f>IFERROR(__xludf.DUMMYFUNCTION("""COMPUTED_VALUE"""),"ASCENDING")</f>
        <v>ASCENDING</v>
      </c>
      <c r="Y13" s="5" t="str">
        <f>IFERROR(__xludf.DUMMYFUNCTION("""COMPUTED_VALUE"""),"ASCENDING")</f>
        <v>ASCENDING</v>
      </c>
      <c r="Z13" s="5">
        <f>IFERROR(__xludf.DUMMYFUNCTION("""COMPUTED_VALUE"""),300.0)</f>
        <v>300</v>
      </c>
      <c r="AA13" s="5">
        <f>IFERROR(__xludf.DUMMYFUNCTION("""COMPUTED_VALUE"""),15172.0)</f>
        <v>15172</v>
      </c>
      <c r="AB13" s="5">
        <f>IFERROR(__xludf.DUMMYFUNCTION("""COMPUTED_VALUE"""),876117.0)</f>
        <v>876117</v>
      </c>
      <c r="AC13" s="5">
        <f>IFERROR(__xludf.DUMMYFUNCTION("""COMPUTED_VALUE"""),2521.0)</f>
        <v>2521</v>
      </c>
      <c r="AE13" s="5" t="str">
        <f>IFERROR(__xludf.DUMMYFUNCTION("""COMPUTED_VALUE"""),"langfords2_8.csp")</f>
        <v>langfords2_8.csp</v>
      </c>
      <c r="AF13" s="5" t="str">
        <f>IFERROR(__xludf.DUMMYFUNCTION("""COMPUTED_VALUE"""),"MAC")</f>
        <v>MAC</v>
      </c>
      <c r="AG13" s="5">
        <f>IFERROR(__xludf.DUMMYFUNCTION("""COMPUTED_VALUE"""),0.0)</f>
        <v>0</v>
      </c>
      <c r="AH13" s="5" t="str">
        <f>IFERROR(__xludf.DUMMYFUNCTION("""COMPUTED_VALUE"""),"SMALLEST_DOMAIN")</f>
        <v>SMALLEST_DOMAIN</v>
      </c>
      <c r="AI13" s="5" t="str">
        <f>IFERROR(__xludf.DUMMYFUNCTION("""COMPUTED_VALUE"""),"ASCENDING")</f>
        <v>ASCENDING</v>
      </c>
      <c r="AJ13" s="5">
        <f>IFERROR(__xludf.DUMMYFUNCTION("""COMPUTED_VALUE"""),300.0)</f>
        <v>300</v>
      </c>
      <c r="AK13" s="5">
        <f>IFERROR(__xludf.DUMMYFUNCTION("""COMPUTED_VALUE"""),9816.0)</f>
        <v>9816</v>
      </c>
      <c r="AL13" s="5">
        <f>IFERROR(__xludf.DUMMYFUNCTION("""COMPUTED_VALUE"""),488535.0)</f>
        <v>488535</v>
      </c>
      <c r="AM13" s="5">
        <f>IFERROR(__xludf.DUMMYFUNCTION("""COMPUTED_VALUE"""),1939.0)</f>
        <v>1939</v>
      </c>
    </row>
    <row r="14">
      <c r="U14" s="5" t="str">
        <f>IFERROR(__xludf.DUMMYFUNCTION("""COMPUTED_VALUE"""),"langfords3_10.csp")</f>
        <v>langfords3_10.csp</v>
      </c>
      <c r="V14" s="5" t="str">
        <f>IFERROR(__xludf.DUMMYFUNCTION("""COMPUTED_VALUE"""),"MAC")</f>
        <v>MAC</v>
      </c>
      <c r="W14" s="5">
        <f>IFERROR(__xludf.DUMMYFUNCTION("""COMPUTED_VALUE"""),0.0)</f>
        <v>0</v>
      </c>
      <c r="X14" s="5" t="str">
        <f>IFERROR(__xludf.DUMMYFUNCTION("""COMPUTED_VALUE"""),"ASCENDING")</f>
        <v>ASCENDING</v>
      </c>
      <c r="Y14" s="5" t="str">
        <f>IFERROR(__xludf.DUMMYFUNCTION("""COMPUTED_VALUE"""),"ASCENDING")</f>
        <v>ASCENDING</v>
      </c>
      <c r="Z14" s="5">
        <f>IFERROR(__xludf.DUMMYFUNCTION("""COMPUTED_VALUE"""),10.0)</f>
        <v>10</v>
      </c>
      <c r="AA14" s="5">
        <f>IFERROR(__xludf.DUMMYFUNCTION("""COMPUTED_VALUE"""),90058.0)</f>
        <v>90058</v>
      </c>
      <c r="AB14" s="5">
        <f>IFERROR(__xludf.DUMMYFUNCTION("""COMPUTED_VALUE"""),2.3030822E7)</f>
        <v>23030822</v>
      </c>
      <c r="AC14" s="5">
        <f>IFERROR(__xludf.DUMMYFUNCTION("""COMPUTED_VALUE"""),80840.0)</f>
        <v>80840</v>
      </c>
      <c r="AE14" s="5" t="str">
        <f>IFERROR(__xludf.DUMMYFUNCTION("""COMPUTED_VALUE"""),"langfords3_10.csp")</f>
        <v>langfords3_10.csp</v>
      </c>
      <c r="AF14" s="5" t="str">
        <f>IFERROR(__xludf.DUMMYFUNCTION("""COMPUTED_VALUE"""),"MAC")</f>
        <v>MAC</v>
      </c>
      <c r="AG14" s="5">
        <f>IFERROR(__xludf.DUMMYFUNCTION("""COMPUTED_VALUE"""),0.0)</f>
        <v>0</v>
      </c>
      <c r="AH14" s="5" t="str">
        <f>IFERROR(__xludf.DUMMYFUNCTION("""COMPUTED_VALUE"""),"SMALLEST_DOMAIN")</f>
        <v>SMALLEST_DOMAIN</v>
      </c>
      <c r="AI14" s="5" t="str">
        <f>IFERROR(__xludf.DUMMYFUNCTION("""COMPUTED_VALUE"""),"ASCENDING")</f>
        <v>ASCENDING</v>
      </c>
      <c r="AJ14" s="5">
        <f>IFERROR(__xludf.DUMMYFUNCTION("""COMPUTED_VALUE"""),10.0)</f>
        <v>10</v>
      </c>
      <c r="AK14" s="5">
        <f>IFERROR(__xludf.DUMMYFUNCTION("""COMPUTED_VALUE"""),16080.0)</f>
        <v>16080</v>
      </c>
      <c r="AL14" s="5">
        <f>IFERROR(__xludf.DUMMYFUNCTION("""COMPUTED_VALUE"""),4508606.0)</f>
        <v>4508606</v>
      </c>
      <c r="AM14" s="5">
        <f>IFERROR(__xludf.DUMMYFUNCTION("""COMPUTED_VALUE"""),19964.0)</f>
        <v>19964</v>
      </c>
    </row>
    <row r="15">
      <c r="U15" s="5" t="str">
        <f>IFERROR(__xludf.DUMMYFUNCTION("""COMPUTED_VALUE"""),"langfords3_9.csp")</f>
        <v>langfords3_9.csp</v>
      </c>
      <c r="V15" s="5" t="str">
        <f>IFERROR(__xludf.DUMMYFUNCTION("""COMPUTED_VALUE"""),"MAC")</f>
        <v>MAC</v>
      </c>
      <c r="W15" s="5">
        <f>IFERROR(__xludf.DUMMYFUNCTION("""COMPUTED_VALUE"""),0.0)</f>
        <v>0</v>
      </c>
      <c r="X15" s="5" t="str">
        <f>IFERROR(__xludf.DUMMYFUNCTION("""COMPUTED_VALUE"""),"ASCENDING")</f>
        <v>ASCENDING</v>
      </c>
      <c r="Y15" s="5" t="str">
        <f>IFERROR(__xludf.DUMMYFUNCTION("""COMPUTED_VALUE"""),"ASCENDING")</f>
        <v>ASCENDING</v>
      </c>
      <c r="Z15" s="5">
        <f>IFERROR(__xludf.DUMMYFUNCTION("""COMPUTED_VALUE"""),6.0)</f>
        <v>6</v>
      </c>
      <c r="AA15" s="5">
        <f>IFERROR(__xludf.DUMMYFUNCTION("""COMPUTED_VALUE"""),18968.0)</f>
        <v>18968</v>
      </c>
      <c r="AB15" s="5">
        <f>IFERROR(__xludf.DUMMYFUNCTION("""COMPUTED_VALUE"""),4100997.0)</f>
        <v>4100997</v>
      </c>
      <c r="AC15" s="5">
        <f>IFERROR(__xludf.DUMMYFUNCTION("""COMPUTED_VALUE"""),19615.0)</f>
        <v>19615</v>
      </c>
      <c r="AE15" s="5" t="str">
        <f>IFERROR(__xludf.DUMMYFUNCTION("""COMPUTED_VALUE"""),"langfords3_9.csp")</f>
        <v>langfords3_9.csp</v>
      </c>
      <c r="AF15" s="5" t="str">
        <f>IFERROR(__xludf.DUMMYFUNCTION("""COMPUTED_VALUE"""),"MAC")</f>
        <v>MAC</v>
      </c>
      <c r="AG15" s="5">
        <f>IFERROR(__xludf.DUMMYFUNCTION("""COMPUTED_VALUE"""),0.0)</f>
        <v>0</v>
      </c>
      <c r="AH15" s="5" t="str">
        <f>IFERROR(__xludf.DUMMYFUNCTION("""COMPUTED_VALUE"""),"SMALLEST_DOMAIN")</f>
        <v>SMALLEST_DOMAIN</v>
      </c>
      <c r="AI15" s="5" t="str">
        <f>IFERROR(__xludf.DUMMYFUNCTION("""COMPUTED_VALUE"""),"ASCENDING")</f>
        <v>ASCENDING</v>
      </c>
      <c r="AJ15" s="5">
        <f>IFERROR(__xludf.DUMMYFUNCTION("""COMPUTED_VALUE"""),6.0)</f>
        <v>6</v>
      </c>
      <c r="AK15" s="5">
        <f>IFERROR(__xludf.DUMMYFUNCTION("""COMPUTED_VALUE"""),4162.0)</f>
        <v>4162</v>
      </c>
      <c r="AL15" s="5">
        <f>IFERROR(__xludf.DUMMYFUNCTION("""COMPUTED_VALUE"""),1089462.0)</f>
        <v>1089462</v>
      </c>
      <c r="AM15" s="5">
        <f>IFERROR(__xludf.DUMMYFUNCTION("""COMPUTED_VALUE"""),5075.0)</f>
        <v>5075</v>
      </c>
    </row>
    <row r="36">
      <c r="A36" s="6" t="s">
        <v>43</v>
      </c>
      <c r="B36" s="6">
        <v>5.0</v>
      </c>
    </row>
    <row r="40">
      <c r="A40" s="5" t="str">
        <f>Data!$A$1</f>
        <v>Instance</v>
      </c>
      <c r="B40" s="5" t="str">
        <f>Data!$B$1</f>
        <v>Solver Type</v>
      </c>
      <c r="C40" s="5" t="str">
        <f>Data!$C$1</f>
        <v>Solutions To Find</v>
      </c>
      <c r="D40" s="5" t="str">
        <f>Data!$D$1</f>
        <v>Variable Ordering</v>
      </c>
      <c r="E40" s="5" t="str">
        <f>Data!$E$1</f>
        <v>Value Ordering</v>
      </c>
      <c r="F40" s="5" t="str">
        <f>Data!$F$1</f>
        <v>Solutions Found</v>
      </c>
      <c r="G40" s="5" t="str">
        <f>Data!$G$1</f>
        <v>Nodes Explored</v>
      </c>
      <c r="H40" s="5" t="str">
        <f>Data!$H$1</f>
        <v>Revisions Done</v>
      </c>
      <c r="I40" s="5" t="str">
        <f>Data!$I$1</f>
        <v>Time Taken</v>
      </c>
      <c r="K40" s="5" t="str">
        <f>Data!$A$1</f>
        <v>Instance</v>
      </c>
      <c r="L40" s="5" t="str">
        <f>Data!$B$1</f>
        <v>Solver Type</v>
      </c>
      <c r="M40" s="5" t="str">
        <f>Data!$C$1</f>
        <v>Solutions To Find</v>
      </c>
      <c r="N40" s="5" t="str">
        <f>Data!$D$1</f>
        <v>Variable Ordering</v>
      </c>
      <c r="O40" s="5" t="str">
        <f>Data!$E$1</f>
        <v>Value Ordering</v>
      </c>
      <c r="P40" s="5" t="str">
        <f>Data!$F$1</f>
        <v>Solutions Found</v>
      </c>
      <c r="Q40" s="5" t="str">
        <f>Data!$G$1</f>
        <v>Nodes Explored</v>
      </c>
      <c r="R40" s="5" t="str">
        <f>Data!$H$1</f>
        <v>Revisions Done</v>
      </c>
      <c r="S40" s="5" t="str">
        <f>Data!$I$1</f>
        <v>Time Taken</v>
      </c>
    </row>
    <row r="41">
      <c r="A41" s="5" t="str">
        <f t="array" ref="A41:S45">SORTN(U2:AM1000,$B$36,0,8,1)</f>
        <v>4Queens.csp</v>
      </c>
      <c r="B41" s="5" t="s">
        <v>11</v>
      </c>
      <c r="C41" s="5">
        <v>0.0</v>
      </c>
      <c r="D41" s="5" t="s">
        <v>12</v>
      </c>
      <c r="E41" s="5" t="s">
        <v>12</v>
      </c>
      <c r="F41" s="5">
        <v>2.0</v>
      </c>
      <c r="G41" s="5">
        <v>18.0</v>
      </c>
      <c r="H41" s="5">
        <v>80.0</v>
      </c>
      <c r="I41" s="5">
        <v>10.0</v>
      </c>
      <c r="J41" s="5"/>
      <c r="K41" s="5" t="s">
        <v>28</v>
      </c>
      <c r="L41" s="5" t="s">
        <v>11</v>
      </c>
      <c r="M41" s="5">
        <v>0.0</v>
      </c>
      <c r="N41" s="5" t="s">
        <v>14</v>
      </c>
      <c r="O41" s="5" t="s">
        <v>12</v>
      </c>
      <c r="P41" s="5">
        <v>2.0</v>
      </c>
      <c r="Q41" s="5">
        <v>18.0</v>
      </c>
      <c r="R41" s="5">
        <v>80.0</v>
      </c>
      <c r="S41" s="5">
        <v>11.0</v>
      </c>
    </row>
    <row r="42">
      <c r="A42" s="5" t="s">
        <v>36</v>
      </c>
      <c r="B42" s="5" t="s">
        <v>11</v>
      </c>
      <c r="C42" s="5">
        <v>0.0</v>
      </c>
      <c r="D42" s="5" t="s">
        <v>12</v>
      </c>
      <c r="E42" s="5" t="s">
        <v>12</v>
      </c>
      <c r="F42" s="5">
        <v>2.0</v>
      </c>
      <c r="G42" s="5">
        <v>26.0</v>
      </c>
      <c r="H42" s="5">
        <v>193.0</v>
      </c>
      <c r="I42" s="5">
        <v>26.0</v>
      </c>
      <c r="J42" s="5"/>
      <c r="K42" s="5" t="s">
        <v>36</v>
      </c>
      <c r="L42" s="5" t="s">
        <v>11</v>
      </c>
      <c r="M42" s="5">
        <v>0.0</v>
      </c>
      <c r="N42" s="5" t="s">
        <v>14</v>
      </c>
      <c r="O42" s="5" t="s">
        <v>12</v>
      </c>
      <c r="P42" s="5">
        <v>2.0</v>
      </c>
      <c r="Q42" s="5">
        <v>24.0</v>
      </c>
      <c r="R42" s="5">
        <v>158.0</v>
      </c>
      <c r="S42" s="5">
        <v>27.0</v>
      </c>
    </row>
    <row r="43">
      <c r="A43" s="5" t="s">
        <v>29</v>
      </c>
      <c r="B43" s="5" t="s">
        <v>11</v>
      </c>
      <c r="C43" s="5">
        <v>0.0</v>
      </c>
      <c r="D43" s="5" t="s">
        <v>12</v>
      </c>
      <c r="E43" s="5" t="s">
        <v>12</v>
      </c>
      <c r="F43" s="5">
        <v>10.0</v>
      </c>
      <c r="G43" s="5">
        <v>92.0</v>
      </c>
      <c r="H43" s="5">
        <v>386.0</v>
      </c>
      <c r="I43" s="5">
        <v>31.0</v>
      </c>
      <c r="J43" s="5"/>
      <c r="K43" s="5" t="s">
        <v>29</v>
      </c>
      <c r="L43" s="5" t="s">
        <v>11</v>
      </c>
      <c r="M43" s="5">
        <v>0.0</v>
      </c>
      <c r="N43" s="5" t="s">
        <v>14</v>
      </c>
      <c r="O43" s="5" t="s">
        <v>12</v>
      </c>
      <c r="P43" s="5">
        <v>10.0</v>
      </c>
      <c r="Q43" s="5">
        <v>90.0</v>
      </c>
      <c r="R43" s="5">
        <v>368.0</v>
      </c>
      <c r="S43" s="5">
        <v>17.0</v>
      </c>
    </row>
    <row r="44">
      <c r="A44" s="5" t="s">
        <v>37</v>
      </c>
      <c r="B44" s="5" t="s">
        <v>11</v>
      </c>
      <c r="C44" s="5">
        <v>0.0</v>
      </c>
      <c r="D44" s="5" t="s">
        <v>12</v>
      </c>
      <c r="E44" s="5" t="s">
        <v>12</v>
      </c>
      <c r="F44" s="5">
        <v>2.0</v>
      </c>
      <c r="G44" s="5">
        <v>48.0</v>
      </c>
      <c r="H44" s="5">
        <v>908.0</v>
      </c>
      <c r="I44" s="5">
        <v>47.0</v>
      </c>
      <c r="J44" s="5"/>
      <c r="K44" s="5" t="s">
        <v>37</v>
      </c>
      <c r="L44" s="5" t="s">
        <v>11</v>
      </c>
      <c r="M44" s="5">
        <v>0.0</v>
      </c>
      <c r="N44" s="5" t="s">
        <v>14</v>
      </c>
      <c r="O44" s="5" t="s">
        <v>12</v>
      </c>
      <c r="P44" s="5">
        <v>2.0</v>
      </c>
      <c r="Q44" s="5">
        <v>40.0</v>
      </c>
      <c r="R44" s="5">
        <v>806.0</v>
      </c>
      <c r="S44" s="5">
        <v>68.0</v>
      </c>
    </row>
    <row r="45">
      <c r="A45" s="5" t="s">
        <v>30</v>
      </c>
      <c r="B45" s="5" t="s">
        <v>11</v>
      </c>
      <c r="C45" s="5">
        <v>0.0</v>
      </c>
      <c r="D45" s="5" t="s">
        <v>12</v>
      </c>
      <c r="E45" s="5" t="s">
        <v>12</v>
      </c>
      <c r="F45" s="5">
        <v>4.0</v>
      </c>
      <c r="G45" s="5">
        <v>76.0</v>
      </c>
      <c r="H45" s="5">
        <v>976.0</v>
      </c>
      <c r="I45" s="5">
        <v>96.0</v>
      </c>
      <c r="J45" s="5"/>
      <c r="K45" s="5" t="s">
        <v>30</v>
      </c>
      <c r="L45" s="5" t="s">
        <v>11</v>
      </c>
      <c r="M45" s="5">
        <v>0.0</v>
      </c>
      <c r="N45" s="5" t="s">
        <v>14</v>
      </c>
      <c r="O45" s="5" t="s">
        <v>12</v>
      </c>
      <c r="P45" s="5">
        <v>4.0</v>
      </c>
      <c r="Q45" s="5">
        <v>76.0</v>
      </c>
      <c r="R45" s="5">
        <v>976.0</v>
      </c>
      <c r="S45" s="5">
        <v>52.0</v>
      </c>
    </row>
    <row r="60">
      <c r="A60" s="5" t="str">
        <f>Data!$A$1</f>
        <v>Instance</v>
      </c>
      <c r="B60" s="5" t="str">
        <f>Data!$B$1</f>
        <v>Solver Type</v>
      </c>
      <c r="C60" s="5" t="str">
        <f>Data!$C$1</f>
        <v>Solutions To Find</v>
      </c>
      <c r="D60" s="5" t="str">
        <f>Data!$D$1</f>
        <v>Variable Ordering</v>
      </c>
      <c r="E60" s="5" t="str">
        <f>Data!$E$1</f>
        <v>Value Ordering</v>
      </c>
      <c r="F60" s="5" t="str">
        <f>Data!$F$1</f>
        <v>Solutions Found</v>
      </c>
      <c r="G60" s="5" t="str">
        <f>Data!$G$1</f>
        <v>Nodes Explored</v>
      </c>
      <c r="H60" s="5" t="str">
        <f>Data!$H$1</f>
        <v>Revisions Done</v>
      </c>
      <c r="I60" s="5" t="str">
        <f>Data!$I$1</f>
        <v>Time Taken</v>
      </c>
      <c r="K60" s="5" t="str">
        <f>Data!$A$1</f>
        <v>Instance</v>
      </c>
      <c r="L60" s="5" t="str">
        <f>Data!$B$1</f>
        <v>Solver Type</v>
      </c>
      <c r="M60" s="5" t="str">
        <f>Data!$C$1</f>
        <v>Solutions To Find</v>
      </c>
      <c r="N60" s="5" t="str">
        <f>Data!$D$1</f>
        <v>Variable Ordering</v>
      </c>
      <c r="O60" s="5" t="str">
        <f>Data!$E$1</f>
        <v>Value Ordering</v>
      </c>
      <c r="P60" s="5" t="str">
        <f>Data!$F$1</f>
        <v>Solutions Found</v>
      </c>
      <c r="Q60" s="5" t="str">
        <f>Data!$G$1</f>
        <v>Nodes Explored</v>
      </c>
      <c r="R60" s="5" t="str">
        <f>Data!$H$1</f>
        <v>Revisions Done</v>
      </c>
      <c r="S60" s="5" t="str">
        <f>Data!$I$1</f>
        <v>Time Taken</v>
      </c>
    </row>
    <row r="61">
      <c r="A61" s="5" t="str">
        <f t="array" ref="A61:S65">SORTN(U2:AM1000,$B$36,0,9,1)</f>
        <v>4Queens.csp</v>
      </c>
      <c r="B61" s="5" t="s">
        <v>11</v>
      </c>
      <c r="C61" s="5">
        <v>0.0</v>
      </c>
      <c r="D61" s="5" t="s">
        <v>12</v>
      </c>
      <c r="E61" s="5" t="s">
        <v>12</v>
      </c>
      <c r="F61" s="5">
        <v>2.0</v>
      </c>
      <c r="G61" s="5">
        <v>18.0</v>
      </c>
      <c r="H61" s="5">
        <v>80.0</v>
      </c>
      <c r="I61" s="5">
        <v>10.0</v>
      </c>
      <c r="J61" s="5"/>
      <c r="K61" s="5" t="s">
        <v>28</v>
      </c>
      <c r="L61" s="5" t="s">
        <v>11</v>
      </c>
      <c r="M61" s="5">
        <v>0.0</v>
      </c>
      <c r="N61" s="5" t="s">
        <v>14</v>
      </c>
      <c r="O61" s="5" t="s">
        <v>12</v>
      </c>
      <c r="P61" s="5">
        <v>2.0</v>
      </c>
      <c r="Q61" s="5">
        <v>18.0</v>
      </c>
      <c r="R61" s="5">
        <v>80.0</v>
      </c>
      <c r="S61" s="5">
        <v>11.0</v>
      </c>
    </row>
    <row r="62">
      <c r="A62" s="5" t="s">
        <v>36</v>
      </c>
      <c r="B62" s="5" t="s">
        <v>11</v>
      </c>
      <c r="C62" s="5">
        <v>0.0</v>
      </c>
      <c r="D62" s="5" t="s">
        <v>12</v>
      </c>
      <c r="E62" s="5" t="s">
        <v>12</v>
      </c>
      <c r="F62" s="5">
        <v>2.0</v>
      </c>
      <c r="G62" s="5">
        <v>26.0</v>
      </c>
      <c r="H62" s="5">
        <v>193.0</v>
      </c>
      <c r="I62" s="5">
        <v>26.0</v>
      </c>
      <c r="J62" s="5"/>
      <c r="K62" s="5" t="s">
        <v>36</v>
      </c>
      <c r="L62" s="5" t="s">
        <v>11</v>
      </c>
      <c r="M62" s="5">
        <v>0.0</v>
      </c>
      <c r="N62" s="5" t="s">
        <v>14</v>
      </c>
      <c r="O62" s="5" t="s">
        <v>12</v>
      </c>
      <c r="P62" s="5">
        <v>2.0</v>
      </c>
      <c r="Q62" s="5">
        <v>24.0</v>
      </c>
      <c r="R62" s="5">
        <v>158.0</v>
      </c>
      <c r="S62" s="5">
        <v>27.0</v>
      </c>
    </row>
    <row r="63">
      <c r="A63" s="5" t="s">
        <v>29</v>
      </c>
      <c r="B63" s="5" t="s">
        <v>11</v>
      </c>
      <c r="C63" s="5">
        <v>0.0</v>
      </c>
      <c r="D63" s="5" t="s">
        <v>12</v>
      </c>
      <c r="E63" s="5" t="s">
        <v>12</v>
      </c>
      <c r="F63" s="5">
        <v>10.0</v>
      </c>
      <c r="G63" s="5">
        <v>92.0</v>
      </c>
      <c r="H63" s="5">
        <v>386.0</v>
      </c>
      <c r="I63" s="5">
        <v>31.0</v>
      </c>
      <c r="J63" s="5"/>
      <c r="K63" s="5" t="s">
        <v>29</v>
      </c>
      <c r="L63" s="5" t="s">
        <v>11</v>
      </c>
      <c r="M63" s="5">
        <v>0.0</v>
      </c>
      <c r="N63" s="5" t="s">
        <v>14</v>
      </c>
      <c r="O63" s="5" t="s">
        <v>12</v>
      </c>
      <c r="P63" s="5">
        <v>10.0</v>
      </c>
      <c r="Q63" s="5">
        <v>90.0</v>
      </c>
      <c r="R63" s="5">
        <v>368.0</v>
      </c>
      <c r="S63" s="5">
        <v>17.0</v>
      </c>
    </row>
    <row r="64">
      <c r="A64" s="5" t="s">
        <v>37</v>
      </c>
      <c r="B64" s="5" t="s">
        <v>11</v>
      </c>
      <c r="C64" s="5">
        <v>0.0</v>
      </c>
      <c r="D64" s="5" t="s">
        <v>12</v>
      </c>
      <c r="E64" s="5" t="s">
        <v>12</v>
      </c>
      <c r="F64" s="5">
        <v>2.0</v>
      </c>
      <c r="G64" s="5">
        <v>48.0</v>
      </c>
      <c r="H64" s="5">
        <v>908.0</v>
      </c>
      <c r="I64" s="5">
        <v>47.0</v>
      </c>
      <c r="J64" s="5"/>
      <c r="K64" s="5" t="s">
        <v>37</v>
      </c>
      <c r="L64" s="5" t="s">
        <v>11</v>
      </c>
      <c r="M64" s="5">
        <v>0.0</v>
      </c>
      <c r="N64" s="5" t="s">
        <v>14</v>
      </c>
      <c r="O64" s="5" t="s">
        <v>12</v>
      </c>
      <c r="P64" s="5">
        <v>2.0</v>
      </c>
      <c r="Q64" s="5">
        <v>40.0</v>
      </c>
      <c r="R64" s="5">
        <v>806.0</v>
      </c>
      <c r="S64" s="5">
        <v>68.0</v>
      </c>
    </row>
    <row r="65">
      <c r="A65" s="5" t="s">
        <v>30</v>
      </c>
      <c r="B65" s="5" t="s">
        <v>11</v>
      </c>
      <c r="C65" s="5">
        <v>0.0</v>
      </c>
      <c r="D65" s="5" t="s">
        <v>12</v>
      </c>
      <c r="E65" s="5" t="s">
        <v>12</v>
      </c>
      <c r="F65" s="5">
        <v>4.0</v>
      </c>
      <c r="G65" s="5">
        <v>76.0</v>
      </c>
      <c r="H65" s="5">
        <v>976.0</v>
      </c>
      <c r="I65" s="5">
        <v>96.0</v>
      </c>
      <c r="J65" s="5"/>
      <c r="K65" s="5" t="s">
        <v>30</v>
      </c>
      <c r="L65" s="5" t="s">
        <v>11</v>
      </c>
      <c r="M65" s="5">
        <v>0.0</v>
      </c>
      <c r="N65" s="5" t="s">
        <v>14</v>
      </c>
      <c r="O65" s="5" t="s">
        <v>12</v>
      </c>
      <c r="P65" s="5">
        <v>4.0</v>
      </c>
      <c r="Q65" s="5">
        <v>76.0</v>
      </c>
      <c r="R65" s="5">
        <v>976.0</v>
      </c>
      <c r="S65" s="5">
        <v>52.0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75"/>
  </cols>
  <sheetData>
    <row r="1">
      <c r="A1" s="5" t="str">
        <f>Data!$A$1</f>
        <v>Instance</v>
      </c>
      <c r="B1" s="5" t="str">
        <f>Data!$B$1</f>
        <v>Solver Type</v>
      </c>
      <c r="C1" s="5" t="str">
        <f>Data!$C$1</f>
        <v>Solutions To Find</v>
      </c>
      <c r="D1" s="5" t="str">
        <f>Data!$D$1</f>
        <v>Variable Ordering</v>
      </c>
      <c r="E1" s="5" t="str">
        <f>Data!$E$1</f>
        <v>Value Ordering</v>
      </c>
      <c r="F1" s="5" t="str">
        <f>Data!$F$1</f>
        <v>Solutions Found</v>
      </c>
      <c r="G1" s="5" t="str">
        <f>Data!$G$1</f>
        <v>Nodes Explored</v>
      </c>
      <c r="H1" s="5" t="str">
        <f>Data!$H$1</f>
        <v>Revisions Done</v>
      </c>
      <c r="I1" s="5" t="str">
        <f>Data!$I$1</f>
        <v>Time Taken</v>
      </c>
      <c r="K1" s="5" t="str">
        <f>Data!$A$1</f>
        <v>Instance</v>
      </c>
      <c r="L1" s="5" t="str">
        <f>Data!$B$1</f>
        <v>Solver Type</v>
      </c>
      <c r="M1" s="5" t="str">
        <f>Data!$C$1</f>
        <v>Solutions To Find</v>
      </c>
      <c r="N1" s="5" t="str">
        <f>Data!$D$1</f>
        <v>Variable Ordering</v>
      </c>
      <c r="O1" s="5" t="str">
        <f>Data!$E$1</f>
        <v>Value Ordering</v>
      </c>
      <c r="P1" s="5" t="str">
        <f>Data!$F$1</f>
        <v>Solutions Found</v>
      </c>
      <c r="Q1" s="5" t="str">
        <f>Data!$G$1</f>
        <v>Nodes Explored</v>
      </c>
      <c r="R1" s="5" t="str">
        <f>Data!$H$1</f>
        <v>Revisions Done</v>
      </c>
      <c r="S1" s="5" t="str">
        <f>Data!$I$1</f>
        <v>Time Taken</v>
      </c>
      <c r="U1" s="5" t="str">
        <f>Data!$A$1</f>
        <v>Instance</v>
      </c>
      <c r="V1" s="5" t="str">
        <f>Data!$B$1</f>
        <v>Solver Type</v>
      </c>
      <c r="W1" s="5" t="str">
        <f>Data!$C$1</f>
        <v>Solutions To Find</v>
      </c>
      <c r="X1" s="5" t="str">
        <f>Data!$D$1</f>
        <v>Variable Ordering</v>
      </c>
      <c r="Y1" s="5" t="str">
        <f>Data!$E$1</f>
        <v>Value Ordering</v>
      </c>
      <c r="Z1" s="5" t="str">
        <f>Data!$F$1</f>
        <v>Solutions Found</v>
      </c>
      <c r="AA1" s="5" t="str">
        <f>Data!$G$1</f>
        <v>Nodes Explored</v>
      </c>
      <c r="AB1" s="5" t="str">
        <f>Data!$H$1</f>
        <v>Revisions Done</v>
      </c>
      <c r="AC1" s="5" t="str">
        <f>Data!$I$1</f>
        <v>Time Taken</v>
      </c>
      <c r="AE1" s="5" t="str">
        <f>Data!$A$1</f>
        <v>Instance</v>
      </c>
      <c r="AF1" s="5" t="str">
        <f>Data!$B$1</f>
        <v>Solver Type</v>
      </c>
      <c r="AG1" s="5" t="str">
        <f>Data!$C$1</f>
        <v>Solutions To Find</v>
      </c>
      <c r="AH1" s="5" t="str">
        <f>Data!$D$1</f>
        <v>Variable Ordering</v>
      </c>
      <c r="AI1" s="5" t="str">
        <f>Data!$E$1</f>
        <v>Value Ordering</v>
      </c>
      <c r="AJ1" s="5" t="str">
        <f>Data!$F$1</f>
        <v>Solutions Found</v>
      </c>
      <c r="AK1" s="5" t="str">
        <f>Data!$G$1</f>
        <v>Nodes Explored</v>
      </c>
      <c r="AL1" s="5" t="str">
        <f>Data!$H$1</f>
        <v>Revisions Done</v>
      </c>
      <c r="AM1" s="5" t="str">
        <f>Data!$I$1</f>
        <v>Time Taken</v>
      </c>
    </row>
    <row r="2">
      <c r="A2" s="5" t="str">
        <f t="array" ref="A2:S16">SORTN(U2:AM1000,$B$36,0,7,1)</f>
        <v>5Queens.csp</v>
      </c>
      <c r="B2" s="5" t="s">
        <v>11</v>
      </c>
      <c r="C2" s="5">
        <v>1.0</v>
      </c>
      <c r="D2" s="5" t="s">
        <v>12</v>
      </c>
      <c r="E2" s="5" t="s">
        <v>12</v>
      </c>
      <c r="F2" s="5">
        <v>1.0</v>
      </c>
      <c r="G2" s="5">
        <v>5.0</v>
      </c>
      <c r="H2" s="5">
        <v>66.0</v>
      </c>
      <c r="I2" s="5">
        <v>2.0</v>
      </c>
      <c r="J2" s="5"/>
      <c r="K2" s="5" t="s">
        <v>29</v>
      </c>
      <c r="L2" s="5" t="s">
        <v>11</v>
      </c>
      <c r="M2" s="5">
        <v>1.0</v>
      </c>
      <c r="N2" s="5" t="s">
        <v>12</v>
      </c>
      <c r="O2" s="5" t="s">
        <v>13</v>
      </c>
      <c r="P2" s="5">
        <v>1.0</v>
      </c>
      <c r="Q2" s="5">
        <v>5.0</v>
      </c>
      <c r="R2" s="5">
        <v>66.0</v>
      </c>
      <c r="S2" s="5">
        <v>11.0</v>
      </c>
      <c r="U2" s="2" t="str">
        <f>IFERROR(__xludf.DUMMYFUNCTION("FILTER(Data!A:I, Data!D:D=""ASCENDING"", Data!E:E=""ASCENDING"", Data!C:C=1, Data!B:B=""MAC"")"),"10Queens.csp")</f>
        <v>10Queens.csp</v>
      </c>
      <c r="V2" s="5" t="str">
        <f>IFERROR(__xludf.DUMMYFUNCTION("""COMPUTED_VALUE"""),"MAC")</f>
        <v>MAC</v>
      </c>
      <c r="W2" s="5">
        <f>IFERROR(__xludf.DUMMYFUNCTION("""COMPUTED_VALUE"""),1.0)</f>
        <v>1</v>
      </c>
      <c r="X2" s="5" t="str">
        <f>IFERROR(__xludf.DUMMYFUNCTION("""COMPUTED_VALUE"""),"ASCENDING")</f>
        <v>ASCENDING</v>
      </c>
      <c r="Y2" s="5" t="str">
        <f>IFERROR(__xludf.DUMMYFUNCTION("""COMPUTED_VALUE"""),"ASCENDING")</f>
        <v>ASCENDING</v>
      </c>
      <c r="Z2" s="5">
        <f>IFERROR(__xludf.DUMMYFUNCTION("""COMPUTED_VALUE"""),1.0)</f>
        <v>1</v>
      </c>
      <c r="AA2" s="5">
        <f>IFERROR(__xludf.DUMMYFUNCTION("""COMPUTED_VALUE"""),36.0)</f>
        <v>36</v>
      </c>
      <c r="AB2" s="5">
        <f>IFERROR(__xludf.DUMMYFUNCTION("""COMPUTED_VALUE"""),1507.0)</f>
        <v>1507</v>
      </c>
      <c r="AC2" s="5">
        <f>IFERROR(__xludf.DUMMYFUNCTION("""COMPUTED_VALUE"""),51.0)</f>
        <v>51</v>
      </c>
      <c r="AE2" s="5" t="str">
        <f>IFERROR(__xludf.DUMMYFUNCTION("FILTER(Data!A:I, Data!D:D=""ASCENDING"", Data!E:E=""MIN_CONFLICTS"", Data!C:C=1, Data!B:B=""MAC"")"),"10Queens.csp")</f>
        <v>10Queens.csp</v>
      </c>
      <c r="AF2" s="5" t="str">
        <f>IFERROR(__xludf.DUMMYFUNCTION("""COMPUTED_VALUE"""),"MAC")</f>
        <v>MAC</v>
      </c>
      <c r="AG2" s="5">
        <f>IFERROR(__xludf.DUMMYFUNCTION("""COMPUTED_VALUE"""),1.0)</f>
        <v>1</v>
      </c>
      <c r="AH2" s="5" t="str">
        <f>IFERROR(__xludf.DUMMYFUNCTION("""COMPUTED_VALUE"""),"ASCENDING")</f>
        <v>ASCENDING</v>
      </c>
      <c r="AI2" s="5" t="str">
        <f>IFERROR(__xludf.DUMMYFUNCTION("""COMPUTED_VALUE"""),"MIN_CONFLICTS")</f>
        <v>MIN_CONFLICTS</v>
      </c>
      <c r="AJ2" s="5">
        <f>IFERROR(__xludf.DUMMYFUNCTION("""COMPUTED_VALUE"""),1.0)</f>
        <v>1</v>
      </c>
      <c r="AK2" s="5">
        <f>IFERROR(__xludf.DUMMYFUNCTION("""COMPUTED_VALUE"""),10.0)</f>
        <v>10</v>
      </c>
      <c r="AL2" s="5">
        <f>IFERROR(__xludf.DUMMYFUNCTION("""COMPUTED_VALUE"""),518.0)</f>
        <v>518</v>
      </c>
      <c r="AM2" s="5">
        <f>IFERROR(__xludf.DUMMYFUNCTION("""COMPUTED_VALUE"""),59.0)</f>
        <v>59</v>
      </c>
    </row>
    <row r="3">
      <c r="A3" s="5" t="s">
        <v>28</v>
      </c>
      <c r="B3" s="5" t="s">
        <v>11</v>
      </c>
      <c r="C3" s="5">
        <v>1.0</v>
      </c>
      <c r="D3" s="5" t="s">
        <v>12</v>
      </c>
      <c r="E3" s="5" t="s">
        <v>12</v>
      </c>
      <c r="F3" s="5">
        <v>1.0</v>
      </c>
      <c r="G3" s="5">
        <v>6.0</v>
      </c>
      <c r="H3" s="5">
        <v>48.0</v>
      </c>
      <c r="I3" s="5">
        <v>2.0</v>
      </c>
      <c r="J3" s="5"/>
      <c r="K3" s="5" t="s">
        <v>28</v>
      </c>
      <c r="L3" s="5" t="s">
        <v>11</v>
      </c>
      <c r="M3" s="5">
        <v>1.0</v>
      </c>
      <c r="N3" s="5" t="s">
        <v>12</v>
      </c>
      <c r="O3" s="5" t="s">
        <v>13</v>
      </c>
      <c r="P3" s="5">
        <v>1.0</v>
      </c>
      <c r="Q3" s="5">
        <v>6.0</v>
      </c>
      <c r="R3" s="5">
        <v>48.0</v>
      </c>
      <c r="S3" s="5">
        <v>7.0</v>
      </c>
      <c r="U3" s="5" t="str">
        <f>IFERROR(__xludf.DUMMYFUNCTION("""COMPUTED_VALUE"""),"11Queens.csp")</f>
        <v>11Queens.csp</v>
      </c>
      <c r="V3" s="5" t="str">
        <f>IFERROR(__xludf.DUMMYFUNCTION("""COMPUTED_VALUE"""),"MAC")</f>
        <v>MAC</v>
      </c>
      <c r="W3" s="5">
        <f>IFERROR(__xludf.DUMMYFUNCTION("""COMPUTED_VALUE"""),1.0)</f>
        <v>1</v>
      </c>
      <c r="X3" s="5" t="str">
        <f>IFERROR(__xludf.DUMMYFUNCTION("""COMPUTED_VALUE"""),"ASCENDING")</f>
        <v>ASCENDING</v>
      </c>
      <c r="Y3" s="5" t="str">
        <f>IFERROR(__xludf.DUMMYFUNCTION("""COMPUTED_VALUE"""),"ASCENDING")</f>
        <v>ASCENDING</v>
      </c>
      <c r="Z3" s="5">
        <f>IFERROR(__xludf.DUMMYFUNCTION("""COMPUTED_VALUE"""),1.0)</f>
        <v>1</v>
      </c>
      <c r="AA3" s="5">
        <f>IFERROR(__xludf.DUMMYFUNCTION("""COMPUTED_VALUE"""),17.0)</f>
        <v>17</v>
      </c>
      <c r="AB3" s="5">
        <f>IFERROR(__xludf.DUMMYFUNCTION("""COMPUTED_VALUE"""),941.0)</f>
        <v>941</v>
      </c>
      <c r="AC3" s="5">
        <f>IFERROR(__xludf.DUMMYFUNCTION("""COMPUTED_VALUE"""),183.0)</f>
        <v>183</v>
      </c>
      <c r="AE3" s="5" t="str">
        <f>IFERROR(__xludf.DUMMYFUNCTION("""COMPUTED_VALUE"""),"11Queens.csp")</f>
        <v>11Queens.csp</v>
      </c>
      <c r="AF3" s="5" t="str">
        <f>IFERROR(__xludf.DUMMYFUNCTION("""COMPUTED_VALUE"""),"MAC")</f>
        <v>MAC</v>
      </c>
      <c r="AG3" s="5">
        <f>IFERROR(__xludf.DUMMYFUNCTION("""COMPUTED_VALUE"""),1.0)</f>
        <v>1</v>
      </c>
      <c r="AH3" s="5" t="str">
        <f>IFERROR(__xludf.DUMMYFUNCTION("""COMPUTED_VALUE"""),"ASCENDING")</f>
        <v>ASCENDING</v>
      </c>
      <c r="AI3" s="5" t="str">
        <f>IFERROR(__xludf.DUMMYFUNCTION("""COMPUTED_VALUE"""),"MIN_CONFLICTS")</f>
        <v>MIN_CONFLICTS</v>
      </c>
      <c r="AJ3" s="5">
        <f>IFERROR(__xludf.DUMMYFUNCTION("""COMPUTED_VALUE"""),1.0)</f>
        <v>1</v>
      </c>
      <c r="AK3" s="5">
        <f>IFERROR(__xludf.DUMMYFUNCTION("""COMPUTED_VALUE"""),77.0)</f>
        <v>77</v>
      </c>
      <c r="AL3" s="5">
        <f>IFERROR(__xludf.DUMMYFUNCTION("""COMPUTED_VALUE"""),4217.0)</f>
        <v>4217</v>
      </c>
      <c r="AM3" s="5">
        <f>IFERROR(__xludf.DUMMYFUNCTION("""COMPUTED_VALUE"""),736.0)</f>
        <v>736</v>
      </c>
    </row>
    <row r="4">
      <c r="A4" s="5" t="s">
        <v>31</v>
      </c>
      <c r="B4" s="5" t="s">
        <v>11</v>
      </c>
      <c r="C4" s="5">
        <v>1.0</v>
      </c>
      <c r="D4" s="5" t="s">
        <v>12</v>
      </c>
      <c r="E4" s="5" t="s">
        <v>12</v>
      </c>
      <c r="F4" s="5">
        <v>1.0</v>
      </c>
      <c r="G4" s="5">
        <v>7.0</v>
      </c>
      <c r="H4" s="5">
        <v>168.0</v>
      </c>
      <c r="I4" s="5">
        <v>20.0</v>
      </c>
      <c r="J4" s="5"/>
      <c r="K4" s="5" t="s">
        <v>31</v>
      </c>
      <c r="L4" s="5" t="s">
        <v>11</v>
      </c>
      <c r="M4" s="5">
        <v>1.0</v>
      </c>
      <c r="N4" s="5" t="s">
        <v>12</v>
      </c>
      <c r="O4" s="5" t="s">
        <v>13</v>
      </c>
      <c r="P4" s="5">
        <v>1.0</v>
      </c>
      <c r="Q4" s="5">
        <v>7.0</v>
      </c>
      <c r="R4" s="5">
        <v>178.0</v>
      </c>
      <c r="S4" s="5">
        <v>54.0</v>
      </c>
      <c r="U4" s="5" t="str">
        <f>IFERROR(__xludf.DUMMYFUNCTION("""COMPUTED_VALUE"""),"12Queens.csp")</f>
        <v>12Queens.csp</v>
      </c>
      <c r="V4" s="5" t="str">
        <f>IFERROR(__xludf.DUMMYFUNCTION("""COMPUTED_VALUE"""),"MAC")</f>
        <v>MAC</v>
      </c>
      <c r="W4" s="5">
        <f>IFERROR(__xludf.DUMMYFUNCTION("""COMPUTED_VALUE"""),1.0)</f>
        <v>1</v>
      </c>
      <c r="X4" s="5" t="str">
        <f>IFERROR(__xludf.DUMMYFUNCTION("""COMPUTED_VALUE"""),"ASCENDING")</f>
        <v>ASCENDING</v>
      </c>
      <c r="Y4" s="5" t="str">
        <f>IFERROR(__xludf.DUMMYFUNCTION("""COMPUTED_VALUE"""),"ASCENDING")</f>
        <v>ASCENDING</v>
      </c>
      <c r="Z4" s="5">
        <f>IFERROR(__xludf.DUMMYFUNCTION("""COMPUTED_VALUE"""),1.0)</f>
        <v>1</v>
      </c>
      <c r="AA4" s="5">
        <f>IFERROR(__xludf.DUMMYFUNCTION("""COMPUTED_VALUE"""),60.0)</f>
        <v>60</v>
      </c>
      <c r="AB4" s="5">
        <f>IFERROR(__xludf.DUMMYFUNCTION("""COMPUTED_VALUE"""),3759.0)</f>
        <v>3759</v>
      </c>
      <c r="AC4" s="5">
        <f>IFERROR(__xludf.DUMMYFUNCTION("""COMPUTED_VALUE"""),635.0)</f>
        <v>635</v>
      </c>
      <c r="AE4" s="5" t="str">
        <f>IFERROR(__xludf.DUMMYFUNCTION("""COMPUTED_VALUE"""),"12Queens.csp")</f>
        <v>12Queens.csp</v>
      </c>
      <c r="AF4" s="5" t="str">
        <f>IFERROR(__xludf.DUMMYFUNCTION("""COMPUTED_VALUE"""),"MAC")</f>
        <v>MAC</v>
      </c>
      <c r="AG4" s="5">
        <f>IFERROR(__xludf.DUMMYFUNCTION("""COMPUTED_VALUE"""),1.0)</f>
        <v>1</v>
      </c>
      <c r="AH4" s="5" t="str">
        <f>IFERROR(__xludf.DUMMYFUNCTION("""COMPUTED_VALUE"""),"ASCENDING")</f>
        <v>ASCENDING</v>
      </c>
      <c r="AI4" s="5" t="str">
        <f>IFERROR(__xludf.DUMMYFUNCTION("""COMPUTED_VALUE"""),"MIN_CONFLICTS")</f>
        <v>MIN_CONFLICTS</v>
      </c>
      <c r="AJ4" s="5">
        <f>IFERROR(__xludf.DUMMYFUNCTION("""COMPUTED_VALUE"""),1.0)</f>
        <v>1</v>
      </c>
      <c r="AK4" s="5">
        <f>IFERROR(__xludf.DUMMYFUNCTION("""COMPUTED_VALUE"""),52.0)</f>
        <v>52</v>
      </c>
      <c r="AL4" s="5">
        <f>IFERROR(__xludf.DUMMYFUNCTION("""COMPUTED_VALUE"""),3501.0)</f>
        <v>3501</v>
      </c>
      <c r="AM4" s="5">
        <f>IFERROR(__xludf.DUMMYFUNCTION("""COMPUTED_VALUE"""),438.0)</f>
        <v>438</v>
      </c>
    </row>
    <row r="5">
      <c r="A5" s="5" t="s">
        <v>36</v>
      </c>
      <c r="B5" s="5" t="s">
        <v>11</v>
      </c>
      <c r="C5" s="5">
        <v>1.0</v>
      </c>
      <c r="D5" s="5" t="s">
        <v>12</v>
      </c>
      <c r="E5" s="5" t="s">
        <v>12</v>
      </c>
      <c r="F5" s="5">
        <v>1.0</v>
      </c>
      <c r="G5" s="5">
        <v>8.0</v>
      </c>
      <c r="H5" s="5">
        <v>123.0</v>
      </c>
      <c r="I5" s="5">
        <v>32.0</v>
      </c>
      <c r="J5" s="5"/>
      <c r="K5" s="5" t="s">
        <v>36</v>
      </c>
      <c r="L5" s="5" t="s">
        <v>11</v>
      </c>
      <c r="M5" s="5">
        <v>1.0</v>
      </c>
      <c r="N5" s="5" t="s">
        <v>12</v>
      </c>
      <c r="O5" s="5" t="s">
        <v>13</v>
      </c>
      <c r="P5" s="5">
        <v>1.0</v>
      </c>
      <c r="Q5" s="5">
        <v>6.0</v>
      </c>
      <c r="R5" s="5">
        <v>92.0</v>
      </c>
      <c r="S5" s="5">
        <v>25.0</v>
      </c>
      <c r="U5" s="5" t="str">
        <f>IFERROR(__xludf.DUMMYFUNCTION("""COMPUTED_VALUE"""),"13Queens.csp")</f>
        <v>13Queens.csp</v>
      </c>
      <c r="V5" s="5" t="str">
        <f>IFERROR(__xludf.DUMMYFUNCTION("""COMPUTED_VALUE"""),"MAC")</f>
        <v>MAC</v>
      </c>
      <c r="W5" s="5">
        <f>IFERROR(__xludf.DUMMYFUNCTION("""COMPUTED_VALUE"""),1.0)</f>
        <v>1</v>
      </c>
      <c r="X5" s="5" t="str">
        <f>IFERROR(__xludf.DUMMYFUNCTION("""COMPUTED_VALUE"""),"ASCENDING")</f>
        <v>ASCENDING</v>
      </c>
      <c r="Y5" s="5" t="str">
        <f>IFERROR(__xludf.DUMMYFUNCTION("""COMPUTED_VALUE"""),"ASCENDING")</f>
        <v>ASCENDING</v>
      </c>
      <c r="Z5" s="5">
        <f>IFERROR(__xludf.DUMMYFUNCTION("""COMPUTED_VALUE"""),1.0)</f>
        <v>1</v>
      </c>
      <c r="AA5" s="5">
        <f>IFERROR(__xludf.DUMMYFUNCTION("""COMPUTED_VALUE"""),39.0)</f>
        <v>39</v>
      </c>
      <c r="AB5" s="5">
        <f>IFERROR(__xludf.DUMMYFUNCTION("""COMPUTED_VALUE"""),2443.0)</f>
        <v>2443</v>
      </c>
      <c r="AC5" s="5">
        <f>IFERROR(__xludf.DUMMYFUNCTION("""COMPUTED_VALUE"""),382.0)</f>
        <v>382</v>
      </c>
      <c r="AE5" s="5" t="str">
        <f>IFERROR(__xludf.DUMMYFUNCTION("""COMPUTED_VALUE"""),"13Queens.csp")</f>
        <v>13Queens.csp</v>
      </c>
      <c r="AF5" s="5" t="str">
        <f>IFERROR(__xludf.DUMMYFUNCTION("""COMPUTED_VALUE"""),"MAC")</f>
        <v>MAC</v>
      </c>
      <c r="AG5" s="5">
        <f>IFERROR(__xludf.DUMMYFUNCTION("""COMPUTED_VALUE"""),1.0)</f>
        <v>1</v>
      </c>
      <c r="AH5" s="5" t="str">
        <f>IFERROR(__xludf.DUMMYFUNCTION("""COMPUTED_VALUE"""),"ASCENDING")</f>
        <v>ASCENDING</v>
      </c>
      <c r="AI5" s="5" t="str">
        <f>IFERROR(__xludf.DUMMYFUNCTION("""COMPUTED_VALUE"""),"MIN_CONFLICTS")</f>
        <v>MIN_CONFLICTS</v>
      </c>
      <c r="AJ5" s="5">
        <f>IFERROR(__xludf.DUMMYFUNCTION("""COMPUTED_VALUE"""),1.0)</f>
        <v>1</v>
      </c>
      <c r="AK5" s="5">
        <f>IFERROR(__xludf.DUMMYFUNCTION("""COMPUTED_VALUE"""),131.0)</f>
        <v>131</v>
      </c>
      <c r="AL5" s="5">
        <f>IFERROR(__xludf.DUMMYFUNCTION("""COMPUTED_VALUE"""),8346.0)</f>
        <v>8346</v>
      </c>
      <c r="AM5" s="5">
        <f>IFERROR(__xludf.DUMMYFUNCTION("""COMPUTED_VALUE"""),1278.0)</f>
        <v>1278</v>
      </c>
    </row>
    <row r="6">
      <c r="A6" s="5" t="s">
        <v>30</v>
      </c>
      <c r="B6" s="5" t="s">
        <v>11</v>
      </c>
      <c r="C6" s="5">
        <v>1.0</v>
      </c>
      <c r="D6" s="5" t="s">
        <v>12</v>
      </c>
      <c r="E6" s="5" t="s">
        <v>12</v>
      </c>
      <c r="F6" s="5">
        <v>1.0</v>
      </c>
      <c r="G6" s="5">
        <v>12.0</v>
      </c>
      <c r="H6" s="5">
        <v>258.0</v>
      </c>
      <c r="I6" s="5">
        <v>28.0</v>
      </c>
      <c r="J6" s="5"/>
      <c r="K6" s="5" t="s">
        <v>30</v>
      </c>
      <c r="L6" s="5" t="s">
        <v>11</v>
      </c>
      <c r="M6" s="5">
        <v>1.0</v>
      </c>
      <c r="N6" s="5" t="s">
        <v>12</v>
      </c>
      <c r="O6" s="5" t="s">
        <v>13</v>
      </c>
      <c r="P6" s="5">
        <v>1.0</v>
      </c>
      <c r="Q6" s="5">
        <v>18.0</v>
      </c>
      <c r="R6" s="5">
        <v>345.0</v>
      </c>
      <c r="S6" s="5">
        <v>12.0</v>
      </c>
      <c r="U6" s="5" t="str">
        <f>IFERROR(__xludf.DUMMYFUNCTION("""COMPUTED_VALUE"""),"14Queens.csp")</f>
        <v>14Queens.csp</v>
      </c>
      <c r="V6" s="5" t="str">
        <f>IFERROR(__xludf.DUMMYFUNCTION("""COMPUTED_VALUE"""),"MAC")</f>
        <v>MAC</v>
      </c>
      <c r="W6" s="5">
        <f>IFERROR(__xludf.DUMMYFUNCTION("""COMPUTED_VALUE"""),1.0)</f>
        <v>1</v>
      </c>
      <c r="X6" s="5" t="str">
        <f>IFERROR(__xludf.DUMMYFUNCTION("""COMPUTED_VALUE"""),"ASCENDING")</f>
        <v>ASCENDING</v>
      </c>
      <c r="Y6" s="5" t="str">
        <f>IFERROR(__xludf.DUMMYFUNCTION("""COMPUTED_VALUE"""),"ASCENDING")</f>
        <v>ASCENDING</v>
      </c>
      <c r="Z6" s="5">
        <f>IFERROR(__xludf.DUMMYFUNCTION("""COMPUTED_VALUE"""),1.0)</f>
        <v>1</v>
      </c>
      <c r="AA6" s="5">
        <f>IFERROR(__xludf.DUMMYFUNCTION("""COMPUTED_VALUE"""),476.0)</f>
        <v>476</v>
      </c>
      <c r="AB6" s="5">
        <f>IFERROR(__xludf.DUMMYFUNCTION("""COMPUTED_VALUE"""),30491.0)</f>
        <v>30491</v>
      </c>
      <c r="AC6" s="5">
        <f>IFERROR(__xludf.DUMMYFUNCTION("""COMPUTED_VALUE"""),1774.0)</f>
        <v>1774</v>
      </c>
      <c r="AE6" s="5" t="str">
        <f>IFERROR(__xludf.DUMMYFUNCTION("""COMPUTED_VALUE"""),"14Queens.csp")</f>
        <v>14Queens.csp</v>
      </c>
      <c r="AF6" s="5" t="str">
        <f>IFERROR(__xludf.DUMMYFUNCTION("""COMPUTED_VALUE"""),"MAC")</f>
        <v>MAC</v>
      </c>
      <c r="AG6" s="5">
        <f>IFERROR(__xludf.DUMMYFUNCTION("""COMPUTED_VALUE"""),1.0)</f>
        <v>1</v>
      </c>
      <c r="AH6" s="5" t="str">
        <f>IFERROR(__xludf.DUMMYFUNCTION("""COMPUTED_VALUE"""),"ASCENDING")</f>
        <v>ASCENDING</v>
      </c>
      <c r="AI6" s="5" t="str">
        <f>IFERROR(__xludf.DUMMYFUNCTION("""COMPUTED_VALUE"""),"MIN_CONFLICTS")</f>
        <v>MIN_CONFLICTS</v>
      </c>
      <c r="AJ6" s="5">
        <f>IFERROR(__xludf.DUMMYFUNCTION("""COMPUTED_VALUE"""),1.0)</f>
        <v>1</v>
      </c>
      <c r="AK6" s="5">
        <f>IFERROR(__xludf.DUMMYFUNCTION("""COMPUTED_VALUE"""),50.0)</f>
        <v>50</v>
      </c>
      <c r="AL6" s="5">
        <f>IFERROR(__xludf.DUMMYFUNCTION("""COMPUTED_VALUE"""),3830.0)</f>
        <v>3830</v>
      </c>
      <c r="AM6" s="5">
        <f>IFERROR(__xludf.DUMMYFUNCTION("""COMPUTED_VALUE"""),726.0)</f>
        <v>726</v>
      </c>
    </row>
    <row r="7">
      <c r="A7" s="5" t="s">
        <v>37</v>
      </c>
      <c r="B7" s="5" t="s">
        <v>11</v>
      </c>
      <c r="C7" s="5">
        <v>1.0</v>
      </c>
      <c r="D7" s="5" t="s">
        <v>12</v>
      </c>
      <c r="E7" s="5" t="s">
        <v>12</v>
      </c>
      <c r="F7" s="5">
        <v>1.0</v>
      </c>
      <c r="G7" s="5">
        <v>12.0</v>
      </c>
      <c r="H7" s="5">
        <v>344.0</v>
      </c>
      <c r="I7" s="5">
        <v>139.0</v>
      </c>
      <c r="J7" s="5"/>
      <c r="K7" s="5" t="s">
        <v>37</v>
      </c>
      <c r="L7" s="5" t="s">
        <v>11</v>
      </c>
      <c r="M7" s="5">
        <v>1.0</v>
      </c>
      <c r="N7" s="5" t="s">
        <v>12</v>
      </c>
      <c r="O7" s="5" t="s">
        <v>13</v>
      </c>
      <c r="P7" s="5">
        <v>1.0</v>
      </c>
      <c r="Q7" s="5">
        <v>10.0</v>
      </c>
      <c r="R7" s="5">
        <v>319.0</v>
      </c>
      <c r="S7" s="5">
        <v>144.0</v>
      </c>
      <c r="U7" s="5" t="str">
        <f>IFERROR(__xludf.DUMMYFUNCTION("""COMPUTED_VALUE"""),"15Queens.csp")</f>
        <v>15Queens.csp</v>
      </c>
      <c r="V7" s="5" t="str">
        <f>IFERROR(__xludf.DUMMYFUNCTION("""COMPUTED_VALUE"""),"MAC")</f>
        <v>MAC</v>
      </c>
      <c r="W7" s="5">
        <f>IFERROR(__xludf.DUMMYFUNCTION("""COMPUTED_VALUE"""),1.0)</f>
        <v>1</v>
      </c>
      <c r="X7" s="5" t="str">
        <f>IFERROR(__xludf.DUMMYFUNCTION("""COMPUTED_VALUE"""),"ASCENDING")</f>
        <v>ASCENDING</v>
      </c>
      <c r="Y7" s="5" t="str">
        <f>IFERROR(__xludf.DUMMYFUNCTION("""COMPUTED_VALUE"""),"ASCENDING")</f>
        <v>ASCENDING</v>
      </c>
      <c r="Z7" s="5">
        <f>IFERROR(__xludf.DUMMYFUNCTION("""COMPUTED_VALUE"""),1.0)</f>
        <v>1</v>
      </c>
      <c r="AA7" s="5">
        <f>IFERROR(__xludf.DUMMYFUNCTION("""COMPUTED_VALUE"""),297.0)</f>
        <v>297</v>
      </c>
      <c r="AB7" s="5">
        <f>IFERROR(__xludf.DUMMYFUNCTION("""COMPUTED_VALUE"""),22803.0)</f>
        <v>22803</v>
      </c>
      <c r="AC7" s="5">
        <f>IFERROR(__xludf.DUMMYFUNCTION("""COMPUTED_VALUE"""),1647.0)</f>
        <v>1647</v>
      </c>
      <c r="AE7" s="5" t="str">
        <f>IFERROR(__xludf.DUMMYFUNCTION("""COMPUTED_VALUE"""),"15Queens.csp")</f>
        <v>15Queens.csp</v>
      </c>
      <c r="AF7" s="5" t="str">
        <f>IFERROR(__xludf.DUMMYFUNCTION("""COMPUTED_VALUE"""),"MAC")</f>
        <v>MAC</v>
      </c>
      <c r="AG7" s="5">
        <f>IFERROR(__xludf.DUMMYFUNCTION("""COMPUTED_VALUE"""),1.0)</f>
        <v>1</v>
      </c>
      <c r="AH7" s="5" t="str">
        <f>IFERROR(__xludf.DUMMYFUNCTION("""COMPUTED_VALUE"""),"ASCENDING")</f>
        <v>ASCENDING</v>
      </c>
      <c r="AI7" s="5" t="str">
        <f>IFERROR(__xludf.DUMMYFUNCTION("""COMPUTED_VALUE"""),"MIN_CONFLICTS")</f>
        <v>MIN_CONFLICTS</v>
      </c>
      <c r="AJ7" s="5">
        <f>IFERROR(__xludf.DUMMYFUNCTION("""COMPUTED_VALUE"""),1.0)</f>
        <v>1</v>
      </c>
      <c r="AK7" s="5">
        <f>IFERROR(__xludf.DUMMYFUNCTION("""COMPUTED_VALUE"""),23.0)</f>
        <v>23</v>
      </c>
      <c r="AL7" s="5">
        <f>IFERROR(__xludf.DUMMYFUNCTION("""COMPUTED_VALUE"""),2160.0)</f>
        <v>2160</v>
      </c>
      <c r="AM7" s="5">
        <f>IFERROR(__xludf.DUMMYFUNCTION("""COMPUTED_VALUE"""),587.0)</f>
        <v>587</v>
      </c>
    </row>
    <row r="8">
      <c r="A8" s="5" t="s">
        <v>16</v>
      </c>
      <c r="B8" s="5" t="s">
        <v>11</v>
      </c>
      <c r="C8" s="5">
        <v>1.0</v>
      </c>
      <c r="D8" s="5" t="s">
        <v>12</v>
      </c>
      <c r="E8" s="5" t="s">
        <v>12</v>
      </c>
      <c r="F8" s="5">
        <v>1.0</v>
      </c>
      <c r="G8" s="5">
        <v>17.0</v>
      </c>
      <c r="H8" s="5">
        <v>941.0</v>
      </c>
      <c r="I8" s="5">
        <v>183.0</v>
      </c>
      <c r="J8" s="5"/>
      <c r="K8" s="5" t="s">
        <v>16</v>
      </c>
      <c r="L8" s="5" t="s">
        <v>11</v>
      </c>
      <c r="M8" s="5">
        <v>1.0</v>
      </c>
      <c r="N8" s="5" t="s">
        <v>12</v>
      </c>
      <c r="O8" s="5" t="s">
        <v>13</v>
      </c>
      <c r="P8" s="5">
        <v>1.0</v>
      </c>
      <c r="Q8" s="5">
        <v>77.0</v>
      </c>
      <c r="R8" s="5">
        <v>4217.0</v>
      </c>
      <c r="S8" s="5">
        <v>736.0</v>
      </c>
      <c r="U8" s="5" t="str">
        <f>IFERROR(__xludf.DUMMYFUNCTION("""COMPUTED_VALUE"""),"16Queens.csp")</f>
        <v>16Queens.csp</v>
      </c>
      <c r="V8" s="5" t="str">
        <f>IFERROR(__xludf.DUMMYFUNCTION("""COMPUTED_VALUE"""),"MAC")</f>
        <v>MAC</v>
      </c>
      <c r="W8" s="5">
        <f>IFERROR(__xludf.DUMMYFUNCTION("""COMPUTED_VALUE"""),1.0)</f>
        <v>1</v>
      </c>
      <c r="X8" s="5" t="str">
        <f>IFERROR(__xludf.DUMMYFUNCTION("""COMPUTED_VALUE"""),"ASCENDING")</f>
        <v>ASCENDING</v>
      </c>
      <c r="Y8" s="5" t="str">
        <f>IFERROR(__xludf.DUMMYFUNCTION("""COMPUTED_VALUE"""),"ASCENDING")</f>
        <v>ASCENDING</v>
      </c>
      <c r="Z8" s="5">
        <f>IFERROR(__xludf.DUMMYFUNCTION("""COMPUTED_VALUE"""),1.0)</f>
        <v>1</v>
      </c>
      <c r="AA8" s="5">
        <f>IFERROR(__xludf.DUMMYFUNCTION("""COMPUTED_VALUE"""),2054.0)</f>
        <v>2054</v>
      </c>
      <c r="AB8" s="5">
        <f>IFERROR(__xludf.DUMMYFUNCTION("""COMPUTED_VALUE"""),172394.0)</f>
        <v>172394</v>
      </c>
      <c r="AC8" s="5">
        <f>IFERROR(__xludf.DUMMYFUNCTION("""COMPUTED_VALUE"""),1724.0)</f>
        <v>1724</v>
      </c>
      <c r="AE8" s="5" t="str">
        <f>IFERROR(__xludf.DUMMYFUNCTION("""COMPUTED_VALUE"""),"16Queens.csp")</f>
        <v>16Queens.csp</v>
      </c>
      <c r="AF8" s="5" t="str">
        <f>IFERROR(__xludf.DUMMYFUNCTION("""COMPUTED_VALUE"""),"MAC")</f>
        <v>MAC</v>
      </c>
      <c r="AG8" s="5">
        <f>IFERROR(__xludf.DUMMYFUNCTION("""COMPUTED_VALUE"""),1.0)</f>
        <v>1</v>
      </c>
      <c r="AH8" s="5" t="str">
        <f>IFERROR(__xludf.DUMMYFUNCTION("""COMPUTED_VALUE"""),"ASCENDING")</f>
        <v>ASCENDING</v>
      </c>
      <c r="AI8" s="5" t="str">
        <f>IFERROR(__xludf.DUMMYFUNCTION("""COMPUTED_VALUE"""),"MIN_CONFLICTS")</f>
        <v>MIN_CONFLICTS</v>
      </c>
      <c r="AJ8" s="5">
        <f>IFERROR(__xludf.DUMMYFUNCTION("""COMPUTED_VALUE"""),1.0)</f>
        <v>1</v>
      </c>
      <c r="AK8" s="5">
        <f>IFERROR(__xludf.DUMMYFUNCTION("""COMPUTED_VALUE"""),530.0)</f>
        <v>530</v>
      </c>
      <c r="AL8" s="5">
        <f>IFERROR(__xludf.DUMMYFUNCTION("""COMPUTED_VALUE"""),44408.0)</f>
        <v>44408</v>
      </c>
      <c r="AM8" s="5">
        <f>IFERROR(__xludf.DUMMYFUNCTION("""COMPUTED_VALUE"""),1697.0)</f>
        <v>1697</v>
      </c>
    </row>
    <row r="9">
      <c r="A9" s="5" t="s">
        <v>33</v>
      </c>
      <c r="B9" s="5" t="s">
        <v>11</v>
      </c>
      <c r="C9" s="5">
        <v>1.0</v>
      </c>
      <c r="D9" s="5" t="s">
        <v>12</v>
      </c>
      <c r="E9" s="5" t="s">
        <v>12</v>
      </c>
      <c r="F9" s="5">
        <v>1.0</v>
      </c>
      <c r="G9" s="5">
        <v>17.0</v>
      </c>
      <c r="H9" s="5">
        <v>605.0</v>
      </c>
      <c r="I9" s="5">
        <v>44.0</v>
      </c>
      <c r="J9" s="5"/>
      <c r="K9" s="5" t="s">
        <v>33</v>
      </c>
      <c r="L9" s="5" t="s">
        <v>11</v>
      </c>
      <c r="M9" s="5">
        <v>1.0</v>
      </c>
      <c r="N9" s="5" t="s">
        <v>12</v>
      </c>
      <c r="O9" s="5" t="s">
        <v>13</v>
      </c>
      <c r="P9" s="5">
        <v>1.0</v>
      </c>
      <c r="Q9" s="5">
        <v>15.0</v>
      </c>
      <c r="R9" s="5">
        <v>546.0</v>
      </c>
      <c r="S9" s="5">
        <v>23.0</v>
      </c>
      <c r="U9" s="5" t="str">
        <f>IFERROR(__xludf.DUMMYFUNCTION("""COMPUTED_VALUE"""),"17Queens.csp")</f>
        <v>17Queens.csp</v>
      </c>
      <c r="V9" s="5" t="str">
        <f>IFERROR(__xludf.DUMMYFUNCTION("""COMPUTED_VALUE"""),"MAC")</f>
        <v>MAC</v>
      </c>
      <c r="W9" s="5">
        <f>IFERROR(__xludf.DUMMYFUNCTION("""COMPUTED_VALUE"""),1.0)</f>
        <v>1</v>
      </c>
      <c r="X9" s="5" t="str">
        <f>IFERROR(__xludf.DUMMYFUNCTION("""COMPUTED_VALUE"""),"ASCENDING")</f>
        <v>ASCENDING</v>
      </c>
      <c r="Y9" s="5" t="str">
        <f>IFERROR(__xludf.DUMMYFUNCTION("""COMPUTED_VALUE"""),"ASCENDING")</f>
        <v>ASCENDING</v>
      </c>
      <c r="Z9" s="5">
        <f>IFERROR(__xludf.DUMMYFUNCTION("""COMPUTED_VALUE"""),1.0)</f>
        <v>1</v>
      </c>
      <c r="AA9" s="5">
        <f>IFERROR(__xludf.DUMMYFUNCTION("""COMPUTED_VALUE"""),1203.0)</f>
        <v>1203</v>
      </c>
      <c r="AB9" s="5">
        <f>IFERROR(__xludf.DUMMYFUNCTION("""COMPUTED_VALUE"""),107553.0)</f>
        <v>107553</v>
      </c>
      <c r="AC9" s="5">
        <f>IFERROR(__xludf.DUMMYFUNCTION("""COMPUTED_VALUE"""),1369.0)</f>
        <v>1369</v>
      </c>
      <c r="AE9" s="5" t="str">
        <f>IFERROR(__xludf.DUMMYFUNCTION("""COMPUTED_VALUE"""),"17Queens.csp")</f>
        <v>17Queens.csp</v>
      </c>
      <c r="AF9" s="5" t="str">
        <f>IFERROR(__xludf.DUMMYFUNCTION("""COMPUTED_VALUE"""),"MAC")</f>
        <v>MAC</v>
      </c>
      <c r="AG9" s="5">
        <f>IFERROR(__xludf.DUMMYFUNCTION("""COMPUTED_VALUE"""),1.0)</f>
        <v>1</v>
      </c>
      <c r="AH9" s="5" t="str">
        <f>IFERROR(__xludf.DUMMYFUNCTION("""COMPUTED_VALUE"""),"ASCENDING")</f>
        <v>ASCENDING</v>
      </c>
      <c r="AI9" s="5" t="str">
        <f>IFERROR(__xludf.DUMMYFUNCTION("""COMPUTED_VALUE"""),"MIN_CONFLICTS")</f>
        <v>MIN_CONFLICTS</v>
      </c>
      <c r="AJ9" s="5">
        <f>IFERROR(__xludf.DUMMYFUNCTION("""COMPUTED_VALUE"""),1.0)</f>
        <v>1</v>
      </c>
      <c r="AK9" s="5">
        <f>IFERROR(__xludf.DUMMYFUNCTION("""COMPUTED_VALUE"""),159.0)</f>
        <v>159</v>
      </c>
      <c r="AL9" s="5">
        <f>IFERROR(__xludf.DUMMYFUNCTION("""COMPUTED_VALUE"""),15950.0)</f>
        <v>15950</v>
      </c>
      <c r="AM9" s="5">
        <f>IFERROR(__xludf.DUMMYFUNCTION("""COMPUTED_VALUE"""),1245.0)</f>
        <v>1245</v>
      </c>
    </row>
    <row r="10">
      <c r="A10" s="5" t="s">
        <v>32</v>
      </c>
      <c r="B10" s="5" t="s">
        <v>11</v>
      </c>
      <c r="C10" s="5">
        <v>1.0</v>
      </c>
      <c r="D10" s="5" t="s">
        <v>12</v>
      </c>
      <c r="E10" s="5" t="s">
        <v>12</v>
      </c>
      <c r="F10" s="5">
        <v>1.0</v>
      </c>
      <c r="G10" s="5">
        <v>28.0</v>
      </c>
      <c r="H10" s="5">
        <v>1000.0</v>
      </c>
      <c r="I10" s="5">
        <v>72.0</v>
      </c>
      <c r="J10" s="5"/>
      <c r="K10" s="5" t="s">
        <v>32</v>
      </c>
      <c r="L10" s="5" t="s">
        <v>11</v>
      </c>
      <c r="M10" s="5">
        <v>1.0</v>
      </c>
      <c r="N10" s="5" t="s">
        <v>12</v>
      </c>
      <c r="O10" s="5" t="s">
        <v>13</v>
      </c>
      <c r="P10" s="5">
        <v>1.0</v>
      </c>
      <c r="Q10" s="5">
        <v>18.0</v>
      </c>
      <c r="R10" s="5">
        <v>594.0</v>
      </c>
      <c r="S10" s="5">
        <v>69.0</v>
      </c>
      <c r="U10" s="5" t="str">
        <f>IFERROR(__xludf.DUMMYFUNCTION("""COMPUTED_VALUE"""),"18Queens.csp")</f>
        <v>18Queens.csp</v>
      </c>
      <c r="V10" s="5" t="str">
        <f>IFERROR(__xludf.DUMMYFUNCTION("""COMPUTED_VALUE"""),"MAC")</f>
        <v>MAC</v>
      </c>
      <c r="W10" s="5">
        <f>IFERROR(__xludf.DUMMYFUNCTION("""COMPUTED_VALUE"""),1.0)</f>
        <v>1</v>
      </c>
      <c r="X10" s="5" t="str">
        <f>IFERROR(__xludf.DUMMYFUNCTION("""COMPUTED_VALUE"""),"ASCENDING")</f>
        <v>ASCENDING</v>
      </c>
      <c r="Y10" s="5" t="str">
        <f>IFERROR(__xludf.DUMMYFUNCTION("""COMPUTED_VALUE"""),"ASCENDING")</f>
        <v>ASCENDING</v>
      </c>
      <c r="Z10" s="5">
        <f>IFERROR(__xludf.DUMMYFUNCTION("""COMPUTED_VALUE"""),1.0)</f>
        <v>1</v>
      </c>
      <c r="AA10" s="5">
        <f>IFERROR(__xludf.DUMMYFUNCTION("""COMPUTED_VALUE"""),8452.0)</f>
        <v>8452</v>
      </c>
      <c r="AB10" s="5">
        <f>IFERROR(__xludf.DUMMYFUNCTION("""COMPUTED_VALUE"""),784097.0)</f>
        <v>784097</v>
      </c>
      <c r="AC10" s="5">
        <f>IFERROR(__xludf.DUMMYFUNCTION("""COMPUTED_VALUE"""),2066.0)</f>
        <v>2066</v>
      </c>
      <c r="AE10" s="5" t="str">
        <f>IFERROR(__xludf.DUMMYFUNCTION("""COMPUTED_VALUE"""),"18Queens.csp")</f>
        <v>18Queens.csp</v>
      </c>
      <c r="AF10" s="5" t="str">
        <f>IFERROR(__xludf.DUMMYFUNCTION("""COMPUTED_VALUE"""),"MAC")</f>
        <v>MAC</v>
      </c>
      <c r="AG10" s="5">
        <f>IFERROR(__xludf.DUMMYFUNCTION("""COMPUTED_VALUE"""),1.0)</f>
        <v>1</v>
      </c>
      <c r="AH10" s="5" t="str">
        <f>IFERROR(__xludf.DUMMYFUNCTION("""COMPUTED_VALUE"""),"ASCENDING")</f>
        <v>ASCENDING</v>
      </c>
      <c r="AI10" s="5" t="str">
        <f>IFERROR(__xludf.DUMMYFUNCTION("""COMPUTED_VALUE"""),"MIN_CONFLICTS")</f>
        <v>MIN_CONFLICTS</v>
      </c>
      <c r="AJ10" s="5">
        <f>IFERROR(__xludf.DUMMYFUNCTION("""COMPUTED_VALUE"""),1.0)</f>
        <v>1</v>
      </c>
      <c r="AK10" s="5">
        <f>IFERROR(__xludf.DUMMYFUNCTION("""COMPUTED_VALUE"""),40.0)</f>
        <v>40</v>
      </c>
      <c r="AL10" s="5">
        <f>IFERROR(__xludf.DUMMYFUNCTION("""COMPUTED_VALUE"""),4851.0)</f>
        <v>4851</v>
      </c>
      <c r="AM10" s="5">
        <f>IFERROR(__xludf.DUMMYFUNCTION("""COMPUTED_VALUE"""),491.0)</f>
        <v>491</v>
      </c>
    </row>
    <row r="11">
      <c r="A11" s="5" t="s">
        <v>10</v>
      </c>
      <c r="B11" s="5" t="s">
        <v>11</v>
      </c>
      <c r="C11" s="5">
        <v>1.0</v>
      </c>
      <c r="D11" s="5" t="s">
        <v>12</v>
      </c>
      <c r="E11" s="5" t="s">
        <v>12</v>
      </c>
      <c r="F11" s="5">
        <v>1.0</v>
      </c>
      <c r="G11" s="5">
        <v>36.0</v>
      </c>
      <c r="H11" s="5">
        <v>1507.0</v>
      </c>
      <c r="I11" s="5">
        <v>51.0</v>
      </c>
      <c r="J11" s="5"/>
      <c r="K11" s="5" t="s">
        <v>10</v>
      </c>
      <c r="L11" s="5" t="s">
        <v>11</v>
      </c>
      <c r="M11" s="5">
        <v>1.0</v>
      </c>
      <c r="N11" s="5" t="s">
        <v>12</v>
      </c>
      <c r="O11" s="5" t="s">
        <v>13</v>
      </c>
      <c r="P11" s="5">
        <v>1.0</v>
      </c>
      <c r="Q11" s="5">
        <v>10.0</v>
      </c>
      <c r="R11" s="5">
        <v>518.0</v>
      </c>
      <c r="S11" s="5">
        <v>59.0</v>
      </c>
      <c r="U11" s="5" t="str">
        <f>IFERROR(__xludf.DUMMYFUNCTION("""COMPUTED_VALUE"""),"435Sudoku.csp")</f>
        <v>435Sudoku.csp</v>
      </c>
      <c r="V11" s="5" t="str">
        <f>IFERROR(__xludf.DUMMYFUNCTION("""COMPUTED_VALUE"""),"MAC")</f>
        <v>MAC</v>
      </c>
      <c r="W11" s="5">
        <f>IFERROR(__xludf.DUMMYFUNCTION("""COMPUTED_VALUE"""),1.0)</f>
        <v>1</v>
      </c>
      <c r="X11" s="5" t="str">
        <f>IFERROR(__xludf.DUMMYFUNCTION("""COMPUTED_VALUE"""),"ASCENDING")</f>
        <v>ASCENDING</v>
      </c>
      <c r="Y11" s="5" t="str">
        <f>IFERROR(__xludf.DUMMYFUNCTION("""COMPUTED_VALUE"""),"ASCENDING")</f>
        <v>ASCENDING</v>
      </c>
      <c r="Z11" s="5">
        <f>IFERROR(__xludf.DUMMYFUNCTION("""COMPUTED_VALUE"""),1.0)</f>
        <v>1</v>
      </c>
      <c r="AA11" s="5">
        <f>IFERROR(__xludf.DUMMYFUNCTION("""COMPUTED_VALUE"""),81.0)</f>
        <v>81</v>
      </c>
      <c r="AB11" s="5">
        <f>IFERROR(__xludf.DUMMYFUNCTION("""COMPUTED_VALUE"""),10127.0)</f>
        <v>10127</v>
      </c>
      <c r="AC11" s="5">
        <f>IFERROR(__xludf.DUMMYFUNCTION("""COMPUTED_VALUE"""),491.0)</f>
        <v>491</v>
      </c>
      <c r="AE11" s="5" t="str">
        <f>IFERROR(__xludf.DUMMYFUNCTION("""COMPUTED_VALUE"""),"435Sudoku.csp")</f>
        <v>435Sudoku.csp</v>
      </c>
      <c r="AF11" s="5" t="str">
        <f>IFERROR(__xludf.DUMMYFUNCTION("""COMPUTED_VALUE"""),"MAC")</f>
        <v>MAC</v>
      </c>
      <c r="AG11" s="5">
        <f>IFERROR(__xludf.DUMMYFUNCTION("""COMPUTED_VALUE"""),1.0)</f>
        <v>1</v>
      </c>
      <c r="AH11" s="5" t="str">
        <f>IFERROR(__xludf.DUMMYFUNCTION("""COMPUTED_VALUE"""),"ASCENDING")</f>
        <v>ASCENDING</v>
      </c>
      <c r="AI11" s="5" t="str">
        <f>IFERROR(__xludf.DUMMYFUNCTION("""COMPUTED_VALUE"""),"MIN_CONFLICTS")</f>
        <v>MIN_CONFLICTS</v>
      </c>
      <c r="AJ11" s="5">
        <f>IFERROR(__xludf.DUMMYFUNCTION("""COMPUTED_VALUE"""),1.0)</f>
        <v>1</v>
      </c>
      <c r="AK11" s="5">
        <f>IFERROR(__xludf.DUMMYFUNCTION("""COMPUTED_VALUE"""),81.0)</f>
        <v>81</v>
      </c>
      <c r="AL11" s="5">
        <f>IFERROR(__xludf.DUMMYFUNCTION("""COMPUTED_VALUE"""),10127.0)</f>
        <v>10127</v>
      </c>
      <c r="AM11" s="5">
        <f>IFERROR(__xludf.DUMMYFUNCTION("""COMPUTED_VALUE"""),550.0)</f>
        <v>550</v>
      </c>
    </row>
    <row r="12">
      <c r="A12" s="5" t="s">
        <v>38</v>
      </c>
      <c r="B12" s="5" t="s">
        <v>11</v>
      </c>
      <c r="C12" s="5">
        <v>1.0</v>
      </c>
      <c r="D12" s="5" t="s">
        <v>12</v>
      </c>
      <c r="E12" s="5" t="s">
        <v>12</v>
      </c>
      <c r="F12" s="5">
        <v>1.0</v>
      </c>
      <c r="G12" s="5">
        <v>38.0</v>
      </c>
      <c r="H12" s="5">
        <v>3416.0</v>
      </c>
      <c r="I12" s="5">
        <v>408.0</v>
      </c>
      <c r="J12" s="5"/>
      <c r="K12" s="5" t="s">
        <v>38</v>
      </c>
      <c r="L12" s="5" t="s">
        <v>11</v>
      </c>
      <c r="M12" s="5">
        <v>1.0</v>
      </c>
      <c r="N12" s="5" t="s">
        <v>12</v>
      </c>
      <c r="O12" s="5" t="s">
        <v>13</v>
      </c>
      <c r="P12" s="5">
        <v>1.0</v>
      </c>
      <c r="Q12" s="5">
        <v>70.0</v>
      </c>
      <c r="R12" s="5">
        <v>5075.0</v>
      </c>
      <c r="S12" s="5">
        <v>743.0</v>
      </c>
      <c r="U12" s="5" t="str">
        <f>IFERROR(__xludf.DUMMYFUNCTION("""COMPUTED_VALUE"""),"4Queens.csp")</f>
        <v>4Queens.csp</v>
      </c>
      <c r="V12" s="5" t="str">
        <f>IFERROR(__xludf.DUMMYFUNCTION("""COMPUTED_VALUE"""),"MAC")</f>
        <v>MAC</v>
      </c>
      <c r="W12" s="5">
        <f>IFERROR(__xludf.DUMMYFUNCTION("""COMPUTED_VALUE"""),1.0)</f>
        <v>1</v>
      </c>
      <c r="X12" s="5" t="str">
        <f>IFERROR(__xludf.DUMMYFUNCTION("""COMPUTED_VALUE"""),"ASCENDING")</f>
        <v>ASCENDING</v>
      </c>
      <c r="Y12" s="5" t="str">
        <f>IFERROR(__xludf.DUMMYFUNCTION("""COMPUTED_VALUE"""),"ASCENDING")</f>
        <v>ASCENDING</v>
      </c>
      <c r="Z12" s="5">
        <f>IFERROR(__xludf.DUMMYFUNCTION("""COMPUTED_VALUE"""),1.0)</f>
        <v>1</v>
      </c>
      <c r="AA12" s="5">
        <f>IFERROR(__xludf.DUMMYFUNCTION("""COMPUTED_VALUE"""),6.0)</f>
        <v>6</v>
      </c>
      <c r="AB12" s="5">
        <f>IFERROR(__xludf.DUMMYFUNCTION("""COMPUTED_VALUE"""),48.0)</f>
        <v>48</v>
      </c>
      <c r="AC12" s="5">
        <f>IFERROR(__xludf.DUMMYFUNCTION("""COMPUTED_VALUE"""),2.0)</f>
        <v>2</v>
      </c>
      <c r="AE12" s="5" t="str">
        <f>IFERROR(__xludf.DUMMYFUNCTION("""COMPUTED_VALUE"""),"4Queens.csp")</f>
        <v>4Queens.csp</v>
      </c>
      <c r="AF12" s="5" t="str">
        <f>IFERROR(__xludf.DUMMYFUNCTION("""COMPUTED_VALUE"""),"MAC")</f>
        <v>MAC</v>
      </c>
      <c r="AG12" s="5">
        <f>IFERROR(__xludf.DUMMYFUNCTION("""COMPUTED_VALUE"""),1.0)</f>
        <v>1</v>
      </c>
      <c r="AH12" s="5" t="str">
        <f>IFERROR(__xludf.DUMMYFUNCTION("""COMPUTED_VALUE"""),"ASCENDING")</f>
        <v>ASCENDING</v>
      </c>
      <c r="AI12" s="5" t="str">
        <f>IFERROR(__xludf.DUMMYFUNCTION("""COMPUTED_VALUE"""),"MIN_CONFLICTS")</f>
        <v>MIN_CONFLICTS</v>
      </c>
      <c r="AJ12" s="5">
        <f>IFERROR(__xludf.DUMMYFUNCTION("""COMPUTED_VALUE"""),1.0)</f>
        <v>1</v>
      </c>
      <c r="AK12" s="5">
        <f>IFERROR(__xludf.DUMMYFUNCTION("""COMPUTED_VALUE"""),6.0)</f>
        <v>6</v>
      </c>
      <c r="AL12" s="5">
        <f>IFERROR(__xludf.DUMMYFUNCTION("""COMPUTED_VALUE"""),48.0)</f>
        <v>48</v>
      </c>
      <c r="AM12" s="5">
        <f>IFERROR(__xludf.DUMMYFUNCTION("""COMPUTED_VALUE"""),7.0)</f>
        <v>7</v>
      </c>
    </row>
    <row r="13">
      <c r="A13" s="5" t="s">
        <v>18</v>
      </c>
      <c r="B13" s="5" t="s">
        <v>11</v>
      </c>
      <c r="C13" s="5">
        <v>1.0</v>
      </c>
      <c r="D13" s="5" t="s">
        <v>12</v>
      </c>
      <c r="E13" s="5" t="s">
        <v>12</v>
      </c>
      <c r="F13" s="5">
        <v>1.0</v>
      </c>
      <c r="G13" s="5">
        <v>39.0</v>
      </c>
      <c r="H13" s="5">
        <v>2443.0</v>
      </c>
      <c r="I13" s="5">
        <v>382.0</v>
      </c>
      <c r="J13" s="5"/>
      <c r="K13" s="5" t="s">
        <v>18</v>
      </c>
      <c r="L13" s="5" t="s">
        <v>11</v>
      </c>
      <c r="M13" s="5">
        <v>1.0</v>
      </c>
      <c r="N13" s="5" t="s">
        <v>12</v>
      </c>
      <c r="O13" s="5" t="s">
        <v>13</v>
      </c>
      <c r="P13" s="5">
        <v>1.0</v>
      </c>
      <c r="Q13" s="5">
        <v>131.0</v>
      </c>
      <c r="R13" s="5">
        <v>8346.0</v>
      </c>
      <c r="S13" s="5">
        <v>1278.0</v>
      </c>
      <c r="U13" s="5" t="str">
        <f>IFERROR(__xludf.DUMMYFUNCTION("""COMPUTED_VALUE"""),"5Queens.csp")</f>
        <v>5Queens.csp</v>
      </c>
      <c r="V13" s="5" t="str">
        <f>IFERROR(__xludf.DUMMYFUNCTION("""COMPUTED_VALUE"""),"MAC")</f>
        <v>MAC</v>
      </c>
      <c r="W13" s="5">
        <f>IFERROR(__xludf.DUMMYFUNCTION("""COMPUTED_VALUE"""),1.0)</f>
        <v>1</v>
      </c>
      <c r="X13" s="5" t="str">
        <f>IFERROR(__xludf.DUMMYFUNCTION("""COMPUTED_VALUE"""),"ASCENDING")</f>
        <v>ASCENDING</v>
      </c>
      <c r="Y13" s="5" t="str">
        <f>IFERROR(__xludf.DUMMYFUNCTION("""COMPUTED_VALUE"""),"ASCENDING")</f>
        <v>ASCENDING</v>
      </c>
      <c r="Z13" s="5">
        <f>IFERROR(__xludf.DUMMYFUNCTION("""COMPUTED_VALUE"""),1.0)</f>
        <v>1</v>
      </c>
      <c r="AA13" s="5">
        <f>IFERROR(__xludf.DUMMYFUNCTION("""COMPUTED_VALUE"""),5.0)</f>
        <v>5</v>
      </c>
      <c r="AB13" s="5">
        <f>IFERROR(__xludf.DUMMYFUNCTION("""COMPUTED_VALUE"""),66.0)</f>
        <v>66</v>
      </c>
      <c r="AC13" s="5">
        <f>IFERROR(__xludf.DUMMYFUNCTION("""COMPUTED_VALUE"""),2.0)</f>
        <v>2</v>
      </c>
      <c r="AE13" s="5" t="str">
        <f>IFERROR(__xludf.DUMMYFUNCTION("""COMPUTED_VALUE"""),"5Queens.csp")</f>
        <v>5Queens.csp</v>
      </c>
      <c r="AF13" s="5" t="str">
        <f>IFERROR(__xludf.DUMMYFUNCTION("""COMPUTED_VALUE"""),"MAC")</f>
        <v>MAC</v>
      </c>
      <c r="AG13" s="5">
        <f>IFERROR(__xludf.DUMMYFUNCTION("""COMPUTED_VALUE"""),1.0)</f>
        <v>1</v>
      </c>
      <c r="AH13" s="5" t="str">
        <f>IFERROR(__xludf.DUMMYFUNCTION("""COMPUTED_VALUE"""),"ASCENDING")</f>
        <v>ASCENDING</v>
      </c>
      <c r="AI13" s="5" t="str">
        <f>IFERROR(__xludf.DUMMYFUNCTION("""COMPUTED_VALUE"""),"MIN_CONFLICTS")</f>
        <v>MIN_CONFLICTS</v>
      </c>
      <c r="AJ13" s="5">
        <f>IFERROR(__xludf.DUMMYFUNCTION("""COMPUTED_VALUE"""),1.0)</f>
        <v>1</v>
      </c>
      <c r="AK13" s="5">
        <f>IFERROR(__xludf.DUMMYFUNCTION("""COMPUTED_VALUE"""),5.0)</f>
        <v>5</v>
      </c>
      <c r="AL13" s="5">
        <f>IFERROR(__xludf.DUMMYFUNCTION("""COMPUTED_VALUE"""),66.0)</f>
        <v>66</v>
      </c>
      <c r="AM13" s="5">
        <f>IFERROR(__xludf.DUMMYFUNCTION("""COMPUTED_VALUE"""),11.0)</f>
        <v>11</v>
      </c>
    </row>
    <row r="14">
      <c r="A14" s="5" t="s">
        <v>17</v>
      </c>
      <c r="B14" s="5" t="s">
        <v>11</v>
      </c>
      <c r="C14" s="5">
        <v>1.0</v>
      </c>
      <c r="D14" s="5" t="s">
        <v>12</v>
      </c>
      <c r="E14" s="5" t="s">
        <v>12</v>
      </c>
      <c r="F14" s="5">
        <v>1.0</v>
      </c>
      <c r="G14" s="5">
        <v>60.0</v>
      </c>
      <c r="H14" s="5">
        <v>3759.0</v>
      </c>
      <c r="I14" s="5">
        <v>635.0</v>
      </c>
      <c r="J14" s="5"/>
      <c r="K14" s="5" t="s">
        <v>17</v>
      </c>
      <c r="L14" s="5" t="s">
        <v>11</v>
      </c>
      <c r="M14" s="5">
        <v>1.0</v>
      </c>
      <c r="N14" s="5" t="s">
        <v>12</v>
      </c>
      <c r="O14" s="5" t="s">
        <v>13</v>
      </c>
      <c r="P14" s="5">
        <v>1.0</v>
      </c>
      <c r="Q14" s="5">
        <v>52.0</v>
      </c>
      <c r="R14" s="5">
        <v>3501.0</v>
      </c>
      <c r="S14" s="5">
        <v>438.0</v>
      </c>
      <c r="U14" s="5" t="str">
        <f>IFERROR(__xludf.DUMMYFUNCTION("""COMPUTED_VALUE"""),"6Queens.csp")</f>
        <v>6Queens.csp</v>
      </c>
      <c r="V14" s="5" t="str">
        <f>IFERROR(__xludf.DUMMYFUNCTION("""COMPUTED_VALUE"""),"MAC")</f>
        <v>MAC</v>
      </c>
      <c r="W14" s="5">
        <f>IFERROR(__xludf.DUMMYFUNCTION("""COMPUTED_VALUE"""),1.0)</f>
        <v>1</v>
      </c>
      <c r="X14" s="5" t="str">
        <f>IFERROR(__xludf.DUMMYFUNCTION("""COMPUTED_VALUE"""),"ASCENDING")</f>
        <v>ASCENDING</v>
      </c>
      <c r="Y14" s="5" t="str">
        <f>IFERROR(__xludf.DUMMYFUNCTION("""COMPUTED_VALUE"""),"ASCENDING")</f>
        <v>ASCENDING</v>
      </c>
      <c r="Z14" s="5">
        <f>IFERROR(__xludf.DUMMYFUNCTION("""COMPUTED_VALUE"""),1.0)</f>
        <v>1</v>
      </c>
      <c r="AA14" s="5">
        <f>IFERROR(__xludf.DUMMYFUNCTION("""COMPUTED_VALUE"""),12.0)</f>
        <v>12</v>
      </c>
      <c r="AB14" s="5">
        <f>IFERROR(__xludf.DUMMYFUNCTION("""COMPUTED_VALUE"""),258.0)</f>
        <v>258</v>
      </c>
      <c r="AC14" s="5">
        <f>IFERROR(__xludf.DUMMYFUNCTION("""COMPUTED_VALUE"""),28.0)</f>
        <v>28</v>
      </c>
      <c r="AE14" s="5" t="str">
        <f>IFERROR(__xludf.DUMMYFUNCTION("""COMPUTED_VALUE"""),"6Queens.csp")</f>
        <v>6Queens.csp</v>
      </c>
      <c r="AF14" s="5" t="str">
        <f>IFERROR(__xludf.DUMMYFUNCTION("""COMPUTED_VALUE"""),"MAC")</f>
        <v>MAC</v>
      </c>
      <c r="AG14" s="5">
        <f>IFERROR(__xludf.DUMMYFUNCTION("""COMPUTED_VALUE"""),1.0)</f>
        <v>1</v>
      </c>
      <c r="AH14" s="5" t="str">
        <f>IFERROR(__xludf.DUMMYFUNCTION("""COMPUTED_VALUE"""),"ASCENDING")</f>
        <v>ASCENDING</v>
      </c>
      <c r="AI14" s="5" t="str">
        <f>IFERROR(__xludf.DUMMYFUNCTION("""COMPUTED_VALUE"""),"MIN_CONFLICTS")</f>
        <v>MIN_CONFLICTS</v>
      </c>
      <c r="AJ14" s="5">
        <f>IFERROR(__xludf.DUMMYFUNCTION("""COMPUTED_VALUE"""),1.0)</f>
        <v>1</v>
      </c>
      <c r="AK14" s="5">
        <f>IFERROR(__xludf.DUMMYFUNCTION("""COMPUTED_VALUE"""),18.0)</f>
        <v>18</v>
      </c>
      <c r="AL14" s="5">
        <f>IFERROR(__xludf.DUMMYFUNCTION("""COMPUTED_VALUE"""),345.0)</f>
        <v>345</v>
      </c>
      <c r="AM14" s="5">
        <f>IFERROR(__xludf.DUMMYFUNCTION("""COMPUTED_VALUE"""),12.0)</f>
        <v>12</v>
      </c>
    </row>
    <row r="15">
      <c r="A15" s="5" t="s">
        <v>26</v>
      </c>
      <c r="B15" s="5" t="s">
        <v>11</v>
      </c>
      <c r="C15" s="5">
        <v>1.0</v>
      </c>
      <c r="D15" s="5" t="s">
        <v>12</v>
      </c>
      <c r="E15" s="5" t="s">
        <v>12</v>
      </c>
      <c r="F15" s="5">
        <v>1.0</v>
      </c>
      <c r="G15" s="5">
        <v>81.0</v>
      </c>
      <c r="H15" s="5">
        <v>10127.0</v>
      </c>
      <c r="I15" s="5">
        <v>491.0</v>
      </c>
      <c r="J15" s="5"/>
      <c r="K15" s="5" t="s">
        <v>26</v>
      </c>
      <c r="L15" s="5" t="s">
        <v>11</v>
      </c>
      <c r="M15" s="5">
        <v>1.0</v>
      </c>
      <c r="N15" s="5" t="s">
        <v>12</v>
      </c>
      <c r="O15" s="5" t="s">
        <v>13</v>
      </c>
      <c r="P15" s="5">
        <v>1.0</v>
      </c>
      <c r="Q15" s="5">
        <v>81.0</v>
      </c>
      <c r="R15" s="5">
        <v>10127.0</v>
      </c>
      <c r="S15" s="5">
        <v>550.0</v>
      </c>
      <c r="U15" s="5" t="str">
        <f>IFERROR(__xludf.DUMMYFUNCTION("""COMPUTED_VALUE"""),"7Queens.csp")</f>
        <v>7Queens.csp</v>
      </c>
      <c r="V15" s="5" t="str">
        <f>IFERROR(__xludf.DUMMYFUNCTION("""COMPUTED_VALUE"""),"MAC")</f>
        <v>MAC</v>
      </c>
      <c r="W15" s="5">
        <f>IFERROR(__xludf.DUMMYFUNCTION("""COMPUTED_VALUE"""),1.0)</f>
        <v>1</v>
      </c>
      <c r="X15" s="5" t="str">
        <f>IFERROR(__xludf.DUMMYFUNCTION("""COMPUTED_VALUE"""),"ASCENDING")</f>
        <v>ASCENDING</v>
      </c>
      <c r="Y15" s="5" t="str">
        <f>IFERROR(__xludf.DUMMYFUNCTION("""COMPUTED_VALUE"""),"ASCENDING")</f>
        <v>ASCENDING</v>
      </c>
      <c r="Z15" s="5">
        <f>IFERROR(__xludf.DUMMYFUNCTION("""COMPUTED_VALUE"""),1.0)</f>
        <v>1</v>
      </c>
      <c r="AA15" s="5">
        <f>IFERROR(__xludf.DUMMYFUNCTION("""COMPUTED_VALUE"""),7.0)</f>
        <v>7</v>
      </c>
      <c r="AB15" s="5">
        <f>IFERROR(__xludf.DUMMYFUNCTION("""COMPUTED_VALUE"""),168.0)</f>
        <v>168</v>
      </c>
      <c r="AC15" s="5">
        <f>IFERROR(__xludf.DUMMYFUNCTION("""COMPUTED_VALUE"""),20.0)</f>
        <v>20</v>
      </c>
      <c r="AE15" s="5" t="str">
        <f>IFERROR(__xludf.DUMMYFUNCTION("""COMPUTED_VALUE"""),"7Queens.csp")</f>
        <v>7Queens.csp</v>
      </c>
      <c r="AF15" s="5" t="str">
        <f>IFERROR(__xludf.DUMMYFUNCTION("""COMPUTED_VALUE"""),"MAC")</f>
        <v>MAC</v>
      </c>
      <c r="AG15" s="5">
        <f>IFERROR(__xludf.DUMMYFUNCTION("""COMPUTED_VALUE"""),1.0)</f>
        <v>1</v>
      </c>
      <c r="AH15" s="5" t="str">
        <f>IFERROR(__xludf.DUMMYFUNCTION("""COMPUTED_VALUE"""),"ASCENDING")</f>
        <v>ASCENDING</v>
      </c>
      <c r="AI15" s="5" t="str">
        <f>IFERROR(__xludf.DUMMYFUNCTION("""COMPUTED_VALUE"""),"MIN_CONFLICTS")</f>
        <v>MIN_CONFLICTS</v>
      </c>
      <c r="AJ15" s="5">
        <f>IFERROR(__xludf.DUMMYFUNCTION("""COMPUTED_VALUE"""),1.0)</f>
        <v>1</v>
      </c>
      <c r="AK15" s="5">
        <f>IFERROR(__xludf.DUMMYFUNCTION("""COMPUTED_VALUE"""),7.0)</f>
        <v>7</v>
      </c>
      <c r="AL15" s="5">
        <f>IFERROR(__xludf.DUMMYFUNCTION("""COMPUTED_VALUE"""),178.0)</f>
        <v>178</v>
      </c>
      <c r="AM15" s="5">
        <f>IFERROR(__xludf.DUMMYFUNCTION("""COMPUTED_VALUE"""),54.0)</f>
        <v>54</v>
      </c>
    </row>
    <row r="16">
      <c r="A16" s="5" t="s">
        <v>42</v>
      </c>
      <c r="B16" s="5" t="s">
        <v>11</v>
      </c>
      <c r="C16" s="5">
        <v>1.0</v>
      </c>
      <c r="D16" s="5" t="s">
        <v>12</v>
      </c>
      <c r="E16" s="5" t="s">
        <v>12</v>
      </c>
      <c r="F16" s="5">
        <v>1.0</v>
      </c>
      <c r="G16" s="5">
        <v>81.0</v>
      </c>
      <c r="H16" s="5">
        <v>10488.0</v>
      </c>
      <c r="I16" s="5">
        <v>532.0</v>
      </c>
      <c r="J16" s="5"/>
      <c r="K16" s="5" t="s">
        <v>42</v>
      </c>
      <c r="L16" s="5" t="s">
        <v>11</v>
      </c>
      <c r="M16" s="5">
        <v>1.0</v>
      </c>
      <c r="N16" s="5" t="s">
        <v>12</v>
      </c>
      <c r="O16" s="5" t="s">
        <v>13</v>
      </c>
      <c r="P16" s="5">
        <v>1.0</v>
      </c>
      <c r="Q16" s="5">
        <v>81.0</v>
      </c>
      <c r="R16" s="5">
        <v>10488.0</v>
      </c>
      <c r="S16" s="5">
        <v>496.0</v>
      </c>
      <c r="U16" s="5" t="str">
        <f>IFERROR(__xludf.DUMMYFUNCTION("""COMPUTED_VALUE"""),"8Queens.csp")</f>
        <v>8Queens.csp</v>
      </c>
      <c r="V16" s="5" t="str">
        <f>IFERROR(__xludf.DUMMYFUNCTION("""COMPUTED_VALUE"""),"MAC")</f>
        <v>MAC</v>
      </c>
      <c r="W16" s="5">
        <f>IFERROR(__xludf.DUMMYFUNCTION("""COMPUTED_VALUE"""),1.0)</f>
        <v>1</v>
      </c>
      <c r="X16" s="5" t="str">
        <f>IFERROR(__xludf.DUMMYFUNCTION("""COMPUTED_VALUE"""),"ASCENDING")</f>
        <v>ASCENDING</v>
      </c>
      <c r="Y16" s="5" t="str">
        <f>IFERROR(__xludf.DUMMYFUNCTION("""COMPUTED_VALUE"""),"ASCENDING")</f>
        <v>ASCENDING</v>
      </c>
      <c r="Z16" s="5">
        <f>IFERROR(__xludf.DUMMYFUNCTION("""COMPUTED_VALUE"""),1.0)</f>
        <v>1</v>
      </c>
      <c r="AA16" s="5">
        <f>IFERROR(__xludf.DUMMYFUNCTION("""COMPUTED_VALUE"""),28.0)</f>
        <v>28</v>
      </c>
      <c r="AB16" s="5">
        <f>IFERROR(__xludf.DUMMYFUNCTION("""COMPUTED_VALUE"""),1000.0)</f>
        <v>1000</v>
      </c>
      <c r="AC16" s="5">
        <f>IFERROR(__xludf.DUMMYFUNCTION("""COMPUTED_VALUE"""),72.0)</f>
        <v>72</v>
      </c>
      <c r="AE16" s="5" t="str">
        <f>IFERROR(__xludf.DUMMYFUNCTION("""COMPUTED_VALUE"""),"8Queens.csp")</f>
        <v>8Queens.csp</v>
      </c>
      <c r="AF16" s="5" t="str">
        <f>IFERROR(__xludf.DUMMYFUNCTION("""COMPUTED_VALUE"""),"MAC")</f>
        <v>MAC</v>
      </c>
      <c r="AG16" s="5">
        <f>IFERROR(__xludf.DUMMYFUNCTION("""COMPUTED_VALUE"""),1.0)</f>
        <v>1</v>
      </c>
      <c r="AH16" s="5" t="str">
        <f>IFERROR(__xludf.DUMMYFUNCTION("""COMPUTED_VALUE"""),"ASCENDING")</f>
        <v>ASCENDING</v>
      </c>
      <c r="AI16" s="5" t="str">
        <f>IFERROR(__xludf.DUMMYFUNCTION("""COMPUTED_VALUE"""),"MIN_CONFLICTS")</f>
        <v>MIN_CONFLICTS</v>
      </c>
      <c r="AJ16" s="5">
        <f>IFERROR(__xludf.DUMMYFUNCTION("""COMPUTED_VALUE"""),1.0)</f>
        <v>1</v>
      </c>
      <c r="AK16" s="5">
        <f>IFERROR(__xludf.DUMMYFUNCTION("""COMPUTED_VALUE"""),18.0)</f>
        <v>18</v>
      </c>
      <c r="AL16" s="5">
        <f>IFERROR(__xludf.DUMMYFUNCTION("""COMPUTED_VALUE"""),594.0)</f>
        <v>594</v>
      </c>
      <c r="AM16" s="5">
        <f>IFERROR(__xludf.DUMMYFUNCTION("""COMPUTED_VALUE"""),69.0)</f>
        <v>69</v>
      </c>
    </row>
    <row r="17">
      <c r="U17" s="5" t="str">
        <f>IFERROR(__xludf.DUMMYFUNCTION("""COMPUTED_VALUE"""),"9Queens.csp")</f>
        <v>9Queens.csp</v>
      </c>
      <c r="V17" s="5" t="str">
        <f>IFERROR(__xludf.DUMMYFUNCTION("""COMPUTED_VALUE"""),"MAC")</f>
        <v>MAC</v>
      </c>
      <c r="W17" s="5">
        <f>IFERROR(__xludf.DUMMYFUNCTION("""COMPUTED_VALUE"""),1.0)</f>
        <v>1</v>
      </c>
      <c r="X17" s="5" t="str">
        <f>IFERROR(__xludf.DUMMYFUNCTION("""COMPUTED_VALUE"""),"ASCENDING")</f>
        <v>ASCENDING</v>
      </c>
      <c r="Y17" s="5" t="str">
        <f>IFERROR(__xludf.DUMMYFUNCTION("""COMPUTED_VALUE"""),"ASCENDING")</f>
        <v>ASCENDING</v>
      </c>
      <c r="Z17" s="5">
        <f>IFERROR(__xludf.DUMMYFUNCTION("""COMPUTED_VALUE"""),1.0)</f>
        <v>1</v>
      </c>
      <c r="AA17" s="5">
        <f>IFERROR(__xludf.DUMMYFUNCTION("""COMPUTED_VALUE"""),17.0)</f>
        <v>17</v>
      </c>
      <c r="AB17" s="5">
        <f>IFERROR(__xludf.DUMMYFUNCTION("""COMPUTED_VALUE"""),605.0)</f>
        <v>605</v>
      </c>
      <c r="AC17" s="5">
        <f>IFERROR(__xludf.DUMMYFUNCTION("""COMPUTED_VALUE"""),44.0)</f>
        <v>44</v>
      </c>
      <c r="AE17" s="5" t="str">
        <f>IFERROR(__xludf.DUMMYFUNCTION("""COMPUTED_VALUE"""),"9Queens.csp")</f>
        <v>9Queens.csp</v>
      </c>
      <c r="AF17" s="5" t="str">
        <f>IFERROR(__xludf.DUMMYFUNCTION("""COMPUTED_VALUE"""),"MAC")</f>
        <v>MAC</v>
      </c>
      <c r="AG17" s="5">
        <f>IFERROR(__xludf.DUMMYFUNCTION("""COMPUTED_VALUE"""),1.0)</f>
        <v>1</v>
      </c>
      <c r="AH17" s="5" t="str">
        <f>IFERROR(__xludf.DUMMYFUNCTION("""COMPUTED_VALUE"""),"ASCENDING")</f>
        <v>ASCENDING</v>
      </c>
      <c r="AI17" s="5" t="str">
        <f>IFERROR(__xludf.DUMMYFUNCTION("""COMPUTED_VALUE"""),"MIN_CONFLICTS")</f>
        <v>MIN_CONFLICTS</v>
      </c>
      <c r="AJ17" s="5">
        <f>IFERROR(__xludf.DUMMYFUNCTION("""COMPUTED_VALUE"""),1.0)</f>
        <v>1</v>
      </c>
      <c r="AK17" s="5">
        <f>IFERROR(__xludf.DUMMYFUNCTION("""COMPUTED_VALUE"""),15.0)</f>
        <v>15</v>
      </c>
      <c r="AL17" s="5">
        <f>IFERROR(__xludf.DUMMYFUNCTION("""COMPUTED_VALUE"""),546.0)</f>
        <v>546</v>
      </c>
      <c r="AM17" s="5">
        <f>IFERROR(__xludf.DUMMYFUNCTION("""COMPUTED_VALUE"""),23.0)</f>
        <v>23</v>
      </c>
    </row>
    <row r="18">
      <c r="U18" s="5" t="str">
        <f>IFERROR(__xludf.DUMMYFUNCTION("""COMPUTED_VALUE"""),"langfords2_11.csp")</f>
        <v>langfords2_11.csp</v>
      </c>
      <c r="V18" s="5" t="str">
        <f>IFERROR(__xludf.DUMMYFUNCTION("""COMPUTED_VALUE"""),"MAC")</f>
        <v>MAC</v>
      </c>
      <c r="W18" s="5">
        <f>IFERROR(__xludf.DUMMYFUNCTION("""COMPUTED_VALUE"""),1.0)</f>
        <v>1</v>
      </c>
      <c r="X18" s="5" t="str">
        <f>IFERROR(__xludf.DUMMYFUNCTION("""COMPUTED_VALUE"""),"ASCENDING")</f>
        <v>ASCENDING</v>
      </c>
      <c r="Y18" s="5" t="str">
        <f>IFERROR(__xludf.DUMMYFUNCTION("""COMPUTED_VALUE"""),"ASCENDING")</f>
        <v>ASCENDING</v>
      </c>
      <c r="Z18" s="5">
        <f>IFERROR(__xludf.DUMMYFUNCTION("""COMPUTED_VALUE"""),1.0)</f>
        <v>1</v>
      </c>
      <c r="AA18" s="5">
        <f>IFERROR(__xludf.DUMMYFUNCTION("""COMPUTED_VALUE"""),2570.0)</f>
        <v>2570</v>
      </c>
      <c r="AB18" s="5">
        <f>IFERROR(__xludf.DUMMYFUNCTION("""COMPUTED_VALUE"""),309569.0)</f>
        <v>309569</v>
      </c>
      <c r="AC18" s="5">
        <f>IFERROR(__xludf.DUMMYFUNCTION("""COMPUTED_VALUE"""),2125.0)</f>
        <v>2125</v>
      </c>
      <c r="AE18" s="5" t="str">
        <f>IFERROR(__xludf.DUMMYFUNCTION("""COMPUTED_VALUE"""),"langfords2_11.csp")</f>
        <v>langfords2_11.csp</v>
      </c>
      <c r="AF18" s="5" t="str">
        <f>IFERROR(__xludf.DUMMYFUNCTION("""COMPUTED_VALUE"""),"MAC")</f>
        <v>MAC</v>
      </c>
      <c r="AG18" s="5">
        <f>IFERROR(__xludf.DUMMYFUNCTION("""COMPUTED_VALUE"""),1.0)</f>
        <v>1</v>
      </c>
      <c r="AH18" s="5" t="str">
        <f>IFERROR(__xludf.DUMMYFUNCTION("""COMPUTED_VALUE"""),"ASCENDING")</f>
        <v>ASCENDING</v>
      </c>
      <c r="AI18" s="5" t="str">
        <f>IFERROR(__xludf.DUMMYFUNCTION("""COMPUTED_VALUE"""),"MIN_CONFLICTS")</f>
        <v>MIN_CONFLICTS</v>
      </c>
      <c r="AJ18" s="5">
        <f>IFERROR(__xludf.DUMMYFUNCTION("""COMPUTED_VALUE"""),1.0)</f>
        <v>1</v>
      </c>
      <c r="AK18" s="5">
        <f>IFERROR(__xludf.DUMMYFUNCTION("""COMPUTED_VALUE"""),2500.0)</f>
        <v>2500</v>
      </c>
      <c r="AL18" s="5">
        <f>IFERROR(__xludf.DUMMYFUNCTION("""COMPUTED_VALUE"""),313622.0)</f>
        <v>313622</v>
      </c>
      <c r="AM18" s="5">
        <f>IFERROR(__xludf.DUMMYFUNCTION("""COMPUTED_VALUE"""),2153.0)</f>
        <v>2153</v>
      </c>
    </row>
    <row r="19">
      <c r="U19" s="5" t="str">
        <f>IFERROR(__xludf.DUMMYFUNCTION("""COMPUTED_VALUE"""),"langfords2_12.csp")</f>
        <v>langfords2_12.csp</v>
      </c>
      <c r="V19" s="5" t="str">
        <f>IFERROR(__xludf.DUMMYFUNCTION("""COMPUTED_VALUE"""),"MAC")</f>
        <v>MAC</v>
      </c>
      <c r="W19" s="5">
        <f>IFERROR(__xludf.DUMMYFUNCTION("""COMPUTED_VALUE"""),1.0)</f>
        <v>1</v>
      </c>
      <c r="X19" s="5" t="str">
        <f>IFERROR(__xludf.DUMMYFUNCTION("""COMPUTED_VALUE"""),"ASCENDING")</f>
        <v>ASCENDING</v>
      </c>
      <c r="Y19" s="5" t="str">
        <f>IFERROR(__xludf.DUMMYFUNCTION("""COMPUTED_VALUE"""),"ASCENDING")</f>
        <v>ASCENDING</v>
      </c>
      <c r="Z19" s="5">
        <f>IFERROR(__xludf.DUMMYFUNCTION("""COMPUTED_VALUE"""),1.0)</f>
        <v>1</v>
      </c>
      <c r="AA19" s="5">
        <f>IFERROR(__xludf.DUMMYFUNCTION("""COMPUTED_VALUE"""),2890.0)</f>
        <v>2890</v>
      </c>
      <c r="AB19" s="5">
        <f>IFERROR(__xludf.DUMMYFUNCTION("""COMPUTED_VALUE"""),392092.0)</f>
        <v>392092</v>
      </c>
      <c r="AC19" s="5">
        <f>IFERROR(__xludf.DUMMYFUNCTION("""COMPUTED_VALUE"""),2306.0)</f>
        <v>2306</v>
      </c>
      <c r="AE19" s="5" t="str">
        <f>IFERROR(__xludf.DUMMYFUNCTION("""COMPUTED_VALUE"""),"langfords2_12.csp")</f>
        <v>langfords2_12.csp</v>
      </c>
      <c r="AF19" s="5" t="str">
        <f>IFERROR(__xludf.DUMMYFUNCTION("""COMPUTED_VALUE"""),"MAC")</f>
        <v>MAC</v>
      </c>
      <c r="AG19" s="5">
        <f>IFERROR(__xludf.DUMMYFUNCTION("""COMPUTED_VALUE"""),1.0)</f>
        <v>1</v>
      </c>
      <c r="AH19" s="5" t="str">
        <f>IFERROR(__xludf.DUMMYFUNCTION("""COMPUTED_VALUE"""),"ASCENDING")</f>
        <v>ASCENDING</v>
      </c>
      <c r="AI19" s="5" t="str">
        <f>IFERROR(__xludf.DUMMYFUNCTION("""COMPUTED_VALUE"""),"MIN_CONFLICTS")</f>
        <v>MIN_CONFLICTS</v>
      </c>
      <c r="AJ19" s="5">
        <f>IFERROR(__xludf.DUMMYFUNCTION("""COMPUTED_VALUE"""),1.0)</f>
        <v>1</v>
      </c>
      <c r="AK19" s="5">
        <f>IFERROR(__xludf.DUMMYFUNCTION("""COMPUTED_VALUE"""),296.0)</f>
        <v>296</v>
      </c>
      <c r="AL19" s="5">
        <f>IFERROR(__xludf.DUMMYFUNCTION("""COMPUTED_VALUE"""),39739.0)</f>
        <v>39739</v>
      </c>
      <c r="AM19" s="5">
        <f>IFERROR(__xludf.DUMMYFUNCTION("""COMPUTED_VALUE"""),800.0)</f>
        <v>800</v>
      </c>
    </row>
    <row r="20">
      <c r="U20" s="5" t="str">
        <f>IFERROR(__xludf.DUMMYFUNCTION("""COMPUTED_VALUE"""),"langfords2_3.csp")</f>
        <v>langfords2_3.csp</v>
      </c>
      <c r="V20" s="5" t="str">
        <f>IFERROR(__xludf.DUMMYFUNCTION("""COMPUTED_VALUE"""),"MAC")</f>
        <v>MAC</v>
      </c>
      <c r="W20" s="5">
        <f>IFERROR(__xludf.DUMMYFUNCTION("""COMPUTED_VALUE"""),1.0)</f>
        <v>1</v>
      </c>
      <c r="X20" s="5" t="str">
        <f>IFERROR(__xludf.DUMMYFUNCTION("""COMPUTED_VALUE"""),"ASCENDING")</f>
        <v>ASCENDING</v>
      </c>
      <c r="Y20" s="5" t="str">
        <f>IFERROR(__xludf.DUMMYFUNCTION("""COMPUTED_VALUE"""),"ASCENDING")</f>
        <v>ASCENDING</v>
      </c>
      <c r="Z20" s="5">
        <f>IFERROR(__xludf.DUMMYFUNCTION("""COMPUTED_VALUE"""),1.0)</f>
        <v>1</v>
      </c>
      <c r="AA20" s="5">
        <f>IFERROR(__xludf.DUMMYFUNCTION("""COMPUTED_VALUE"""),8.0)</f>
        <v>8</v>
      </c>
      <c r="AB20" s="5">
        <f>IFERROR(__xludf.DUMMYFUNCTION("""COMPUTED_VALUE"""),123.0)</f>
        <v>123</v>
      </c>
      <c r="AC20" s="5">
        <f>IFERROR(__xludf.DUMMYFUNCTION("""COMPUTED_VALUE"""),32.0)</f>
        <v>32</v>
      </c>
      <c r="AE20" s="5" t="str">
        <f>IFERROR(__xludf.DUMMYFUNCTION("""COMPUTED_VALUE"""),"langfords2_3.csp")</f>
        <v>langfords2_3.csp</v>
      </c>
      <c r="AF20" s="5" t="str">
        <f>IFERROR(__xludf.DUMMYFUNCTION("""COMPUTED_VALUE"""),"MAC")</f>
        <v>MAC</v>
      </c>
      <c r="AG20" s="5">
        <f>IFERROR(__xludf.DUMMYFUNCTION("""COMPUTED_VALUE"""),1.0)</f>
        <v>1</v>
      </c>
      <c r="AH20" s="5" t="str">
        <f>IFERROR(__xludf.DUMMYFUNCTION("""COMPUTED_VALUE"""),"ASCENDING")</f>
        <v>ASCENDING</v>
      </c>
      <c r="AI20" s="5" t="str">
        <f>IFERROR(__xludf.DUMMYFUNCTION("""COMPUTED_VALUE"""),"MIN_CONFLICTS")</f>
        <v>MIN_CONFLICTS</v>
      </c>
      <c r="AJ20" s="5">
        <f>IFERROR(__xludf.DUMMYFUNCTION("""COMPUTED_VALUE"""),1.0)</f>
        <v>1</v>
      </c>
      <c r="AK20" s="5">
        <f>IFERROR(__xludf.DUMMYFUNCTION("""COMPUTED_VALUE"""),6.0)</f>
        <v>6</v>
      </c>
      <c r="AL20" s="5">
        <f>IFERROR(__xludf.DUMMYFUNCTION("""COMPUTED_VALUE"""),92.0)</f>
        <v>92</v>
      </c>
      <c r="AM20" s="5">
        <f>IFERROR(__xludf.DUMMYFUNCTION("""COMPUTED_VALUE"""),25.0)</f>
        <v>25</v>
      </c>
    </row>
    <row r="21">
      <c r="U21" s="5" t="str">
        <f>IFERROR(__xludf.DUMMYFUNCTION("""COMPUTED_VALUE"""),"langfords2_4.csp")</f>
        <v>langfords2_4.csp</v>
      </c>
      <c r="V21" s="5" t="str">
        <f>IFERROR(__xludf.DUMMYFUNCTION("""COMPUTED_VALUE"""),"MAC")</f>
        <v>MAC</v>
      </c>
      <c r="W21" s="5">
        <f>IFERROR(__xludf.DUMMYFUNCTION("""COMPUTED_VALUE"""),1.0)</f>
        <v>1</v>
      </c>
      <c r="X21" s="5" t="str">
        <f>IFERROR(__xludf.DUMMYFUNCTION("""COMPUTED_VALUE"""),"ASCENDING")</f>
        <v>ASCENDING</v>
      </c>
      <c r="Y21" s="5" t="str">
        <f>IFERROR(__xludf.DUMMYFUNCTION("""COMPUTED_VALUE"""),"ASCENDING")</f>
        <v>ASCENDING</v>
      </c>
      <c r="Z21" s="5">
        <f>IFERROR(__xludf.DUMMYFUNCTION("""COMPUTED_VALUE"""),1.0)</f>
        <v>1</v>
      </c>
      <c r="AA21" s="5">
        <f>IFERROR(__xludf.DUMMYFUNCTION("""COMPUTED_VALUE"""),12.0)</f>
        <v>12</v>
      </c>
      <c r="AB21" s="5">
        <f>IFERROR(__xludf.DUMMYFUNCTION("""COMPUTED_VALUE"""),344.0)</f>
        <v>344</v>
      </c>
      <c r="AC21" s="5">
        <f>IFERROR(__xludf.DUMMYFUNCTION("""COMPUTED_VALUE"""),139.0)</f>
        <v>139</v>
      </c>
      <c r="AE21" s="5" t="str">
        <f>IFERROR(__xludf.DUMMYFUNCTION("""COMPUTED_VALUE"""),"langfords2_4.csp")</f>
        <v>langfords2_4.csp</v>
      </c>
      <c r="AF21" s="5" t="str">
        <f>IFERROR(__xludf.DUMMYFUNCTION("""COMPUTED_VALUE"""),"MAC")</f>
        <v>MAC</v>
      </c>
      <c r="AG21" s="5">
        <f>IFERROR(__xludf.DUMMYFUNCTION("""COMPUTED_VALUE"""),1.0)</f>
        <v>1</v>
      </c>
      <c r="AH21" s="5" t="str">
        <f>IFERROR(__xludf.DUMMYFUNCTION("""COMPUTED_VALUE"""),"ASCENDING")</f>
        <v>ASCENDING</v>
      </c>
      <c r="AI21" s="5" t="str">
        <f>IFERROR(__xludf.DUMMYFUNCTION("""COMPUTED_VALUE"""),"MIN_CONFLICTS")</f>
        <v>MIN_CONFLICTS</v>
      </c>
      <c r="AJ21" s="5">
        <f>IFERROR(__xludf.DUMMYFUNCTION("""COMPUTED_VALUE"""),1.0)</f>
        <v>1</v>
      </c>
      <c r="AK21" s="5">
        <f>IFERROR(__xludf.DUMMYFUNCTION("""COMPUTED_VALUE"""),10.0)</f>
        <v>10</v>
      </c>
      <c r="AL21" s="5">
        <f>IFERROR(__xludf.DUMMYFUNCTION("""COMPUTED_VALUE"""),319.0)</f>
        <v>319</v>
      </c>
      <c r="AM21" s="5">
        <f>IFERROR(__xludf.DUMMYFUNCTION("""COMPUTED_VALUE"""),144.0)</f>
        <v>144</v>
      </c>
    </row>
    <row r="22">
      <c r="U22" s="5" t="str">
        <f>IFERROR(__xludf.DUMMYFUNCTION("""COMPUTED_VALUE"""),"langfords2_7.csp")</f>
        <v>langfords2_7.csp</v>
      </c>
      <c r="V22" s="5" t="str">
        <f>IFERROR(__xludf.DUMMYFUNCTION("""COMPUTED_VALUE"""),"MAC")</f>
        <v>MAC</v>
      </c>
      <c r="W22" s="5">
        <f>IFERROR(__xludf.DUMMYFUNCTION("""COMPUTED_VALUE"""),1.0)</f>
        <v>1</v>
      </c>
      <c r="X22" s="5" t="str">
        <f>IFERROR(__xludf.DUMMYFUNCTION("""COMPUTED_VALUE"""),"ASCENDING")</f>
        <v>ASCENDING</v>
      </c>
      <c r="Y22" s="5" t="str">
        <f>IFERROR(__xludf.DUMMYFUNCTION("""COMPUTED_VALUE"""),"ASCENDING")</f>
        <v>ASCENDING</v>
      </c>
      <c r="Z22" s="5">
        <f>IFERROR(__xludf.DUMMYFUNCTION("""COMPUTED_VALUE"""),1.0)</f>
        <v>1</v>
      </c>
      <c r="AA22" s="5">
        <f>IFERROR(__xludf.DUMMYFUNCTION("""COMPUTED_VALUE"""),38.0)</f>
        <v>38</v>
      </c>
      <c r="AB22" s="5">
        <f>IFERROR(__xludf.DUMMYFUNCTION("""COMPUTED_VALUE"""),3416.0)</f>
        <v>3416</v>
      </c>
      <c r="AC22" s="5">
        <f>IFERROR(__xludf.DUMMYFUNCTION("""COMPUTED_VALUE"""),408.0)</f>
        <v>408</v>
      </c>
      <c r="AE22" s="5" t="str">
        <f>IFERROR(__xludf.DUMMYFUNCTION("""COMPUTED_VALUE"""),"langfords2_7.csp")</f>
        <v>langfords2_7.csp</v>
      </c>
      <c r="AF22" s="5" t="str">
        <f>IFERROR(__xludf.DUMMYFUNCTION("""COMPUTED_VALUE"""),"MAC")</f>
        <v>MAC</v>
      </c>
      <c r="AG22" s="5">
        <f>IFERROR(__xludf.DUMMYFUNCTION("""COMPUTED_VALUE"""),1.0)</f>
        <v>1</v>
      </c>
      <c r="AH22" s="5" t="str">
        <f>IFERROR(__xludf.DUMMYFUNCTION("""COMPUTED_VALUE"""),"ASCENDING")</f>
        <v>ASCENDING</v>
      </c>
      <c r="AI22" s="5" t="str">
        <f>IFERROR(__xludf.DUMMYFUNCTION("""COMPUTED_VALUE"""),"MIN_CONFLICTS")</f>
        <v>MIN_CONFLICTS</v>
      </c>
      <c r="AJ22" s="5">
        <f>IFERROR(__xludf.DUMMYFUNCTION("""COMPUTED_VALUE"""),1.0)</f>
        <v>1</v>
      </c>
      <c r="AK22" s="5">
        <f>IFERROR(__xludf.DUMMYFUNCTION("""COMPUTED_VALUE"""),70.0)</f>
        <v>70</v>
      </c>
      <c r="AL22" s="5">
        <f>IFERROR(__xludf.DUMMYFUNCTION("""COMPUTED_VALUE"""),5075.0)</f>
        <v>5075</v>
      </c>
      <c r="AM22" s="5">
        <f>IFERROR(__xludf.DUMMYFUNCTION("""COMPUTED_VALUE"""),743.0)</f>
        <v>743</v>
      </c>
    </row>
    <row r="23">
      <c r="U23" s="5" t="str">
        <f>IFERROR(__xludf.DUMMYFUNCTION("""COMPUTED_VALUE"""),"langfords2_8.csp")</f>
        <v>langfords2_8.csp</v>
      </c>
      <c r="V23" s="5" t="str">
        <f>IFERROR(__xludf.DUMMYFUNCTION("""COMPUTED_VALUE"""),"MAC")</f>
        <v>MAC</v>
      </c>
      <c r="W23" s="5">
        <f>IFERROR(__xludf.DUMMYFUNCTION("""COMPUTED_VALUE"""),1.0)</f>
        <v>1</v>
      </c>
      <c r="X23" s="5" t="str">
        <f>IFERROR(__xludf.DUMMYFUNCTION("""COMPUTED_VALUE"""),"ASCENDING")</f>
        <v>ASCENDING</v>
      </c>
      <c r="Y23" s="5" t="str">
        <f>IFERROR(__xludf.DUMMYFUNCTION("""COMPUTED_VALUE"""),"ASCENDING")</f>
        <v>ASCENDING</v>
      </c>
      <c r="Z23" s="5">
        <f>IFERROR(__xludf.DUMMYFUNCTION("""COMPUTED_VALUE"""),1.0)</f>
        <v>1</v>
      </c>
      <c r="AA23" s="5">
        <f>IFERROR(__xludf.DUMMYFUNCTION("""COMPUTED_VALUE"""),176.0)</f>
        <v>176</v>
      </c>
      <c r="AB23" s="5">
        <f>IFERROR(__xludf.DUMMYFUNCTION("""COMPUTED_VALUE"""),16045.0)</f>
        <v>16045</v>
      </c>
      <c r="AC23" s="5">
        <f>IFERROR(__xludf.DUMMYFUNCTION("""COMPUTED_VALUE"""),683.0)</f>
        <v>683</v>
      </c>
      <c r="AE23" s="5" t="str">
        <f>IFERROR(__xludf.DUMMYFUNCTION("""COMPUTED_VALUE"""),"langfords2_8.csp")</f>
        <v>langfords2_8.csp</v>
      </c>
      <c r="AF23" s="5" t="str">
        <f>IFERROR(__xludf.DUMMYFUNCTION("""COMPUTED_VALUE"""),"MAC")</f>
        <v>MAC</v>
      </c>
      <c r="AG23" s="5">
        <f>IFERROR(__xludf.DUMMYFUNCTION("""COMPUTED_VALUE"""),1.0)</f>
        <v>1</v>
      </c>
      <c r="AH23" s="5" t="str">
        <f>IFERROR(__xludf.DUMMYFUNCTION("""COMPUTED_VALUE"""),"ASCENDING")</f>
        <v>ASCENDING</v>
      </c>
      <c r="AI23" s="5" t="str">
        <f>IFERROR(__xludf.DUMMYFUNCTION("""COMPUTED_VALUE"""),"MIN_CONFLICTS")</f>
        <v>MIN_CONFLICTS</v>
      </c>
      <c r="AJ23" s="5">
        <f>IFERROR(__xludf.DUMMYFUNCTION("""COMPUTED_VALUE"""),1.0)</f>
        <v>1</v>
      </c>
      <c r="AK23" s="5">
        <f>IFERROR(__xludf.DUMMYFUNCTION("""COMPUTED_VALUE"""),172.0)</f>
        <v>172</v>
      </c>
      <c r="AL23" s="5">
        <f>IFERROR(__xludf.DUMMYFUNCTION("""COMPUTED_VALUE"""),15946.0)</f>
        <v>15946</v>
      </c>
      <c r="AM23" s="5">
        <f>IFERROR(__xludf.DUMMYFUNCTION("""COMPUTED_VALUE"""),1084.0)</f>
        <v>1084</v>
      </c>
    </row>
    <row r="24">
      <c r="U24" s="5" t="str">
        <f>IFERROR(__xludf.DUMMYFUNCTION("""COMPUTED_VALUE"""),"langfords3_10.csp")</f>
        <v>langfords3_10.csp</v>
      </c>
      <c r="V24" s="5" t="str">
        <f>IFERROR(__xludf.DUMMYFUNCTION("""COMPUTED_VALUE"""),"MAC")</f>
        <v>MAC</v>
      </c>
      <c r="W24" s="5">
        <f>IFERROR(__xludf.DUMMYFUNCTION("""COMPUTED_VALUE"""),1.0)</f>
        <v>1</v>
      </c>
      <c r="X24" s="5" t="str">
        <f>IFERROR(__xludf.DUMMYFUNCTION("""COMPUTED_VALUE"""),"ASCENDING")</f>
        <v>ASCENDING</v>
      </c>
      <c r="Y24" s="5" t="str">
        <f>IFERROR(__xludf.DUMMYFUNCTION("""COMPUTED_VALUE"""),"ASCENDING")</f>
        <v>ASCENDING</v>
      </c>
      <c r="Z24" s="5">
        <f>IFERROR(__xludf.DUMMYFUNCTION("""COMPUTED_VALUE"""),1.0)</f>
        <v>1</v>
      </c>
      <c r="AA24" s="5">
        <f>IFERROR(__xludf.DUMMYFUNCTION("""COMPUTED_VALUE"""),276.0)</f>
        <v>276</v>
      </c>
      <c r="AB24" s="5">
        <f>IFERROR(__xludf.DUMMYFUNCTION("""COMPUTED_VALUE"""),80363.0)</f>
        <v>80363</v>
      </c>
      <c r="AC24" s="5">
        <f>IFERROR(__xludf.DUMMYFUNCTION("""COMPUTED_VALUE"""),1130.0)</f>
        <v>1130</v>
      </c>
      <c r="AE24" s="5" t="str">
        <f>IFERROR(__xludf.DUMMYFUNCTION("""COMPUTED_VALUE"""),"langfords3_10.csp")</f>
        <v>langfords3_10.csp</v>
      </c>
      <c r="AF24" s="5" t="str">
        <f>IFERROR(__xludf.DUMMYFUNCTION("""COMPUTED_VALUE"""),"MAC")</f>
        <v>MAC</v>
      </c>
      <c r="AG24" s="5">
        <f>IFERROR(__xludf.DUMMYFUNCTION("""COMPUTED_VALUE"""),1.0)</f>
        <v>1</v>
      </c>
      <c r="AH24" s="5" t="str">
        <f>IFERROR(__xludf.DUMMYFUNCTION("""COMPUTED_VALUE"""),"ASCENDING")</f>
        <v>ASCENDING</v>
      </c>
      <c r="AI24" s="5" t="str">
        <f>IFERROR(__xludf.DUMMYFUNCTION("""COMPUTED_VALUE"""),"MIN_CONFLICTS")</f>
        <v>MIN_CONFLICTS</v>
      </c>
      <c r="AJ24" s="5">
        <f>IFERROR(__xludf.DUMMYFUNCTION("""COMPUTED_VALUE"""),1.0)</f>
        <v>1</v>
      </c>
      <c r="AK24" s="5">
        <f>IFERROR(__xludf.DUMMYFUNCTION("""COMPUTED_VALUE"""),370.0)</f>
        <v>370</v>
      </c>
      <c r="AL24" s="5">
        <f>IFERROR(__xludf.DUMMYFUNCTION("""COMPUTED_VALUE"""),94880.0)</f>
        <v>94880</v>
      </c>
      <c r="AM24" s="5">
        <f>IFERROR(__xludf.DUMMYFUNCTION("""COMPUTED_VALUE"""),1197.0)</f>
        <v>1197</v>
      </c>
    </row>
    <row r="25">
      <c r="U25" s="5" t="str">
        <f>IFERROR(__xludf.DUMMYFUNCTION("""COMPUTED_VALUE"""),"langfords3_9.csp")</f>
        <v>langfords3_9.csp</v>
      </c>
      <c r="V25" s="5" t="str">
        <f>IFERROR(__xludf.DUMMYFUNCTION("""COMPUTED_VALUE"""),"MAC")</f>
        <v>MAC</v>
      </c>
      <c r="W25" s="5">
        <f>IFERROR(__xludf.DUMMYFUNCTION("""COMPUTED_VALUE"""),1.0)</f>
        <v>1</v>
      </c>
      <c r="X25" s="5" t="str">
        <f>IFERROR(__xludf.DUMMYFUNCTION("""COMPUTED_VALUE"""),"ASCENDING")</f>
        <v>ASCENDING</v>
      </c>
      <c r="Y25" s="5" t="str">
        <f>IFERROR(__xludf.DUMMYFUNCTION("""COMPUTED_VALUE"""),"ASCENDING")</f>
        <v>ASCENDING</v>
      </c>
      <c r="Z25" s="5">
        <f>IFERROR(__xludf.DUMMYFUNCTION("""COMPUTED_VALUE"""),1.0)</f>
        <v>1</v>
      </c>
      <c r="AA25" s="5">
        <f>IFERROR(__xludf.DUMMYFUNCTION("""COMPUTED_VALUE"""),93.0)</f>
        <v>93</v>
      </c>
      <c r="AB25" s="5">
        <f>IFERROR(__xludf.DUMMYFUNCTION("""COMPUTED_VALUE"""),23646.0)</f>
        <v>23646</v>
      </c>
      <c r="AC25" s="5">
        <f>IFERROR(__xludf.DUMMYFUNCTION("""COMPUTED_VALUE"""),678.0)</f>
        <v>678</v>
      </c>
      <c r="AE25" s="5" t="str">
        <f>IFERROR(__xludf.DUMMYFUNCTION("""COMPUTED_VALUE"""),"langfords3_9.csp")</f>
        <v>langfords3_9.csp</v>
      </c>
      <c r="AF25" s="5" t="str">
        <f>IFERROR(__xludf.DUMMYFUNCTION("""COMPUTED_VALUE"""),"MAC")</f>
        <v>MAC</v>
      </c>
      <c r="AG25" s="5">
        <f>IFERROR(__xludf.DUMMYFUNCTION("""COMPUTED_VALUE"""),1.0)</f>
        <v>1</v>
      </c>
      <c r="AH25" s="5" t="str">
        <f>IFERROR(__xludf.DUMMYFUNCTION("""COMPUTED_VALUE"""),"ASCENDING")</f>
        <v>ASCENDING</v>
      </c>
      <c r="AI25" s="5" t="str">
        <f>IFERROR(__xludf.DUMMYFUNCTION("""COMPUTED_VALUE"""),"MIN_CONFLICTS")</f>
        <v>MIN_CONFLICTS</v>
      </c>
      <c r="AJ25" s="5">
        <f>IFERROR(__xludf.DUMMYFUNCTION("""COMPUTED_VALUE"""),1.0)</f>
        <v>1</v>
      </c>
      <c r="AK25" s="5">
        <f>IFERROR(__xludf.DUMMYFUNCTION("""COMPUTED_VALUE"""),69.0)</f>
        <v>69</v>
      </c>
      <c r="AL25" s="5">
        <f>IFERROR(__xludf.DUMMYFUNCTION("""COMPUTED_VALUE"""),16479.0)</f>
        <v>16479</v>
      </c>
      <c r="AM25" s="5">
        <f>IFERROR(__xludf.DUMMYFUNCTION("""COMPUTED_VALUE"""),672.0)</f>
        <v>672</v>
      </c>
    </row>
    <row r="26">
      <c r="U26" s="5" t="str">
        <f>IFERROR(__xludf.DUMMYFUNCTION("""COMPUTED_VALUE"""),"SimonisSudoku.csp")</f>
        <v>SimonisSudoku.csp</v>
      </c>
      <c r="V26" s="5" t="str">
        <f>IFERROR(__xludf.DUMMYFUNCTION("""COMPUTED_VALUE"""),"MAC")</f>
        <v>MAC</v>
      </c>
      <c r="W26" s="5">
        <f>IFERROR(__xludf.DUMMYFUNCTION("""COMPUTED_VALUE"""),1.0)</f>
        <v>1</v>
      </c>
      <c r="X26" s="5" t="str">
        <f>IFERROR(__xludf.DUMMYFUNCTION("""COMPUTED_VALUE"""),"ASCENDING")</f>
        <v>ASCENDING</v>
      </c>
      <c r="Y26" s="5" t="str">
        <f>IFERROR(__xludf.DUMMYFUNCTION("""COMPUTED_VALUE"""),"ASCENDING")</f>
        <v>ASCENDING</v>
      </c>
      <c r="Z26" s="5">
        <f>IFERROR(__xludf.DUMMYFUNCTION("""COMPUTED_VALUE"""),1.0)</f>
        <v>1</v>
      </c>
      <c r="AA26" s="5">
        <f>IFERROR(__xludf.DUMMYFUNCTION("""COMPUTED_VALUE"""),81.0)</f>
        <v>81</v>
      </c>
      <c r="AB26" s="5">
        <f>IFERROR(__xludf.DUMMYFUNCTION("""COMPUTED_VALUE"""),10488.0)</f>
        <v>10488</v>
      </c>
      <c r="AC26" s="5">
        <f>IFERROR(__xludf.DUMMYFUNCTION("""COMPUTED_VALUE"""),532.0)</f>
        <v>532</v>
      </c>
      <c r="AE26" s="5" t="str">
        <f>IFERROR(__xludf.DUMMYFUNCTION("""COMPUTED_VALUE"""),"SimonisSudoku.csp")</f>
        <v>SimonisSudoku.csp</v>
      </c>
      <c r="AF26" s="5" t="str">
        <f>IFERROR(__xludf.DUMMYFUNCTION("""COMPUTED_VALUE"""),"MAC")</f>
        <v>MAC</v>
      </c>
      <c r="AG26" s="5">
        <f>IFERROR(__xludf.DUMMYFUNCTION("""COMPUTED_VALUE"""),1.0)</f>
        <v>1</v>
      </c>
      <c r="AH26" s="5" t="str">
        <f>IFERROR(__xludf.DUMMYFUNCTION("""COMPUTED_VALUE"""),"ASCENDING")</f>
        <v>ASCENDING</v>
      </c>
      <c r="AI26" s="5" t="str">
        <f>IFERROR(__xludf.DUMMYFUNCTION("""COMPUTED_VALUE"""),"MIN_CONFLICTS")</f>
        <v>MIN_CONFLICTS</v>
      </c>
      <c r="AJ26" s="5">
        <f>IFERROR(__xludf.DUMMYFUNCTION("""COMPUTED_VALUE"""),1.0)</f>
        <v>1</v>
      </c>
      <c r="AK26" s="5">
        <f>IFERROR(__xludf.DUMMYFUNCTION("""COMPUTED_VALUE"""),81.0)</f>
        <v>81</v>
      </c>
      <c r="AL26" s="5">
        <f>IFERROR(__xludf.DUMMYFUNCTION("""COMPUTED_VALUE"""),10488.0)</f>
        <v>10488</v>
      </c>
      <c r="AM26" s="5">
        <f>IFERROR(__xludf.DUMMYFUNCTION("""COMPUTED_VALUE"""),496.0)</f>
        <v>496</v>
      </c>
    </row>
    <row r="36">
      <c r="A36" s="6" t="s">
        <v>43</v>
      </c>
      <c r="B36" s="6">
        <v>15.0</v>
      </c>
    </row>
    <row r="40">
      <c r="A40" s="5" t="str">
        <f>Data!$A$1</f>
        <v>Instance</v>
      </c>
      <c r="B40" s="5" t="str">
        <f>Data!$B$1</f>
        <v>Solver Type</v>
      </c>
      <c r="C40" s="5" t="str">
        <f>Data!$C$1</f>
        <v>Solutions To Find</v>
      </c>
      <c r="D40" s="5" t="str">
        <f>Data!$D$1</f>
        <v>Variable Ordering</v>
      </c>
      <c r="E40" s="5" t="str">
        <f>Data!$E$1</f>
        <v>Value Ordering</v>
      </c>
      <c r="F40" s="5" t="str">
        <f>Data!$F$1</f>
        <v>Solutions Found</v>
      </c>
      <c r="G40" s="5" t="str">
        <f>Data!$G$1</f>
        <v>Nodes Explored</v>
      </c>
      <c r="H40" s="5" t="str">
        <f>Data!$H$1</f>
        <v>Revisions Done</v>
      </c>
      <c r="I40" s="5" t="str">
        <f>Data!$I$1</f>
        <v>Time Taken</v>
      </c>
      <c r="K40" s="5" t="str">
        <f>Data!$A$1</f>
        <v>Instance</v>
      </c>
      <c r="L40" s="5" t="str">
        <f>Data!$B$1</f>
        <v>Solver Type</v>
      </c>
      <c r="M40" s="5" t="str">
        <f>Data!$C$1</f>
        <v>Solutions To Find</v>
      </c>
      <c r="N40" s="5" t="str">
        <f>Data!$D$1</f>
        <v>Variable Ordering</v>
      </c>
      <c r="O40" s="5" t="str">
        <f>Data!$E$1</f>
        <v>Value Ordering</v>
      </c>
      <c r="P40" s="5" t="str">
        <f>Data!$F$1</f>
        <v>Solutions Found</v>
      </c>
      <c r="Q40" s="5" t="str">
        <f>Data!$G$1</f>
        <v>Nodes Explored</v>
      </c>
      <c r="R40" s="5" t="str">
        <f>Data!$H$1</f>
        <v>Revisions Done</v>
      </c>
      <c r="S40" s="5" t="str">
        <f>Data!$I$1</f>
        <v>Time Taken</v>
      </c>
    </row>
    <row r="41">
      <c r="A41" s="5" t="str">
        <f t="array" ref="A41:S55">SORTN(U2:AM1000,$B$36,0,8,1)</f>
        <v>4Queens.csp</v>
      </c>
      <c r="B41" s="5" t="s">
        <v>11</v>
      </c>
      <c r="C41" s="5">
        <v>1.0</v>
      </c>
      <c r="D41" s="5" t="s">
        <v>12</v>
      </c>
      <c r="E41" s="5" t="s">
        <v>12</v>
      </c>
      <c r="F41" s="5">
        <v>1.0</v>
      </c>
      <c r="G41" s="5">
        <v>6.0</v>
      </c>
      <c r="H41" s="5">
        <v>48.0</v>
      </c>
      <c r="I41" s="5">
        <v>2.0</v>
      </c>
      <c r="J41" s="5"/>
      <c r="K41" s="5" t="s">
        <v>28</v>
      </c>
      <c r="L41" s="5" t="s">
        <v>11</v>
      </c>
      <c r="M41" s="5">
        <v>1.0</v>
      </c>
      <c r="N41" s="5" t="s">
        <v>12</v>
      </c>
      <c r="O41" s="5" t="s">
        <v>13</v>
      </c>
      <c r="P41" s="5">
        <v>1.0</v>
      </c>
      <c r="Q41" s="5">
        <v>6.0</v>
      </c>
      <c r="R41" s="5">
        <v>48.0</v>
      </c>
      <c r="S41" s="5">
        <v>7.0</v>
      </c>
    </row>
    <row r="42">
      <c r="A42" s="5" t="s">
        <v>29</v>
      </c>
      <c r="B42" s="5" t="s">
        <v>11</v>
      </c>
      <c r="C42" s="5">
        <v>1.0</v>
      </c>
      <c r="D42" s="5" t="s">
        <v>12</v>
      </c>
      <c r="E42" s="5" t="s">
        <v>12</v>
      </c>
      <c r="F42" s="5">
        <v>1.0</v>
      </c>
      <c r="G42" s="5">
        <v>5.0</v>
      </c>
      <c r="H42" s="5">
        <v>66.0</v>
      </c>
      <c r="I42" s="5">
        <v>2.0</v>
      </c>
      <c r="J42" s="5"/>
      <c r="K42" s="5" t="s">
        <v>29</v>
      </c>
      <c r="L42" s="5" t="s">
        <v>11</v>
      </c>
      <c r="M42" s="5">
        <v>1.0</v>
      </c>
      <c r="N42" s="5" t="s">
        <v>12</v>
      </c>
      <c r="O42" s="5" t="s">
        <v>13</v>
      </c>
      <c r="P42" s="5">
        <v>1.0</v>
      </c>
      <c r="Q42" s="5">
        <v>5.0</v>
      </c>
      <c r="R42" s="5">
        <v>66.0</v>
      </c>
      <c r="S42" s="5">
        <v>11.0</v>
      </c>
    </row>
    <row r="43">
      <c r="A43" s="5" t="s">
        <v>36</v>
      </c>
      <c r="B43" s="5" t="s">
        <v>11</v>
      </c>
      <c r="C43" s="5">
        <v>1.0</v>
      </c>
      <c r="D43" s="5" t="s">
        <v>12</v>
      </c>
      <c r="E43" s="5" t="s">
        <v>12</v>
      </c>
      <c r="F43" s="5">
        <v>1.0</v>
      </c>
      <c r="G43" s="5">
        <v>8.0</v>
      </c>
      <c r="H43" s="5">
        <v>123.0</v>
      </c>
      <c r="I43" s="5">
        <v>32.0</v>
      </c>
      <c r="J43" s="5"/>
      <c r="K43" s="5" t="s">
        <v>36</v>
      </c>
      <c r="L43" s="5" t="s">
        <v>11</v>
      </c>
      <c r="M43" s="5">
        <v>1.0</v>
      </c>
      <c r="N43" s="5" t="s">
        <v>12</v>
      </c>
      <c r="O43" s="5" t="s">
        <v>13</v>
      </c>
      <c r="P43" s="5">
        <v>1.0</v>
      </c>
      <c r="Q43" s="5">
        <v>6.0</v>
      </c>
      <c r="R43" s="5">
        <v>92.0</v>
      </c>
      <c r="S43" s="5">
        <v>25.0</v>
      </c>
    </row>
    <row r="44">
      <c r="A44" s="5" t="s">
        <v>31</v>
      </c>
      <c r="B44" s="5" t="s">
        <v>11</v>
      </c>
      <c r="C44" s="5">
        <v>1.0</v>
      </c>
      <c r="D44" s="5" t="s">
        <v>12</v>
      </c>
      <c r="E44" s="5" t="s">
        <v>12</v>
      </c>
      <c r="F44" s="5">
        <v>1.0</v>
      </c>
      <c r="G44" s="5">
        <v>7.0</v>
      </c>
      <c r="H44" s="5">
        <v>168.0</v>
      </c>
      <c r="I44" s="5">
        <v>20.0</v>
      </c>
      <c r="J44" s="5"/>
      <c r="K44" s="5" t="s">
        <v>31</v>
      </c>
      <c r="L44" s="5" t="s">
        <v>11</v>
      </c>
      <c r="M44" s="5">
        <v>1.0</v>
      </c>
      <c r="N44" s="5" t="s">
        <v>12</v>
      </c>
      <c r="O44" s="5" t="s">
        <v>13</v>
      </c>
      <c r="P44" s="5">
        <v>1.0</v>
      </c>
      <c r="Q44" s="5">
        <v>7.0</v>
      </c>
      <c r="R44" s="5">
        <v>178.0</v>
      </c>
      <c r="S44" s="5">
        <v>54.0</v>
      </c>
    </row>
    <row r="45">
      <c r="A45" s="5" t="s">
        <v>30</v>
      </c>
      <c r="B45" s="5" t="s">
        <v>11</v>
      </c>
      <c r="C45" s="5">
        <v>1.0</v>
      </c>
      <c r="D45" s="5" t="s">
        <v>12</v>
      </c>
      <c r="E45" s="5" t="s">
        <v>12</v>
      </c>
      <c r="F45" s="5">
        <v>1.0</v>
      </c>
      <c r="G45" s="5">
        <v>12.0</v>
      </c>
      <c r="H45" s="5">
        <v>258.0</v>
      </c>
      <c r="I45" s="5">
        <v>28.0</v>
      </c>
      <c r="J45" s="5"/>
      <c r="K45" s="5" t="s">
        <v>30</v>
      </c>
      <c r="L45" s="5" t="s">
        <v>11</v>
      </c>
      <c r="M45" s="5">
        <v>1.0</v>
      </c>
      <c r="N45" s="5" t="s">
        <v>12</v>
      </c>
      <c r="O45" s="5" t="s">
        <v>13</v>
      </c>
      <c r="P45" s="5">
        <v>1.0</v>
      </c>
      <c r="Q45" s="5">
        <v>18.0</v>
      </c>
      <c r="R45" s="5">
        <v>345.0</v>
      </c>
      <c r="S45" s="5">
        <v>12.0</v>
      </c>
    </row>
    <row r="46">
      <c r="A46" s="5" t="s">
        <v>37</v>
      </c>
      <c r="B46" s="5" t="s">
        <v>11</v>
      </c>
      <c r="C46" s="5">
        <v>1.0</v>
      </c>
      <c r="D46" s="5" t="s">
        <v>12</v>
      </c>
      <c r="E46" s="5" t="s">
        <v>12</v>
      </c>
      <c r="F46" s="5">
        <v>1.0</v>
      </c>
      <c r="G46" s="5">
        <v>12.0</v>
      </c>
      <c r="H46" s="5">
        <v>344.0</v>
      </c>
      <c r="I46" s="5">
        <v>139.0</v>
      </c>
      <c r="J46" s="5"/>
      <c r="K46" s="5" t="s">
        <v>37</v>
      </c>
      <c r="L46" s="5" t="s">
        <v>11</v>
      </c>
      <c r="M46" s="5">
        <v>1.0</v>
      </c>
      <c r="N46" s="5" t="s">
        <v>12</v>
      </c>
      <c r="O46" s="5" t="s">
        <v>13</v>
      </c>
      <c r="P46" s="5">
        <v>1.0</v>
      </c>
      <c r="Q46" s="5">
        <v>10.0</v>
      </c>
      <c r="R46" s="5">
        <v>319.0</v>
      </c>
      <c r="S46" s="5">
        <v>144.0</v>
      </c>
    </row>
    <row r="47">
      <c r="A47" s="5" t="s">
        <v>33</v>
      </c>
      <c r="B47" s="5" t="s">
        <v>11</v>
      </c>
      <c r="C47" s="5">
        <v>1.0</v>
      </c>
      <c r="D47" s="5" t="s">
        <v>12</v>
      </c>
      <c r="E47" s="5" t="s">
        <v>12</v>
      </c>
      <c r="F47" s="5">
        <v>1.0</v>
      </c>
      <c r="G47" s="5">
        <v>17.0</v>
      </c>
      <c r="H47" s="5">
        <v>605.0</v>
      </c>
      <c r="I47" s="5">
        <v>44.0</v>
      </c>
      <c r="J47" s="5"/>
      <c r="K47" s="5" t="s">
        <v>33</v>
      </c>
      <c r="L47" s="5" t="s">
        <v>11</v>
      </c>
      <c r="M47" s="5">
        <v>1.0</v>
      </c>
      <c r="N47" s="5" t="s">
        <v>12</v>
      </c>
      <c r="O47" s="5" t="s">
        <v>13</v>
      </c>
      <c r="P47" s="5">
        <v>1.0</v>
      </c>
      <c r="Q47" s="5">
        <v>15.0</v>
      </c>
      <c r="R47" s="5">
        <v>546.0</v>
      </c>
      <c r="S47" s="5">
        <v>23.0</v>
      </c>
    </row>
    <row r="48">
      <c r="A48" s="5" t="s">
        <v>16</v>
      </c>
      <c r="B48" s="5" t="s">
        <v>11</v>
      </c>
      <c r="C48" s="5">
        <v>1.0</v>
      </c>
      <c r="D48" s="5" t="s">
        <v>12</v>
      </c>
      <c r="E48" s="5" t="s">
        <v>12</v>
      </c>
      <c r="F48" s="5">
        <v>1.0</v>
      </c>
      <c r="G48" s="5">
        <v>17.0</v>
      </c>
      <c r="H48" s="5">
        <v>941.0</v>
      </c>
      <c r="I48" s="5">
        <v>183.0</v>
      </c>
      <c r="J48" s="5"/>
      <c r="K48" s="5" t="s">
        <v>16</v>
      </c>
      <c r="L48" s="5" t="s">
        <v>11</v>
      </c>
      <c r="M48" s="5">
        <v>1.0</v>
      </c>
      <c r="N48" s="5" t="s">
        <v>12</v>
      </c>
      <c r="O48" s="5" t="s">
        <v>13</v>
      </c>
      <c r="P48" s="5">
        <v>1.0</v>
      </c>
      <c r="Q48" s="5">
        <v>77.0</v>
      </c>
      <c r="R48" s="5">
        <v>4217.0</v>
      </c>
      <c r="S48" s="5">
        <v>736.0</v>
      </c>
    </row>
    <row r="49">
      <c r="A49" s="5" t="s">
        <v>32</v>
      </c>
      <c r="B49" s="5" t="s">
        <v>11</v>
      </c>
      <c r="C49" s="5">
        <v>1.0</v>
      </c>
      <c r="D49" s="5" t="s">
        <v>12</v>
      </c>
      <c r="E49" s="5" t="s">
        <v>12</v>
      </c>
      <c r="F49" s="5">
        <v>1.0</v>
      </c>
      <c r="G49" s="5">
        <v>28.0</v>
      </c>
      <c r="H49" s="5">
        <v>1000.0</v>
      </c>
      <c r="I49" s="5">
        <v>72.0</v>
      </c>
      <c r="J49" s="5"/>
      <c r="K49" s="5" t="s">
        <v>32</v>
      </c>
      <c r="L49" s="5" t="s">
        <v>11</v>
      </c>
      <c r="M49" s="5">
        <v>1.0</v>
      </c>
      <c r="N49" s="5" t="s">
        <v>12</v>
      </c>
      <c r="O49" s="5" t="s">
        <v>13</v>
      </c>
      <c r="P49" s="5">
        <v>1.0</v>
      </c>
      <c r="Q49" s="5">
        <v>18.0</v>
      </c>
      <c r="R49" s="5">
        <v>594.0</v>
      </c>
      <c r="S49" s="5">
        <v>69.0</v>
      </c>
    </row>
    <row r="50">
      <c r="A50" s="5" t="s">
        <v>10</v>
      </c>
      <c r="B50" s="5" t="s">
        <v>11</v>
      </c>
      <c r="C50" s="5">
        <v>1.0</v>
      </c>
      <c r="D50" s="5" t="s">
        <v>12</v>
      </c>
      <c r="E50" s="5" t="s">
        <v>12</v>
      </c>
      <c r="F50" s="5">
        <v>1.0</v>
      </c>
      <c r="G50" s="5">
        <v>36.0</v>
      </c>
      <c r="H50" s="5">
        <v>1507.0</v>
      </c>
      <c r="I50" s="5">
        <v>51.0</v>
      </c>
      <c r="J50" s="5"/>
      <c r="K50" s="5" t="s">
        <v>10</v>
      </c>
      <c r="L50" s="5" t="s">
        <v>11</v>
      </c>
      <c r="M50" s="5">
        <v>1.0</v>
      </c>
      <c r="N50" s="5" t="s">
        <v>12</v>
      </c>
      <c r="O50" s="5" t="s">
        <v>13</v>
      </c>
      <c r="P50" s="5">
        <v>1.0</v>
      </c>
      <c r="Q50" s="5">
        <v>10.0</v>
      </c>
      <c r="R50" s="5">
        <v>518.0</v>
      </c>
      <c r="S50" s="5">
        <v>59.0</v>
      </c>
    </row>
    <row r="51">
      <c r="A51" s="5" t="s">
        <v>18</v>
      </c>
      <c r="B51" s="5" t="s">
        <v>11</v>
      </c>
      <c r="C51" s="5">
        <v>1.0</v>
      </c>
      <c r="D51" s="5" t="s">
        <v>12</v>
      </c>
      <c r="E51" s="5" t="s">
        <v>12</v>
      </c>
      <c r="F51" s="5">
        <v>1.0</v>
      </c>
      <c r="G51" s="5">
        <v>39.0</v>
      </c>
      <c r="H51" s="5">
        <v>2443.0</v>
      </c>
      <c r="I51" s="5">
        <v>382.0</v>
      </c>
      <c r="J51" s="5"/>
      <c r="K51" s="5" t="s">
        <v>18</v>
      </c>
      <c r="L51" s="5" t="s">
        <v>11</v>
      </c>
      <c r="M51" s="5">
        <v>1.0</v>
      </c>
      <c r="N51" s="5" t="s">
        <v>12</v>
      </c>
      <c r="O51" s="5" t="s">
        <v>13</v>
      </c>
      <c r="P51" s="5">
        <v>1.0</v>
      </c>
      <c r="Q51" s="5">
        <v>131.0</v>
      </c>
      <c r="R51" s="5">
        <v>8346.0</v>
      </c>
      <c r="S51" s="5">
        <v>1278.0</v>
      </c>
    </row>
    <row r="52">
      <c r="A52" s="5" t="s">
        <v>38</v>
      </c>
      <c r="B52" s="5" t="s">
        <v>11</v>
      </c>
      <c r="C52" s="5">
        <v>1.0</v>
      </c>
      <c r="D52" s="5" t="s">
        <v>12</v>
      </c>
      <c r="E52" s="5" t="s">
        <v>12</v>
      </c>
      <c r="F52" s="5">
        <v>1.0</v>
      </c>
      <c r="G52" s="5">
        <v>38.0</v>
      </c>
      <c r="H52" s="5">
        <v>3416.0</v>
      </c>
      <c r="I52" s="5">
        <v>408.0</v>
      </c>
      <c r="J52" s="5"/>
      <c r="K52" s="5" t="s">
        <v>38</v>
      </c>
      <c r="L52" s="5" t="s">
        <v>11</v>
      </c>
      <c r="M52" s="5">
        <v>1.0</v>
      </c>
      <c r="N52" s="5" t="s">
        <v>12</v>
      </c>
      <c r="O52" s="5" t="s">
        <v>13</v>
      </c>
      <c r="P52" s="5">
        <v>1.0</v>
      </c>
      <c r="Q52" s="5">
        <v>70.0</v>
      </c>
      <c r="R52" s="5">
        <v>5075.0</v>
      </c>
      <c r="S52" s="5">
        <v>743.0</v>
      </c>
    </row>
    <row r="53">
      <c r="A53" s="5" t="s">
        <v>17</v>
      </c>
      <c r="B53" s="5" t="s">
        <v>11</v>
      </c>
      <c r="C53" s="5">
        <v>1.0</v>
      </c>
      <c r="D53" s="5" t="s">
        <v>12</v>
      </c>
      <c r="E53" s="5" t="s">
        <v>12</v>
      </c>
      <c r="F53" s="5">
        <v>1.0</v>
      </c>
      <c r="G53" s="5">
        <v>60.0</v>
      </c>
      <c r="H53" s="5">
        <v>3759.0</v>
      </c>
      <c r="I53" s="5">
        <v>635.0</v>
      </c>
      <c r="J53" s="5"/>
      <c r="K53" s="5" t="s">
        <v>17</v>
      </c>
      <c r="L53" s="5" t="s">
        <v>11</v>
      </c>
      <c r="M53" s="5">
        <v>1.0</v>
      </c>
      <c r="N53" s="5" t="s">
        <v>12</v>
      </c>
      <c r="O53" s="5" t="s">
        <v>13</v>
      </c>
      <c r="P53" s="5">
        <v>1.0</v>
      </c>
      <c r="Q53" s="5">
        <v>52.0</v>
      </c>
      <c r="R53" s="5">
        <v>3501.0</v>
      </c>
      <c r="S53" s="5">
        <v>438.0</v>
      </c>
    </row>
    <row r="54">
      <c r="A54" s="5" t="s">
        <v>26</v>
      </c>
      <c r="B54" s="5" t="s">
        <v>11</v>
      </c>
      <c r="C54" s="5">
        <v>1.0</v>
      </c>
      <c r="D54" s="5" t="s">
        <v>12</v>
      </c>
      <c r="E54" s="5" t="s">
        <v>12</v>
      </c>
      <c r="F54" s="5">
        <v>1.0</v>
      </c>
      <c r="G54" s="5">
        <v>81.0</v>
      </c>
      <c r="H54" s="5">
        <v>10127.0</v>
      </c>
      <c r="I54" s="5">
        <v>491.0</v>
      </c>
      <c r="J54" s="5"/>
      <c r="K54" s="5" t="s">
        <v>26</v>
      </c>
      <c r="L54" s="5" t="s">
        <v>11</v>
      </c>
      <c r="M54" s="5">
        <v>1.0</v>
      </c>
      <c r="N54" s="5" t="s">
        <v>12</v>
      </c>
      <c r="O54" s="5" t="s">
        <v>13</v>
      </c>
      <c r="P54" s="5">
        <v>1.0</v>
      </c>
      <c r="Q54" s="5">
        <v>81.0</v>
      </c>
      <c r="R54" s="5">
        <v>10127.0</v>
      </c>
      <c r="S54" s="5">
        <v>550.0</v>
      </c>
    </row>
    <row r="55">
      <c r="A55" s="5" t="s">
        <v>42</v>
      </c>
      <c r="B55" s="5" t="s">
        <v>11</v>
      </c>
      <c r="C55" s="5">
        <v>1.0</v>
      </c>
      <c r="D55" s="5" t="s">
        <v>12</v>
      </c>
      <c r="E55" s="5" t="s">
        <v>12</v>
      </c>
      <c r="F55" s="5">
        <v>1.0</v>
      </c>
      <c r="G55" s="5">
        <v>81.0</v>
      </c>
      <c r="H55" s="5">
        <v>10488.0</v>
      </c>
      <c r="I55" s="5">
        <v>532.0</v>
      </c>
      <c r="J55" s="5"/>
      <c r="K55" s="5" t="s">
        <v>42</v>
      </c>
      <c r="L55" s="5" t="s">
        <v>11</v>
      </c>
      <c r="M55" s="5">
        <v>1.0</v>
      </c>
      <c r="N55" s="5" t="s">
        <v>12</v>
      </c>
      <c r="O55" s="5" t="s">
        <v>13</v>
      </c>
      <c r="P55" s="5">
        <v>1.0</v>
      </c>
      <c r="Q55" s="5">
        <v>81.0</v>
      </c>
      <c r="R55" s="5">
        <v>10488.0</v>
      </c>
      <c r="S55" s="5">
        <v>496.0</v>
      </c>
    </row>
    <row r="60">
      <c r="A60" s="5" t="str">
        <f>Data!$A$1</f>
        <v>Instance</v>
      </c>
      <c r="B60" s="5" t="str">
        <f>Data!$B$1</f>
        <v>Solver Type</v>
      </c>
      <c r="C60" s="5" t="str">
        <f>Data!$C$1</f>
        <v>Solutions To Find</v>
      </c>
      <c r="D60" s="5" t="str">
        <f>Data!$D$1</f>
        <v>Variable Ordering</v>
      </c>
      <c r="E60" s="5" t="str">
        <f>Data!$E$1</f>
        <v>Value Ordering</v>
      </c>
      <c r="F60" s="5" t="str">
        <f>Data!$F$1</f>
        <v>Solutions Found</v>
      </c>
      <c r="G60" s="5" t="str">
        <f>Data!$G$1</f>
        <v>Nodes Explored</v>
      </c>
      <c r="H60" s="5" t="str">
        <f>Data!$H$1</f>
        <v>Revisions Done</v>
      </c>
      <c r="I60" s="5" t="str">
        <f>Data!$I$1</f>
        <v>Time Taken</v>
      </c>
      <c r="K60" s="5" t="str">
        <f>Data!$A$1</f>
        <v>Instance</v>
      </c>
      <c r="L60" s="5" t="str">
        <f>Data!$B$1</f>
        <v>Solver Type</v>
      </c>
      <c r="M60" s="5" t="str">
        <f>Data!$C$1</f>
        <v>Solutions To Find</v>
      </c>
      <c r="N60" s="5" t="str">
        <f>Data!$D$1</f>
        <v>Variable Ordering</v>
      </c>
      <c r="O60" s="5" t="str">
        <f>Data!$E$1</f>
        <v>Value Ordering</v>
      </c>
      <c r="P60" s="5" t="str">
        <f>Data!$F$1</f>
        <v>Solutions Found</v>
      </c>
      <c r="Q60" s="5" t="str">
        <f>Data!$G$1</f>
        <v>Nodes Explored</v>
      </c>
      <c r="R60" s="5" t="str">
        <f>Data!$H$1</f>
        <v>Revisions Done</v>
      </c>
      <c r="S60" s="5" t="str">
        <f>Data!$I$1</f>
        <v>Time Taken</v>
      </c>
    </row>
    <row r="61">
      <c r="A61" s="5" t="str">
        <f t="array" ref="A61:S75">SORTN(U2:AM1000,$B$36,0,9,1)</f>
        <v>4Queens.csp</v>
      </c>
      <c r="B61" s="5" t="s">
        <v>11</v>
      </c>
      <c r="C61" s="5">
        <v>1.0</v>
      </c>
      <c r="D61" s="5" t="s">
        <v>12</v>
      </c>
      <c r="E61" s="5" t="s">
        <v>12</v>
      </c>
      <c r="F61" s="5">
        <v>1.0</v>
      </c>
      <c r="G61" s="5">
        <v>6.0</v>
      </c>
      <c r="H61" s="5">
        <v>48.0</v>
      </c>
      <c r="I61" s="5">
        <v>2.0</v>
      </c>
      <c r="J61" s="5"/>
      <c r="K61" s="5" t="s">
        <v>28</v>
      </c>
      <c r="L61" s="5" t="s">
        <v>11</v>
      </c>
      <c r="M61" s="5">
        <v>1.0</v>
      </c>
      <c r="N61" s="5" t="s">
        <v>12</v>
      </c>
      <c r="O61" s="5" t="s">
        <v>13</v>
      </c>
      <c r="P61" s="5">
        <v>1.0</v>
      </c>
      <c r="Q61" s="5">
        <v>6.0</v>
      </c>
      <c r="R61" s="5">
        <v>48.0</v>
      </c>
      <c r="S61" s="5">
        <v>7.0</v>
      </c>
    </row>
    <row r="62">
      <c r="A62" s="5" t="s">
        <v>29</v>
      </c>
      <c r="B62" s="5" t="s">
        <v>11</v>
      </c>
      <c r="C62" s="5">
        <v>1.0</v>
      </c>
      <c r="D62" s="5" t="s">
        <v>12</v>
      </c>
      <c r="E62" s="5" t="s">
        <v>12</v>
      </c>
      <c r="F62" s="5">
        <v>1.0</v>
      </c>
      <c r="G62" s="5">
        <v>5.0</v>
      </c>
      <c r="H62" s="5">
        <v>66.0</v>
      </c>
      <c r="I62" s="5">
        <v>2.0</v>
      </c>
      <c r="J62" s="5"/>
      <c r="K62" s="5" t="s">
        <v>29</v>
      </c>
      <c r="L62" s="5" t="s">
        <v>11</v>
      </c>
      <c r="M62" s="5">
        <v>1.0</v>
      </c>
      <c r="N62" s="5" t="s">
        <v>12</v>
      </c>
      <c r="O62" s="5" t="s">
        <v>13</v>
      </c>
      <c r="P62" s="5">
        <v>1.0</v>
      </c>
      <c r="Q62" s="5">
        <v>5.0</v>
      </c>
      <c r="R62" s="5">
        <v>66.0</v>
      </c>
      <c r="S62" s="5">
        <v>11.0</v>
      </c>
    </row>
    <row r="63">
      <c r="A63" s="5" t="s">
        <v>31</v>
      </c>
      <c r="B63" s="5" t="s">
        <v>11</v>
      </c>
      <c r="C63" s="5">
        <v>1.0</v>
      </c>
      <c r="D63" s="5" t="s">
        <v>12</v>
      </c>
      <c r="E63" s="5" t="s">
        <v>12</v>
      </c>
      <c r="F63" s="5">
        <v>1.0</v>
      </c>
      <c r="G63" s="5">
        <v>7.0</v>
      </c>
      <c r="H63" s="5">
        <v>168.0</v>
      </c>
      <c r="I63" s="5">
        <v>20.0</v>
      </c>
      <c r="J63" s="5"/>
      <c r="K63" s="5" t="s">
        <v>31</v>
      </c>
      <c r="L63" s="5" t="s">
        <v>11</v>
      </c>
      <c r="M63" s="5">
        <v>1.0</v>
      </c>
      <c r="N63" s="5" t="s">
        <v>12</v>
      </c>
      <c r="O63" s="5" t="s">
        <v>13</v>
      </c>
      <c r="P63" s="5">
        <v>1.0</v>
      </c>
      <c r="Q63" s="5">
        <v>7.0</v>
      </c>
      <c r="R63" s="5">
        <v>178.0</v>
      </c>
      <c r="S63" s="5">
        <v>54.0</v>
      </c>
    </row>
    <row r="64">
      <c r="A64" s="5" t="s">
        <v>30</v>
      </c>
      <c r="B64" s="5" t="s">
        <v>11</v>
      </c>
      <c r="C64" s="5">
        <v>1.0</v>
      </c>
      <c r="D64" s="5" t="s">
        <v>12</v>
      </c>
      <c r="E64" s="5" t="s">
        <v>12</v>
      </c>
      <c r="F64" s="5">
        <v>1.0</v>
      </c>
      <c r="G64" s="5">
        <v>12.0</v>
      </c>
      <c r="H64" s="5">
        <v>258.0</v>
      </c>
      <c r="I64" s="5">
        <v>28.0</v>
      </c>
      <c r="J64" s="5"/>
      <c r="K64" s="5" t="s">
        <v>30</v>
      </c>
      <c r="L64" s="5" t="s">
        <v>11</v>
      </c>
      <c r="M64" s="5">
        <v>1.0</v>
      </c>
      <c r="N64" s="5" t="s">
        <v>12</v>
      </c>
      <c r="O64" s="5" t="s">
        <v>13</v>
      </c>
      <c r="P64" s="5">
        <v>1.0</v>
      </c>
      <c r="Q64" s="5">
        <v>18.0</v>
      </c>
      <c r="R64" s="5">
        <v>345.0</v>
      </c>
      <c r="S64" s="5">
        <v>12.0</v>
      </c>
    </row>
    <row r="65">
      <c r="A65" s="5" t="s">
        <v>36</v>
      </c>
      <c r="B65" s="5" t="s">
        <v>11</v>
      </c>
      <c r="C65" s="5">
        <v>1.0</v>
      </c>
      <c r="D65" s="5" t="s">
        <v>12</v>
      </c>
      <c r="E65" s="5" t="s">
        <v>12</v>
      </c>
      <c r="F65" s="5">
        <v>1.0</v>
      </c>
      <c r="G65" s="5">
        <v>8.0</v>
      </c>
      <c r="H65" s="5">
        <v>123.0</v>
      </c>
      <c r="I65" s="5">
        <v>32.0</v>
      </c>
      <c r="J65" s="5"/>
      <c r="K65" s="5" t="s">
        <v>36</v>
      </c>
      <c r="L65" s="5" t="s">
        <v>11</v>
      </c>
      <c r="M65" s="5">
        <v>1.0</v>
      </c>
      <c r="N65" s="5" t="s">
        <v>12</v>
      </c>
      <c r="O65" s="5" t="s">
        <v>13</v>
      </c>
      <c r="P65" s="5">
        <v>1.0</v>
      </c>
      <c r="Q65" s="5">
        <v>6.0</v>
      </c>
      <c r="R65" s="5">
        <v>92.0</v>
      </c>
      <c r="S65" s="5">
        <v>25.0</v>
      </c>
    </row>
    <row r="66">
      <c r="A66" s="5" t="s">
        <v>33</v>
      </c>
      <c r="B66" s="5" t="s">
        <v>11</v>
      </c>
      <c r="C66" s="5">
        <v>1.0</v>
      </c>
      <c r="D66" s="5" t="s">
        <v>12</v>
      </c>
      <c r="E66" s="5" t="s">
        <v>12</v>
      </c>
      <c r="F66" s="5">
        <v>1.0</v>
      </c>
      <c r="G66" s="5">
        <v>17.0</v>
      </c>
      <c r="H66" s="5">
        <v>605.0</v>
      </c>
      <c r="I66" s="5">
        <v>44.0</v>
      </c>
      <c r="J66" s="5"/>
      <c r="K66" s="5" t="s">
        <v>33</v>
      </c>
      <c r="L66" s="5" t="s">
        <v>11</v>
      </c>
      <c r="M66" s="5">
        <v>1.0</v>
      </c>
      <c r="N66" s="5" t="s">
        <v>12</v>
      </c>
      <c r="O66" s="5" t="s">
        <v>13</v>
      </c>
      <c r="P66" s="5">
        <v>1.0</v>
      </c>
      <c r="Q66" s="5">
        <v>15.0</v>
      </c>
      <c r="R66" s="5">
        <v>546.0</v>
      </c>
      <c r="S66" s="5">
        <v>23.0</v>
      </c>
    </row>
    <row r="67">
      <c r="A67" s="5" t="s">
        <v>10</v>
      </c>
      <c r="B67" s="5" t="s">
        <v>11</v>
      </c>
      <c r="C67" s="5">
        <v>1.0</v>
      </c>
      <c r="D67" s="5" t="s">
        <v>12</v>
      </c>
      <c r="E67" s="5" t="s">
        <v>12</v>
      </c>
      <c r="F67" s="5">
        <v>1.0</v>
      </c>
      <c r="G67" s="5">
        <v>36.0</v>
      </c>
      <c r="H67" s="5">
        <v>1507.0</v>
      </c>
      <c r="I67" s="5">
        <v>51.0</v>
      </c>
      <c r="J67" s="5"/>
      <c r="K67" s="5" t="s">
        <v>10</v>
      </c>
      <c r="L67" s="5" t="s">
        <v>11</v>
      </c>
      <c r="M67" s="5">
        <v>1.0</v>
      </c>
      <c r="N67" s="5" t="s">
        <v>12</v>
      </c>
      <c r="O67" s="5" t="s">
        <v>13</v>
      </c>
      <c r="P67" s="5">
        <v>1.0</v>
      </c>
      <c r="Q67" s="5">
        <v>10.0</v>
      </c>
      <c r="R67" s="5">
        <v>518.0</v>
      </c>
      <c r="S67" s="5">
        <v>59.0</v>
      </c>
    </row>
    <row r="68">
      <c r="A68" s="5" t="s">
        <v>32</v>
      </c>
      <c r="B68" s="5" t="s">
        <v>11</v>
      </c>
      <c r="C68" s="5">
        <v>1.0</v>
      </c>
      <c r="D68" s="5" t="s">
        <v>12</v>
      </c>
      <c r="E68" s="5" t="s">
        <v>12</v>
      </c>
      <c r="F68" s="5">
        <v>1.0</v>
      </c>
      <c r="G68" s="5">
        <v>28.0</v>
      </c>
      <c r="H68" s="5">
        <v>1000.0</v>
      </c>
      <c r="I68" s="5">
        <v>72.0</v>
      </c>
      <c r="J68" s="5"/>
      <c r="K68" s="5" t="s">
        <v>32</v>
      </c>
      <c r="L68" s="5" t="s">
        <v>11</v>
      </c>
      <c r="M68" s="5">
        <v>1.0</v>
      </c>
      <c r="N68" s="5" t="s">
        <v>12</v>
      </c>
      <c r="O68" s="5" t="s">
        <v>13</v>
      </c>
      <c r="P68" s="5">
        <v>1.0</v>
      </c>
      <c r="Q68" s="5">
        <v>18.0</v>
      </c>
      <c r="R68" s="5">
        <v>594.0</v>
      </c>
      <c r="S68" s="5">
        <v>69.0</v>
      </c>
    </row>
    <row r="69">
      <c r="A69" s="5" t="s">
        <v>37</v>
      </c>
      <c r="B69" s="5" t="s">
        <v>11</v>
      </c>
      <c r="C69" s="5">
        <v>1.0</v>
      </c>
      <c r="D69" s="5" t="s">
        <v>12</v>
      </c>
      <c r="E69" s="5" t="s">
        <v>12</v>
      </c>
      <c r="F69" s="5">
        <v>1.0</v>
      </c>
      <c r="G69" s="5">
        <v>12.0</v>
      </c>
      <c r="H69" s="5">
        <v>344.0</v>
      </c>
      <c r="I69" s="5">
        <v>139.0</v>
      </c>
      <c r="J69" s="5"/>
      <c r="K69" s="5" t="s">
        <v>37</v>
      </c>
      <c r="L69" s="5" t="s">
        <v>11</v>
      </c>
      <c r="M69" s="5">
        <v>1.0</v>
      </c>
      <c r="N69" s="5" t="s">
        <v>12</v>
      </c>
      <c r="O69" s="5" t="s">
        <v>13</v>
      </c>
      <c r="P69" s="5">
        <v>1.0</v>
      </c>
      <c r="Q69" s="5">
        <v>10.0</v>
      </c>
      <c r="R69" s="5">
        <v>319.0</v>
      </c>
      <c r="S69" s="5">
        <v>144.0</v>
      </c>
    </row>
    <row r="70">
      <c r="A70" s="5" t="s">
        <v>16</v>
      </c>
      <c r="B70" s="5" t="s">
        <v>11</v>
      </c>
      <c r="C70" s="5">
        <v>1.0</v>
      </c>
      <c r="D70" s="5" t="s">
        <v>12</v>
      </c>
      <c r="E70" s="5" t="s">
        <v>12</v>
      </c>
      <c r="F70" s="5">
        <v>1.0</v>
      </c>
      <c r="G70" s="5">
        <v>17.0</v>
      </c>
      <c r="H70" s="5">
        <v>941.0</v>
      </c>
      <c r="I70" s="5">
        <v>183.0</v>
      </c>
      <c r="J70" s="5"/>
      <c r="K70" s="5" t="s">
        <v>16</v>
      </c>
      <c r="L70" s="5" t="s">
        <v>11</v>
      </c>
      <c r="M70" s="5">
        <v>1.0</v>
      </c>
      <c r="N70" s="5" t="s">
        <v>12</v>
      </c>
      <c r="O70" s="5" t="s">
        <v>13</v>
      </c>
      <c r="P70" s="5">
        <v>1.0</v>
      </c>
      <c r="Q70" s="5">
        <v>77.0</v>
      </c>
      <c r="R70" s="5">
        <v>4217.0</v>
      </c>
      <c r="S70" s="5">
        <v>736.0</v>
      </c>
    </row>
    <row r="71">
      <c r="A71" s="5" t="s">
        <v>18</v>
      </c>
      <c r="B71" s="5" t="s">
        <v>11</v>
      </c>
      <c r="C71" s="5">
        <v>1.0</v>
      </c>
      <c r="D71" s="5" t="s">
        <v>12</v>
      </c>
      <c r="E71" s="5" t="s">
        <v>12</v>
      </c>
      <c r="F71" s="5">
        <v>1.0</v>
      </c>
      <c r="G71" s="5">
        <v>39.0</v>
      </c>
      <c r="H71" s="5">
        <v>2443.0</v>
      </c>
      <c r="I71" s="5">
        <v>382.0</v>
      </c>
      <c r="J71" s="5"/>
      <c r="K71" s="5" t="s">
        <v>18</v>
      </c>
      <c r="L71" s="5" t="s">
        <v>11</v>
      </c>
      <c r="M71" s="5">
        <v>1.0</v>
      </c>
      <c r="N71" s="5" t="s">
        <v>12</v>
      </c>
      <c r="O71" s="5" t="s">
        <v>13</v>
      </c>
      <c r="P71" s="5">
        <v>1.0</v>
      </c>
      <c r="Q71" s="5">
        <v>131.0</v>
      </c>
      <c r="R71" s="5">
        <v>8346.0</v>
      </c>
      <c r="S71" s="5">
        <v>1278.0</v>
      </c>
    </row>
    <row r="72">
      <c r="A72" s="5" t="s">
        <v>38</v>
      </c>
      <c r="B72" s="5" t="s">
        <v>11</v>
      </c>
      <c r="C72" s="5">
        <v>1.0</v>
      </c>
      <c r="D72" s="5" t="s">
        <v>12</v>
      </c>
      <c r="E72" s="5" t="s">
        <v>12</v>
      </c>
      <c r="F72" s="5">
        <v>1.0</v>
      </c>
      <c r="G72" s="5">
        <v>38.0</v>
      </c>
      <c r="H72" s="5">
        <v>3416.0</v>
      </c>
      <c r="I72" s="5">
        <v>408.0</v>
      </c>
      <c r="J72" s="5"/>
      <c r="K72" s="5" t="s">
        <v>38</v>
      </c>
      <c r="L72" s="5" t="s">
        <v>11</v>
      </c>
      <c r="M72" s="5">
        <v>1.0</v>
      </c>
      <c r="N72" s="5" t="s">
        <v>12</v>
      </c>
      <c r="O72" s="5" t="s">
        <v>13</v>
      </c>
      <c r="P72" s="5">
        <v>1.0</v>
      </c>
      <c r="Q72" s="5">
        <v>70.0</v>
      </c>
      <c r="R72" s="5">
        <v>5075.0</v>
      </c>
      <c r="S72" s="5">
        <v>743.0</v>
      </c>
    </row>
    <row r="73">
      <c r="A73" s="5" t="s">
        <v>26</v>
      </c>
      <c r="B73" s="5" t="s">
        <v>11</v>
      </c>
      <c r="C73" s="5">
        <v>1.0</v>
      </c>
      <c r="D73" s="5" t="s">
        <v>12</v>
      </c>
      <c r="E73" s="5" t="s">
        <v>12</v>
      </c>
      <c r="F73" s="5">
        <v>1.0</v>
      </c>
      <c r="G73" s="5">
        <v>81.0</v>
      </c>
      <c r="H73" s="5">
        <v>10127.0</v>
      </c>
      <c r="I73" s="5">
        <v>491.0</v>
      </c>
      <c r="J73" s="5"/>
      <c r="K73" s="5" t="s">
        <v>26</v>
      </c>
      <c r="L73" s="5" t="s">
        <v>11</v>
      </c>
      <c r="M73" s="5">
        <v>1.0</v>
      </c>
      <c r="N73" s="5" t="s">
        <v>12</v>
      </c>
      <c r="O73" s="5" t="s">
        <v>13</v>
      </c>
      <c r="P73" s="5">
        <v>1.0</v>
      </c>
      <c r="Q73" s="5">
        <v>81.0</v>
      </c>
      <c r="R73" s="5">
        <v>10127.0</v>
      </c>
      <c r="S73" s="5">
        <v>550.0</v>
      </c>
    </row>
    <row r="74">
      <c r="A74" s="5" t="s">
        <v>42</v>
      </c>
      <c r="B74" s="5" t="s">
        <v>11</v>
      </c>
      <c r="C74" s="5">
        <v>1.0</v>
      </c>
      <c r="D74" s="5" t="s">
        <v>12</v>
      </c>
      <c r="E74" s="5" t="s">
        <v>12</v>
      </c>
      <c r="F74" s="5">
        <v>1.0</v>
      </c>
      <c r="G74" s="5">
        <v>81.0</v>
      </c>
      <c r="H74" s="5">
        <v>10488.0</v>
      </c>
      <c r="I74" s="5">
        <v>532.0</v>
      </c>
      <c r="J74" s="5"/>
      <c r="K74" s="5" t="s">
        <v>42</v>
      </c>
      <c r="L74" s="5" t="s">
        <v>11</v>
      </c>
      <c r="M74" s="5">
        <v>1.0</v>
      </c>
      <c r="N74" s="5" t="s">
        <v>12</v>
      </c>
      <c r="O74" s="5" t="s">
        <v>13</v>
      </c>
      <c r="P74" s="5">
        <v>1.0</v>
      </c>
      <c r="Q74" s="5">
        <v>81.0</v>
      </c>
      <c r="R74" s="5">
        <v>10488.0</v>
      </c>
      <c r="S74" s="5">
        <v>496.0</v>
      </c>
    </row>
    <row r="75">
      <c r="A75" s="5" t="s">
        <v>17</v>
      </c>
      <c r="B75" s="5" t="s">
        <v>11</v>
      </c>
      <c r="C75" s="5">
        <v>1.0</v>
      </c>
      <c r="D75" s="5" t="s">
        <v>12</v>
      </c>
      <c r="E75" s="5" t="s">
        <v>12</v>
      </c>
      <c r="F75" s="5">
        <v>1.0</v>
      </c>
      <c r="G75" s="5">
        <v>60.0</v>
      </c>
      <c r="H75" s="5">
        <v>3759.0</v>
      </c>
      <c r="I75" s="5">
        <v>635.0</v>
      </c>
      <c r="J75" s="5"/>
      <c r="K75" s="5" t="s">
        <v>17</v>
      </c>
      <c r="L75" s="5" t="s">
        <v>11</v>
      </c>
      <c r="M75" s="5">
        <v>1.0</v>
      </c>
      <c r="N75" s="5" t="s">
        <v>12</v>
      </c>
      <c r="O75" s="5" t="s">
        <v>13</v>
      </c>
      <c r="P75" s="5">
        <v>1.0</v>
      </c>
      <c r="Q75" s="5">
        <v>52.0</v>
      </c>
      <c r="R75" s="5">
        <v>3501.0</v>
      </c>
      <c r="S75" s="5">
        <v>438.0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75"/>
  </cols>
  <sheetData>
    <row r="1">
      <c r="A1" s="5" t="str">
        <f>Data!$A$1</f>
        <v>Instance</v>
      </c>
      <c r="B1" s="5" t="str">
        <f>Data!$B$1</f>
        <v>Solver Type</v>
      </c>
      <c r="C1" s="5" t="str">
        <f>Data!$C$1</f>
        <v>Solutions To Find</v>
      </c>
      <c r="D1" s="5" t="str">
        <f>Data!$D$1</f>
        <v>Variable Ordering</v>
      </c>
      <c r="E1" s="5" t="str">
        <f>Data!$E$1</f>
        <v>Value Ordering</v>
      </c>
      <c r="F1" s="5" t="str">
        <f>Data!$F$1</f>
        <v>Solutions Found</v>
      </c>
      <c r="G1" s="5" t="str">
        <f>Data!$G$1</f>
        <v>Nodes Explored</v>
      </c>
      <c r="H1" s="5" t="str">
        <f>Data!$H$1</f>
        <v>Revisions Done</v>
      </c>
      <c r="I1" s="5" t="str">
        <f>Data!$I$1</f>
        <v>Time Taken</v>
      </c>
      <c r="K1" s="5" t="str">
        <f>Data!$A$1</f>
        <v>Instance</v>
      </c>
      <c r="L1" s="5" t="str">
        <f>Data!$B$1</f>
        <v>Solver Type</v>
      </c>
      <c r="M1" s="5" t="str">
        <f>Data!$C$1</f>
        <v>Solutions To Find</v>
      </c>
      <c r="N1" s="5" t="str">
        <f>Data!$D$1</f>
        <v>Variable Ordering</v>
      </c>
      <c r="O1" s="5" t="str">
        <f>Data!$E$1</f>
        <v>Value Ordering</v>
      </c>
      <c r="P1" s="5" t="str">
        <f>Data!$F$1</f>
        <v>Solutions Found</v>
      </c>
      <c r="Q1" s="5" t="str">
        <f>Data!$G$1</f>
        <v>Nodes Explored</v>
      </c>
      <c r="R1" s="5" t="str">
        <f>Data!$H$1</f>
        <v>Revisions Done</v>
      </c>
      <c r="S1" s="5" t="str">
        <f>Data!$I$1</f>
        <v>Time Taken</v>
      </c>
      <c r="U1" s="5" t="str">
        <f>Data!$A$1</f>
        <v>Instance</v>
      </c>
      <c r="V1" s="5" t="str">
        <f>Data!$B$1</f>
        <v>Solver Type</v>
      </c>
      <c r="W1" s="5" t="str">
        <f>Data!$C$1</f>
        <v>Solutions To Find</v>
      </c>
      <c r="X1" s="5" t="str">
        <f>Data!$D$1</f>
        <v>Variable Ordering</v>
      </c>
      <c r="Y1" s="5" t="str">
        <f>Data!$E$1</f>
        <v>Value Ordering</v>
      </c>
      <c r="Z1" s="5" t="str">
        <f>Data!$F$1</f>
        <v>Solutions Found</v>
      </c>
      <c r="AA1" s="5" t="str">
        <f>Data!$G$1</f>
        <v>Nodes Explored</v>
      </c>
      <c r="AB1" s="5" t="str">
        <f>Data!$H$1</f>
        <v>Revisions Done</v>
      </c>
      <c r="AC1" s="5" t="str">
        <f>Data!$I$1</f>
        <v>Time Taken</v>
      </c>
      <c r="AE1" s="5" t="str">
        <f>Data!$A$1</f>
        <v>Instance</v>
      </c>
      <c r="AF1" s="5" t="str">
        <f>Data!$B$1</f>
        <v>Solver Type</v>
      </c>
      <c r="AG1" s="5" t="str">
        <f>Data!$C$1</f>
        <v>Solutions To Find</v>
      </c>
      <c r="AH1" s="5" t="str">
        <f>Data!$D$1</f>
        <v>Variable Ordering</v>
      </c>
      <c r="AI1" s="5" t="str">
        <f>Data!$E$1</f>
        <v>Value Ordering</v>
      </c>
      <c r="AJ1" s="5" t="str">
        <f>Data!$F$1</f>
        <v>Solutions Found</v>
      </c>
      <c r="AK1" s="5" t="str">
        <f>Data!$G$1</f>
        <v>Nodes Explored</v>
      </c>
      <c r="AL1" s="5" t="str">
        <f>Data!$H$1</f>
        <v>Revisions Done</v>
      </c>
      <c r="AM1" s="5" t="str">
        <f>Data!$I$1</f>
        <v>Time Taken</v>
      </c>
    </row>
    <row r="2">
      <c r="A2" s="5" t="str">
        <f t="array" ref="A2:S6">SORTN(U2:AM1000,$B$36,0,7,1)</f>
        <v>4Queens.csp</v>
      </c>
      <c r="B2" s="5" t="s">
        <v>11</v>
      </c>
      <c r="C2" s="5">
        <v>0.0</v>
      </c>
      <c r="D2" s="5" t="s">
        <v>12</v>
      </c>
      <c r="E2" s="5" t="s">
        <v>12</v>
      </c>
      <c r="F2" s="5">
        <v>2.0</v>
      </c>
      <c r="G2" s="5">
        <v>18.0</v>
      </c>
      <c r="H2" s="5">
        <v>80.0</v>
      </c>
      <c r="I2" s="5">
        <v>10.0</v>
      </c>
      <c r="J2" s="5"/>
      <c r="K2" s="5" t="s">
        <v>28</v>
      </c>
      <c r="L2" s="5" t="s">
        <v>11</v>
      </c>
      <c r="M2" s="5">
        <v>0.0</v>
      </c>
      <c r="N2" s="5" t="s">
        <v>12</v>
      </c>
      <c r="O2" s="5" t="s">
        <v>13</v>
      </c>
      <c r="P2" s="5">
        <v>2.0</v>
      </c>
      <c r="Q2" s="5">
        <v>18.0</v>
      </c>
      <c r="R2" s="5">
        <v>80.0</v>
      </c>
      <c r="S2" s="5">
        <v>13.0</v>
      </c>
      <c r="U2" s="2" t="str">
        <f>IFERROR(__xludf.DUMMYFUNCTION("FILTER(Data!A:I, Data!D:D=""ASCENDING"", Data!E:E=""ASCENDING"", Data!C:C=0, Data!B:B=""MAC"")"),"10Queens.csp")</f>
        <v>10Queens.csp</v>
      </c>
      <c r="V2" s="5" t="str">
        <f>IFERROR(__xludf.DUMMYFUNCTION("""COMPUTED_VALUE"""),"MAC")</f>
        <v>MAC</v>
      </c>
      <c r="W2" s="5">
        <f>IFERROR(__xludf.DUMMYFUNCTION("""COMPUTED_VALUE"""),0.0)</f>
        <v>0</v>
      </c>
      <c r="X2" s="5" t="str">
        <f>IFERROR(__xludf.DUMMYFUNCTION("""COMPUTED_VALUE"""),"ASCENDING")</f>
        <v>ASCENDING</v>
      </c>
      <c r="Y2" s="5" t="str">
        <f>IFERROR(__xludf.DUMMYFUNCTION("""COMPUTED_VALUE"""),"ASCENDING")</f>
        <v>ASCENDING</v>
      </c>
      <c r="Z2" s="5">
        <f>IFERROR(__xludf.DUMMYFUNCTION("""COMPUTED_VALUE"""),724.0)</f>
        <v>724</v>
      </c>
      <c r="AA2" s="5">
        <f>IFERROR(__xludf.DUMMYFUNCTION("""COMPUTED_VALUE"""),16454.0)</f>
        <v>16454</v>
      </c>
      <c r="AB2" s="5">
        <f>IFERROR(__xludf.DUMMYFUNCTION("""COMPUTED_VALUE"""),399132.0)</f>
        <v>399132</v>
      </c>
      <c r="AC2" s="5">
        <f>IFERROR(__xludf.DUMMYFUNCTION("""COMPUTED_VALUE"""),2516.0)</f>
        <v>2516</v>
      </c>
      <c r="AE2" s="5" t="str">
        <f>IFERROR(__xludf.DUMMYFUNCTION("FILTER(Data!A:I, Data!D:D=""ASCENDING"", Data!E:E=""MIN_CONFLICTS"", Data!C:C=0, Data!B:B=""MAC"")"),"10Queens.csp")</f>
        <v>10Queens.csp</v>
      </c>
      <c r="AF2" s="5" t="str">
        <f>IFERROR(__xludf.DUMMYFUNCTION("""COMPUTED_VALUE"""),"MAC")</f>
        <v>MAC</v>
      </c>
      <c r="AG2" s="5">
        <f>IFERROR(__xludf.DUMMYFUNCTION("""COMPUTED_VALUE"""),0.0)</f>
        <v>0</v>
      </c>
      <c r="AH2" s="5" t="str">
        <f>IFERROR(__xludf.DUMMYFUNCTION("""COMPUTED_VALUE"""),"ASCENDING")</f>
        <v>ASCENDING</v>
      </c>
      <c r="AI2" s="5" t="str">
        <f>IFERROR(__xludf.DUMMYFUNCTION("""COMPUTED_VALUE"""),"MIN_CONFLICTS")</f>
        <v>MIN_CONFLICTS</v>
      </c>
      <c r="AJ2" s="5">
        <f>IFERROR(__xludf.DUMMYFUNCTION("""COMPUTED_VALUE"""),724.0)</f>
        <v>724</v>
      </c>
      <c r="AK2" s="5">
        <f>IFERROR(__xludf.DUMMYFUNCTION("""COMPUTED_VALUE"""),16058.0)</f>
        <v>16058</v>
      </c>
      <c r="AL2" s="5">
        <f>IFERROR(__xludf.DUMMYFUNCTION("""COMPUTED_VALUE"""),401467.0)</f>
        <v>401467</v>
      </c>
      <c r="AM2" s="5">
        <f>IFERROR(__xludf.DUMMYFUNCTION("""COMPUTED_VALUE"""),2450.0)</f>
        <v>2450</v>
      </c>
    </row>
    <row r="3">
      <c r="A3" s="5" t="s">
        <v>36</v>
      </c>
      <c r="B3" s="5" t="s">
        <v>11</v>
      </c>
      <c r="C3" s="5">
        <v>0.0</v>
      </c>
      <c r="D3" s="5" t="s">
        <v>12</v>
      </c>
      <c r="E3" s="5" t="s">
        <v>12</v>
      </c>
      <c r="F3" s="5">
        <v>2.0</v>
      </c>
      <c r="G3" s="5">
        <v>26.0</v>
      </c>
      <c r="H3" s="5">
        <v>193.0</v>
      </c>
      <c r="I3" s="5">
        <v>26.0</v>
      </c>
      <c r="J3" s="5"/>
      <c r="K3" s="5" t="s">
        <v>36</v>
      </c>
      <c r="L3" s="5" t="s">
        <v>11</v>
      </c>
      <c r="M3" s="5">
        <v>0.0</v>
      </c>
      <c r="N3" s="5" t="s">
        <v>12</v>
      </c>
      <c r="O3" s="5" t="s">
        <v>13</v>
      </c>
      <c r="P3" s="5">
        <v>2.0</v>
      </c>
      <c r="Q3" s="5">
        <v>28.0</v>
      </c>
      <c r="R3" s="5">
        <v>193.0</v>
      </c>
      <c r="S3" s="5">
        <v>41.0</v>
      </c>
      <c r="U3" s="5" t="str">
        <f>IFERROR(__xludf.DUMMYFUNCTION("""COMPUTED_VALUE"""),"11Queens.csp")</f>
        <v>11Queens.csp</v>
      </c>
      <c r="V3" s="5" t="str">
        <f>IFERROR(__xludf.DUMMYFUNCTION("""COMPUTED_VALUE"""),"MAC")</f>
        <v>MAC</v>
      </c>
      <c r="W3" s="5">
        <f>IFERROR(__xludf.DUMMYFUNCTION("""COMPUTED_VALUE"""),0.0)</f>
        <v>0</v>
      </c>
      <c r="X3" s="5" t="str">
        <f>IFERROR(__xludf.DUMMYFUNCTION("""COMPUTED_VALUE"""),"ASCENDING")</f>
        <v>ASCENDING</v>
      </c>
      <c r="Y3" s="5" t="str">
        <f>IFERROR(__xludf.DUMMYFUNCTION("""COMPUTED_VALUE"""),"ASCENDING")</f>
        <v>ASCENDING</v>
      </c>
      <c r="Z3" s="5">
        <f>IFERROR(__xludf.DUMMYFUNCTION("""COMPUTED_VALUE"""),2680.0)</f>
        <v>2680</v>
      </c>
      <c r="AA3" s="5">
        <f>IFERROR(__xludf.DUMMYFUNCTION("""COMPUTED_VALUE"""),68570.0)</f>
        <v>68570</v>
      </c>
      <c r="AB3" s="5">
        <f>IFERROR(__xludf.DUMMYFUNCTION("""COMPUTED_VALUE"""),1988391.0)</f>
        <v>1988391</v>
      </c>
      <c r="AC3" s="5">
        <f>IFERROR(__xludf.DUMMYFUNCTION("""COMPUTED_VALUE"""),7773.0)</f>
        <v>7773</v>
      </c>
      <c r="AE3" s="5" t="str">
        <f>IFERROR(__xludf.DUMMYFUNCTION("""COMPUTED_VALUE"""),"11Queens.csp")</f>
        <v>11Queens.csp</v>
      </c>
      <c r="AF3" s="5" t="str">
        <f>IFERROR(__xludf.DUMMYFUNCTION("""COMPUTED_VALUE"""),"MAC")</f>
        <v>MAC</v>
      </c>
      <c r="AG3" s="5">
        <f>IFERROR(__xludf.DUMMYFUNCTION("""COMPUTED_VALUE"""),0.0)</f>
        <v>0</v>
      </c>
      <c r="AH3" s="5" t="str">
        <f>IFERROR(__xludf.DUMMYFUNCTION("""COMPUTED_VALUE"""),"ASCENDING")</f>
        <v>ASCENDING</v>
      </c>
      <c r="AI3" s="5" t="str">
        <f>IFERROR(__xludf.DUMMYFUNCTION("""COMPUTED_VALUE"""),"MIN_CONFLICTS")</f>
        <v>MIN_CONFLICTS</v>
      </c>
      <c r="AJ3" s="5">
        <f>IFERROR(__xludf.DUMMYFUNCTION("""COMPUTED_VALUE"""),2680.0)</f>
        <v>2680</v>
      </c>
      <c r="AK3" s="5">
        <f>IFERROR(__xludf.DUMMYFUNCTION("""COMPUTED_VALUE"""),66732.0)</f>
        <v>66732</v>
      </c>
      <c r="AL3" s="5">
        <f>IFERROR(__xludf.DUMMYFUNCTION("""COMPUTED_VALUE"""),2000293.0)</f>
        <v>2000293</v>
      </c>
      <c r="AM3" s="5">
        <f>IFERROR(__xludf.DUMMYFUNCTION("""COMPUTED_VALUE"""),7949.0)</f>
        <v>7949</v>
      </c>
    </row>
    <row r="4">
      <c r="A4" s="5" t="s">
        <v>37</v>
      </c>
      <c r="B4" s="5" t="s">
        <v>11</v>
      </c>
      <c r="C4" s="5">
        <v>0.0</v>
      </c>
      <c r="D4" s="5" t="s">
        <v>12</v>
      </c>
      <c r="E4" s="5" t="s">
        <v>12</v>
      </c>
      <c r="F4" s="5">
        <v>2.0</v>
      </c>
      <c r="G4" s="5">
        <v>48.0</v>
      </c>
      <c r="H4" s="5">
        <v>908.0</v>
      </c>
      <c r="I4" s="5">
        <v>47.0</v>
      </c>
      <c r="J4" s="5"/>
      <c r="K4" s="5" t="s">
        <v>37</v>
      </c>
      <c r="L4" s="5" t="s">
        <v>11</v>
      </c>
      <c r="M4" s="5">
        <v>0.0</v>
      </c>
      <c r="N4" s="5" t="s">
        <v>12</v>
      </c>
      <c r="O4" s="5" t="s">
        <v>13</v>
      </c>
      <c r="P4" s="5">
        <v>2.0</v>
      </c>
      <c r="Q4" s="5">
        <v>46.0</v>
      </c>
      <c r="R4" s="5">
        <v>908.0</v>
      </c>
      <c r="S4" s="5">
        <v>74.0</v>
      </c>
      <c r="U4" s="5" t="str">
        <f>IFERROR(__xludf.DUMMYFUNCTION("""COMPUTED_VALUE"""),"12Queens.csp")</f>
        <v>12Queens.csp</v>
      </c>
      <c r="V4" s="5" t="str">
        <f>IFERROR(__xludf.DUMMYFUNCTION("""COMPUTED_VALUE"""),"MAC")</f>
        <v>MAC</v>
      </c>
      <c r="W4" s="5">
        <f>IFERROR(__xludf.DUMMYFUNCTION("""COMPUTED_VALUE"""),0.0)</f>
        <v>0</v>
      </c>
      <c r="X4" s="5" t="str">
        <f>IFERROR(__xludf.DUMMYFUNCTION("""COMPUTED_VALUE"""),"ASCENDING")</f>
        <v>ASCENDING</v>
      </c>
      <c r="Y4" s="5" t="str">
        <f>IFERROR(__xludf.DUMMYFUNCTION("""COMPUTED_VALUE"""),"ASCENDING")</f>
        <v>ASCENDING</v>
      </c>
      <c r="Z4" s="5">
        <f>IFERROR(__xludf.DUMMYFUNCTION("""COMPUTED_VALUE"""),14200.0)</f>
        <v>14200</v>
      </c>
      <c r="AA4" s="5">
        <f>IFERROR(__xludf.DUMMYFUNCTION("""COMPUTED_VALUE"""),348466.0)</f>
        <v>348466</v>
      </c>
      <c r="AB4" s="5">
        <f>IFERROR(__xludf.DUMMYFUNCTION("""COMPUTED_VALUE"""),1.0844028E7)</f>
        <v>10844028</v>
      </c>
      <c r="AC4" s="5">
        <f>IFERROR(__xludf.DUMMYFUNCTION("""COMPUTED_VALUE"""),25879.0)</f>
        <v>25879</v>
      </c>
      <c r="AE4" s="5" t="str">
        <f>IFERROR(__xludf.DUMMYFUNCTION("""COMPUTED_VALUE"""),"12Queens.csp")</f>
        <v>12Queens.csp</v>
      </c>
      <c r="AF4" s="5" t="str">
        <f>IFERROR(__xludf.DUMMYFUNCTION("""COMPUTED_VALUE"""),"MAC")</f>
        <v>MAC</v>
      </c>
      <c r="AG4" s="5">
        <f>IFERROR(__xludf.DUMMYFUNCTION("""COMPUTED_VALUE"""),0.0)</f>
        <v>0</v>
      </c>
      <c r="AH4" s="5" t="str">
        <f>IFERROR(__xludf.DUMMYFUNCTION("""COMPUTED_VALUE"""),"ASCENDING")</f>
        <v>ASCENDING</v>
      </c>
      <c r="AI4" s="5" t="str">
        <f>IFERROR(__xludf.DUMMYFUNCTION("""COMPUTED_VALUE"""),"MIN_CONFLICTS")</f>
        <v>MIN_CONFLICTS</v>
      </c>
      <c r="AJ4" s="5">
        <f>IFERROR(__xludf.DUMMYFUNCTION("""COMPUTED_VALUE"""),14200.0)</f>
        <v>14200</v>
      </c>
      <c r="AK4" s="5">
        <f>IFERROR(__xludf.DUMMYFUNCTION("""COMPUTED_VALUE"""),338896.0)</f>
        <v>338896</v>
      </c>
      <c r="AL4" s="5">
        <f>IFERROR(__xludf.DUMMYFUNCTION("""COMPUTED_VALUE"""),1.0913473E7)</f>
        <v>10913473</v>
      </c>
      <c r="AM4" s="5">
        <f>IFERROR(__xludf.DUMMYFUNCTION("""COMPUTED_VALUE"""),26237.0)</f>
        <v>26237</v>
      </c>
    </row>
    <row r="5">
      <c r="A5" s="5" t="s">
        <v>30</v>
      </c>
      <c r="B5" s="5" t="s">
        <v>11</v>
      </c>
      <c r="C5" s="5">
        <v>0.0</v>
      </c>
      <c r="D5" s="5" t="s">
        <v>12</v>
      </c>
      <c r="E5" s="5" t="s">
        <v>12</v>
      </c>
      <c r="F5" s="5">
        <v>4.0</v>
      </c>
      <c r="G5" s="5">
        <v>76.0</v>
      </c>
      <c r="H5" s="5">
        <v>976.0</v>
      </c>
      <c r="I5" s="5">
        <v>96.0</v>
      </c>
      <c r="J5" s="5"/>
      <c r="K5" s="5" t="s">
        <v>30</v>
      </c>
      <c r="L5" s="5" t="s">
        <v>11</v>
      </c>
      <c r="M5" s="5">
        <v>0.0</v>
      </c>
      <c r="N5" s="5" t="s">
        <v>12</v>
      </c>
      <c r="O5" s="5" t="s">
        <v>13</v>
      </c>
      <c r="P5" s="5">
        <v>4.0</v>
      </c>
      <c r="Q5" s="5">
        <v>78.0</v>
      </c>
      <c r="R5" s="5">
        <v>1013.0</v>
      </c>
      <c r="S5" s="5">
        <v>57.0</v>
      </c>
      <c r="U5" s="5" t="str">
        <f>IFERROR(__xludf.DUMMYFUNCTION("""COMPUTED_VALUE"""),"13Queens.csp")</f>
        <v>13Queens.csp</v>
      </c>
      <c r="V5" s="5" t="str">
        <f>IFERROR(__xludf.DUMMYFUNCTION("""COMPUTED_VALUE"""),"MAC")</f>
        <v>MAC</v>
      </c>
      <c r="W5" s="5">
        <f>IFERROR(__xludf.DUMMYFUNCTION("""COMPUTED_VALUE"""),0.0)</f>
        <v>0</v>
      </c>
      <c r="X5" s="5" t="str">
        <f>IFERROR(__xludf.DUMMYFUNCTION("""COMPUTED_VALUE"""),"ASCENDING")</f>
        <v>ASCENDING</v>
      </c>
      <c r="Y5" s="5" t="str">
        <f>IFERROR(__xludf.DUMMYFUNCTION("""COMPUTED_VALUE"""),"ASCENDING")</f>
        <v>ASCENDING</v>
      </c>
      <c r="Z5" s="5">
        <f>IFERROR(__xludf.DUMMYFUNCTION("""COMPUTED_VALUE"""),73712.0)</f>
        <v>73712</v>
      </c>
      <c r="AA5" s="5">
        <f>IFERROR(__xludf.DUMMYFUNCTION("""COMPUTED_VALUE"""),1838678.0)</f>
        <v>1838678</v>
      </c>
      <c r="AB5" s="5">
        <f>IFERROR(__xludf.DUMMYFUNCTION("""COMPUTED_VALUE"""),6.260204E7)</f>
        <v>62602040</v>
      </c>
      <c r="AC5" s="5">
        <f>IFERROR(__xludf.DUMMYFUNCTION("""COMPUTED_VALUE"""),89520.0)</f>
        <v>89520</v>
      </c>
      <c r="AE5" s="5" t="str">
        <f>IFERROR(__xludf.DUMMYFUNCTION("""COMPUTED_VALUE"""),"13Queens.csp")</f>
        <v>13Queens.csp</v>
      </c>
      <c r="AF5" s="5" t="str">
        <f>IFERROR(__xludf.DUMMYFUNCTION("""COMPUTED_VALUE"""),"MAC")</f>
        <v>MAC</v>
      </c>
      <c r="AG5" s="5">
        <f>IFERROR(__xludf.DUMMYFUNCTION("""COMPUTED_VALUE"""),0.0)</f>
        <v>0</v>
      </c>
      <c r="AH5" s="5" t="str">
        <f>IFERROR(__xludf.DUMMYFUNCTION("""COMPUTED_VALUE"""),"ASCENDING")</f>
        <v>ASCENDING</v>
      </c>
      <c r="AI5" s="5" t="str">
        <f>IFERROR(__xludf.DUMMYFUNCTION("""COMPUTED_VALUE"""),"MIN_CONFLICTS")</f>
        <v>MIN_CONFLICTS</v>
      </c>
      <c r="AJ5" s="5">
        <f>IFERROR(__xludf.DUMMYFUNCTION("""COMPUTED_VALUE"""),73712.0)</f>
        <v>73712</v>
      </c>
      <c r="AK5" s="5">
        <f>IFERROR(__xludf.DUMMYFUNCTION("""COMPUTED_VALUE"""),1789108.0)</f>
        <v>1789108</v>
      </c>
      <c r="AL5" s="5">
        <f>IFERROR(__xludf.DUMMYFUNCTION("""COMPUTED_VALUE"""),6.2949026E7)</f>
        <v>62949026</v>
      </c>
      <c r="AM5" s="5">
        <f>IFERROR(__xludf.DUMMYFUNCTION("""COMPUTED_VALUE"""),90652.0)</f>
        <v>90652</v>
      </c>
    </row>
    <row r="6">
      <c r="A6" s="5" t="s">
        <v>29</v>
      </c>
      <c r="B6" s="5" t="s">
        <v>11</v>
      </c>
      <c r="C6" s="5">
        <v>0.0</v>
      </c>
      <c r="D6" s="5" t="s">
        <v>12</v>
      </c>
      <c r="E6" s="5" t="s">
        <v>12</v>
      </c>
      <c r="F6" s="5">
        <v>10.0</v>
      </c>
      <c r="G6" s="5">
        <v>92.0</v>
      </c>
      <c r="H6" s="5">
        <v>386.0</v>
      </c>
      <c r="I6" s="5">
        <v>31.0</v>
      </c>
      <c r="J6" s="5"/>
      <c r="K6" s="5" t="s">
        <v>29</v>
      </c>
      <c r="L6" s="5" t="s">
        <v>11</v>
      </c>
      <c r="M6" s="5">
        <v>0.0</v>
      </c>
      <c r="N6" s="5" t="s">
        <v>12</v>
      </c>
      <c r="O6" s="5" t="s">
        <v>13</v>
      </c>
      <c r="P6" s="5">
        <v>10.0</v>
      </c>
      <c r="Q6" s="5">
        <v>92.0</v>
      </c>
      <c r="R6" s="5">
        <v>386.0</v>
      </c>
      <c r="S6" s="5">
        <v>28.0</v>
      </c>
      <c r="U6" s="5" t="str">
        <f>IFERROR(__xludf.DUMMYFUNCTION("""COMPUTED_VALUE"""),"4Queens.csp")</f>
        <v>4Queens.csp</v>
      </c>
      <c r="V6" s="5" t="str">
        <f>IFERROR(__xludf.DUMMYFUNCTION("""COMPUTED_VALUE"""),"MAC")</f>
        <v>MAC</v>
      </c>
      <c r="W6" s="5">
        <f>IFERROR(__xludf.DUMMYFUNCTION("""COMPUTED_VALUE"""),0.0)</f>
        <v>0</v>
      </c>
      <c r="X6" s="5" t="str">
        <f>IFERROR(__xludf.DUMMYFUNCTION("""COMPUTED_VALUE"""),"ASCENDING")</f>
        <v>ASCENDING</v>
      </c>
      <c r="Y6" s="5" t="str">
        <f>IFERROR(__xludf.DUMMYFUNCTION("""COMPUTED_VALUE"""),"ASCENDING")</f>
        <v>ASCENDING</v>
      </c>
      <c r="Z6" s="5">
        <f>IFERROR(__xludf.DUMMYFUNCTION("""COMPUTED_VALUE"""),2.0)</f>
        <v>2</v>
      </c>
      <c r="AA6" s="5">
        <f>IFERROR(__xludf.DUMMYFUNCTION("""COMPUTED_VALUE"""),18.0)</f>
        <v>18</v>
      </c>
      <c r="AB6" s="5">
        <f>IFERROR(__xludf.DUMMYFUNCTION("""COMPUTED_VALUE"""),80.0)</f>
        <v>80</v>
      </c>
      <c r="AC6" s="5">
        <f>IFERROR(__xludf.DUMMYFUNCTION("""COMPUTED_VALUE"""),10.0)</f>
        <v>10</v>
      </c>
      <c r="AE6" s="5" t="str">
        <f>IFERROR(__xludf.DUMMYFUNCTION("""COMPUTED_VALUE"""),"4Queens.csp")</f>
        <v>4Queens.csp</v>
      </c>
      <c r="AF6" s="5" t="str">
        <f>IFERROR(__xludf.DUMMYFUNCTION("""COMPUTED_VALUE"""),"MAC")</f>
        <v>MAC</v>
      </c>
      <c r="AG6" s="5">
        <f>IFERROR(__xludf.DUMMYFUNCTION("""COMPUTED_VALUE"""),0.0)</f>
        <v>0</v>
      </c>
      <c r="AH6" s="5" t="str">
        <f>IFERROR(__xludf.DUMMYFUNCTION("""COMPUTED_VALUE"""),"ASCENDING")</f>
        <v>ASCENDING</v>
      </c>
      <c r="AI6" s="5" t="str">
        <f>IFERROR(__xludf.DUMMYFUNCTION("""COMPUTED_VALUE"""),"MIN_CONFLICTS")</f>
        <v>MIN_CONFLICTS</v>
      </c>
      <c r="AJ6" s="5">
        <f>IFERROR(__xludf.DUMMYFUNCTION("""COMPUTED_VALUE"""),2.0)</f>
        <v>2</v>
      </c>
      <c r="AK6" s="5">
        <f>IFERROR(__xludf.DUMMYFUNCTION("""COMPUTED_VALUE"""),18.0)</f>
        <v>18</v>
      </c>
      <c r="AL6" s="5">
        <f>IFERROR(__xludf.DUMMYFUNCTION("""COMPUTED_VALUE"""),80.0)</f>
        <v>80</v>
      </c>
      <c r="AM6" s="5">
        <f>IFERROR(__xludf.DUMMYFUNCTION("""COMPUTED_VALUE"""),13.0)</f>
        <v>13</v>
      </c>
    </row>
    <row r="7">
      <c r="U7" s="5" t="str">
        <f>IFERROR(__xludf.DUMMYFUNCTION("""COMPUTED_VALUE"""),"5Queens.csp")</f>
        <v>5Queens.csp</v>
      </c>
      <c r="V7" s="5" t="str">
        <f>IFERROR(__xludf.DUMMYFUNCTION("""COMPUTED_VALUE"""),"MAC")</f>
        <v>MAC</v>
      </c>
      <c r="W7" s="5">
        <f>IFERROR(__xludf.DUMMYFUNCTION("""COMPUTED_VALUE"""),0.0)</f>
        <v>0</v>
      </c>
      <c r="X7" s="5" t="str">
        <f>IFERROR(__xludf.DUMMYFUNCTION("""COMPUTED_VALUE"""),"ASCENDING")</f>
        <v>ASCENDING</v>
      </c>
      <c r="Y7" s="5" t="str">
        <f>IFERROR(__xludf.DUMMYFUNCTION("""COMPUTED_VALUE"""),"ASCENDING")</f>
        <v>ASCENDING</v>
      </c>
      <c r="Z7" s="5">
        <f>IFERROR(__xludf.DUMMYFUNCTION("""COMPUTED_VALUE"""),10.0)</f>
        <v>10</v>
      </c>
      <c r="AA7" s="5">
        <f>IFERROR(__xludf.DUMMYFUNCTION("""COMPUTED_VALUE"""),92.0)</f>
        <v>92</v>
      </c>
      <c r="AB7" s="5">
        <f>IFERROR(__xludf.DUMMYFUNCTION("""COMPUTED_VALUE"""),386.0)</f>
        <v>386</v>
      </c>
      <c r="AC7" s="5">
        <f>IFERROR(__xludf.DUMMYFUNCTION("""COMPUTED_VALUE"""),31.0)</f>
        <v>31</v>
      </c>
      <c r="AE7" s="5" t="str">
        <f>IFERROR(__xludf.DUMMYFUNCTION("""COMPUTED_VALUE"""),"5Queens.csp")</f>
        <v>5Queens.csp</v>
      </c>
      <c r="AF7" s="5" t="str">
        <f>IFERROR(__xludf.DUMMYFUNCTION("""COMPUTED_VALUE"""),"MAC")</f>
        <v>MAC</v>
      </c>
      <c r="AG7" s="5">
        <f>IFERROR(__xludf.DUMMYFUNCTION("""COMPUTED_VALUE"""),0.0)</f>
        <v>0</v>
      </c>
      <c r="AH7" s="5" t="str">
        <f>IFERROR(__xludf.DUMMYFUNCTION("""COMPUTED_VALUE"""),"ASCENDING")</f>
        <v>ASCENDING</v>
      </c>
      <c r="AI7" s="5" t="str">
        <f>IFERROR(__xludf.DUMMYFUNCTION("""COMPUTED_VALUE"""),"MIN_CONFLICTS")</f>
        <v>MIN_CONFLICTS</v>
      </c>
      <c r="AJ7" s="5">
        <f>IFERROR(__xludf.DUMMYFUNCTION("""COMPUTED_VALUE"""),10.0)</f>
        <v>10</v>
      </c>
      <c r="AK7" s="5">
        <f>IFERROR(__xludf.DUMMYFUNCTION("""COMPUTED_VALUE"""),92.0)</f>
        <v>92</v>
      </c>
      <c r="AL7" s="5">
        <f>IFERROR(__xludf.DUMMYFUNCTION("""COMPUTED_VALUE"""),386.0)</f>
        <v>386</v>
      </c>
      <c r="AM7" s="5">
        <f>IFERROR(__xludf.DUMMYFUNCTION("""COMPUTED_VALUE"""),28.0)</f>
        <v>28</v>
      </c>
    </row>
    <row r="8">
      <c r="U8" s="5" t="str">
        <f>IFERROR(__xludf.DUMMYFUNCTION("""COMPUTED_VALUE"""),"6Queens.csp")</f>
        <v>6Queens.csp</v>
      </c>
      <c r="V8" s="5" t="str">
        <f>IFERROR(__xludf.DUMMYFUNCTION("""COMPUTED_VALUE"""),"MAC")</f>
        <v>MAC</v>
      </c>
      <c r="W8" s="5">
        <f>IFERROR(__xludf.DUMMYFUNCTION("""COMPUTED_VALUE"""),0.0)</f>
        <v>0</v>
      </c>
      <c r="X8" s="5" t="str">
        <f>IFERROR(__xludf.DUMMYFUNCTION("""COMPUTED_VALUE"""),"ASCENDING")</f>
        <v>ASCENDING</v>
      </c>
      <c r="Y8" s="5" t="str">
        <f>IFERROR(__xludf.DUMMYFUNCTION("""COMPUTED_VALUE"""),"ASCENDING")</f>
        <v>ASCENDING</v>
      </c>
      <c r="Z8" s="5">
        <f>IFERROR(__xludf.DUMMYFUNCTION("""COMPUTED_VALUE"""),4.0)</f>
        <v>4</v>
      </c>
      <c r="AA8" s="5">
        <f>IFERROR(__xludf.DUMMYFUNCTION("""COMPUTED_VALUE"""),76.0)</f>
        <v>76</v>
      </c>
      <c r="AB8" s="5">
        <f>IFERROR(__xludf.DUMMYFUNCTION("""COMPUTED_VALUE"""),976.0)</f>
        <v>976</v>
      </c>
      <c r="AC8" s="5">
        <f>IFERROR(__xludf.DUMMYFUNCTION("""COMPUTED_VALUE"""),96.0)</f>
        <v>96</v>
      </c>
      <c r="AE8" s="5" t="str">
        <f>IFERROR(__xludf.DUMMYFUNCTION("""COMPUTED_VALUE"""),"6Queens.csp")</f>
        <v>6Queens.csp</v>
      </c>
      <c r="AF8" s="5" t="str">
        <f>IFERROR(__xludf.DUMMYFUNCTION("""COMPUTED_VALUE"""),"MAC")</f>
        <v>MAC</v>
      </c>
      <c r="AG8" s="5">
        <f>IFERROR(__xludf.DUMMYFUNCTION("""COMPUTED_VALUE"""),0.0)</f>
        <v>0</v>
      </c>
      <c r="AH8" s="5" t="str">
        <f>IFERROR(__xludf.DUMMYFUNCTION("""COMPUTED_VALUE"""),"ASCENDING")</f>
        <v>ASCENDING</v>
      </c>
      <c r="AI8" s="5" t="str">
        <f>IFERROR(__xludf.DUMMYFUNCTION("""COMPUTED_VALUE"""),"MIN_CONFLICTS")</f>
        <v>MIN_CONFLICTS</v>
      </c>
      <c r="AJ8" s="5">
        <f>IFERROR(__xludf.DUMMYFUNCTION("""COMPUTED_VALUE"""),4.0)</f>
        <v>4</v>
      </c>
      <c r="AK8" s="5">
        <f>IFERROR(__xludf.DUMMYFUNCTION("""COMPUTED_VALUE"""),78.0)</f>
        <v>78</v>
      </c>
      <c r="AL8" s="5">
        <f>IFERROR(__xludf.DUMMYFUNCTION("""COMPUTED_VALUE"""),1013.0)</f>
        <v>1013</v>
      </c>
      <c r="AM8" s="5">
        <f>IFERROR(__xludf.DUMMYFUNCTION("""COMPUTED_VALUE"""),57.0)</f>
        <v>57</v>
      </c>
    </row>
    <row r="9">
      <c r="U9" s="5" t="str">
        <f>IFERROR(__xludf.DUMMYFUNCTION("""COMPUTED_VALUE"""),"8Queens.csp")</f>
        <v>8Queens.csp</v>
      </c>
      <c r="V9" s="5" t="str">
        <f>IFERROR(__xludf.DUMMYFUNCTION("""COMPUTED_VALUE"""),"MAC")</f>
        <v>MAC</v>
      </c>
      <c r="W9" s="5">
        <f>IFERROR(__xludf.DUMMYFUNCTION("""COMPUTED_VALUE"""),0.0)</f>
        <v>0</v>
      </c>
      <c r="X9" s="5" t="str">
        <f>IFERROR(__xludf.DUMMYFUNCTION("""COMPUTED_VALUE"""),"ASCENDING")</f>
        <v>ASCENDING</v>
      </c>
      <c r="Y9" s="5" t="str">
        <f>IFERROR(__xludf.DUMMYFUNCTION("""COMPUTED_VALUE"""),"ASCENDING")</f>
        <v>ASCENDING</v>
      </c>
      <c r="Z9" s="5">
        <f>IFERROR(__xludf.DUMMYFUNCTION("""COMPUTED_VALUE"""),92.0)</f>
        <v>92</v>
      </c>
      <c r="AA9" s="5">
        <f>IFERROR(__xludf.DUMMYFUNCTION("""COMPUTED_VALUE"""),1374.0)</f>
        <v>1374</v>
      </c>
      <c r="AB9" s="5">
        <f>IFERROR(__xludf.DUMMYFUNCTION("""COMPUTED_VALUE"""),19603.0)</f>
        <v>19603</v>
      </c>
      <c r="AC9" s="5">
        <f>IFERROR(__xludf.DUMMYFUNCTION("""COMPUTED_VALUE"""),1313.0)</f>
        <v>1313</v>
      </c>
      <c r="AE9" s="5" t="str">
        <f>IFERROR(__xludf.DUMMYFUNCTION("""COMPUTED_VALUE"""),"8Queens.csp")</f>
        <v>8Queens.csp</v>
      </c>
      <c r="AF9" s="5" t="str">
        <f>IFERROR(__xludf.DUMMYFUNCTION("""COMPUTED_VALUE"""),"MAC")</f>
        <v>MAC</v>
      </c>
      <c r="AG9" s="5">
        <f>IFERROR(__xludf.DUMMYFUNCTION("""COMPUTED_VALUE"""),0.0)</f>
        <v>0</v>
      </c>
      <c r="AH9" s="5" t="str">
        <f>IFERROR(__xludf.DUMMYFUNCTION("""COMPUTED_VALUE"""),"ASCENDING")</f>
        <v>ASCENDING</v>
      </c>
      <c r="AI9" s="5" t="str">
        <f>IFERROR(__xludf.DUMMYFUNCTION("""COMPUTED_VALUE"""),"MIN_CONFLICTS")</f>
        <v>MIN_CONFLICTS</v>
      </c>
      <c r="AJ9" s="5">
        <f>IFERROR(__xludf.DUMMYFUNCTION("""COMPUTED_VALUE"""),92.0)</f>
        <v>92</v>
      </c>
      <c r="AK9" s="5">
        <f>IFERROR(__xludf.DUMMYFUNCTION("""COMPUTED_VALUE"""),1352.0)</f>
        <v>1352</v>
      </c>
      <c r="AL9" s="5">
        <f>IFERROR(__xludf.DUMMYFUNCTION("""COMPUTED_VALUE"""),19669.0)</f>
        <v>19669</v>
      </c>
      <c r="AM9" s="5">
        <f>IFERROR(__xludf.DUMMYFUNCTION("""COMPUTED_VALUE"""),1231.0)</f>
        <v>1231</v>
      </c>
    </row>
    <row r="10">
      <c r="U10" s="5" t="str">
        <f>IFERROR(__xludf.DUMMYFUNCTION("""COMPUTED_VALUE"""),"langfords2_3.csp")</f>
        <v>langfords2_3.csp</v>
      </c>
      <c r="V10" s="5" t="str">
        <f>IFERROR(__xludf.DUMMYFUNCTION("""COMPUTED_VALUE"""),"MAC")</f>
        <v>MAC</v>
      </c>
      <c r="W10" s="5">
        <f>IFERROR(__xludf.DUMMYFUNCTION("""COMPUTED_VALUE"""),0.0)</f>
        <v>0</v>
      </c>
      <c r="X10" s="5" t="str">
        <f>IFERROR(__xludf.DUMMYFUNCTION("""COMPUTED_VALUE"""),"ASCENDING")</f>
        <v>ASCENDING</v>
      </c>
      <c r="Y10" s="5" t="str">
        <f>IFERROR(__xludf.DUMMYFUNCTION("""COMPUTED_VALUE"""),"ASCENDING")</f>
        <v>ASCENDING</v>
      </c>
      <c r="Z10" s="5">
        <f>IFERROR(__xludf.DUMMYFUNCTION("""COMPUTED_VALUE"""),2.0)</f>
        <v>2</v>
      </c>
      <c r="AA10" s="5">
        <f>IFERROR(__xludf.DUMMYFUNCTION("""COMPUTED_VALUE"""),26.0)</f>
        <v>26</v>
      </c>
      <c r="AB10" s="5">
        <f>IFERROR(__xludf.DUMMYFUNCTION("""COMPUTED_VALUE"""),193.0)</f>
        <v>193</v>
      </c>
      <c r="AC10" s="5">
        <f>IFERROR(__xludf.DUMMYFUNCTION("""COMPUTED_VALUE"""),26.0)</f>
        <v>26</v>
      </c>
      <c r="AE10" s="5" t="str">
        <f>IFERROR(__xludf.DUMMYFUNCTION("""COMPUTED_VALUE"""),"langfords2_3.csp")</f>
        <v>langfords2_3.csp</v>
      </c>
      <c r="AF10" s="5" t="str">
        <f>IFERROR(__xludf.DUMMYFUNCTION("""COMPUTED_VALUE"""),"MAC")</f>
        <v>MAC</v>
      </c>
      <c r="AG10" s="5">
        <f>IFERROR(__xludf.DUMMYFUNCTION("""COMPUTED_VALUE"""),0.0)</f>
        <v>0</v>
      </c>
      <c r="AH10" s="5" t="str">
        <f>IFERROR(__xludf.DUMMYFUNCTION("""COMPUTED_VALUE"""),"ASCENDING")</f>
        <v>ASCENDING</v>
      </c>
      <c r="AI10" s="5" t="str">
        <f>IFERROR(__xludf.DUMMYFUNCTION("""COMPUTED_VALUE"""),"MIN_CONFLICTS")</f>
        <v>MIN_CONFLICTS</v>
      </c>
      <c r="AJ10" s="5">
        <f>IFERROR(__xludf.DUMMYFUNCTION("""COMPUTED_VALUE"""),2.0)</f>
        <v>2</v>
      </c>
      <c r="AK10" s="5">
        <f>IFERROR(__xludf.DUMMYFUNCTION("""COMPUTED_VALUE"""),28.0)</f>
        <v>28</v>
      </c>
      <c r="AL10" s="5">
        <f>IFERROR(__xludf.DUMMYFUNCTION("""COMPUTED_VALUE"""),193.0)</f>
        <v>193</v>
      </c>
      <c r="AM10" s="5">
        <f>IFERROR(__xludf.DUMMYFUNCTION("""COMPUTED_VALUE"""),41.0)</f>
        <v>41</v>
      </c>
    </row>
    <row r="11">
      <c r="U11" s="5" t="str">
        <f>IFERROR(__xludf.DUMMYFUNCTION("""COMPUTED_VALUE"""),"langfords2_4.csp")</f>
        <v>langfords2_4.csp</v>
      </c>
      <c r="V11" s="5" t="str">
        <f>IFERROR(__xludf.DUMMYFUNCTION("""COMPUTED_VALUE"""),"MAC")</f>
        <v>MAC</v>
      </c>
      <c r="W11" s="5">
        <f>IFERROR(__xludf.DUMMYFUNCTION("""COMPUTED_VALUE"""),0.0)</f>
        <v>0</v>
      </c>
      <c r="X11" s="5" t="str">
        <f>IFERROR(__xludf.DUMMYFUNCTION("""COMPUTED_VALUE"""),"ASCENDING")</f>
        <v>ASCENDING</v>
      </c>
      <c r="Y11" s="5" t="str">
        <f>IFERROR(__xludf.DUMMYFUNCTION("""COMPUTED_VALUE"""),"ASCENDING")</f>
        <v>ASCENDING</v>
      </c>
      <c r="Z11" s="5">
        <f>IFERROR(__xludf.DUMMYFUNCTION("""COMPUTED_VALUE"""),2.0)</f>
        <v>2</v>
      </c>
      <c r="AA11" s="5">
        <f>IFERROR(__xludf.DUMMYFUNCTION("""COMPUTED_VALUE"""),48.0)</f>
        <v>48</v>
      </c>
      <c r="AB11" s="5">
        <f>IFERROR(__xludf.DUMMYFUNCTION("""COMPUTED_VALUE"""),908.0)</f>
        <v>908</v>
      </c>
      <c r="AC11" s="5">
        <f>IFERROR(__xludf.DUMMYFUNCTION("""COMPUTED_VALUE"""),47.0)</f>
        <v>47</v>
      </c>
      <c r="AE11" s="5" t="str">
        <f>IFERROR(__xludf.DUMMYFUNCTION("""COMPUTED_VALUE"""),"langfords2_4.csp")</f>
        <v>langfords2_4.csp</v>
      </c>
      <c r="AF11" s="5" t="str">
        <f>IFERROR(__xludf.DUMMYFUNCTION("""COMPUTED_VALUE"""),"MAC")</f>
        <v>MAC</v>
      </c>
      <c r="AG11" s="5">
        <f>IFERROR(__xludf.DUMMYFUNCTION("""COMPUTED_VALUE"""),0.0)</f>
        <v>0</v>
      </c>
      <c r="AH11" s="5" t="str">
        <f>IFERROR(__xludf.DUMMYFUNCTION("""COMPUTED_VALUE"""),"ASCENDING")</f>
        <v>ASCENDING</v>
      </c>
      <c r="AI11" s="5" t="str">
        <f>IFERROR(__xludf.DUMMYFUNCTION("""COMPUTED_VALUE"""),"MIN_CONFLICTS")</f>
        <v>MIN_CONFLICTS</v>
      </c>
      <c r="AJ11" s="5">
        <f>IFERROR(__xludf.DUMMYFUNCTION("""COMPUTED_VALUE"""),2.0)</f>
        <v>2</v>
      </c>
      <c r="AK11" s="5">
        <f>IFERROR(__xludf.DUMMYFUNCTION("""COMPUTED_VALUE"""),46.0)</f>
        <v>46</v>
      </c>
      <c r="AL11" s="5">
        <f>IFERROR(__xludf.DUMMYFUNCTION("""COMPUTED_VALUE"""),908.0)</f>
        <v>908</v>
      </c>
      <c r="AM11" s="5">
        <f>IFERROR(__xludf.DUMMYFUNCTION("""COMPUTED_VALUE"""),74.0)</f>
        <v>74</v>
      </c>
    </row>
    <row r="12">
      <c r="U12" s="5" t="str">
        <f>IFERROR(__xludf.DUMMYFUNCTION("""COMPUTED_VALUE"""),"langfords2_7.csp")</f>
        <v>langfords2_7.csp</v>
      </c>
      <c r="V12" s="5" t="str">
        <f>IFERROR(__xludf.DUMMYFUNCTION("""COMPUTED_VALUE"""),"MAC")</f>
        <v>MAC</v>
      </c>
      <c r="W12" s="5">
        <f>IFERROR(__xludf.DUMMYFUNCTION("""COMPUTED_VALUE"""),0.0)</f>
        <v>0</v>
      </c>
      <c r="X12" s="5" t="str">
        <f>IFERROR(__xludf.DUMMYFUNCTION("""COMPUTED_VALUE"""),"ASCENDING")</f>
        <v>ASCENDING</v>
      </c>
      <c r="Y12" s="5" t="str">
        <f>IFERROR(__xludf.DUMMYFUNCTION("""COMPUTED_VALUE"""),"ASCENDING")</f>
        <v>ASCENDING</v>
      </c>
      <c r="Z12" s="5">
        <f>IFERROR(__xludf.DUMMYFUNCTION("""COMPUTED_VALUE"""),52.0)</f>
        <v>52</v>
      </c>
      <c r="AA12" s="5">
        <f>IFERROR(__xludf.DUMMYFUNCTION("""COMPUTED_VALUE"""),2702.0)</f>
        <v>2702</v>
      </c>
      <c r="AB12" s="5">
        <f>IFERROR(__xludf.DUMMYFUNCTION("""COMPUTED_VALUE"""),136436.0)</f>
        <v>136436</v>
      </c>
      <c r="AC12" s="5">
        <f>IFERROR(__xludf.DUMMYFUNCTION("""COMPUTED_VALUE"""),1390.0)</f>
        <v>1390</v>
      </c>
      <c r="AE12" s="5" t="str">
        <f>IFERROR(__xludf.DUMMYFUNCTION("""COMPUTED_VALUE"""),"langfords2_7.csp")</f>
        <v>langfords2_7.csp</v>
      </c>
      <c r="AF12" s="5" t="str">
        <f>IFERROR(__xludf.DUMMYFUNCTION("""COMPUTED_VALUE"""),"MAC")</f>
        <v>MAC</v>
      </c>
      <c r="AG12" s="5">
        <f>IFERROR(__xludf.DUMMYFUNCTION("""COMPUTED_VALUE"""),0.0)</f>
        <v>0</v>
      </c>
      <c r="AH12" s="5" t="str">
        <f>IFERROR(__xludf.DUMMYFUNCTION("""COMPUTED_VALUE"""),"ASCENDING")</f>
        <v>ASCENDING</v>
      </c>
      <c r="AI12" s="5" t="str">
        <f>IFERROR(__xludf.DUMMYFUNCTION("""COMPUTED_VALUE"""),"MIN_CONFLICTS")</f>
        <v>MIN_CONFLICTS</v>
      </c>
      <c r="AJ12" s="5">
        <f>IFERROR(__xludf.DUMMYFUNCTION("""COMPUTED_VALUE"""),52.0)</f>
        <v>52</v>
      </c>
      <c r="AK12" s="5">
        <f>IFERROR(__xludf.DUMMYFUNCTION("""COMPUTED_VALUE"""),2690.0)</f>
        <v>2690</v>
      </c>
      <c r="AL12" s="5">
        <f>IFERROR(__xludf.DUMMYFUNCTION("""COMPUTED_VALUE"""),136436.0)</f>
        <v>136436</v>
      </c>
      <c r="AM12" s="5">
        <f>IFERROR(__xludf.DUMMYFUNCTION("""COMPUTED_VALUE"""),1409.0)</f>
        <v>1409</v>
      </c>
    </row>
    <row r="13">
      <c r="U13" s="5" t="str">
        <f>IFERROR(__xludf.DUMMYFUNCTION("""COMPUTED_VALUE"""),"langfords2_8.csp")</f>
        <v>langfords2_8.csp</v>
      </c>
      <c r="V13" s="5" t="str">
        <f>IFERROR(__xludf.DUMMYFUNCTION("""COMPUTED_VALUE"""),"MAC")</f>
        <v>MAC</v>
      </c>
      <c r="W13" s="5">
        <f>IFERROR(__xludf.DUMMYFUNCTION("""COMPUTED_VALUE"""),0.0)</f>
        <v>0</v>
      </c>
      <c r="X13" s="5" t="str">
        <f>IFERROR(__xludf.DUMMYFUNCTION("""COMPUTED_VALUE"""),"ASCENDING")</f>
        <v>ASCENDING</v>
      </c>
      <c r="Y13" s="5" t="str">
        <f>IFERROR(__xludf.DUMMYFUNCTION("""COMPUTED_VALUE"""),"ASCENDING")</f>
        <v>ASCENDING</v>
      </c>
      <c r="Z13" s="5">
        <f>IFERROR(__xludf.DUMMYFUNCTION("""COMPUTED_VALUE"""),300.0)</f>
        <v>300</v>
      </c>
      <c r="AA13" s="5">
        <f>IFERROR(__xludf.DUMMYFUNCTION("""COMPUTED_VALUE"""),15172.0)</f>
        <v>15172</v>
      </c>
      <c r="AB13" s="5">
        <f>IFERROR(__xludf.DUMMYFUNCTION("""COMPUTED_VALUE"""),876117.0)</f>
        <v>876117</v>
      </c>
      <c r="AC13" s="5">
        <f>IFERROR(__xludf.DUMMYFUNCTION("""COMPUTED_VALUE"""),2521.0)</f>
        <v>2521</v>
      </c>
      <c r="AE13" s="5" t="str">
        <f>IFERROR(__xludf.DUMMYFUNCTION("""COMPUTED_VALUE"""),"langfords2_8.csp")</f>
        <v>langfords2_8.csp</v>
      </c>
      <c r="AF13" s="5" t="str">
        <f>IFERROR(__xludf.DUMMYFUNCTION("""COMPUTED_VALUE"""),"MAC")</f>
        <v>MAC</v>
      </c>
      <c r="AG13" s="5">
        <f>IFERROR(__xludf.DUMMYFUNCTION("""COMPUTED_VALUE"""),0.0)</f>
        <v>0</v>
      </c>
      <c r="AH13" s="5" t="str">
        <f>IFERROR(__xludf.DUMMYFUNCTION("""COMPUTED_VALUE"""),"ASCENDING")</f>
        <v>ASCENDING</v>
      </c>
      <c r="AI13" s="5" t="str">
        <f>IFERROR(__xludf.DUMMYFUNCTION("""COMPUTED_VALUE"""),"MIN_CONFLICTS")</f>
        <v>MIN_CONFLICTS</v>
      </c>
      <c r="AJ13" s="5">
        <f>IFERROR(__xludf.DUMMYFUNCTION("""COMPUTED_VALUE"""),300.0)</f>
        <v>300</v>
      </c>
      <c r="AK13" s="5">
        <f>IFERROR(__xludf.DUMMYFUNCTION("""COMPUTED_VALUE"""),15082.0)</f>
        <v>15082</v>
      </c>
      <c r="AL13" s="5">
        <f>IFERROR(__xludf.DUMMYFUNCTION("""COMPUTED_VALUE"""),876117.0)</f>
        <v>876117</v>
      </c>
      <c r="AM13" s="5">
        <f>IFERROR(__xludf.DUMMYFUNCTION("""COMPUTED_VALUE"""),2557.0)</f>
        <v>2557</v>
      </c>
    </row>
    <row r="14">
      <c r="U14" s="5" t="str">
        <f>IFERROR(__xludf.DUMMYFUNCTION("""COMPUTED_VALUE"""),"langfords3_10.csp")</f>
        <v>langfords3_10.csp</v>
      </c>
      <c r="V14" s="5" t="str">
        <f>IFERROR(__xludf.DUMMYFUNCTION("""COMPUTED_VALUE"""),"MAC")</f>
        <v>MAC</v>
      </c>
      <c r="W14" s="5">
        <f>IFERROR(__xludf.DUMMYFUNCTION("""COMPUTED_VALUE"""),0.0)</f>
        <v>0</v>
      </c>
      <c r="X14" s="5" t="str">
        <f>IFERROR(__xludf.DUMMYFUNCTION("""COMPUTED_VALUE"""),"ASCENDING")</f>
        <v>ASCENDING</v>
      </c>
      <c r="Y14" s="5" t="str">
        <f>IFERROR(__xludf.DUMMYFUNCTION("""COMPUTED_VALUE"""),"ASCENDING")</f>
        <v>ASCENDING</v>
      </c>
      <c r="Z14" s="5">
        <f>IFERROR(__xludf.DUMMYFUNCTION("""COMPUTED_VALUE"""),10.0)</f>
        <v>10</v>
      </c>
      <c r="AA14" s="5">
        <f>IFERROR(__xludf.DUMMYFUNCTION("""COMPUTED_VALUE"""),90058.0)</f>
        <v>90058</v>
      </c>
      <c r="AB14" s="5">
        <f>IFERROR(__xludf.DUMMYFUNCTION("""COMPUTED_VALUE"""),2.3030822E7)</f>
        <v>23030822</v>
      </c>
      <c r="AC14" s="5">
        <f>IFERROR(__xludf.DUMMYFUNCTION("""COMPUTED_VALUE"""),80840.0)</f>
        <v>80840</v>
      </c>
      <c r="AE14" s="5" t="str">
        <f>IFERROR(__xludf.DUMMYFUNCTION("""COMPUTED_VALUE"""),"langfords3_10.csp")</f>
        <v>langfords3_10.csp</v>
      </c>
      <c r="AF14" s="5" t="str">
        <f>IFERROR(__xludf.DUMMYFUNCTION("""COMPUTED_VALUE"""),"MAC")</f>
        <v>MAC</v>
      </c>
      <c r="AG14" s="5">
        <f>IFERROR(__xludf.DUMMYFUNCTION("""COMPUTED_VALUE"""),0.0)</f>
        <v>0</v>
      </c>
      <c r="AH14" s="5" t="str">
        <f>IFERROR(__xludf.DUMMYFUNCTION("""COMPUTED_VALUE"""),"ASCENDING")</f>
        <v>ASCENDING</v>
      </c>
      <c r="AI14" s="5" t="str">
        <f>IFERROR(__xludf.DUMMYFUNCTION("""COMPUTED_VALUE"""),"MIN_CONFLICTS")</f>
        <v>MIN_CONFLICTS</v>
      </c>
      <c r="AJ14" s="5">
        <f>IFERROR(__xludf.DUMMYFUNCTION("""COMPUTED_VALUE"""),10.0)</f>
        <v>10</v>
      </c>
      <c r="AK14" s="5">
        <f>IFERROR(__xludf.DUMMYFUNCTION("""COMPUTED_VALUE"""),89454.0)</f>
        <v>89454</v>
      </c>
      <c r="AL14" s="5">
        <f>IFERROR(__xludf.DUMMYFUNCTION("""COMPUTED_VALUE"""),2.3030822E7)</f>
        <v>23030822</v>
      </c>
      <c r="AM14" s="5">
        <f>IFERROR(__xludf.DUMMYFUNCTION("""COMPUTED_VALUE"""),85230.0)</f>
        <v>85230</v>
      </c>
    </row>
    <row r="15">
      <c r="U15" s="5" t="str">
        <f>IFERROR(__xludf.DUMMYFUNCTION("""COMPUTED_VALUE"""),"langfords3_9.csp")</f>
        <v>langfords3_9.csp</v>
      </c>
      <c r="V15" s="5" t="str">
        <f>IFERROR(__xludf.DUMMYFUNCTION("""COMPUTED_VALUE"""),"MAC")</f>
        <v>MAC</v>
      </c>
      <c r="W15" s="5">
        <f>IFERROR(__xludf.DUMMYFUNCTION("""COMPUTED_VALUE"""),0.0)</f>
        <v>0</v>
      </c>
      <c r="X15" s="5" t="str">
        <f>IFERROR(__xludf.DUMMYFUNCTION("""COMPUTED_VALUE"""),"ASCENDING")</f>
        <v>ASCENDING</v>
      </c>
      <c r="Y15" s="5" t="str">
        <f>IFERROR(__xludf.DUMMYFUNCTION("""COMPUTED_VALUE"""),"ASCENDING")</f>
        <v>ASCENDING</v>
      </c>
      <c r="Z15" s="5">
        <f>IFERROR(__xludf.DUMMYFUNCTION("""COMPUTED_VALUE"""),6.0)</f>
        <v>6</v>
      </c>
      <c r="AA15" s="5">
        <f>IFERROR(__xludf.DUMMYFUNCTION("""COMPUTED_VALUE"""),18968.0)</f>
        <v>18968</v>
      </c>
      <c r="AB15" s="5">
        <f>IFERROR(__xludf.DUMMYFUNCTION("""COMPUTED_VALUE"""),4100997.0)</f>
        <v>4100997</v>
      </c>
      <c r="AC15" s="5">
        <f>IFERROR(__xludf.DUMMYFUNCTION("""COMPUTED_VALUE"""),19615.0)</f>
        <v>19615</v>
      </c>
      <c r="AE15" s="5" t="str">
        <f>IFERROR(__xludf.DUMMYFUNCTION("""COMPUTED_VALUE"""),"langfords3_9.csp")</f>
        <v>langfords3_9.csp</v>
      </c>
      <c r="AF15" s="5" t="str">
        <f>IFERROR(__xludf.DUMMYFUNCTION("""COMPUTED_VALUE"""),"MAC")</f>
        <v>MAC</v>
      </c>
      <c r="AG15" s="5">
        <f>IFERROR(__xludf.DUMMYFUNCTION("""COMPUTED_VALUE"""),0.0)</f>
        <v>0</v>
      </c>
      <c r="AH15" s="5" t="str">
        <f>IFERROR(__xludf.DUMMYFUNCTION("""COMPUTED_VALUE"""),"ASCENDING")</f>
        <v>ASCENDING</v>
      </c>
      <c r="AI15" s="5" t="str">
        <f>IFERROR(__xludf.DUMMYFUNCTION("""COMPUTED_VALUE"""),"MIN_CONFLICTS")</f>
        <v>MIN_CONFLICTS</v>
      </c>
      <c r="AJ15" s="5">
        <f>IFERROR(__xludf.DUMMYFUNCTION("""COMPUTED_VALUE"""),6.0)</f>
        <v>6</v>
      </c>
      <c r="AK15" s="5">
        <f>IFERROR(__xludf.DUMMYFUNCTION("""COMPUTED_VALUE"""),18758.0)</f>
        <v>18758</v>
      </c>
      <c r="AL15" s="5">
        <f>IFERROR(__xludf.DUMMYFUNCTION("""COMPUTED_VALUE"""),4100997.0)</f>
        <v>4100997</v>
      </c>
      <c r="AM15" s="5">
        <f>IFERROR(__xludf.DUMMYFUNCTION("""COMPUTED_VALUE"""),18614.0)</f>
        <v>18614</v>
      </c>
    </row>
    <row r="36">
      <c r="A36" s="6" t="s">
        <v>43</v>
      </c>
      <c r="B36" s="7">
        <v>5.0</v>
      </c>
    </row>
    <row r="40">
      <c r="A40" s="5" t="str">
        <f>Data!$A$1</f>
        <v>Instance</v>
      </c>
      <c r="B40" s="5" t="str">
        <f>Data!$B$1</f>
        <v>Solver Type</v>
      </c>
      <c r="C40" s="5" t="str">
        <f>Data!$C$1</f>
        <v>Solutions To Find</v>
      </c>
      <c r="D40" s="5" t="str">
        <f>Data!$D$1</f>
        <v>Variable Ordering</v>
      </c>
      <c r="E40" s="5" t="str">
        <f>Data!$E$1</f>
        <v>Value Ordering</v>
      </c>
      <c r="F40" s="5" t="str">
        <f>Data!$F$1</f>
        <v>Solutions Found</v>
      </c>
      <c r="G40" s="5" t="str">
        <f>Data!$G$1</f>
        <v>Nodes Explored</v>
      </c>
      <c r="H40" s="5" t="str">
        <f>Data!$H$1</f>
        <v>Revisions Done</v>
      </c>
      <c r="I40" s="5" t="str">
        <f>Data!$I$1</f>
        <v>Time Taken</v>
      </c>
      <c r="K40" s="5" t="str">
        <f>Data!$A$1</f>
        <v>Instance</v>
      </c>
      <c r="L40" s="5" t="str">
        <f>Data!$B$1</f>
        <v>Solver Type</v>
      </c>
      <c r="M40" s="5" t="str">
        <f>Data!$C$1</f>
        <v>Solutions To Find</v>
      </c>
      <c r="N40" s="5" t="str">
        <f>Data!$D$1</f>
        <v>Variable Ordering</v>
      </c>
      <c r="O40" s="5" t="str">
        <f>Data!$E$1</f>
        <v>Value Ordering</v>
      </c>
      <c r="P40" s="5" t="str">
        <f>Data!$F$1</f>
        <v>Solutions Found</v>
      </c>
      <c r="Q40" s="5" t="str">
        <f>Data!$G$1</f>
        <v>Nodes Explored</v>
      </c>
      <c r="R40" s="5" t="str">
        <f>Data!$H$1</f>
        <v>Revisions Done</v>
      </c>
      <c r="S40" s="5" t="str">
        <f>Data!$I$1</f>
        <v>Time Taken</v>
      </c>
    </row>
    <row r="41">
      <c r="A41" s="5" t="str">
        <f t="array" ref="A41:S45">SORTN(U2:AM1000,$B$36,0,8,1)</f>
        <v>4Queens.csp</v>
      </c>
      <c r="B41" s="5" t="s">
        <v>11</v>
      </c>
      <c r="C41" s="5">
        <v>0.0</v>
      </c>
      <c r="D41" s="5" t="s">
        <v>12</v>
      </c>
      <c r="E41" s="5" t="s">
        <v>12</v>
      </c>
      <c r="F41" s="5">
        <v>2.0</v>
      </c>
      <c r="G41" s="5">
        <v>18.0</v>
      </c>
      <c r="H41" s="5">
        <v>80.0</v>
      </c>
      <c r="I41" s="5">
        <v>10.0</v>
      </c>
      <c r="J41" s="5"/>
      <c r="K41" s="5" t="s">
        <v>28</v>
      </c>
      <c r="L41" s="5" t="s">
        <v>11</v>
      </c>
      <c r="M41" s="5">
        <v>0.0</v>
      </c>
      <c r="N41" s="5" t="s">
        <v>12</v>
      </c>
      <c r="O41" s="5" t="s">
        <v>13</v>
      </c>
      <c r="P41" s="5">
        <v>2.0</v>
      </c>
      <c r="Q41" s="5">
        <v>18.0</v>
      </c>
      <c r="R41" s="5">
        <v>80.0</v>
      </c>
      <c r="S41" s="5">
        <v>13.0</v>
      </c>
    </row>
    <row r="42">
      <c r="A42" s="5" t="s">
        <v>36</v>
      </c>
      <c r="B42" s="5" t="s">
        <v>11</v>
      </c>
      <c r="C42" s="5">
        <v>0.0</v>
      </c>
      <c r="D42" s="5" t="s">
        <v>12</v>
      </c>
      <c r="E42" s="5" t="s">
        <v>12</v>
      </c>
      <c r="F42" s="5">
        <v>2.0</v>
      </c>
      <c r="G42" s="5">
        <v>26.0</v>
      </c>
      <c r="H42" s="5">
        <v>193.0</v>
      </c>
      <c r="I42" s="5">
        <v>26.0</v>
      </c>
      <c r="J42" s="5"/>
      <c r="K42" s="5" t="s">
        <v>36</v>
      </c>
      <c r="L42" s="5" t="s">
        <v>11</v>
      </c>
      <c r="M42" s="5">
        <v>0.0</v>
      </c>
      <c r="N42" s="5" t="s">
        <v>12</v>
      </c>
      <c r="O42" s="5" t="s">
        <v>13</v>
      </c>
      <c r="P42" s="5">
        <v>2.0</v>
      </c>
      <c r="Q42" s="5">
        <v>28.0</v>
      </c>
      <c r="R42" s="5">
        <v>193.0</v>
      </c>
      <c r="S42" s="5">
        <v>41.0</v>
      </c>
    </row>
    <row r="43">
      <c r="A43" s="5" t="s">
        <v>29</v>
      </c>
      <c r="B43" s="5" t="s">
        <v>11</v>
      </c>
      <c r="C43" s="5">
        <v>0.0</v>
      </c>
      <c r="D43" s="5" t="s">
        <v>12</v>
      </c>
      <c r="E43" s="5" t="s">
        <v>12</v>
      </c>
      <c r="F43" s="5">
        <v>10.0</v>
      </c>
      <c r="G43" s="5">
        <v>92.0</v>
      </c>
      <c r="H43" s="5">
        <v>386.0</v>
      </c>
      <c r="I43" s="5">
        <v>31.0</v>
      </c>
      <c r="J43" s="5"/>
      <c r="K43" s="5" t="s">
        <v>29</v>
      </c>
      <c r="L43" s="5" t="s">
        <v>11</v>
      </c>
      <c r="M43" s="5">
        <v>0.0</v>
      </c>
      <c r="N43" s="5" t="s">
        <v>12</v>
      </c>
      <c r="O43" s="5" t="s">
        <v>13</v>
      </c>
      <c r="P43" s="5">
        <v>10.0</v>
      </c>
      <c r="Q43" s="5">
        <v>92.0</v>
      </c>
      <c r="R43" s="5">
        <v>386.0</v>
      </c>
      <c r="S43" s="5">
        <v>28.0</v>
      </c>
    </row>
    <row r="44">
      <c r="A44" s="5" t="s">
        <v>37</v>
      </c>
      <c r="B44" s="5" t="s">
        <v>11</v>
      </c>
      <c r="C44" s="5">
        <v>0.0</v>
      </c>
      <c r="D44" s="5" t="s">
        <v>12</v>
      </c>
      <c r="E44" s="5" t="s">
        <v>12</v>
      </c>
      <c r="F44" s="5">
        <v>2.0</v>
      </c>
      <c r="G44" s="5">
        <v>48.0</v>
      </c>
      <c r="H44" s="5">
        <v>908.0</v>
      </c>
      <c r="I44" s="5">
        <v>47.0</v>
      </c>
      <c r="J44" s="5"/>
      <c r="K44" s="5" t="s">
        <v>37</v>
      </c>
      <c r="L44" s="5" t="s">
        <v>11</v>
      </c>
      <c r="M44" s="5">
        <v>0.0</v>
      </c>
      <c r="N44" s="5" t="s">
        <v>12</v>
      </c>
      <c r="O44" s="5" t="s">
        <v>13</v>
      </c>
      <c r="P44" s="5">
        <v>2.0</v>
      </c>
      <c r="Q44" s="5">
        <v>46.0</v>
      </c>
      <c r="R44" s="5">
        <v>908.0</v>
      </c>
      <c r="S44" s="5">
        <v>74.0</v>
      </c>
    </row>
    <row r="45">
      <c r="A45" s="5" t="s">
        <v>30</v>
      </c>
      <c r="B45" s="5" t="s">
        <v>11</v>
      </c>
      <c r="C45" s="5">
        <v>0.0</v>
      </c>
      <c r="D45" s="5" t="s">
        <v>12</v>
      </c>
      <c r="E45" s="5" t="s">
        <v>12</v>
      </c>
      <c r="F45" s="5">
        <v>4.0</v>
      </c>
      <c r="G45" s="5">
        <v>76.0</v>
      </c>
      <c r="H45" s="5">
        <v>976.0</v>
      </c>
      <c r="I45" s="5">
        <v>96.0</v>
      </c>
      <c r="J45" s="5"/>
      <c r="K45" s="5" t="s">
        <v>30</v>
      </c>
      <c r="L45" s="5" t="s">
        <v>11</v>
      </c>
      <c r="M45" s="5">
        <v>0.0</v>
      </c>
      <c r="N45" s="5" t="s">
        <v>12</v>
      </c>
      <c r="O45" s="5" t="s">
        <v>13</v>
      </c>
      <c r="P45" s="5">
        <v>4.0</v>
      </c>
      <c r="Q45" s="5">
        <v>78.0</v>
      </c>
      <c r="R45" s="5">
        <v>1013.0</v>
      </c>
      <c r="S45" s="5">
        <v>57.0</v>
      </c>
    </row>
    <row r="60">
      <c r="A60" s="5" t="str">
        <f>Data!$A$1</f>
        <v>Instance</v>
      </c>
      <c r="B60" s="5" t="str">
        <f>Data!$B$1</f>
        <v>Solver Type</v>
      </c>
      <c r="C60" s="5" t="str">
        <f>Data!$C$1</f>
        <v>Solutions To Find</v>
      </c>
      <c r="D60" s="5" t="str">
        <f>Data!$D$1</f>
        <v>Variable Ordering</v>
      </c>
      <c r="E60" s="5" t="str">
        <f>Data!$E$1</f>
        <v>Value Ordering</v>
      </c>
      <c r="F60" s="5" t="str">
        <f>Data!$F$1</f>
        <v>Solutions Found</v>
      </c>
      <c r="G60" s="5" t="str">
        <f>Data!$G$1</f>
        <v>Nodes Explored</v>
      </c>
      <c r="H60" s="5" t="str">
        <f>Data!$H$1</f>
        <v>Revisions Done</v>
      </c>
      <c r="I60" s="5" t="str">
        <f>Data!$I$1</f>
        <v>Time Taken</v>
      </c>
      <c r="K60" s="5" t="str">
        <f>Data!$A$1</f>
        <v>Instance</v>
      </c>
      <c r="L60" s="5" t="str">
        <f>Data!$B$1</f>
        <v>Solver Type</v>
      </c>
      <c r="M60" s="5" t="str">
        <f>Data!$C$1</f>
        <v>Solutions To Find</v>
      </c>
      <c r="N60" s="5" t="str">
        <f>Data!$D$1</f>
        <v>Variable Ordering</v>
      </c>
      <c r="O60" s="5" t="str">
        <f>Data!$E$1</f>
        <v>Value Ordering</v>
      </c>
      <c r="P60" s="5" t="str">
        <f>Data!$F$1</f>
        <v>Solutions Found</v>
      </c>
      <c r="Q60" s="5" t="str">
        <f>Data!$G$1</f>
        <v>Nodes Explored</v>
      </c>
      <c r="R60" s="5" t="str">
        <f>Data!$H$1</f>
        <v>Revisions Done</v>
      </c>
      <c r="S60" s="5" t="str">
        <f>Data!$I$1</f>
        <v>Time Taken</v>
      </c>
    </row>
    <row r="61">
      <c r="A61" s="5" t="str">
        <f t="array" ref="A61:S65">SORTN(U2:AM1000,$B$36,0,9,1)</f>
        <v>4Queens.csp</v>
      </c>
      <c r="B61" s="5" t="s">
        <v>11</v>
      </c>
      <c r="C61" s="5">
        <v>0.0</v>
      </c>
      <c r="D61" s="5" t="s">
        <v>12</v>
      </c>
      <c r="E61" s="5" t="s">
        <v>12</v>
      </c>
      <c r="F61" s="5">
        <v>2.0</v>
      </c>
      <c r="G61" s="5">
        <v>18.0</v>
      </c>
      <c r="H61" s="5">
        <v>80.0</v>
      </c>
      <c r="I61" s="5">
        <v>10.0</v>
      </c>
      <c r="J61" s="5"/>
      <c r="K61" s="5" t="s">
        <v>28</v>
      </c>
      <c r="L61" s="5" t="s">
        <v>11</v>
      </c>
      <c r="M61" s="5">
        <v>0.0</v>
      </c>
      <c r="N61" s="5" t="s">
        <v>12</v>
      </c>
      <c r="O61" s="5" t="s">
        <v>13</v>
      </c>
      <c r="P61" s="5">
        <v>2.0</v>
      </c>
      <c r="Q61" s="5">
        <v>18.0</v>
      </c>
      <c r="R61" s="5">
        <v>80.0</v>
      </c>
      <c r="S61" s="5">
        <v>13.0</v>
      </c>
    </row>
    <row r="62">
      <c r="A62" s="5" t="s">
        <v>36</v>
      </c>
      <c r="B62" s="5" t="s">
        <v>11</v>
      </c>
      <c r="C62" s="5">
        <v>0.0</v>
      </c>
      <c r="D62" s="5" t="s">
        <v>12</v>
      </c>
      <c r="E62" s="5" t="s">
        <v>12</v>
      </c>
      <c r="F62" s="5">
        <v>2.0</v>
      </c>
      <c r="G62" s="5">
        <v>26.0</v>
      </c>
      <c r="H62" s="5">
        <v>193.0</v>
      </c>
      <c r="I62" s="5">
        <v>26.0</v>
      </c>
      <c r="J62" s="5"/>
      <c r="K62" s="5" t="s">
        <v>36</v>
      </c>
      <c r="L62" s="5" t="s">
        <v>11</v>
      </c>
      <c r="M62" s="5">
        <v>0.0</v>
      </c>
      <c r="N62" s="5" t="s">
        <v>12</v>
      </c>
      <c r="O62" s="5" t="s">
        <v>13</v>
      </c>
      <c r="P62" s="5">
        <v>2.0</v>
      </c>
      <c r="Q62" s="5">
        <v>28.0</v>
      </c>
      <c r="R62" s="5">
        <v>193.0</v>
      </c>
      <c r="S62" s="5">
        <v>41.0</v>
      </c>
    </row>
    <row r="63">
      <c r="A63" s="5" t="s">
        <v>29</v>
      </c>
      <c r="B63" s="5" t="s">
        <v>11</v>
      </c>
      <c r="C63" s="5">
        <v>0.0</v>
      </c>
      <c r="D63" s="5" t="s">
        <v>12</v>
      </c>
      <c r="E63" s="5" t="s">
        <v>12</v>
      </c>
      <c r="F63" s="5">
        <v>10.0</v>
      </c>
      <c r="G63" s="5">
        <v>92.0</v>
      </c>
      <c r="H63" s="5">
        <v>386.0</v>
      </c>
      <c r="I63" s="5">
        <v>31.0</v>
      </c>
      <c r="J63" s="5"/>
      <c r="K63" s="5" t="s">
        <v>29</v>
      </c>
      <c r="L63" s="5" t="s">
        <v>11</v>
      </c>
      <c r="M63" s="5">
        <v>0.0</v>
      </c>
      <c r="N63" s="5" t="s">
        <v>12</v>
      </c>
      <c r="O63" s="5" t="s">
        <v>13</v>
      </c>
      <c r="P63" s="5">
        <v>10.0</v>
      </c>
      <c r="Q63" s="5">
        <v>92.0</v>
      </c>
      <c r="R63" s="5">
        <v>386.0</v>
      </c>
      <c r="S63" s="5">
        <v>28.0</v>
      </c>
    </row>
    <row r="64">
      <c r="A64" s="5" t="s">
        <v>37</v>
      </c>
      <c r="B64" s="5" t="s">
        <v>11</v>
      </c>
      <c r="C64" s="5">
        <v>0.0</v>
      </c>
      <c r="D64" s="5" t="s">
        <v>12</v>
      </c>
      <c r="E64" s="5" t="s">
        <v>12</v>
      </c>
      <c r="F64" s="5">
        <v>2.0</v>
      </c>
      <c r="G64" s="5">
        <v>48.0</v>
      </c>
      <c r="H64" s="5">
        <v>908.0</v>
      </c>
      <c r="I64" s="5">
        <v>47.0</v>
      </c>
      <c r="J64" s="5"/>
      <c r="K64" s="5" t="s">
        <v>37</v>
      </c>
      <c r="L64" s="5" t="s">
        <v>11</v>
      </c>
      <c r="M64" s="5">
        <v>0.0</v>
      </c>
      <c r="N64" s="5" t="s">
        <v>12</v>
      </c>
      <c r="O64" s="5" t="s">
        <v>13</v>
      </c>
      <c r="P64" s="5">
        <v>2.0</v>
      </c>
      <c r="Q64" s="5">
        <v>46.0</v>
      </c>
      <c r="R64" s="5">
        <v>908.0</v>
      </c>
      <c r="S64" s="5">
        <v>74.0</v>
      </c>
    </row>
    <row r="65">
      <c r="A65" s="5" t="s">
        <v>30</v>
      </c>
      <c r="B65" s="5" t="s">
        <v>11</v>
      </c>
      <c r="C65" s="5">
        <v>0.0</v>
      </c>
      <c r="D65" s="5" t="s">
        <v>12</v>
      </c>
      <c r="E65" s="5" t="s">
        <v>12</v>
      </c>
      <c r="F65" s="5">
        <v>4.0</v>
      </c>
      <c r="G65" s="5">
        <v>76.0</v>
      </c>
      <c r="H65" s="5">
        <v>976.0</v>
      </c>
      <c r="I65" s="5">
        <v>96.0</v>
      </c>
      <c r="J65" s="5"/>
      <c r="K65" s="5" t="s">
        <v>30</v>
      </c>
      <c r="L65" s="5" t="s">
        <v>11</v>
      </c>
      <c r="M65" s="5">
        <v>0.0</v>
      </c>
      <c r="N65" s="5" t="s">
        <v>12</v>
      </c>
      <c r="O65" s="5" t="s">
        <v>13</v>
      </c>
      <c r="P65" s="5">
        <v>4.0</v>
      </c>
      <c r="Q65" s="5">
        <v>78.0</v>
      </c>
      <c r="R65" s="5">
        <v>1013.0</v>
      </c>
      <c r="S65" s="5">
        <v>57.0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75"/>
  </cols>
  <sheetData>
    <row r="1">
      <c r="A1" s="5" t="str">
        <f>Data!$A$1</f>
        <v>Instance</v>
      </c>
      <c r="B1" s="5" t="str">
        <f>Data!$B$1</f>
        <v>Solver Type</v>
      </c>
      <c r="C1" s="5" t="str">
        <f>Data!$C$1</f>
        <v>Solutions To Find</v>
      </c>
      <c r="D1" s="5" t="str">
        <f>Data!$D$1</f>
        <v>Variable Ordering</v>
      </c>
      <c r="E1" s="5" t="str">
        <f>Data!$E$1</f>
        <v>Value Ordering</v>
      </c>
      <c r="F1" s="5" t="str">
        <f>Data!$F$1</f>
        <v>Solutions Found</v>
      </c>
      <c r="G1" s="5" t="str">
        <f>Data!$G$1</f>
        <v>Nodes Explored</v>
      </c>
      <c r="H1" s="5" t="str">
        <f>Data!$H$1</f>
        <v>Revisions Done</v>
      </c>
      <c r="I1" s="5" t="str">
        <f>Data!$I$1</f>
        <v>Time Taken</v>
      </c>
      <c r="U1" s="5" t="str">
        <f>Data!$A$1</f>
        <v>Instance</v>
      </c>
      <c r="V1" s="5" t="str">
        <f>Data!$B$1</f>
        <v>Solver Type</v>
      </c>
      <c r="W1" s="5" t="str">
        <f>Data!$C$1</f>
        <v>Solutions To Find</v>
      </c>
      <c r="X1" s="5" t="str">
        <f>Data!$D$1</f>
        <v>Variable Ordering</v>
      </c>
      <c r="Y1" s="5" t="str">
        <f>Data!$E$1</f>
        <v>Value Ordering</v>
      </c>
      <c r="Z1" s="5" t="str">
        <f>Data!$F$1</f>
        <v>Solutions Found</v>
      </c>
      <c r="AA1" s="5" t="str">
        <f>Data!$G$1</f>
        <v>Nodes Explored</v>
      </c>
      <c r="AB1" s="5" t="str">
        <f>Data!$H$1</f>
        <v>Revisions Done</v>
      </c>
      <c r="AC1" s="5" t="str">
        <f>Data!$I$1</f>
        <v>Time Taken</v>
      </c>
    </row>
    <row r="2">
      <c r="A2" s="5" t="str">
        <f t="array" ref="A2:S13">SORTN(U2:AM1000,$B$36,0,7,1)</f>
        <v>5Queens.csp</v>
      </c>
      <c r="B2" s="5" t="s">
        <v>11</v>
      </c>
      <c r="C2" s="5">
        <v>1.0</v>
      </c>
      <c r="D2" s="5" t="s">
        <v>12</v>
      </c>
      <c r="E2" s="5" t="s">
        <v>12</v>
      </c>
      <c r="F2" s="5">
        <v>1.0</v>
      </c>
      <c r="G2" s="5">
        <v>5.0</v>
      </c>
      <c r="H2" s="5">
        <v>66.0</v>
      </c>
      <c r="I2" s="5">
        <v>2.0</v>
      </c>
      <c r="J2" s="5"/>
      <c r="K2" s="5"/>
      <c r="L2" s="5"/>
      <c r="M2" s="5"/>
      <c r="N2" s="5"/>
      <c r="O2" s="5"/>
      <c r="P2" s="5"/>
      <c r="Q2" s="5"/>
      <c r="R2" s="5"/>
      <c r="S2" s="5"/>
      <c r="U2" s="2" t="str">
        <f>IFERROR(__xludf.DUMMYFUNCTION("FILTER(Data!A:I, Data!D:D=""ASCENDING"", Data!E:E=""ASCENDING"", Data!C:C=1, Data!B:B=""MAC"", REGEXMATCH(Data!A:A, "".*Queens.csp""))"),"10Queens.csp")</f>
        <v>10Queens.csp</v>
      </c>
      <c r="V2" s="5" t="str">
        <f>IFERROR(__xludf.DUMMYFUNCTION("""COMPUTED_VALUE"""),"MAC")</f>
        <v>MAC</v>
      </c>
      <c r="W2" s="5">
        <f>IFERROR(__xludf.DUMMYFUNCTION("""COMPUTED_VALUE"""),1.0)</f>
        <v>1</v>
      </c>
      <c r="X2" s="5" t="str">
        <f>IFERROR(__xludf.DUMMYFUNCTION("""COMPUTED_VALUE"""),"ASCENDING")</f>
        <v>ASCENDING</v>
      </c>
      <c r="Y2" s="5" t="str">
        <f>IFERROR(__xludf.DUMMYFUNCTION("""COMPUTED_VALUE"""),"ASCENDING")</f>
        <v>ASCENDING</v>
      </c>
      <c r="Z2" s="5">
        <f>IFERROR(__xludf.DUMMYFUNCTION("""COMPUTED_VALUE"""),1.0)</f>
        <v>1</v>
      </c>
      <c r="AA2" s="5">
        <f>IFERROR(__xludf.DUMMYFUNCTION("""COMPUTED_VALUE"""),36.0)</f>
        <v>36</v>
      </c>
      <c r="AB2" s="5">
        <f>IFERROR(__xludf.DUMMYFUNCTION("""COMPUTED_VALUE"""),1507.0)</f>
        <v>1507</v>
      </c>
      <c r="AC2" s="5">
        <f>IFERROR(__xludf.DUMMYFUNCTION("""COMPUTED_VALUE"""),51.0)</f>
        <v>51</v>
      </c>
    </row>
    <row r="3">
      <c r="A3" s="5" t="s">
        <v>28</v>
      </c>
      <c r="B3" s="5" t="s">
        <v>11</v>
      </c>
      <c r="C3" s="5">
        <v>1.0</v>
      </c>
      <c r="D3" s="5" t="s">
        <v>12</v>
      </c>
      <c r="E3" s="5" t="s">
        <v>12</v>
      </c>
      <c r="F3" s="5">
        <v>1.0</v>
      </c>
      <c r="G3" s="5">
        <v>6.0</v>
      </c>
      <c r="H3" s="5">
        <v>48.0</v>
      </c>
      <c r="I3" s="5">
        <v>2.0</v>
      </c>
      <c r="J3" s="5"/>
      <c r="K3" s="5"/>
      <c r="L3" s="5"/>
      <c r="M3" s="5"/>
      <c r="N3" s="5"/>
      <c r="O3" s="5"/>
      <c r="P3" s="5"/>
      <c r="Q3" s="5"/>
      <c r="R3" s="5"/>
      <c r="S3" s="5"/>
      <c r="U3" s="5" t="str">
        <f>IFERROR(__xludf.DUMMYFUNCTION("""COMPUTED_VALUE"""),"11Queens.csp")</f>
        <v>11Queens.csp</v>
      </c>
      <c r="V3" s="5" t="str">
        <f>IFERROR(__xludf.DUMMYFUNCTION("""COMPUTED_VALUE"""),"MAC")</f>
        <v>MAC</v>
      </c>
      <c r="W3" s="5">
        <f>IFERROR(__xludf.DUMMYFUNCTION("""COMPUTED_VALUE"""),1.0)</f>
        <v>1</v>
      </c>
      <c r="X3" s="5" t="str">
        <f>IFERROR(__xludf.DUMMYFUNCTION("""COMPUTED_VALUE"""),"ASCENDING")</f>
        <v>ASCENDING</v>
      </c>
      <c r="Y3" s="5" t="str">
        <f>IFERROR(__xludf.DUMMYFUNCTION("""COMPUTED_VALUE"""),"ASCENDING")</f>
        <v>ASCENDING</v>
      </c>
      <c r="Z3" s="5">
        <f>IFERROR(__xludf.DUMMYFUNCTION("""COMPUTED_VALUE"""),1.0)</f>
        <v>1</v>
      </c>
      <c r="AA3" s="5">
        <f>IFERROR(__xludf.DUMMYFUNCTION("""COMPUTED_VALUE"""),17.0)</f>
        <v>17</v>
      </c>
      <c r="AB3" s="5">
        <f>IFERROR(__xludf.DUMMYFUNCTION("""COMPUTED_VALUE"""),941.0)</f>
        <v>941</v>
      </c>
      <c r="AC3" s="5">
        <f>IFERROR(__xludf.DUMMYFUNCTION("""COMPUTED_VALUE"""),183.0)</f>
        <v>183</v>
      </c>
    </row>
    <row r="4">
      <c r="A4" s="5" t="s">
        <v>31</v>
      </c>
      <c r="B4" s="5" t="s">
        <v>11</v>
      </c>
      <c r="C4" s="5">
        <v>1.0</v>
      </c>
      <c r="D4" s="5" t="s">
        <v>12</v>
      </c>
      <c r="E4" s="5" t="s">
        <v>12</v>
      </c>
      <c r="F4" s="5">
        <v>1.0</v>
      </c>
      <c r="G4" s="5">
        <v>7.0</v>
      </c>
      <c r="H4" s="5">
        <v>168.0</v>
      </c>
      <c r="I4" s="5">
        <v>20.0</v>
      </c>
      <c r="J4" s="5"/>
      <c r="K4" s="5"/>
      <c r="L4" s="5"/>
      <c r="M4" s="5"/>
      <c r="N4" s="5"/>
      <c r="O4" s="5"/>
      <c r="P4" s="5"/>
      <c r="Q4" s="5"/>
      <c r="R4" s="5"/>
      <c r="S4" s="5"/>
      <c r="U4" s="5" t="str">
        <f>IFERROR(__xludf.DUMMYFUNCTION("""COMPUTED_VALUE"""),"12Queens.csp")</f>
        <v>12Queens.csp</v>
      </c>
      <c r="V4" s="5" t="str">
        <f>IFERROR(__xludf.DUMMYFUNCTION("""COMPUTED_VALUE"""),"MAC")</f>
        <v>MAC</v>
      </c>
      <c r="W4" s="5">
        <f>IFERROR(__xludf.DUMMYFUNCTION("""COMPUTED_VALUE"""),1.0)</f>
        <v>1</v>
      </c>
      <c r="X4" s="5" t="str">
        <f>IFERROR(__xludf.DUMMYFUNCTION("""COMPUTED_VALUE"""),"ASCENDING")</f>
        <v>ASCENDING</v>
      </c>
      <c r="Y4" s="5" t="str">
        <f>IFERROR(__xludf.DUMMYFUNCTION("""COMPUTED_VALUE"""),"ASCENDING")</f>
        <v>ASCENDING</v>
      </c>
      <c r="Z4" s="5">
        <f>IFERROR(__xludf.DUMMYFUNCTION("""COMPUTED_VALUE"""),1.0)</f>
        <v>1</v>
      </c>
      <c r="AA4" s="5">
        <f>IFERROR(__xludf.DUMMYFUNCTION("""COMPUTED_VALUE"""),60.0)</f>
        <v>60</v>
      </c>
      <c r="AB4" s="5">
        <f>IFERROR(__xludf.DUMMYFUNCTION("""COMPUTED_VALUE"""),3759.0)</f>
        <v>3759</v>
      </c>
      <c r="AC4" s="5">
        <f>IFERROR(__xludf.DUMMYFUNCTION("""COMPUTED_VALUE"""),635.0)</f>
        <v>635</v>
      </c>
    </row>
    <row r="5">
      <c r="A5" s="5" t="s">
        <v>30</v>
      </c>
      <c r="B5" s="5" t="s">
        <v>11</v>
      </c>
      <c r="C5" s="5">
        <v>1.0</v>
      </c>
      <c r="D5" s="5" t="s">
        <v>12</v>
      </c>
      <c r="E5" s="5" t="s">
        <v>12</v>
      </c>
      <c r="F5" s="5">
        <v>1.0</v>
      </c>
      <c r="G5" s="5">
        <v>12.0</v>
      </c>
      <c r="H5" s="5">
        <v>258.0</v>
      </c>
      <c r="I5" s="5">
        <v>28.0</v>
      </c>
      <c r="J5" s="5"/>
      <c r="K5" s="5"/>
      <c r="L5" s="5"/>
      <c r="M5" s="5"/>
      <c r="N5" s="5"/>
      <c r="O5" s="5"/>
      <c r="P5" s="5"/>
      <c r="Q5" s="5"/>
      <c r="R5" s="5"/>
      <c r="S5" s="5"/>
      <c r="U5" s="5" t="str">
        <f>IFERROR(__xludf.DUMMYFUNCTION("""COMPUTED_VALUE"""),"13Queens.csp")</f>
        <v>13Queens.csp</v>
      </c>
      <c r="V5" s="5" t="str">
        <f>IFERROR(__xludf.DUMMYFUNCTION("""COMPUTED_VALUE"""),"MAC")</f>
        <v>MAC</v>
      </c>
      <c r="W5" s="5">
        <f>IFERROR(__xludf.DUMMYFUNCTION("""COMPUTED_VALUE"""),1.0)</f>
        <v>1</v>
      </c>
      <c r="X5" s="5" t="str">
        <f>IFERROR(__xludf.DUMMYFUNCTION("""COMPUTED_VALUE"""),"ASCENDING")</f>
        <v>ASCENDING</v>
      </c>
      <c r="Y5" s="5" t="str">
        <f>IFERROR(__xludf.DUMMYFUNCTION("""COMPUTED_VALUE"""),"ASCENDING")</f>
        <v>ASCENDING</v>
      </c>
      <c r="Z5" s="5">
        <f>IFERROR(__xludf.DUMMYFUNCTION("""COMPUTED_VALUE"""),1.0)</f>
        <v>1</v>
      </c>
      <c r="AA5" s="5">
        <f>IFERROR(__xludf.DUMMYFUNCTION("""COMPUTED_VALUE"""),39.0)</f>
        <v>39</v>
      </c>
      <c r="AB5" s="5">
        <f>IFERROR(__xludf.DUMMYFUNCTION("""COMPUTED_VALUE"""),2443.0)</f>
        <v>2443</v>
      </c>
      <c r="AC5" s="5">
        <f>IFERROR(__xludf.DUMMYFUNCTION("""COMPUTED_VALUE"""),382.0)</f>
        <v>382</v>
      </c>
    </row>
    <row r="6">
      <c r="A6" s="5" t="s">
        <v>16</v>
      </c>
      <c r="B6" s="5" t="s">
        <v>11</v>
      </c>
      <c r="C6" s="5">
        <v>1.0</v>
      </c>
      <c r="D6" s="5" t="s">
        <v>12</v>
      </c>
      <c r="E6" s="5" t="s">
        <v>12</v>
      </c>
      <c r="F6" s="5">
        <v>1.0</v>
      </c>
      <c r="G6" s="5">
        <v>17.0</v>
      </c>
      <c r="H6" s="5">
        <v>941.0</v>
      </c>
      <c r="I6" s="5">
        <v>183.0</v>
      </c>
      <c r="J6" s="5"/>
      <c r="K6" s="5"/>
      <c r="L6" s="5"/>
      <c r="M6" s="5"/>
      <c r="N6" s="5"/>
      <c r="O6" s="5"/>
      <c r="P6" s="5"/>
      <c r="Q6" s="5"/>
      <c r="R6" s="5"/>
      <c r="S6" s="5"/>
      <c r="U6" s="5" t="str">
        <f>IFERROR(__xludf.DUMMYFUNCTION("""COMPUTED_VALUE"""),"14Queens.csp")</f>
        <v>14Queens.csp</v>
      </c>
      <c r="V6" s="5" t="str">
        <f>IFERROR(__xludf.DUMMYFUNCTION("""COMPUTED_VALUE"""),"MAC")</f>
        <v>MAC</v>
      </c>
      <c r="W6" s="5">
        <f>IFERROR(__xludf.DUMMYFUNCTION("""COMPUTED_VALUE"""),1.0)</f>
        <v>1</v>
      </c>
      <c r="X6" s="5" t="str">
        <f>IFERROR(__xludf.DUMMYFUNCTION("""COMPUTED_VALUE"""),"ASCENDING")</f>
        <v>ASCENDING</v>
      </c>
      <c r="Y6" s="5" t="str">
        <f>IFERROR(__xludf.DUMMYFUNCTION("""COMPUTED_VALUE"""),"ASCENDING")</f>
        <v>ASCENDING</v>
      </c>
      <c r="Z6" s="5">
        <f>IFERROR(__xludf.DUMMYFUNCTION("""COMPUTED_VALUE"""),1.0)</f>
        <v>1</v>
      </c>
      <c r="AA6" s="5">
        <f>IFERROR(__xludf.DUMMYFUNCTION("""COMPUTED_VALUE"""),476.0)</f>
        <v>476</v>
      </c>
      <c r="AB6" s="5">
        <f>IFERROR(__xludf.DUMMYFUNCTION("""COMPUTED_VALUE"""),30491.0)</f>
        <v>30491</v>
      </c>
      <c r="AC6" s="5">
        <f>IFERROR(__xludf.DUMMYFUNCTION("""COMPUTED_VALUE"""),1774.0)</f>
        <v>1774</v>
      </c>
    </row>
    <row r="7">
      <c r="A7" s="5" t="s">
        <v>33</v>
      </c>
      <c r="B7" s="5" t="s">
        <v>11</v>
      </c>
      <c r="C7" s="5">
        <v>1.0</v>
      </c>
      <c r="D7" s="5" t="s">
        <v>12</v>
      </c>
      <c r="E7" s="5" t="s">
        <v>12</v>
      </c>
      <c r="F7" s="5">
        <v>1.0</v>
      </c>
      <c r="G7" s="5">
        <v>17.0</v>
      </c>
      <c r="H7" s="5">
        <v>605.0</v>
      </c>
      <c r="I7" s="5">
        <v>44.0</v>
      </c>
      <c r="J7" s="5"/>
      <c r="K7" s="5"/>
      <c r="L7" s="5"/>
      <c r="M7" s="5"/>
      <c r="N7" s="5"/>
      <c r="O7" s="5"/>
      <c r="P7" s="5"/>
      <c r="Q7" s="5"/>
      <c r="R7" s="5"/>
      <c r="S7" s="5"/>
      <c r="U7" s="5" t="str">
        <f>IFERROR(__xludf.DUMMYFUNCTION("""COMPUTED_VALUE"""),"15Queens.csp")</f>
        <v>15Queens.csp</v>
      </c>
      <c r="V7" s="5" t="str">
        <f>IFERROR(__xludf.DUMMYFUNCTION("""COMPUTED_VALUE"""),"MAC")</f>
        <v>MAC</v>
      </c>
      <c r="W7" s="5">
        <f>IFERROR(__xludf.DUMMYFUNCTION("""COMPUTED_VALUE"""),1.0)</f>
        <v>1</v>
      </c>
      <c r="X7" s="5" t="str">
        <f>IFERROR(__xludf.DUMMYFUNCTION("""COMPUTED_VALUE"""),"ASCENDING")</f>
        <v>ASCENDING</v>
      </c>
      <c r="Y7" s="5" t="str">
        <f>IFERROR(__xludf.DUMMYFUNCTION("""COMPUTED_VALUE"""),"ASCENDING")</f>
        <v>ASCENDING</v>
      </c>
      <c r="Z7" s="5">
        <f>IFERROR(__xludf.DUMMYFUNCTION("""COMPUTED_VALUE"""),1.0)</f>
        <v>1</v>
      </c>
      <c r="AA7" s="5">
        <f>IFERROR(__xludf.DUMMYFUNCTION("""COMPUTED_VALUE"""),297.0)</f>
        <v>297</v>
      </c>
      <c r="AB7" s="5">
        <f>IFERROR(__xludf.DUMMYFUNCTION("""COMPUTED_VALUE"""),22803.0)</f>
        <v>22803</v>
      </c>
      <c r="AC7" s="5">
        <f>IFERROR(__xludf.DUMMYFUNCTION("""COMPUTED_VALUE"""),1647.0)</f>
        <v>1647</v>
      </c>
    </row>
    <row r="8">
      <c r="A8" s="5" t="s">
        <v>32</v>
      </c>
      <c r="B8" s="5" t="s">
        <v>11</v>
      </c>
      <c r="C8" s="5">
        <v>1.0</v>
      </c>
      <c r="D8" s="5" t="s">
        <v>12</v>
      </c>
      <c r="E8" s="5" t="s">
        <v>12</v>
      </c>
      <c r="F8" s="5">
        <v>1.0</v>
      </c>
      <c r="G8" s="5">
        <v>28.0</v>
      </c>
      <c r="H8" s="5">
        <v>1000.0</v>
      </c>
      <c r="I8" s="5">
        <v>72.0</v>
      </c>
      <c r="J8" s="5"/>
      <c r="K8" s="5"/>
      <c r="L8" s="5"/>
      <c r="M8" s="5"/>
      <c r="N8" s="5"/>
      <c r="O8" s="5"/>
      <c r="P8" s="5"/>
      <c r="Q8" s="5"/>
      <c r="R8" s="5"/>
      <c r="S8" s="5"/>
      <c r="U8" s="5" t="str">
        <f>IFERROR(__xludf.DUMMYFUNCTION("""COMPUTED_VALUE"""),"16Queens.csp")</f>
        <v>16Queens.csp</v>
      </c>
      <c r="V8" s="5" t="str">
        <f>IFERROR(__xludf.DUMMYFUNCTION("""COMPUTED_VALUE"""),"MAC")</f>
        <v>MAC</v>
      </c>
      <c r="W8" s="5">
        <f>IFERROR(__xludf.DUMMYFUNCTION("""COMPUTED_VALUE"""),1.0)</f>
        <v>1</v>
      </c>
      <c r="X8" s="5" t="str">
        <f>IFERROR(__xludf.DUMMYFUNCTION("""COMPUTED_VALUE"""),"ASCENDING")</f>
        <v>ASCENDING</v>
      </c>
      <c r="Y8" s="5" t="str">
        <f>IFERROR(__xludf.DUMMYFUNCTION("""COMPUTED_VALUE"""),"ASCENDING")</f>
        <v>ASCENDING</v>
      </c>
      <c r="Z8" s="5">
        <f>IFERROR(__xludf.DUMMYFUNCTION("""COMPUTED_VALUE"""),1.0)</f>
        <v>1</v>
      </c>
      <c r="AA8" s="5">
        <f>IFERROR(__xludf.DUMMYFUNCTION("""COMPUTED_VALUE"""),2054.0)</f>
        <v>2054</v>
      </c>
      <c r="AB8" s="5">
        <f>IFERROR(__xludf.DUMMYFUNCTION("""COMPUTED_VALUE"""),172394.0)</f>
        <v>172394</v>
      </c>
      <c r="AC8" s="5">
        <f>IFERROR(__xludf.DUMMYFUNCTION("""COMPUTED_VALUE"""),1724.0)</f>
        <v>1724</v>
      </c>
    </row>
    <row r="9">
      <c r="A9" s="5" t="s">
        <v>10</v>
      </c>
      <c r="B9" s="5" t="s">
        <v>11</v>
      </c>
      <c r="C9" s="5">
        <v>1.0</v>
      </c>
      <c r="D9" s="5" t="s">
        <v>12</v>
      </c>
      <c r="E9" s="5" t="s">
        <v>12</v>
      </c>
      <c r="F9" s="5">
        <v>1.0</v>
      </c>
      <c r="G9" s="5">
        <v>36.0</v>
      </c>
      <c r="H9" s="5">
        <v>1507.0</v>
      </c>
      <c r="I9" s="5">
        <v>51.0</v>
      </c>
      <c r="J9" s="5"/>
      <c r="K9" s="5"/>
      <c r="L9" s="5"/>
      <c r="M9" s="5"/>
      <c r="N9" s="5"/>
      <c r="O9" s="5"/>
      <c r="P9" s="5"/>
      <c r="Q9" s="5"/>
      <c r="R9" s="5"/>
      <c r="S9" s="5"/>
      <c r="U9" s="5" t="str">
        <f>IFERROR(__xludf.DUMMYFUNCTION("""COMPUTED_VALUE"""),"17Queens.csp")</f>
        <v>17Queens.csp</v>
      </c>
      <c r="V9" s="5" t="str">
        <f>IFERROR(__xludf.DUMMYFUNCTION("""COMPUTED_VALUE"""),"MAC")</f>
        <v>MAC</v>
      </c>
      <c r="W9" s="5">
        <f>IFERROR(__xludf.DUMMYFUNCTION("""COMPUTED_VALUE"""),1.0)</f>
        <v>1</v>
      </c>
      <c r="X9" s="5" t="str">
        <f>IFERROR(__xludf.DUMMYFUNCTION("""COMPUTED_VALUE"""),"ASCENDING")</f>
        <v>ASCENDING</v>
      </c>
      <c r="Y9" s="5" t="str">
        <f>IFERROR(__xludf.DUMMYFUNCTION("""COMPUTED_VALUE"""),"ASCENDING")</f>
        <v>ASCENDING</v>
      </c>
      <c r="Z9" s="5">
        <f>IFERROR(__xludf.DUMMYFUNCTION("""COMPUTED_VALUE"""),1.0)</f>
        <v>1</v>
      </c>
      <c r="AA9" s="5">
        <f>IFERROR(__xludf.DUMMYFUNCTION("""COMPUTED_VALUE"""),1203.0)</f>
        <v>1203</v>
      </c>
      <c r="AB9" s="5">
        <f>IFERROR(__xludf.DUMMYFUNCTION("""COMPUTED_VALUE"""),107553.0)</f>
        <v>107553</v>
      </c>
      <c r="AC9" s="5">
        <f>IFERROR(__xludf.DUMMYFUNCTION("""COMPUTED_VALUE"""),1369.0)</f>
        <v>1369</v>
      </c>
    </row>
    <row r="10">
      <c r="A10" s="5" t="s">
        <v>18</v>
      </c>
      <c r="B10" s="5" t="s">
        <v>11</v>
      </c>
      <c r="C10" s="5">
        <v>1.0</v>
      </c>
      <c r="D10" s="5" t="s">
        <v>12</v>
      </c>
      <c r="E10" s="5" t="s">
        <v>12</v>
      </c>
      <c r="F10" s="5">
        <v>1.0</v>
      </c>
      <c r="G10" s="5">
        <v>39.0</v>
      </c>
      <c r="H10" s="5">
        <v>2443.0</v>
      </c>
      <c r="I10" s="5">
        <v>382.0</v>
      </c>
      <c r="J10" s="5"/>
      <c r="K10" s="5"/>
      <c r="L10" s="5"/>
      <c r="M10" s="5"/>
      <c r="N10" s="5"/>
      <c r="O10" s="5"/>
      <c r="P10" s="5"/>
      <c r="Q10" s="5"/>
      <c r="R10" s="5"/>
      <c r="S10" s="5"/>
      <c r="U10" s="5" t="str">
        <f>IFERROR(__xludf.DUMMYFUNCTION("""COMPUTED_VALUE"""),"18Queens.csp")</f>
        <v>18Queens.csp</v>
      </c>
      <c r="V10" s="5" t="str">
        <f>IFERROR(__xludf.DUMMYFUNCTION("""COMPUTED_VALUE"""),"MAC")</f>
        <v>MAC</v>
      </c>
      <c r="W10" s="5">
        <f>IFERROR(__xludf.DUMMYFUNCTION("""COMPUTED_VALUE"""),1.0)</f>
        <v>1</v>
      </c>
      <c r="X10" s="5" t="str">
        <f>IFERROR(__xludf.DUMMYFUNCTION("""COMPUTED_VALUE"""),"ASCENDING")</f>
        <v>ASCENDING</v>
      </c>
      <c r="Y10" s="5" t="str">
        <f>IFERROR(__xludf.DUMMYFUNCTION("""COMPUTED_VALUE"""),"ASCENDING")</f>
        <v>ASCENDING</v>
      </c>
      <c r="Z10" s="5">
        <f>IFERROR(__xludf.DUMMYFUNCTION("""COMPUTED_VALUE"""),1.0)</f>
        <v>1</v>
      </c>
      <c r="AA10" s="5">
        <f>IFERROR(__xludf.DUMMYFUNCTION("""COMPUTED_VALUE"""),8452.0)</f>
        <v>8452</v>
      </c>
      <c r="AB10" s="5">
        <f>IFERROR(__xludf.DUMMYFUNCTION("""COMPUTED_VALUE"""),784097.0)</f>
        <v>784097</v>
      </c>
      <c r="AC10" s="5">
        <f>IFERROR(__xludf.DUMMYFUNCTION("""COMPUTED_VALUE"""),2066.0)</f>
        <v>2066</v>
      </c>
    </row>
    <row r="11">
      <c r="A11" s="5" t="s">
        <v>17</v>
      </c>
      <c r="B11" s="5" t="s">
        <v>11</v>
      </c>
      <c r="C11" s="5">
        <v>1.0</v>
      </c>
      <c r="D11" s="5" t="s">
        <v>12</v>
      </c>
      <c r="E11" s="5" t="s">
        <v>12</v>
      </c>
      <c r="F11" s="5">
        <v>1.0</v>
      </c>
      <c r="G11" s="5">
        <v>60.0</v>
      </c>
      <c r="H11" s="5">
        <v>3759.0</v>
      </c>
      <c r="I11" s="5">
        <v>635.0</v>
      </c>
      <c r="J11" s="5"/>
      <c r="K11" s="5"/>
      <c r="L11" s="5"/>
      <c r="M11" s="5"/>
      <c r="N11" s="5"/>
      <c r="O11" s="5"/>
      <c r="P11" s="5"/>
      <c r="Q11" s="5"/>
      <c r="R11" s="5"/>
      <c r="S11" s="5"/>
      <c r="U11" s="5" t="str">
        <f>IFERROR(__xludf.DUMMYFUNCTION("""COMPUTED_VALUE"""),"4Queens.csp")</f>
        <v>4Queens.csp</v>
      </c>
      <c r="V11" s="5" t="str">
        <f>IFERROR(__xludf.DUMMYFUNCTION("""COMPUTED_VALUE"""),"MAC")</f>
        <v>MAC</v>
      </c>
      <c r="W11" s="5">
        <f>IFERROR(__xludf.DUMMYFUNCTION("""COMPUTED_VALUE"""),1.0)</f>
        <v>1</v>
      </c>
      <c r="X11" s="5" t="str">
        <f>IFERROR(__xludf.DUMMYFUNCTION("""COMPUTED_VALUE"""),"ASCENDING")</f>
        <v>ASCENDING</v>
      </c>
      <c r="Y11" s="5" t="str">
        <f>IFERROR(__xludf.DUMMYFUNCTION("""COMPUTED_VALUE"""),"ASCENDING")</f>
        <v>ASCENDING</v>
      </c>
      <c r="Z11" s="5">
        <f>IFERROR(__xludf.DUMMYFUNCTION("""COMPUTED_VALUE"""),1.0)</f>
        <v>1</v>
      </c>
      <c r="AA11" s="5">
        <f>IFERROR(__xludf.DUMMYFUNCTION("""COMPUTED_VALUE"""),6.0)</f>
        <v>6</v>
      </c>
      <c r="AB11" s="5">
        <f>IFERROR(__xludf.DUMMYFUNCTION("""COMPUTED_VALUE"""),48.0)</f>
        <v>48</v>
      </c>
      <c r="AC11" s="5">
        <f>IFERROR(__xludf.DUMMYFUNCTION("""COMPUTED_VALUE"""),2.0)</f>
        <v>2</v>
      </c>
    </row>
    <row r="12">
      <c r="A12" s="5" t="s">
        <v>20</v>
      </c>
      <c r="B12" s="5" t="s">
        <v>11</v>
      </c>
      <c r="C12" s="5">
        <v>1.0</v>
      </c>
      <c r="D12" s="5" t="s">
        <v>12</v>
      </c>
      <c r="E12" s="5" t="s">
        <v>12</v>
      </c>
      <c r="F12" s="5">
        <v>1.0</v>
      </c>
      <c r="G12" s="5">
        <v>297.0</v>
      </c>
      <c r="H12" s="5">
        <v>22803.0</v>
      </c>
      <c r="I12" s="5">
        <v>1647.0</v>
      </c>
      <c r="J12" s="5"/>
      <c r="K12" s="5"/>
      <c r="L12" s="5"/>
      <c r="M12" s="5"/>
      <c r="N12" s="5"/>
      <c r="O12" s="5"/>
      <c r="P12" s="5"/>
      <c r="Q12" s="5"/>
      <c r="R12" s="5"/>
      <c r="S12" s="5"/>
      <c r="U12" s="5" t="str">
        <f>IFERROR(__xludf.DUMMYFUNCTION("""COMPUTED_VALUE"""),"5Queens.csp")</f>
        <v>5Queens.csp</v>
      </c>
      <c r="V12" s="5" t="str">
        <f>IFERROR(__xludf.DUMMYFUNCTION("""COMPUTED_VALUE"""),"MAC")</f>
        <v>MAC</v>
      </c>
      <c r="W12" s="5">
        <f>IFERROR(__xludf.DUMMYFUNCTION("""COMPUTED_VALUE"""),1.0)</f>
        <v>1</v>
      </c>
      <c r="X12" s="5" t="str">
        <f>IFERROR(__xludf.DUMMYFUNCTION("""COMPUTED_VALUE"""),"ASCENDING")</f>
        <v>ASCENDING</v>
      </c>
      <c r="Y12" s="5" t="str">
        <f>IFERROR(__xludf.DUMMYFUNCTION("""COMPUTED_VALUE"""),"ASCENDING")</f>
        <v>ASCENDING</v>
      </c>
      <c r="Z12" s="5">
        <f>IFERROR(__xludf.DUMMYFUNCTION("""COMPUTED_VALUE"""),1.0)</f>
        <v>1</v>
      </c>
      <c r="AA12" s="5">
        <f>IFERROR(__xludf.DUMMYFUNCTION("""COMPUTED_VALUE"""),5.0)</f>
        <v>5</v>
      </c>
      <c r="AB12" s="5">
        <f>IFERROR(__xludf.DUMMYFUNCTION("""COMPUTED_VALUE"""),66.0)</f>
        <v>66</v>
      </c>
      <c r="AC12" s="5">
        <f>IFERROR(__xludf.DUMMYFUNCTION("""COMPUTED_VALUE"""),2.0)</f>
        <v>2</v>
      </c>
    </row>
    <row r="13">
      <c r="A13" s="5" t="s">
        <v>19</v>
      </c>
      <c r="B13" s="5" t="s">
        <v>11</v>
      </c>
      <c r="C13" s="5">
        <v>1.0</v>
      </c>
      <c r="D13" s="5" t="s">
        <v>12</v>
      </c>
      <c r="E13" s="5" t="s">
        <v>12</v>
      </c>
      <c r="F13" s="5">
        <v>1.0</v>
      </c>
      <c r="G13" s="5">
        <v>476.0</v>
      </c>
      <c r="H13" s="5">
        <v>30491.0</v>
      </c>
      <c r="I13" s="5">
        <v>1774.0</v>
      </c>
      <c r="J13" s="5"/>
      <c r="K13" s="5"/>
      <c r="L13" s="5"/>
      <c r="M13" s="5"/>
      <c r="N13" s="5"/>
      <c r="O13" s="5"/>
      <c r="P13" s="5"/>
      <c r="Q13" s="5"/>
      <c r="R13" s="5"/>
      <c r="S13" s="5"/>
      <c r="U13" s="5" t="str">
        <f>IFERROR(__xludf.DUMMYFUNCTION("""COMPUTED_VALUE"""),"6Queens.csp")</f>
        <v>6Queens.csp</v>
      </c>
      <c r="V13" s="5" t="str">
        <f>IFERROR(__xludf.DUMMYFUNCTION("""COMPUTED_VALUE"""),"MAC")</f>
        <v>MAC</v>
      </c>
      <c r="W13" s="5">
        <f>IFERROR(__xludf.DUMMYFUNCTION("""COMPUTED_VALUE"""),1.0)</f>
        <v>1</v>
      </c>
      <c r="X13" s="5" t="str">
        <f>IFERROR(__xludf.DUMMYFUNCTION("""COMPUTED_VALUE"""),"ASCENDING")</f>
        <v>ASCENDING</v>
      </c>
      <c r="Y13" s="5" t="str">
        <f>IFERROR(__xludf.DUMMYFUNCTION("""COMPUTED_VALUE"""),"ASCENDING")</f>
        <v>ASCENDING</v>
      </c>
      <c r="Z13" s="5">
        <f>IFERROR(__xludf.DUMMYFUNCTION("""COMPUTED_VALUE"""),1.0)</f>
        <v>1</v>
      </c>
      <c r="AA13" s="5">
        <f>IFERROR(__xludf.DUMMYFUNCTION("""COMPUTED_VALUE"""),12.0)</f>
        <v>12</v>
      </c>
      <c r="AB13" s="5">
        <f>IFERROR(__xludf.DUMMYFUNCTION("""COMPUTED_VALUE"""),258.0)</f>
        <v>258</v>
      </c>
      <c r="AC13" s="5">
        <f>IFERROR(__xludf.DUMMYFUNCTION("""COMPUTED_VALUE"""),28.0)</f>
        <v>28</v>
      </c>
    </row>
    <row r="14">
      <c r="U14" s="5" t="str">
        <f>IFERROR(__xludf.DUMMYFUNCTION("""COMPUTED_VALUE"""),"7Queens.csp")</f>
        <v>7Queens.csp</v>
      </c>
      <c r="V14" s="5" t="str">
        <f>IFERROR(__xludf.DUMMYFUNCTION("""COMPUTED_VALUE"""),"MAC")</f>
        <v>MAC</v>
      </c>
      <c r="W14" s="5">
        <f>IFERROR(__xludf.DUMMYFUNCTION("""COMPUTED_VALUE"""),1.0)</f>
        <v>1</v>
      </c>
      <c r="X14" s="5" t="str">
        <f>IFERROR(__xludf.DUMMYFUNCTION("""COMPUTED_VALUE"""),"ASCENDING")</f>
        <v>ASCENDING</v>
      </c>
      <c r="Y14" s="5" t="str">
        <f>IFERROR(__xludf.DUMMYFUNCTION("""COMPUTED_VALUE"""),"ASCENDING")</f>
        <v>ASCENDING</v>
      </c>
      <c r="Z14" s="5">
        <f>IFERROR(__xludf.DUMMYFUNCTION("""COMPUTED_VALUE"""),1.0)</f>
        <v>1</v>
      </c>
      <c r="AA14" s="5">
        <f>IFERROR(__xludf.DUMMYFUNCTION("""COMPUTED_VALUE"""),7.0)</f>
        <v>7</v>
      </c>
      <c r="AB14" s="5">
        <f>IFERROR(__xludf.DUMMYFUNCTION("""COMPUTED_VALUE"""),168.0)</f>
        <v>168</v>
      </c>
      <c r="AC14" s="5">
        <f>IFERROR(__xludf.DUMMYFUNCTION("""COMPUTED_VALUE"""),20.0)</f>
        <v>20</v>
      </c>
    </row>
    <row r="15">
      <c r="U15" s="5" t="str">
        <f>IFERROR(__xludf.DUMMYFUNCTION("""COMPUTED_VALUE"""),"8Queens.csp")</f>
        <v>8Queens.csp</v>
      </c>
      <c r="V15" s="5" t="str">
        <f>IFERROR(__xludf.DUMMYFUNCTION("""COMPUTED_VALUE"""),"MAC")</f>
        <v>MAC</v>
      </c>
      <c r="W15" s="5">
        <f>IFERROR(__xludf.DUMMYFUNCTION("""COMPUTED_VALUE"""),1.0)</f>
        <v>1</v>
      </c>
      <c r="X15" s="5" t="str">
        <f>IFERROR(__xludf.DUMMYFUNCTION("""COMPUTED_VALUE"""),"ASCENDING")</f>
        <v>ASCENDING</v>
      </c>
      <c r="Y15" s="5" t="str">
        <f>IFERROR(__xludf.DUMMYFUNCTION("""COMPUTED_VALUE"""),"ASCENDING")</f>
        <v>ASCENDING</v>
      </c>
      <c r="Z15" s="5">
        <f>IFERROR(__xludf.DUMMYFUNCTION("""COMPUTED_VALUE"""),1.0)</f>
        <v>1</v>
      </c>
      <c r="AA15" s="5">
        <f>IFERROR(__xludf.DUMMYFUNCTION("""COMPUTED_VALUE"""),28.0)</f>
        <v>28</v>
      </c>
      <c r="AB15" s="5">
        <f>IFERROR(__xludf.DUMMYFUNCTION("""COMPUTED_VALUE"""),1000.0)</f>
        <v>1000</v>
      </c>
      <c r="AC15" s="5">
        <f>IFERROR(__xludf.DUMMYFUNCTION("""COMPUTED_VALUE"""),72.0)</f>
        <v>72</v>
      </c>
    </row>
    <row r="16">
      <c r="U16" s="5" t="str">
        <f>IFERROR(__xludf.DUMMYFUNCTION("""COMPUTED_VALUE"""),"9Queens.csp")</f>
        <v>9Queens.csp</v>
      </c>
      <c r="V16" s="5" t="str">
        <f>IFERROR(__xludf.DUMMYFUNCTION("""COMPUTED_VALUE"""),"MAC")</f>
        <v>MAC</v>
      </c>
      <c r="W16" s="5">
        <f>IFERROR(__xludf.DUMMYFUNCTION("""COMPUTED_VALUE"""),1.0)</f>
        <v>1</v>
      </c>
      <c r="X16" s="5" t="str">
        <f>IFERROR(__xludf.DUMMYFUNCTION("""COMPUTED_VALUE"""),"ASCENDING")</f>
        <v>ASCENDING</v>
      </c>
      <c r="Y16" s="5" t="str">
        <f>IFERROR(__xludf.DUMMYFUNCTION("""COMPUTED_VALUE"""),"ASCENDING")</f>
        <v>ASCENDING</v>
      </c>
      <c r="Z16" s="5">
        <f>IFERROR(__xludf.DUMMYFUNCTION("""COMPUTED_VALUE"""),1.0)</f>
        <v>1</v>
      </c>
      <c r="AA16" s="5">
        <f>IFERROR(__xludf.DUMMYFUNCTION("""COMPUTED_VALUE"""),17.0)</f>
        <v>17</v>
      </c>
      <c r="AB16" s="5">
        <f>IFERROR(__xludf.DUMMYFUNCTION("""COMPUTED_VALUE"""),605.0)</f>
        <v>605</v>
      </c>
      <c r="AC16" s="5">
        <f>IFERROR(__xludf.DUMMYFUNCTION("""COMPUTED_VALUE"""),44.0)</f>
        <v>44</v>
      </c>
    </row>
    <row r="36">
      <c r="A36" s="6" t="s">
        <v>43</v>
      </c>
      <c r="B36" s="6">
        <v>12.0</v>
      </c>
    </row>
    <row r="40">
      <c r="A40" s="5" t="str">
        <f>Data!$A$1</f>
        <v>Instance</v>
      </c>
      <c r="B40" s="5" t="str">
        <f>Data!$B$1</f>
        <v>Solver Type</v>
      </c>
      <c r="C40" s="5" t="str">
        <f>Data!$C$1</f>
        <v>Solutions To Find</v>
      </c>
      <c r="D40" s="5" t="str">
        <f>Data!$D$1</f>
        <v>Variable Ordering</v>
      </c>
      <c r="E40" s="5" t="str">
        <f>Data!$E$1</f>
        <v>Value Ordering</v>
      </c>
      <c r="F40" s="5" t="str">
        <f>Data!$F$1</f>
        <v>Solutions Found</v>
      </c>
      <c r="G40" s="5" t="str">
        <f>Data!$G$1</f>
        <v>Nodes Explored</v>
      </c>
      <c r="H40" s="5" t="str">
        <f>Data!$H$1</f>
        <v>Revisions Done</v>
      </c>
      <c r="I40" s="5" t="str">
        <f>Data!$I$1</f>
        <v>Time Taken</v>
      </c>
    </row>
    <row r="41">
      <c r="A41" s="5" t="str">
        <f t="array" ref="A41:S52">SORTN(U2:AM1000,$B$36,0,8,1)</f>
        <v>4Queens.csp</v>
      </c>
      <c r="B41" s="5" t="s">
        <v>11</v>
      </c>
      <c r="C41" s="5">
        <v>1.0</v>
      </c>
      <c r="D41" s="5" t="s">
        <v>12</v>
      </c>
      <c r="E41" s="5" t="s">
        <v>12</v>
      </c>
      <c r="F41" s="5">
        <v>1.0</v>
      </c>
      <c r="G41" s="5">
        <v>6.0</v>
      </c>
      <c r="H41" s="5">
        <v>48.0</v>
      </c>
      <c r="I41" s="5">
        <v>2.0</v>
      </c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5" t="s">
        <v>29</v>
      </c>
      <c r="B42" s="5" t="s">
        <v>11</v>
      </c>
      <c r="C42" s="5">
        <v>1.0</v>
      </c>
      <c r="D42" s="5" t="s">
        <v>12</v>
      </c>
      <c r="E42" s="5" t="s">
        <v>12</v>
      </c>
      <c r="F42" s="5">
        <v>1.0</v>
      </c>
      <c r="G42" s="5">
        <v>5.0</v>
      </c>
      <c r="H42" s="5">
        <v>66.0</v>
      </c>
      <c r="I42" s="5">
        <v>2.0</v>
      </c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5" t="s">
        <v>31</v>
      </c>
      <c r="B43" s="5" t="s">
        <v>11</v>
      </c>
      <c r="C43" s="5">
        <v>1.0</v>
      </c>
      <c r="D43" s="5" t="s">
        <v>12</v>
      </c>
      <c r="E43" s="5" t="s">
        <v>12</v>
      </c>
      <c r="F43" s="5">
        <v>1.0</v>
      </c>
      <c r="G43" s="5">
        <v>7.0</v>
      </c>
      <c r="H43" s="5">
        <v>168.0</v>
      </c>
      <c r="I43" s="5">
        <v>20.0</v>
      </c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5" t="s">
        <v>30</v>
      </c>
      <c r="B44" s="5" t="s">
        <v>11</v>
      </c>
      <c r="C44" s="5">
        <v>1.0</v>
      </c>
      <c r="D44" s="5" t="s">
        <v>12</v>
      </c>
      <c r="E44" s="5" t="s">
        <v>12</v>
      </c>
      <c r="F44" s="5">
        <v>1.0</v>
      </c>
      <c r="G44" s="5">
        <v>12.0</v>
      </c>
      <c r="H44" s="5">
        <v>258.0</v>
      </c>
      <c r="I44" s="5">
        <v>28.0</v>
      </c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5" t="s">
        <v>33</v>
      </c>
      <c r="B45" s="5" t="s">
        <v>11</v>
      </c>
      <c r="C45" s="5">
        <v>1.0</v>
      </c>
      <c r="D45" s="5" t="s">
        <v>12</v>
      </c>
      <c r="E45" s="5" t="s">
        <v>12</v>
      </c>
      <c r="F45" s="5">
        <v>1.0</v>
      </c>
      <c r="G45" s="5">
        <v>17.0</v>
      </c>
      <c r="H45" s="5">
        <v>605.0</v>
      </c>
      <c r="I45" s="5">
        <v>44.0</v>
      </c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5" t="s">
        <v>16</v>
      </c>
      <c r="B46" s="5" t="s">
        <v>11</v>
      </c>
      <c r="C46" s="5">
        <v>1.0</v>
      </c>
      <c r="D46" s="5" t="s">
        <v>12</v>
      </c>
      <c r="E46" s="5" t="s">
        <v>12</v>
      </c>
      <c r="F46" s="5">
        <v>1.0</v>
      </c>
      <c r="G46" s="5">
        <v>17.0</v>
      </c>
      <c r="H46" s="5">
        <v>941.0</v>
      </c>
      <c r="I46" s="5">
        <v>183.0</v>
      </c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5" t="s">
        <v>32</v>
      </c>
      <c r="B47" s="5" t="s">
        <v>11</v>
      </c>
      <c r="C47" s="5">
        <v>1.0</v>
      </c>
      <c r="D47" s="5" t="s">
        <v>12</v>
      </c>
      <c r="E47" s="5" t="s">
        <v>12</v>
      </c>
      <c r="F47" s="5">
        <v>1.0</v>
      </c>
      <c r="G47" s="5">
        <v>28.0</v>
      </c>
      <c r="H47" s="5">
        <v>1000.0</v>
      </c>
      <c r="I47" s="5">
        <v>72.0</v>
      </c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5" t="s">
        <v>10</v>
      </c>
      <c r="B48" s="5" t="s">
        <v>11</v>
      </c>
      <c r="C48" s="5">
        <v>1.0</v>
      </c>
      <c r="D48" s="5" t="s">
        <v>12</v>
      </c>
      <c r="E48" s="5" t="s">
        <v>12</v>
      </c>
      <c r="F48" s="5">
        <v>1.0</v>
      </c>
      <c r="G48" s="5">
        <v>36.0</v>
      </c>
      <c r="H48" s="5">
        <v>1507.0</v>
      </c>
      <c r="I48" s="5">
        <v>51.0</v>
      </c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A49" s="5" t="s">
        <v>18</v>
      </c>
      <c r="B49" s="5" t="s">
        <v>11</v>
      </c>
      <c r="C49" s="5">
        <v>1.0</v>
      </c>
      <c r="D49" s="5" t="s">
        <v>12</v>
      </c>
      <c r="E49" s="5" t="s">
        <v>12</v>
      </c>
      <c r="F49" s="5">
        <v>1.0</v>
      </c>
      <c r="G49" s="5">
        <v>39.0</v>
      </c>
      <c r="H49" s="5">
        <v>2443.0</v>
      </c>
      <c r="I49" s="5">
        <v>382.0</v>
      </c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5" t="s">
        <v>17</v>
      </c>
      <c r="B50" s="5" t="s">
        <v>11</v>
      </c>
      <c r="C50" s="5">
        <v>1.0</v>
      </c>
      <c r="D50" s="5" t="s">
        <v>12</v>
      </c>
      <c r="E50" s="5" t="s">
        <v>12</v>
      </c>
      <c r="F50" s="5">
        <v>1.0</v>
      </c>
      <c r="G50" s="5">
        <v>60.0</v>
      </c>
      <c r="H50" s="5">
        <v>3759.0</v>
      </c>
      <c r="I50" s="5">
        <v>635.0</v>
      </c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5" t="s">
        <v>20</v>
      </c>
      <c r="B51" s="5" t="s">
        <v>11</v>
      </c>
      <c r="C51" s="5">
        <v>1.0</v>
      </c>
      <c r="D51" s="5" t="s">
        <v>12</v>
      </c>
      <c r="E51" s="5" t="s">
        <v>12</v>
      </c>
      <c r="F51" s="5">
        <v>1.0</v>
      </c>
      <c r="G51" s="5">
        <v>297.0</v>
      </c>
      <c r="H51" s="5">
        <v>22803.0</v>
      </c>
      <c r="I51" s="5">
        <v>1647.0</v>
      </c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5" t="s">
        <v>19</v>
      </c>
      <c r="B52" s="5" t="s">
        <v>11</v>
      </c>
      <c r="C52" s="5">
        <v>1.0</v>
      </c>
      <c r="D52" s="5" t="s">
        <v>12</v>
      </c>
      <c r="E52" s="5" t="s">
        <v>12</v>
      </c>
      <c r="F52" s="5">
        <v>1.0</v>
      </c>
      <c r="G52" s="5">
        <v>476.0</v>
      </c>
      <c r="H52" s="5">
        <v>30491.0</v>
      </c>
      <c r="I52" s="5">
        <v>1774.0</v>
      </c>
      <c r="J52" s="5"/>
      <c r="K52" s="5"/>
      <c r="L52" s="5"/>
      <c r="M52" s="5"/>
      <c r="N52" s="5"/>
      <c r="O52" s="5"/>
      <c r="P52" s="5"/>
      <c r="Q52" s="5"/>
      <c r="R52" s="5"/>
      <c r="S52" s="5"/>
    </row>
    <row r="60">
      <c r="A60" s="5" t="str">
        <f>Data!$A$1</f>
        <v>Instance</v>
      </c>
      <c r="B60" s="5" t="str">
        <f>Data!$B$1</f>
        <v>Solver Type</v>
      </c>
      <c r="C60" s="5" t="str">
        <f>Data!$C$1</f>
        <v>Solutions To Find</v>
      </c>
      <c r="D60" s="5" t="str">
        <f>Data!$D$1</f>
        <v>Variable Ordering</v>
      </c>
      <c r="E60" s="5" t="str">
        <f>Data!$E$1</f>
        <v>Value Ordering</v>
      </c>
      <c r="F60" s="5" t="str">
        <f>Data!$F$1</f>
        <v>Solutions Found</v>
      </c>
      <c r="G60" s="5" t="str">
        <f>Data!$G$1</f>
        <v>Nodes Explored</v>
      </c>
      <c r="H60" s="5" t="str">
        <f>Data!$H$1</f>
        <v>Revisions Done</v>
      </c>
      <c r="I60" s="5" t="str">
        <f>Data!$I$1</f>
        <v>Time Taken</v>
      </c>
    </row>
    <row r="61">
      <c r="A61" s="5" t="str">
        <f t="array" ref="A61:S72">SORTN(U2:AM1000,$B$36,0,9,1)</f>
        <v>4Queens.csp</v>
      </c>
      <c r="B61" s="5" t="s">
        <v>11</v>
      </c>
      <c r="C61" s="5">
        <v>1.0</v>
      </c>
      <c r="D61" s="5" t="s">
        <v>12</v>
      </c>
      <c r="E61" s="5" t="s">
        <v>12</v>
      </c>
      <c r="F61" s="5">
        <v>1.0</v>
      </c>
      <c r="G61" s="5">
        <v>6.0</v>
      </c>
      <c r="H61" s="5">
        <v>48.0</v>
      </c>
      <c r="I61" s="5">
        <v>2.0</v>
      </c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5" t="s">
        <v>29</v>
      </c>
      <c r="B62" s="5" t="s">
        <v>11</v>
      </c>
      <c r="C62" s="5">
        <v>1.0</v>
      </c>
      <c r="D62" s="5" t="s">
        <v>12</v>
      </c>
      <c r="E62" s="5" t="s">
        <v>12</v>
      </c>
      <c r="F62" s="5">
        <v>1.0</v>
      </c>
      <c r="G62" s="5">
        <v>5.0</v>
      </c>
      <c r="H62" s="5">
        <v>66.0</v>
      </c>
      <c r="I62" s="5">
        <v>2.0</v>
      </c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5" t="s">
        <v>31</v>
      </c>
      <c r="B63" s="5" t="s">
        <v>11</v>
      </c>
      <c r="C63" s="5">
        <v>1.0</v>
      </c>
      <c r="D63" s="5" t="s">
        <v>12</v>
      </c>
      <c r="E63" s="5" t="s">
        <v>12</v>
      </c>
      <c r="F63" s="5">
        <v>1.0</v>
      </c>
      <c r="G63" s="5">
        <v>7.0</v>
      </c>
      <c r="H63" s="5">
        <v>168.0</v>
      </c>
      <c r="I63" s="5">
        <v>20.0</v>
      </c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5" t="s">
        <v>30</v>
      </c>
      <c r="B64" s="5" t="s">
        <v>11</v>
      </c>
      <c r="C64" s="5">
        <v>1.0</v>
      </c>
      <c r="D64" s="5" t="s">
        <v>12</v>
      </c>
      <c r="E64" s="5" t="s">
        <v>12</v>
      </c>
      <c r="F64" s="5">
        <v>1.0</v>
      </c>
      <c r="G64" s="5">
        <v>12.0</v>
      </c>
      <c r="H64" s="5">
        <v>258.0</v>
      </c>
      <c r="I64" s="5">
        <v>28.0</v>
      </c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5" t="s">
        <v>33</v>
      </c>
      <c r="B65" s="5" t="s">
        <v>11</v>
      </c>
      <c r="C65" s="5">
        <v>1.0</v>
      </c>
      <c r="D65" s="5" t="s">
        <v>12</v>
      </c>
      <c r="E65" s="5" t="s">
        <v>12</v>
      </c>
      <c r="F65" s="5">
        <v>1.0</v>
      </c>
      <c r="G65" s="5">
        <v>17.0</v>
      </c>
      <c r="H65" s="5">
        <v>605.0</v>
      </c>
      <c r="I65" s="5">
        <v>44.0</v>
      </c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5" t="s">
        <v>10</v>
      </c>
      <c r="B66" s="5" t="s">
        <v>11</v>
      </c>
      <c r="C66" s="5">
        <v>1.0</v>
      </c>
      <c r="D66" s="5" t="s">
        <v>12</v>
      </c>
      <c r="E66" s="5" t="s">
        <v>12</v>
      </c>
      <c r="F66" s="5">
        <v>1.0</v>
      </c>
      <c r="G66" s="5">
        <v>36.0</v>
      </c>
      <c r="H66" s="5">
        <v>1507.0</v>
      </c>
      <c r="I66" s="5">
        <v>51.0</v>
      </c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5" t="s">
        <v>32</v>
      </c>
      <c r="B67" s="5" t="s">
        <v>11</v>
      </c>
      <c r="C67" s="5">
        <v>1.0</v>
      </c>
      <c r="D67" s="5" t="s">
        <v>12</v>
      </c>
      <c r="E67" s="5" t="s">
        <v>12</v>
      </c>
      <c r="F67" s="5">
        <v>1.0</v>
      </c>
      <c r="G67" s="5">
        <v>28.0</v>
      </c>
      <c r="H67" s="5">
        <v>1000.0</v>
      </c>
      <c r="I67" s="5">
        <v>72.0</v>
      </c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5" t="s">
        <v>16</v>
      </c>
      <c r="B68" s="5" t="s">
        <v>11</v>
      </c>
      <c r="C68" s="5">
        <v>1.0</v>
      </c>
      <c r="D68" s="5" t="s">
        <v>12</v>
      </c>
      <c r="E68" s="5" t="s">
        <v>12</v>
      </c>
      <c r="F68" s="5">
        <v>1.0</v>
      </c>
      <c r="G68" s="5">
        <v>17.0</v>
      </c>
      <c r="H68" s="5">
        <v>941.0</v>
      </c>
      <c r="I68" s="5">
        <v>183.0</v>
      </c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5" t="s">
        <v>18</v>
      </c>
      <c r="B69" s="5" t="s">
        <v>11</v>
      </c>
      <c r="C69" s="5">
        <v>1.0</v>
      </c>
      <c r="D69" s="5" t="s">
        <v>12</v>
      </c>
      <c r="E69" s="5" t="s">
        <v>12</v>
      </c>
      <c r="F69" s="5">
        <v>1.0</v>
      </c>
      <c r="G69" s="5">
        <v>39.0</v>
      </c>
      <c r="H69" s="5">
        <v>2443.0</v>
      </c>
      <c r="I69" s="5">
        <v>382.0</v>
      </c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5" t="s">
        <v>17</v>
      </c>
      <c r="B70" s="5" t="s">
        <v>11</v>
      </c>
      <c r="C70" s="5">
        <v>1.0</v>
      </c>
      <c r="D70" s="5" t="s">
        <v>12</v>
      </c>
      <c r="E70" s="5" t="s">
        <v>12</v>
      </c>
      <c r="F70" s="5">
        <v>1.0</v>
      </c>
      <c r="G70" s="5">
        <v>60.0</v>
      </c>
      <c r="H70" s="5">
        <v>3759.0</v>
      </c>
      <c r="I70" s="5">
        <v>635.0</v>
      </c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5" t="s">
        <v>22</v>
      </c>
      <c r="B71" s="5" t="s">
        <v>11</v>
      </c>
      <c r="C71" s="5">
        <v>1.0</v>
      </c>
      <c r="D71" s="5" t="s">
        <v>12</v>
      </c>
      <c r="E71" s="5" t="s">
        <v>12</v>
      </c>
      <c r="F71" s="5">
        <v>1.0</v>
      </c>
      <c r="G71" s="5">
        <v>1203.0</v>
      </c>
      <c r="H71" s="5">
        <v>107553.0</v>
      </c>
      <c r="I71" s="5">
        <v>1369.0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5" t="s">
        <v>20</v>
      </c>
      <c r="B72" s="5" t="s">
        <v>11</v>
      </c>
      <c r="C72" s="5">
        <v>1.0</v>
      </c>
      <c r="D72" s="5" t="s">
        <v>12</v>
      </c>
      <c r="E72" s="5" t="s">
        <v>12</v>
      </c>
      <c r="F72" s="5">
        <v>1.0</v>
      </c>
      <c r="G72" s="5">
        <v>297.0</v>
      </c>
      <c r="H72" s="5">
        <v>22803.0</v>
      </c>
      <c r="I72" s="5">
        <v>1647.0</v>
      </c>
      <c r="J72" s="5"/>
      <c r="K72" s="5"/>
      <c r="L72" s="5"/>
      <c r="M72" s="5"/>
      <c r="N72" s="5"/>
      <c r="O72" s="5"/>
      <c r="P72" s="5"/>
      <c r="Q72" s="5"/>
      <c r="R72" s="5"/>
      <c r="S72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75"/>
  </cols>
  <sheetData>
    <row r="1">
      <c r="A1" s="5" t="str">
        <f>Data!$A$1</f>
        <v>Instance</v>
      </c>
      <c r="B1" s="5" t="str">
        <f>Data!$B$1</f>
        <v>Solver Type</v>
      </c>
      <c r="C1" s="5" t="str">
        <f>Data!$C$1</f>
        <v>Solutions To Find</v>
      </c>
      <c r="D1" s="5" t="str">
        <f>Data!$D$1</f>
        <v>Variable Ordering</v>
      </c>
      <c r="E1" s="5" t="str">
        <f>Data!$E$1</f>
        <v>Value Ordering</v>
      </c>
      <c r="F1" s="5" t="str">
        <f>Data!$F$1</f>
        <v>Solutions Found</v>
      </c>
      <c r="G1" s="5" t="str">
        <f>Data!$G$1</f>
        <v>Nodes Explored</v>
      </c>
      <c r="H1" s="5" t="str">
        <f>Data!$H$1</f>
        <v>Revisions Done</v>
      </c>
      <c r="I1" s="5" t="str">
        <f>Data!$I$1</f>
        <v>Time Taken</v>
      </c>
      <c r="U1" s="5" t="str">
        <f>Data!$A$1</f>
        <v>Instance</v>
      </c>
      <c r="V1" s="5" t="str">
        <f>Data!$B$1</f>
        <v>Solver Type</v>
      </c>
      <c r="W1" s="5" t="str">
        <f>Data!$C$1</f>
        <v>Solutions To Find</v>
      </c>
      <c r="X1" s="5" t="str">
        <f>Data!$D$1</f>
        <v>Variable Ordering</v>
      </c>
      <c r="Y1" s="5" t="str">
        <f>Data!$E$1</f>
        <v>Value Ordering</v>
      </c>
      <c r="Z1" s="5" t="str">
        <f>Data!$F$1</f>
        <v>Solutions Found</v>
      </c>
      <c r="AA1" s="5" t="str">
        <f>Data!$G$1</f>
        <v>Nodes Explored</v>
      </c>
      <c r="AB1" s="5" t="str">
        <f>Data!$H$1</f>
        <v>Revisions Done</v>
      </c>
      <c r="AC1" s="5" t="str">
        <f>Data!$I$1</f>
        <v>Time Taken</v>
      </c>
    </row>
    <row r="2">
      <c r="A2" s="5" t="str">
        <f t="array" ref="A2:S6">SORTN(U2:AM1000,$B$36,0,7,1)</f>
        <v>4Queens.csp</v>
      </c>
      <c r="B2" s="5" t="s">
        <v>11</v>
      </c>
      <c r="C2" s="5">
        <v>0.0</v>
      </c>
      <c r="D2" s="5" t="s">
        <v>12</v>
      </c>
      <c r="E2" s="5" t="s">
        <v>12</v>
      </c>
      <c r="F2" s="5">
        <v>2.0</v>
      </c>
      <c r="G2" s="5">
        <v>18.0</v>
      </c>
      <c r="H2" s="5">
        <v>80.0</v>
      </c>
      <c r="I2" s="5">
        <v>10.0</v>
      </c>
      <c r="J2" s="5"/>
      <c r="K2" s="5"/>
      <c r="L2" s="5"/>
      <c r="M2" s="5"/>
      <c r="N2" s="5"/>
      <c r="O2" s="5"/>
      <c r="P2" s="5"/>
      <c r="Q2" s="5"/>
      <c r="R2" s="5"/>
      <c r="S2" s="5"/>
      <c r="U2" s="2" t="str">
        <f>IFERROR(__xludf.DUMMYFUNCTION("FILTER(Data!A:I, Data!D:D=""ASCENDING"", Data!E:E=""ASCENDING"", Data!C:C=0, Data!B:B=""MAC"", REGEXMATCH(Data!A:A, "".*Queens.csp""))"),"10Queens.csp")</f>
        <v>10Queens.csp</v>
      </c>
      <c r="V2" s="5" t="str">
        <f>IFERROR(__xludf.DUMMYFUNCTION("""COMPUTED_VALUE"""),"MAC")</f>
        <v>MAC</v>
      </c>
      <c r="W2" s="5">
        <f>IFERROR(__xludf.DUMMYFUNCTION("""COMPUTED_VALUE"""),0.0)</f>
        <v>0</v>
      </c>
      <c r="X2" s="5" t="str">
        <f>IFERROR(__xludf.DUMMYFUNCTION("""COMPUTED_VALUE"""),"ASCENDING")</f>
        <v>ASCENDING</v>
      </c>
      <c r="Y2" s="5" t="str">
        <f>IFERROR(__xludf.DUMMYFUNCTION("""COMPUTED_VALUE"""),"ASCENDING")</f>
        <v>ASCENDING</v>
      </c>
      <c r="Z2" s="5">
        <f>IFERROR(__xludf.DUMMYFUNCTION("""COMPUTED_VALUE"""),724.0)</f>
        <v>724</v>
      </c>
      <c r="AA2" s="5">
        <f>IFERROR(__xludf.DUMMYFUNCTION("""COMPUTED_VALUE"""),16454.0)</f>
        <v>16454</v>
      </c>
      <c r="AB2" s="5">
        <f>IFERROR(__xludf.DUMMYFUNCTION("""COMPUTED_VALUE"""),399132.0)</f>
        <v>399132</v>
      </c>
      <c r="AC2" s="5">
        <f>IFERROR(__xludf.DUMMYFUNCTION("""COMPUTED_VALUE"""),2516.0)</f>
        <v>2516</v>
      </c>
    </row>
    <row r="3">
      <c r="A3" s="5" t="s">
        <v>30</v>
      </c>
      <c r="B3" s="5" t="s">
        <v>11</v>
      </c>
      <c r="C3" s="5">
        <v>0.0</v>
      </c>
      <c r="D3" s="5" t="s">
        <v>12</v>
      </c>
      <c r="E3" s="5" t="s">
        <v>12</v>
      </c>
      <c r="F3" s="5">
        <v>4.0</v>
      </c>
      <c r="G3" s="5">
        <v>76.0</v>
      </c>
      <c r="H3" s="5">
        <v>976.0</v>
      </c>
      <c r="I3" s="5">
        <v>96.0</v>
      </c>
      <c r="J3" s="5"/>
      <c r="K3" s="5"/>
      <c r="L3" s="5"/>
      <c r="M3" s="5"/>
      <c r="N3" s="5"/>
      <c r="O3" s="5"/>
      <c r="P3" s="5"/>
      <c r="Q3" s="5"/>
      <c r="R3" s="5"/>
      <c r="S3" s="5"/>
      <c r="U3" s="5" t="str">
        <f>IFERROR(__xludf.DUMMYFUNCTION("""COMPUTED_VALUE"""),"11Queens.csp")</f>
        <v>11Queens.csp</v>
      </c>
      <c r="V3" s="5" t="str">
        <f>IFERROR(__xludf.DUMMYFUNCTION("""COMPUTED_VALUE"""),"MAC")</f>
        <v>MAC</v>
      </c>
      <c r="W3" s="5">
        <f>IFERROR(__xludf.DUMMYFUNCTION("""COMPUTED_VALUE"""),0.0)</f>
        <v>0</v>
      </c>
      <c r="X3" s="5" t="str">
        <f>IFERROR(__xludf.DUMMYFUNCTION("""COMPUTED_VALUE"""),"ASCENDING")</f>
        <v>ASCENDING</v>
      </c>
      <c r="Y3" s="5" t="str">
        <f>IFERROR(__xludf.DUMMYFUNCTION("""COMPUTED_VALUE"""),"ASCENDING")</f>
        <v>ASCENDING</v>
      </c>
      <c r="Z3" s="5">
        <f>IFERROR(__xludf.DUMMYFUNCTION("""COMPUTED_VALUE"""),2680.0)</f>
        <v>2680</v>
      </c>
      <c r="AA3" s="5">
        <f>IFERROR(__xludf.DUMMYFUNCTION("""COMPUTED_VALUE"""),68570.0)</f>
        <v>68570</v>
      </c>
      <c r="AB3" s="5">
        <f>IFERROR(__xludf.DUMMYFUNCTION("""COMPUTED_VALUE"""),1988391.0)</f>
        <v>1988391</v>
      </c>
      <c r="AC3" s="5">
        <f>IFERROR(__xludf.DUMMYFUNCTION("""COMPUTED_VALUE"""),7773.0)</f>
        <v>7773</v>
      </c>
    </row>
    <row r="4">
      <c r="A4" s="5" t="s">
        <v>29</v>
      </c>
      <c r="B4" s="5" t="s">
        <v>11</v>
      </c>
      <c r="C4" s="5">
        <v>0.0</v>
      </c>
      <c r="D4" s="5" t="s">
        <v>12</v>
      </c>
      <c r="E4" s="5" t="s">
        <v>12</v>
      </c>
      <c r="F4" s="5">
        <v>10.0</v>
      </c>
      <c r="G4" s="5">
        <v>92.0</v>
      </c>
      <c r="H4" s="5">
        <v>386.0</v>
      </c>
      <c r="I4" s="5">
        <v>31.0</v>
      </c>
      <c r="J4" s="5"/>
      <c r="K4" s="5"/>
      <c r="L4" s="5"/>
      <c r="M4" s="5"/>
      <c r="N4" s="5"/>
      <c r="O4" s="5"/>
      <c r="P4" s="5"/>
      <c r="Q4" s="5"/>
      <c r="R4" s="5"/>
      <c r="S4" s="5"/>
      <c r="U4" s="5" t="str">
        <f>IFERROR(__xludf.DUMMYFUNCTION("""COMPUTED_VALUE"""),"12Queens.csp")</f>
        <v>12Queens.csp</v>
      </c>
      <c r="V4" s="5" t="str">
        <f>IFERROR(__xludf.DUMMYFUNCTION("""COMPUTED_VALUE"""),"MAC")</f>
        <v>MAC</v>
      </c>
      <c r="W4" s="5">
        <f>IFERROR(__xludf.DUMMYFUNCTION("""COMPUTED_VALUE"""),0.0)</f>
        <v>0</v>
      </c>
      <c r="X4" s="5" t="str">
        <f>IFERROR(__xludf.DUMMYFUNCTION("""COMPUTED_VALUE"""),"ASCENDING")</f>
        <v>ASCENDING</v>
      </c>
      <c r="Y4" s="5" t="str">
        <f>IFERROR(__xludf.DUMMYFUNCTION("""COMPUTED_VALUE"""),"ASCENDING")</f>
        <v>ASCENDING</v>
      </c>
      <c r="Z4" s="5">
        <f>IFERROR(__xludf.DUMMYFUNCTION("""COMPUTED_VALUE"""),14200.0)</f>
        <v>14200</v>
      </c>
      <c r="AA4" s="5">
        <f>IFERROR(__xludf.DUMMYFUNCTION("""COMPUTED_VALUE"""),348466.0)</f>
        <v>348466</v>
      </c>
      <c r="AB4" s="5">
        <f>IFERROR(__xludf.DUMMYFUNCTION("""COMPUTED_VALUE"""),1.0844028E7)</f>
        <v>10844028</v>
      </c>
      <c r="AC4" s="5">
        <f>IFERROR(__xludf.DUMMYFUNCTION("""COMPUTED_VALUE"""),25879.0)</f>
        <v>25879</v>
      </c>
    </row>
    <row r="5">
      <c r="A5" s="5" t="s">
        <v>32</v>
      </c>
      <c r="B5" s="5" t="s">
        <v>11</v>
      </c>
      <c r="C5" s="5">
        <v>0.0</v>
      </c>
      <c r="D5" s="5" t="s">
        <v>12</v>
      </c>
      <c r="E5" s="5" t="s">
        <v>12</v>
      </c>
      <c r="F5" s="5">
        <v>92.0</v>
      </c>
      <c r="G5" s="5">
        <v>1374.0</v>
      </c>
      <c r="H5" s="5">
        <v>19603.0</v>
      </c>
      <c r="I5" s="5">
        <v>1313.0</v>
      </c>
      <c r="J5" s="5"/>
      <c r="K5" s="5"/>
      <c r="L5" s="5"/>
      <c r="M5" s="5"/>
      <c r="N5" s="5"/>
      <c r="O5" s="5"/>
      <c r="P5" s="5"/>
      <c r="Q5" s="5"/>
      <c r="R5" s="5"/>
      <c r="S5" s="5"/>
      <c r="U5" s="5" t="str">
        <f>IFERROR(__xludf.DUMMYFUNCTION("""COMPUTED_VALUE"""),"13Queens.csp")</f>
        <v>13Queens.csp</v>
      </c>
      <c r="V5" s="5" t="str">
        <f>IFERROR(__xludf.DUMMYFUNCTION("""COMPUTED_VALUE"""),"MAC")</f>
        <v>MAC</v>
      </c>
      <c r="W5" s="5">
        <f>IFERROR(__xludf.DUMMYFUNCTION("""COMPUTED_VALUE"""),0.0)</f>
        <v>0</v>
      </c>
      <c r="X5" s="5" t="str">
        <f>IFERROR(__xludf.DUMMYFUNCTION("""COMPUTED_VALUE"""),"ASCENDING")</f>
        <v>ASCENDING</v>
      </c>
      <c r="Y5" s="5" t="str">
        <f>IFERROR(__xludf.DUMMYFUNCTION("""COMPUTED_VALUE"""),"ASCENDING")</f>
        <v>ASCENDING</v>
      </c>
      <c r="Z5" s="5">
        <f>IFERROR(__xludf.DUMMYFUNCTION("""COMPUTED_VALUE"""),73712.0)</f>
        <v>73712</v>
      </c>
      <c r="AA5" s="5">
        <f>IFERROR(__xludf.DUMMYFUNCTION("""COMPUTED_VALUE"""),1838678.0)</f>
        <v>1838678</v>
      </c>
      <c r="AB5" s="5">
        <f>IFERROR(__xludf.DUMMYFUNCTION("""COMPUTED_VALUE"""),6.260204E7)</f>
        <v>62602040</v>
      </c>
      <c r="AC5" s="5">
        <f>IFERROR(__xludf.DUMMYFUNCTION("""COMPUTED_VALUE"""),89520.0)</f>
        <v>89520</v>
      </c>
    </row>
    <row r="6">
      <c r="A6" s="5" t="s">
        <v>10</v>
      </c>
      <c r="B6" s="5" t="s">
        <v>11</v>
      </c>
      <c r="C6" s="5">
        <v>0.0</v>
      </c>
      <c r="D6" s="5" t="s">
        <v>12</v>
      </c>
      <c r="E6" s="5" t="s">
        <v>12</v>
      </c>
      <c r="F6" s="5">
        <v>724.0</v>
      </c>
      <c r="G6" s="5">
        <v>16454.0</v>
      </c>
      <c r="H6" s="5">
        <v>399132.0</v>
      </c>
      <c r="I6" s="5">
        <v>2516.0</v>
      </c>
      <c r="J6" s="5"/>
      <c r="K6" s="5"/>
      <c r="L6" s="5"/>
      <c r="M6" s="5"/>
      <c r="N6" s="5"/>
      <c r="O6" s="5"/>
      <c r="P6" s="5"/>
      <c r="Q6" s="5"/>
      <c r="R6" s="5"/>
      <c r="S6" s="5"/>
      <c r="U6" s="5" t="str">
        <f>IFERROR(__xludf.DUMMYFUNCTION("""COMPUTED_VALUE"""),"4Queens.csp")</f>
        <v>4Queens.csp</v>
      </c>
      <c r="V6" s="5" t="str">
        <f>IFERROR(__xludf.DUMMYFUNCTION("""COMPUTED_VALUE"""),"MAC")</f>
        <v>MAC</v>
      </c>
      <c r="W6" s="5">
        <f>IFERROR(__xludf.DUMMYFUNCTION("""COMPUTED_VALUE"""),0.0)</f>
        <v>0</v>
      </c>
      <c r="X6" s="5" t="str">
        <f>IFERROR(__xludf.DUMMYFUNCTION("""COMPUTED_VALUE"""),"ASCENDING")</f>
        <v>ASCENDING</v>
      </c>
      <c r="Y6" s="5" t="str">
        <f>IFERROR(__xludf.DUMMYFUNCTION("""COMPUTED_VALUE"""),"ASCENDING")</f>
        <v>ASCENDING</v>
      </c>
      <c r="Z6" s="5">
        <f>IFERROR(__xludf.DUMMYFUNCTION("""COMPUTED_VALUE"""),2.0)</f>
        <v>2</v>
      </c>
      <c r="AA6" s="5">
        <f>IFERROR(__xludf.DUMMYFUNCTION("""COMPUTED_VALUE"""),18.0)</f>
        <v>18</v>
      </c>
      <c r="AB6" s="5">
        <f>IFERROR(__xludf.DUMMYFUNCTION("""COMPUTED_VALUE"""),80.0)</f>
        <v>80</v>
      </c>
      <c r="AC6" s="5">
        <f>IFERROR(__xludf.DUMMYFUNCTION("""COMPUTED_VALUE"""),10.0)</f>
        <v>10</v>
      </c>
    </row>
    <row r="7">
      <c r="U7" s="5" t="str">
        <f>IFERROR(__xludf.DUMMYFUNCTION("""COMPUTED_VALUE"""),"5Queens.csp")</f>
        <v>5Queens.csp</v>
      </c>
      <c r="V7" s="5" t="str">
        <f>IFERROR(__xludf.DUMMYFUNCTION("""COMPUTED_VALUE"""),"MAC")</f>
        <v>MAC</v>
      </c>
      <c r="W7" s="5">
        <f>IFERROR(__xludf.DUMMYFUNCTION("""COMPUTED_VALUE"""),0.0)</f>
        <v>0</v>
      </c>
      <c r="X7" s="5" t="str">
        <f>IFERROR(__xludf.DUMMYFUNCTION("""COMPUTED_VALUE"""),"ASCENDING")</f>
        <v>ASCENDING</v>
      </c>
      <c r="Y7" s="5" t="str">
        <f>IFERROR(__xludf.DUMMYFUNCTION("""COMPUTED_VALUE"""),"ASCENDING")</f>
        <v>ASCENDING</v>
      </c>
      <c r="Z7" s="5">
        <f>IFERROR(__xludf.DUMMYFUNCTION("""COMPUTED_VALUE"""),10.0)</f>
        <v>10</v>
      </c>
      <c r="AA7" s="5">
        <f>IFERROR(__xludf.DUMMYFUNCTION("""COMPUTED_VALUE"""),92.0)</f>
        <v>92</v>
      </c>
      <c r="AB7" s="5">
        <f>IFERROR(__xludf.DUMMYFUNCTION("""COMPUTED_VALUE"""),386.0)</f>
        <v>386</v>
      </c>
      <c r="AC7" s="5">
        <f>IFERROR(__xludf.DUMMYFUNCTION("""COMPUTED_VALUE"""),31.0)</f>
        <v>31</v>
      </c>
    </row>
    <row r="8">
      <c r="U8" s="5" t="str">
        <f>IFERROR(__xludf.DUMMYFUNCTION("""COMPUTED_VALUE"""),"6Queens.csp")</f>
        <v>6Queens.csp</v>
      </c>
      <c r="V8" s="5" t="str">
        <f>IFERROR(__xludf.DUMMYFUNCTION("""COMPUTED_VALUE"""),"MAC")</f>
        <v>MAC</v>
      </c>
      <c r="W8" s="5">
        <f>IFERROR(__xludf.DUMMYFUNCTION("""COMPUTED_VALUE"""),0.0)</f>
        <v>0</v>
      </c>
      <c r="X8" s="5" t="str">
        <f>IFERROR(__xludf.DUMMYFUNCTION("""COMPUTED_VALUE"""),"ASCENDING")</f>
        <v>ASCENDING</v>
      </c>
      <c r="Y8" s="5" t="str">
        <f>IFERROR(__xludf.DUMMYFUNCTION("""COMPUTED_VALUE"""),"ASCENDING")</f>
        <v>ASCENDING</v>
      </c>
      <c r="Z8" s="5">
        <f>IFERROR(__xludf.DUMMYFUNCTION("""COMPUTED_VALUE"""),4.0)</f>
        <v>4</v>
      </c>
      <c r="AA8" s="5">
        <f>IFERROR(__xludf.DUMMYFUNCTION("""COMPUTED_VALUE"""),76.0)</f>
        <v>76</v>
      </c>
      <c r="AB8" s="5">
        <f>IFERROR(__xludf.DUMMYFUNCTION("""COMPUTED_VALUE"""),976.0)</f>
        <v>976</v>
      </c>
      <c r="AC8" s="5">
        <f>IFERROR(__xludf.DUMMYFUNCTION("""COMPUTED_VALUE"""),96.0)</f>
        <v>96</v>
      </c>
    </row>
    <row r="9">
      <c r="U9" s="5" t="str">
        <f>IFERROR(__xludf.DUMMYFUNCTION("""COMPUTED_VALUE"""),"8Queens.csp")</f>
        <v>8Queens.csp</v>
      </c>
      <c r="V9" s="5" t="str">
        <f>IFERROR(__xludf.DUMMYFUNCTION("""COMPUTED_VALUE"""),"MAC")</f>
        <v>MAC</v>
      </c>
      <c r="W9" s="5">
        <f>IFERROR(__xludf.DUMMYFUNCTION("""COMPUTED_VALUE"""),0.0)</f>
        <v>0</v>
      </c>
      <c r="X9" s="5" t="str">
        <f>IFERROR(__xludf.DUMMYFUNCTION("""COMPUTED_VALUE"""),"ASCENDING")</f>
        <v>ASCENDING</v>
      </c>
      <c r="Y9" s="5" t="str">
        <f>IFERROR(__xludf.DUMMYFUNCTION("""COMPUTED_VALUE"""),"ASCENDING")</f>
        <v>ASCENDING</v>
      </c>
      <c r="Z9" s="5">
        <f>IFERROR(__xludf.DUMMYFUNCTION("""COMPUTED_VALUE"""),92.0)</f>
        <v>92</v>
      </c>
      <c r="AA9" s="5">
        <f>IFERROR(__xludf.DUMMYFUNCTION("""COMPUTED_VALUE"""),1374.0)</f>
        <v>1374</v>
      </c>
      <c r="AB9" s="5">
        <f>IFERROR(__xludf.DUMMYFUNCTION("""COMPUTED_VALUE"""),19603.0)</f>
        <v>19603</v>
      </c>
      <c r="AC9" s="5">
        <f>IFERROR(__xludf.DUMMYFUNCTION("""COMPUTED_VALUE"""),1313.0)</f>
        <v>1313</v>
      </c>
    </row>
    <row r="36">
      <c r="A36" s="6" t="s">
        <v>43</v>
      </c>
      <c r="B36" s="6">
        <v>5.0</v>
      </c>
    </row>
    <row r="40">
      <c r="A40" s="5" t="str">
        <f>Data!$A$1</f>
        <v>Instance</v>
      </c>
      <c r="B40" s="5" t="str">
        <f>Data!$B$1</f>
        <v>Solver Type</v>
      </c>
      <c r="C40" s="5" t="str">
        <f>Data!$C$1</f>
        <v>Solutions To Find</v>
      </c>
      <c r="D40" s="5" t="str">
        <f>Data!$D$1</f>
        <v>Variable Ordering</v>
      </c>
      <c r="E40" s="5" t="str">
        <f>Data!$E$1</f>
        <v>Value Ordering</v>
      </c>
      <c r="F40" s="5" t="str">
        <f>Data!$F$1</f>
        <v>Solutions Found</v>
      </c>
      <c r="G40" s="5" t="str">
        <f>Data!$G$1</f>
        <v>Nodes Explored</v>
      </c>
      <c r="H40" s="5" t="str">
        <f>Data!$H$1</f>
        <v>Revisions Done</v>
      </c>
      <c r="I40" s="5" t="str">
        <f>Data!$I$1</f>
        <v>Time Taken</v>
      </c>
    </row>
    <row r="41">
      <c r="A41" s="5" t="str">
        <f t="array" ref="A41:S45">SORTN(U2:AM1000,$B$36,0,8,1)</f>
        <v>4Queens.csp</v>
      </c>
      <c r="B41" s="5" t="s">
        <v>11</v>
      </c>
      <c r="C41" s="5">
        <v>0.0</v>
      </c>
      <c r="D41" s="5" t="s">
        <v>12</v>
      </c>
      <c r="E41" s="5" t="s">
        <v>12</v>
      </c>
      <c r="F41" s="5">
        <v>2.0</v>
      </c>
      <c r="G41" s="5">
        <v>18.0</v>
      </c>
      <c r="H41" s="5">
        <v>80.0</v>
      </c>
      <c r="I41" s="5">
        <v>10.0</v>
      </c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5" t="s">
        <v>29</v>
      </c>
      <c r="B42" s="5" t="s">
        <v>11</v>
      </c>
      <c r="C42" s="5">
        <v>0.0</v>
      </c>
      <c r="D42" s="5" t="s">
        <v>12</v>
      </c>
      <c r="E42" s="5" t="s">
        <v>12</v>
      </c>
      <c r="F42" s="5">
        <v>10.0</v>
      </c>
      <c r="G42" s="5">
        <v>92.0</v>
      </c>
      <c r="H42" s="5">
        <v>386.0</v>
      </c>
      <c r="I42" s="5">
        <v>31.0</v>
      </c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5" t="s">
        <v>30</v>
      </c>
      <c r="B43" s="5" t="s">
        <v>11</v>
      </c>
      <c r="C43" s="5">
        <v>0.0</v>
      </c>
      <c r="D43" s="5" t="s">
        <v>12</v>
      </c>
      <c r="E43" s="5" t="s">
        <v>12</v>
      </c>
      <c r="F43" s="5">
        <v>4.0</v>
      </c>
      <c r="G43" s="5">
        <v>76.0</v>
      </c>
      <c r="H43" s="5">
        <v>976.0</v>
      </c>
      <c r="I43" s="5">
        <v>96.0</v>
      </c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5" t="s">
        <v>32</v>
      </c>
      <c r="B44" s="5" t="s">
        <v>11</v>
      </c>
      <c r="C44" s="5">
        <v>0.0</v>
      </c>
      <c r="D44" s="5" t="s">
        <v>12</v>
      </c>
      <c r="E44" s="5" t="s">
        <v>12</v>
      </c>
      <c r="F44" s="5">
        <v>92.0</v>
      </c>
      <c r="G44" s="5">
        <v>1374.0</v>
      </c>
      <c r="H44" s="5">
        <v>19603.0</v>
      </c>
      <c r="I44" s="5">
        <v>1313.0</v>
      </c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5" t="s">
        <v>10</v>
      </c>
      <c r="B45" s="5" t="s">
        <v>11</v>
      </c>
      <c r="C45" s="5">
        <v>0.0</v>
      </c>
      <c r="D45" s="5" t="s">
        <v>12</v>
      </c>
      <c r="E45" s="5" t="s">
        <v>12</v>
      </c>
      <c r="F45" s="5">
        <v>724.0</v>
      </c>
      <c r="G45" s="5">
        <v>16454.0</v>
      </c>
      <c r="H45" s="5">
        <v>399132.0</v>
      </c>
      <c r="I45" s="5">
        <v>2516.0</v>
      </c>
      <c r="J45" s="5"/>
      <c r="K45" s="5"/>
      <c r="L45" s="5"/>
      <c r="M45" s="5"/>
      <c r="N45" s="5"/>
      <c r="O45" s="5"/>
      <c r="P45" s="5"/>
      <c r="Q45" s="5"/>
      <c r="R45" s="5"/>
      <c r="S45" s="5"/>
    </row>
    <row r="60">
      <c r="A60" s="5" t="str">
        <f>Data!$A$1</f>
        <v>Instance</v>
      </c>
      <c r="B60" s="5" t="str">
        <f>Data!$B$1</f>
        <v>Solver Type</v>
      </c>
      <c r="C60" s="5" t="str">
        <f>Data!$C$1</f>
        <v>Solutions To Find</v>
      </c>
      <c r="D60" s="5" t="str">
        <f>Data!$D$1</f>
        <v>Variable Ordering</v>
      </c>
      <c r="E60" s="5" t="str">
        <f>Data!$E$1</f>
        <v>Value Ordering</v>
      </c>
      <c r="F60" s="5" t="str">
        <f>Data!$F$1</f>
        <v>Solutions Found</v>
      </c>
      <c r="G60" s="5" t="str">
        <f>Data!$G$1</f>
        <v>Nodes Explored</v>
      </c>
      <c r="H60" s="5" t="str">
        <f>Data!$H$1</f>
        <v>Revisions Done</v>
      </c>
      <c r="I60" s="5" t="str">
        <f>Data!$I$1</f>
        <v>Time Taken</v>
      </c>
    </row>
    <row r="61">
      <c r="A61" s="5" t="str">
        <f t="array" ref="A61:S65">SORTN(U2:AM1000,$B$36,0,9,1)</f>
        <v>4Queens.csp</v>
      </c>
      <c r="B61" s="5" t="s">
        <v>11</v>
      </c>
      <c r="C61" s="5">
        <v>0.0</v>
      </c>
      <c r="D61" s="5" t="s">
        <v>12</v>
      </c>
      <c r="E61" s="5" t="s">
        <v>12</v>
      </c>
      <c r="F61" s="5">
        <v>2.0</v>
      </c>
      <c r="G61" s="5">
        <v>18.0</v>
      </c>
      <c r="H61" s="5">
        <v>80.0</v>
      </c>
      <c r="I61" s="5">
        <v>10.0</v>
      </c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5" t="s">
        <v>29</v>
      </c>
      <c r="B62" s="5" t="s">
        <v>11</v>
      </c>
      <c r="C62" s="5">
        <v>0.0</v>
      </c>
      <c r="D62" s="5" t="s">
        <v>12</v>
      </c>
      <c r="E62" s="5" t="s">
        <v>12</v>
      </c>
      <c r="F62" s="5">
        <v>10.0</v>
      </c>
      <c r="G62" s="5">
        <v>92.0</v>
      </c>
      <c r="H62" s="5">
        <v>386.0</v>
      </c>
      <c r="I62" s="5">
        <v>31.0</v>
      </c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5" t="s">
        <v>30</v>
      </c>
      <c r="B63" s="5" t="s">
        <v>11</v>
      </c>
      <c r="C63" s="5">
        <v>0.0</v>
      </c>
      <c r="D63" s="5" t="s">
        <v>12</v>
      </c>
      <c r="E63" s="5" t="s">
        <v>12</v>
      </c>
      <c r="F63" s="5">
        <v>4.0</v>
      </c>
      <c r="G63" s="5">
        <v>76.0</v>
      </c>
      <c r="H63" s="5">
        <v>976.0</v>
      </c>
      <c r="I63" s="5">
        <v>96.0</v>
      </c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5" t="s">
        <v>32</v>
      </c>
      <c r="B64" s="5" t="s">
        <v>11</v>
      </c>
      <c r="C64" s="5">
        <v>0.0</v>
      </c>
      <c r="D64" s="5" t="s">
        <v>12</v>
      </c>
      <c r="E64" s="5" t="s">
        <v>12</v>
      </c>
      <c r="F64" s="5">
        <v>92.0</v>
      </c>
      <c r="G64" s="5">
        <v>1374.0</v>
      </c>
      <c r="H64" s="5">
        <v>19603.0</v>
      </c>
      <c r="I64" s="5">
        <v>1313.0</v>
      </c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5" t="s">
        <v>10</v>
      </c>
      <c r="B65" s="5" t="s">
        <v>11</v>
      </c>
      <c r="C65" s="5">
        <v>0.0</v>
      </c>
      <c r="D65" s="5" t="s">
        <v>12</v>
      </c>
      <c r="E65" s="5" t="s">
        <v>12</v>
      </c>
      <c r="F65" s="5">
        <v>724.0</v>
      </c>
      <c r="G65" s="5">
        <v>16454.0</v>
      </c>
      <c r="H65" s="5">
        <v>399132.0</v>
      </c>
      <c r="I65" s="5">
        <v>2516.0</v>
      </c>
      <c r="J65" s="5"/>
      <c r="K65" s="5"/>
      <c r="L65" s="5"/>
      <c r="M65" s="5"/>
      <c r="N65" s="5"/>
      <c r="O65" s="5"/>
      <c r="P65" s="5"/>
      <c r="Q65" s="5"/>
      <c r="R65" s="5"/>
      <c r="S65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75"/>
  </cols>
  <sheetData>
    <row r="1">
      <c r="A1" s="5" t="str">
        <f>Data!$A$1</f>
        <v>Instance</v>
      </c>
      <c r="B1" s="5" t="str">
        <f>Data!$B$1</f>
        <v>Solver Type</v>
      </c>
      <c r="C1" s="5" t="str">
        <f>Data!$C$1</f>
        <v>Solutions To Find</v>
      </c>
      <c r="D1" s="5" t="str">
        <f>Data!$D$1</f>
        <v>Variable Ordering</v>
      </c>
      <c r="E1" s="5" t="str">
        <f>Data!$E$1</f>
        <v>Value Ordering</v>
      </c>
      <c r="F1" s="5" t="str">
        <f>Data!$F$1</f>
        <v>Solutions Found</v>
      </c>
      <c r="G1" s="5" t="str">
        <f>Data!$G$1</f>
        <v>Nodes Explored</v>
      </c>
      <c r="H1" s="5" t="str">
        <f>Data!$H$1</f>
        <v>Revisions Done</v>
      </c>
      <c r="I1" s="5" t="str">
        <f>Data!$I$1</f>
        <v>Time Taken</v>
      </c>
      <c r="U1" s="5" t="str">
        <f>Data!$A$1</f>
        <v>Instance</v>
      </c>
      <c r="V1" s="5" t="str">
        <f>Data!$B$1</f>
        <v>Solver Type</v>
      </c>
      <c r="W1" s="5" t="str">
        <f>Data!$C$1</f>
        <v>Solutions To Find</v>
      </c>
      <c r="X1" s="5" t="str">
        <f>Data!$D$1</f>
        <v>Variable Ordering</v>
      </c>
      <c r="Y1" s="5" t="str">
        <f>Data!$E$1</f>
        <v>Value Ordering</v>
      </c>
      <c r="Z1" s="5" t="str">
        <f>Data!$F$1</f>
        <v>Solutions Found</v>
      </c>
      <c r="AA1" s="5" t="str">
        <f>Data!$G$1</f>
        <v>Nodes Explored</v>
      </c>
      <c r="AB1" s="5" t="str">
        <f>Data!$H$1</f>
        <v>Revisions Done</v>
      </c>
      <c r="AC1" s="5" t="str">
        <f>Data!$I$1</f>
        <v>Time Taken</v>
      </c>
    </row>
    <row r="2">
      <c r="A2" s="5" t="str">
        <f t="array" ref="A2:S12">SORTN(U2:AM1000,$B$36,0,7,1)</f>
        <v>langfords2_3.csp</v>
      </c>
      <c r="B2" s="5" t="s">
        <v>11</v>
      </c>
      <c r="C2" s="5">
        <v>1.0</v>
      </c>
      <c r="D2" s="5" t="s">
        <v>12</v>
      </c>
      <c r="E2" s="5" t="s">
        <v>12</v>
      </c>
      <c r="F2" s="5">
        <v>1.0</v>
      </c>
      <c r="G2" s="5">
        <v>8.0</v>
      </c>
      <c r="H2" s="5">
        <v>123.0</v>
      </c>
      <c r="I2" s="5">
        <v>32.0</v>
      </c>
      <c r="J2" s="5"/>
      <c r="K2" s="5"/>
      <c r="L2" s="5"/>
      <c r="M2" s="5"/>
      <c r="N2" s="5"/>
      <c r="O2" s="5"/>
      <c r="P2" s="5"/>
      <c r="Q2" s="5"/>
      <c r="R2" s="5"/>
      <c r="S2" s="5"/>
      <c r="U2" s="2" t="str">
        <f>IFERROR(__xludf.DUMMYFUNCTION("FILTER(Data!A:I, Data!D:D=""ASCENDING"", Data!E:E=""ASCENDING"", Data!C:C=1, Data!B:B=""MAC"", REGEXMATCH(Data!A:A, "".*langfords.*""))"),"langfords2_11.csp")</f>
        <v>langfords2_11.csp</v>
      </c>
      <c r="V2" s="5" t="str">
        <f>IFERROR(__xludf.DUMMYFUNCTION("""COMPUTED_VALUE"""),"MAC")</f>
        <v>MAC</v>
      </c>
      <c r="W2" s="5">
        <f>IFERROR(__xludf.DUMMYFUNCTION("""COMPUTED_VALUE"""),1.0)</f>
        <v>1</v>
      </c>
      <c r="X2" s="5" t="str">
        <f>IFERROR(__xludf.DUMMYFUNCTION("""COMPUTED_VALUE"""),"ASCENDING")</f>
        <v>ASCENDING</v>
      </c>
      <c r="Y2" s="5" t="str">
        <f>IFERROR(__xludf.DUMMYFUNCTION("""COMPUTED_VALUE"""),"ASCENDING")</f>
        <v>ASCENDING</v>
      </c>
      <c r="Z2" s="5">
        <f>IFERROR(__xludf.DUMMYFUNCTION("""COMPUTED_VALUE"""),1.0)</f>
        <v>1</v>
      </c>
      <c r="AA2" s="5">
        <f>IFERROR(__xludf.DUMMYFUNCTION("""COMPUTED_VALUE"""),2570.0)</f>
        <v>2570</v>
      </c>
      <c r="AB2" s="5">
        <f>IFERROR(__xludf.DUMMYFUNCTION("""COMPUTED_VALUE"""),309569.0)</f>
        <v>309569</v>
      </c>
      <c r="AC2" s="5">
        <f>IFERROR(__xludf.DUMMYFUNCTION("""COMPUTED_VALUE"""),2125.0)</f>
        <v>2125</v>
      </c>
    </row>
    <row r="3">
      <c r="A3" s="5" t="s">
        <v>37</v>
      </c>
      <c r="B3" s="5" t="s">
        <v>11</v>
      </c>
      <c r="C3" s="5">
        <v>1.0</v>
      </c>
      <c r="D3" s="5" t="s">
        <v>12</v>
      </c>
      <c r="E3" s="5" t="s">
        <v>12</v>
      </c>
      <c r="F3" s="5">
        <v>1.0</v>
      </c>
      <c r="G3" s="5">
        <v>12.0</v>
      </c>
      <c r="H3" s="5">
        <v>344.0</v>
      </c>
      <c r="I3" s="5">
        <v>139.0</v>
      </c>
      <c r="J3" s="5"/>
      <c r="K3" s="5"/>
      <c r="L3" s="5"/>
      <c r="M3" s="5"/>
      <c r="N3" s="5"/>
      <c r="O3" s="5"/>
      <c r="P3" s="5"/>
      <c r="Q3" s="5"/>
      <c r="R3" s="5"/>
      <c r="S3" s="5"/>
      <c r="U3" s="5" t="str">
        <f>IFERROR(__xludf.DUMMYFUNCTION("""COMPUTED_VALUE"""),"langfords2_12.csp")</f>
        <v>langfords2_12.csp</v>
      </c>
      <c r="V3" s="5" t="str">
        <f>IFERROR(__xludf.DUMMYFUNCTION("""COMPUTED_VALUE"""),"MAC")</f>
        <v>MAC</v>
      </c>
      <c r="W3" s="5">
        <f>IFERROR(__xludf.DUMMYFUNCTION("""COMPUTED_VALUE"""),1.0)</f>
        <v>1</v>
      </c>
      <c r="X3" s="5" t="str">
        <f>IFERROR(__xludf.DUMMYFUNCTION("""COMPUTED_VALUE"""),"ASCENDING")</f>
        <v>ASCENDING</v>
      </c>
      <c r="Y3" s="5" t="str">
        <f>IFERROR(__xludf.DUMMYFUNCTION("""COMPUTED_VALUE"""),"ASCENDING")</f>
        <v>ASCENDING</v>
      </c>
      <c r="Z3" s="5">
        <f>IFERROR(__xludf.DUMMYFUNCTION("""COMPUTED_VALUE"""),1.0)</f>
        <v>1</v>
      </c>
      <c r="AA3" s="5">
        <f>IFERROR(__xludf.DUMMYFUNCTION("""COMPUTED_VALUE"""),2890.0)</f>
        <v>2890</v>
      </c>
      <c r="AB3" s="5">
        <f>IFERROR(__xludf.DUMMYFUNCTION("""COMPUTED_VALUE"""),392092.0)</f>
        <v>392092</v>
      </c>
      <c r="AC3" s="5">
        <f>IFERROR(__xludf.DUMMYFUNCTION("""COMPUTED_VALUE"""),2306.0)</f>
        <v>2306</v>
      </c>
    </row>
    <row r="4">
      <c r="A4" s="5" t="s">
        <v>38</v>
      </c>
      <c r="B4" s="5" t="s">
        <v>11</v>
      </c>
      <c r="C4" s="5">
        <v>1.0</v>
      </c>
      <c r="D4" s="5" t="s">
        <v>12</v>
      </c>
      <c r="E4" s="5" t="s">
        <v>12</v>
      </c>
      <c r="F4" s="5">
        <v>1.0</v>
      </c>
      <c r="G4" s="5">
        <v>38.0</v>
      </c>
      <c r="H4" s="5">
        <v>3416.0</v>
      </c>
      <c r="I4" s="5">
        <v>408.0</v>
      </c>
      <c r="J4" s="5"/>
      <c r="K4" s="5"/>
      <c r="L4" s="5"/>
      <c r="M4" s="5"/>
      <c r="N4" s="5"/>
      <c r="O4" s="5"/>
      <c r="P4" s="5"/>
      <c r="Q4" s="5"/>
      <c r="R4" s="5"/>
      <c r="S4" s="5"/>
      <c r="U4" s="5" t="str">
        <f>IFERROR(__xludf.DUMMYFUNCTION("""COMPUTED_VALUE"""),"langfords2_3.csp")</f>
        <v>langfords2_3.csp</v>
      </c>
      <c r="V4" s="5" t="str">
        <f>IFERROR(__xludf.DUMMYFUNCTION("""COMPUTED_VALUE"""),"MAC")</f>
        <v>MAC</v>
      </c>
      <c r="W4" s="5">
        <f>IFERROR(__xludf.DUMMYFUNCTION("""COMPUTED_VALUE"""),1.0)</f>
        <v>1</v>
      </c>
      <c r="X4" s="5" t="str">
        <f>IFERROR(__xludf.DUMMYFUNCTION("""COMPUTED_VALUE"""),"ASCENDING")</f>
        <v>ASCENDING</v>
      </c>
      <c r="Y4" s="5" t="str">
        <f>IFERROR(__xludf.DUMMYFUNCTION("""COMPUTED_VALUE"""),"ASCENDING")</f>
        <v>ASCENDING</v>
      </c>
      <c r="Z4" s="5">
        <f>IFERROR(__xludf.DUMMYFUNCTION("""COMPUTED_VALUE"""),1.0)</f>
        <v>1</v>
      </c>
      <c r="AA4" s="5">
        <f>IFERROR(__xludf.DUMMYFUNCTION("""COMPUTED_VALUE"""),8.0)</f>
        <v>8</v>
      </c>
      <c r="AB4" s="5">
        <f>IFERROR(__xludf.DUMMYFUNCTION("""COMPUTED_VALUE"""),123.0)</f>
        <v>123</v>
      </c>
      <c r="AC4" s="5">
        <f>IFERROR(__xludf.DUMMYFUNCTION("""COMPUTED_VALUE"""),32.0)</f>
        <v>32</v>
      </c>
    </row>
    <row r="5">
      <c r="A5" s="5" t="s">
        <v>41</v>
      </c>
      <c r="B5" s="5" t="s">
        <v>11</v>
      </c>
      <c r="C5" s="5">
        <v>1.0</v>
      </c>
      <c r="D5" s="5" t="s">
        <v>12</v>
      </c>
      <c r="E5" s="5" t="s">
        <v>12</v>
      </c>
      <c r="F5" s="5">
        <v>1.0</v>
      </c>
      <c r="G5" s="5">
        <v>93.0</v>
      </c>
      <c r="H5" s="5">
        <v>23646.0</v>
      </c>
      <c r="I5" s="5">
        <v>678.0</v>
      </c>
      <c r="J5" s="5"/>
      <c r="K5" s="5"/>
      <c r="L5" s="5"/>
      <c r="M5" s="5"/>
      <c r="N5" s="5"/>
      <c r="O5" s="5"/>
      <c r="P5" s="5"/>
      <c r="Q5" s="5"/>
      <c r="R5" s="5"/>
      <c r="S5" s="5"/>
      <c r="U5" s="5" t="str">
        <f>IFERROR(__xludf.DUMMYFUNCTION("""COMPUTED_VALUE"""),"langfords2_4.csp")</f>
        <v>langfords2_4.csp</v>
      </c>
      <c r="V5" s="5" t="str">
        <f>IFERROR(__xludf.DUMMYFUNCTION("""COMPUTED_VALUE"""),"MAC")</f>
        <v>MAC</v>
      </c>
      <c r="W5" s="5">
        <f>IFERROR(__xludf.DUMMYFUNCTION("""COMPUTED_VALUE"""),1.0)</f>
        <v>1</v>
      </c>
      <c r="X5" s="5" t="str">
        <f>IFERROR(__xludf.DUMMYFUNCTION("""COMPUTED_VALUE"""),"ASCENDING")</f>
        <v>ASCENDING</v>
      </c>
      <c r="Y5" s="5" t="str">
        <f>IFERROR(__xludf.DUMMYFUNCTION("""COMPUTED_VALUE"""),"ASCENDING")</f>
        <v>ASCENDING</v>
      </c>
      <c r="Z5" s="5">
        <f>IFERROR(__xludf.DUMMYFUNCTION("""COMPUTED_VALUE"""),1.0)</f>
        <v>1</v>
      </c>
      <c r="AA5" s="5">
        <f>IFERROR(__xludf.DUMMYFUNCTION("""COMPUTED_VALUE"""),12.0)</f>
        <v>12</v>
      </c>
      <c r="AB5" s="5">
        <f>IFERROR(__xludf.DUMMYFUNCTION("""COMPUTED_VALUE"""),344.0)</f>
        <v>344</v>
      </c>
      <c r="AC5" s="5">
        <f>IFERROR(__xludf.DUMMYFUNCTION("""COMPUTED_VALUE"""),139.0)</f>
        <v>139</v>
      </c>
    </row>
    <row r="6">
      <c r="A6" s="5" t="s">
        <v>39</v>
      </c>
      <c r="B6" s="5" t="s">
        <v>11</v>
      </c>
      <c r="C6" s="5">
        <v>1.0</v>
      </c>
      <c r="D6" s="5" t="s">
        <v>12</v>
      </c>
      <c r="E6" s="5" t="s">
        <v>12</v>
      </c>
      <c r="F6" s="5">
        <v>1.0</v>
      </c>
      <c r="G6" s="5">
        <v>176.0</v>
      </c>
      <c r="H6" s="5">
        <v>16045.0</v>
      </c>
      <c r="I6" s="5">
        <v>683.0</v>
      </c>
      <c r="J6" s="5"/>
      <c r="K6" s="5"/>
      <c r="L6" s="5"/>
      <c r="M6" s="5"/>
      <c r="N6" s="5"/>
      <c r="O6" s="5"/>
      <c r="P6" s="5"/>
      <c r="Q6" s="5"/>
      <c r="R6" s="5"/>
      <c r="S6" s="5"/>
      <c r="U6" s="5" t="str">
        <f>IFERROR(__xludf.DUMMYFUNCTION("""COMPUTED_VALUE"""),"langfords2_7.csp")</f>
        <v>langfords2_7.csp</v>
      </c>
      <c r="V6" s="5" t="str">
        <f>IFERROR(__xludf.DUMMYFUNCTION("""COMPUTED_VALUE"""),"MAC")</f>
        <v>MAC</v>
      </c>
      <c r="W6" s="5">
        <f>IFERROR(__xludf.DUMMYFUNCTION("""COMPUTED_VALUE"""),1.0)</f>
        <v>1</v>
      </c>
      <c r="X6" s="5" t="str">
        <f>IFERROR(__xludf.DUMMYFUNCTION("""COMPUTED_VALUE"""),"ASCENDING")</f>
        <v>ASCENDING</v>
      </c>
      <c r="Y6" s="5" t="str">
        <f>IFERROR(__xludf.DUMMYFUNCTION("""COMPUTED_VALUE"""),"ASCENDING")</f>
        <v>ASCENDING</v>
      </c>
      <c r="Z6" s="5">
        <f>IFERROR(__xludf.DUMMYFUNCTION("""COMPUTED_VALUE"""),1.0)</f>
        <v>1</v>
      </c>
      <c r="AA6" s="5">
        <f>IFERROR(__xludf.DUMMYFUNCTION("""COMPUTED_VALUE"""),38.0)</f>
        <v>38</v>
      </c>
      <c r="AB6" s="5">
        <f>IFERROR(__xludf.DUMMYFUNCTION("""COMPUTED_VALUE"""),3416.0)</f>
        <v>3416</v>
      </c>
      <c r="AC6" s="5">
        <f>IFERROR(__xludf.DUMMYFUNCTION("""COMPUTED_VALUE"""),408.0)</f>
        <v>408</v>
      </c>
    </row>
    <row r="7">
      <c r="A7" s="5" t="s">
        <v>40</v>
      </c>
      <c r="B7" s="5" t="s">
        <v>11</v>
      </c>
      <c r="C7" s="5">
        <v>1.0</v>
      </c>
      <c r="D7" s="5" t="s">
        <v>12</v>
      </c>
      <c r="E7" s="5" t="s">
        <v>12</v>
      </c>
      <c r="F7" s="5">
        <v>1.0</v>
      </c>
      <c r="G7" s="5">
        <v>276.0</v>
      </c>
      <c r="H7" s="5">
        <v>80363.0</v>
      </c>
      <c r="I7" s="5">
        <v>1130.0</v>
      </c>
      <c r="J7" s="5"/>
      <c r="K7" s="5"/>
      <c r="L7" s="5"/>
      <c r="M7" s="5"/>
      <c r="N7" s="5"/>
      <c r="O7" s="5"/>
      <c r="P7" s="5"/>
      <c r="Q7" s="5"/>
      <c r="R7" s="5"/>
      <c r="S7" s="5"/>
      <c r="U7" s="5" t="str">
        <f>IFERROR(__xludf.DUMMYFUNCTION("""COMPUTED_VALUE"""),"langfords2_8.csp")</f>
        <v>langfords2_8.csp</v>
      </c>
      <c r="V7" s="5" t="str">
        <f>IFERROR(__xludf.DUMMYFUNCTION("""COMPUTED_VALUE"""),"MAC")</f>
        <v>MAC</v>
      </c>
      <c r="W7" s="5">
        <f>IFERROR(__xludf.DUMMYFUNCTION("""COMPUTED_VALUE"""),1.0)</f>
        <v>1</v>
      </c>
      <c r="X7" s="5" t="str">
        <f>IFERROR(__xludf.DUMMYFUNCTION("""COMPUTED_VALUE"""),"ASCENDING")</f>
        <v>ASCENDING</v>
      </c>
      <c r="Y7" s="5" t="str">
        <f>IFERROR(__xludf.DUMMYFUNCTION("""COMPUTED_VALUE"""),"ASCENDING")</f>
        <v>ASCENDING</v>
      </c>
      <c r="Z7" s="5">
        <f>IFERROR(__xludf.DUMMYFUNCTION("""COMPUTED_VALUE"""),1.0)</f>
        <v>1</v>
      </c>
      <c r="AA7" s="5">
        <f>IFERROR(__xludf.DUMMYFUNCTION("""COMPUTED_VALUE"""),176.0)</f>
        <v>176</v>
      </c>
      <c r="AB7" s="5">
        <f>IFERROR(__xludf.DUMMYFUNCTION("""COMPUTED_VALUE"""),16045.0)</f>
        <v>16045</v>
      </c>
      <c r="AC7" s="5">
        <f>IFERROR(__xludf.DUMMYFUNCTION("""COMPUTED_VALUE"""),683.0)</f>
        <v>683</v>
      </c>
    </row>
    <row r="8">
      <c r="A8" s="5" t="s">
        <v>34</v>
      </c>
      <c r="B8" s="5" t="s">
        <v>11</v>
      </c>
      <c r="C8" s="5">
        <v>1.0</v>
      </c>
      <c r="D8" s="5" t="s">
        <v>12</v>
      </c>
      <c r="E8" s="5" t="s">
        <v>12</v>
      </c>
      <c r="F8" s="5">
        <v>1.0</v>
      </c>
      <c r="G8" s="5">
        <v>2570.0</v>
      </c>
      <c r="H8" s="5">
        <v>309569.0</v>
      </c>
      <c r="I8" s="5">
        <v>2125.0</v>
      </c>
      <c r="J8" s="5"/>
      <c r="K8" s="5"/>
      <c r="L8" s="5"/>
      <c r="M8" s="5"/>
      <c r="N8" s="5"/>
      <c r="O8" s="5"/>
      <c r="P8" s="5"/>
      <c r="Q8" s="5"/>
      <c r="R8" s="5"/>
      <c r="S8" s="5"/>
      <c r="U8" s="5" t="str">
        <f>IFERROR(__xludf.DUMMYFUNCTION("""COMPUTED_VALUE"""),"langfords3_10.csp")</f>
        <v>langfords3_10.csp</v>
      </c>
      <c r="V8" s="5" t="str">
        <f>IFERROR(__xludf.DUMMYFUNCTION("""COMPUTED_VALUE"""),"MAC")</f>
        <v>MAC</v>
      </c>
      <c r="W8" s="5">
        <f>IFERROR(__xludf.DUMMYFUNCTION("""COMPUTED_VALUE"""),1.0)</f>
        <v>1</v>
      </c>
      <c r="X8" s="5" t="str">
        <f>IFERROR(__xludf.DUMMYFUNCTION("""COMPUTED_VALUE"""),"ASCENDING")</f>
        <v>ASCENDING</v>
      </c>
      <c r="Y8" s="5" t="str">
        <f>IFERROR(__xludf.DUMMYFUNCTION("""COMPUTED_VALUE"""),"ASCENDING")</f>
        <v>ASCENDING</v>
      </c>
      <c r="Z8" s="5">
        <f>IFERROR(__xludf.DUMMYFUNCTION("""COMPUTED_VALUE"""),1.0)</f>
        <v>1</v>
      </c>
      <c r="AA8" s="5">
        <f>IFERROR(__xludf.DUMMYFUNCTION("""COMPUTED_VALUE"""),276.0)</f>
        <v>276</v>
      </c>
      <c r="AB8" s="5">
        <f>IFERROR(__xludf.DUMMYFUNCTION("""COMPUTED_VALUE"""),80363.0)</f>
        <v>80363</v>
      </c>
      <c r="AC8" s="5">
        <f>IFERROR(__xludf.DUMMYFUNCTION("""COMPUTED_VALUE"""),1130.0)</f>
        <v>1130</v>
      </c>
    </row>
    <row r="9">
      <c r="A9" s="5" t="s">
        <v>35</v>
      </c>
      <c r="B9" s="5" t="s">
        <v>11</v>
      </c>
      <c r="C9" s="5">
        <v>1.0</v>
      </c>
      <c r="D9" s="5" t="s">
        <v>12</v>
      </c>
      <c r="E9" s="5" t="s">
        <v>12</v>
      </c>
      <c r="F9" s="5">
        <v>1.0</v>
      </c>
      <c r="G9" s="5">
        <v>2890.0</v>
      </c>
      <c r="H9" s="5">
        <v>392092.0</v>
      </c>
      <c r="I9" s="5">
        <v>2306.0</v>
      </c>
      <c r="J9" s="5"/>
      <c r="K9" s="5"/>
      <c r="L9" s="5"/>
      <c r="M9" s="5"/>
      <c r="N9" s="5"/>
      <c r="O9" s="5"/>
      <c r="P9" s="5"/>
      <c r="Q9" s="5"/>
      <c r="R9" s="5"/>
      <c r="S9" s="5"/>
      <c r="U9" s="5" t="str">
        <f>IFERROR(__xludf.DUMMYFUNCTION("""COMPUTED_VALUE"""),"langfords3_9.csp")</f>
        <v>langfords3_9.csp</v>
      </c>
      <c r="V9" s="5" t="str">
        <f>IFERROR(__xludf.DUMMYFUNCTION("""COMPUTED_VALUE"""),"MAC")</f>
        <v>MAC</v>
      </c>
      <c r="W9" s="5">
        <f>IFERROR(__xludf.DUMMYFUNCTION("""COMPUTED_VALUE"""),1.0)</f>
        <v>1</v>
      </c>
      <c r="X9" s="5" t="str">
        <f>IFERROR(__xludf.DUMMYFUNCTION("""COMPUTED_VALUE"""),"ASCENDING")</f>
        <v>ASCENDING</v>
      </c>
      <c r="Y9" s="5" t="str">
        <f>IFERROR(__xludf.DUMMYFUNCTION("""COMPUTED_VALUE"""),"ASCENDING")</f>
        <v>ASCENDING</v>
      </c>
      <c r="Z9" s="5">
        <f>IFERROR(__xludf.DUMMYFUNCTION("""COMPUTED_VALUE"""),1.0)</f>
        <v>1</v>
      </c>
      <c r="AA9" s="5">
        <f>IFERROR(__xludf.DUMMYFUNCTION("""COMPUTED_VALUE"""),93.0)</f>
        <v>93</v>
      </c>
      <c r="AB9" s="5">
        <f>IFERROR(__xludf.DUMMYFUNCTION("""COMPUTED_VALUE"""),23646.0)</f>
        <v>23646</v>
      </c>
      <c r="AC9" s="5">
        <f>IFERROR(__xludf.DUMMYFUNCTION("""COMPUTED_VALUE"""),678.0)</f>
        <v>678</v>
      </c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36">
      <c r="A36" s="6" t="s">
        <v>43</v>
      </c>
      <c r="B36" s="6">
        <v>11.0</v>
      </c>
    </row>
    <row r="40">
      <c r="A40" s="5" t="str">
        <f>Data!$A$1</f>
        <v>Instance</v>
      </c>
      <c r="B40" s="5" t="str">
        <f>Data!$B$1</f>
        <v>Solver Type</v>
      </c>
      <c r="C40" s="5" t="str">
        <f>Data!$C$1</f>
        <v>Solutions To Find</v>
      </c>
      <c r="D40" s="5" t="str">
        <f>Data!$D$1</f>
        <v>Variable Ordering</v>
      </c>
      <c r="E40" s="5" t="str">
        <f>Data!$E$1</f>
        <v>Value Ordering</v>
      </c>
      <c r="F40" s="5" t="str">
        <f>Data!$F$1</f>
        <v>Solutions Found</v>
      </c>
      <c r="G40" s="5" t="str">
        <f>Data!$G$1</f>
        <v>Nodes Explored</v>
      </c>
      <c r="H40" s="5" t="str">
        <f>Data!$H$1</f>
        <v>Revisions Done</v>
      </c>
      <c r="I40" s="5" t="str">
        <f>Data!$I$1</f>
        <v>Time Taken</v>
      </c>
    </row>
    <row r="41">
      <c r="A41" s="5" t="str">
        <f t="array" ref="A41:S51">SORTN(U2:AM1000,$B$36,0,8,1)</f>
        <v>langfords2_3.csp</v>
      </c>
      <c r="B41" s="5" t="s">
        <v>11</v>
      </c>
      <c r="C41" s="5">
        <v>1.0</v>
      </c>
      <c r="D41" s="5" t="s">
        <v>12</v>
      </c>
      <c r="E41" s="5" t="s">
        <v>12</v>
      </c>
      <c r="F41" s="5">
        <v>1.0</v>
      </c>
      <c r="G41" s="5">
        <v>8.0</v>
      </c>
      <c r="H41" s="5">
        <v>123.0</v>
      </c>
      <c r="I41" s="5">
        <v>32.0</v>
      </c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5" t="s">
        <v>37</v>
      </c>
      <c r="B42" s="5" t="s">
        <v>11</v>
      </c>
      <c r="C42" s="5">
        <v>1.0</v>
      </c>
      <c r="D42" s="5" t="s">
        <v>12</v>
      </c>
      <c r="E42" s="5" t="s">
        <v>12</v>
      </c>
      <c r="F42" s="5">
        <v>1.0</v>
      </c>
      <c r="G42" s="5">
        <v>12.0</v>
      </c>
      <c r="H42" s="5">
        <v>344.0</v>
      </c>
      <c r="I42" s="5">
        <v>139.0</v>
      </c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5" t="s">
        <v>38</v>
      </c>
      <c r="B43" s="5" t="s">
        <v>11</v>
      </c>
      <c r="C43" s="5">
        <v>1.0</v>
      </c>
      <c r="D43" s="5" t="s">
        <v>12</v>
      </c>
      <c r="E43" s="5" t="s">
        <v>12</v>
      </c>
      <c r="F43" s="5">
        <v>1.0</v>
      </c>
      <c r="G43" s="5">
        <v>38.0</v>
      </c>
      <c r="H43" s="5">
        <v>3416.0</v>
      </c>
      <c r="I43" s="5">
        <v>408.0</v>
      </c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5" t="s">
        <v>39</v>
      </c>
      <c r="B44" s="5" t="s">
        <v>11</v>
      </c>
      <c r="C44" s="5">
        <v>1.0</v>
      </c>
      <c r="D44" s="5" t="s">
        <v>12</v>
      </c>
      <c r="E44" s="5" t="s">
        <v>12</v>
      </c>
      <c r="F44" s="5">
        <v>1.0</v>
      </c>
      <c r="G44" s="5">
        <v>176.0</v>
      </c>
      <c r="H44" s="5">
        <v>16045.0</v>
      </c>
      <c r="I44" s="5">
        <v>683.0</v>
      </c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5" t="s">
        <v>41</v>
      </c>
      <c r="B45" s="5" t="s">
        <v>11</v>
      </c>
      <c r="C45" s="5">
        <v>1.0</v>
      </c>
      <c r="D45" s="5" t="s">
        <v>12</v>
      </c>
      <c r="E45" s="5" t="s">
        <v>12</v>
      </c>
      <c r="F45" s="5">
        <v>1.0</v>
      </c>
      <c r="G45" s="5">
        <v>93.0</v>
      </c>
      <c r="H45" s="5">
        <v>23646.0</v>
      </c>
      <c r="I45" s="5">
        <v>678.0</v>
      </c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5" t="s">
        <v>40</v>
      </c>
      <c r="B46" s="5" t="s">
        <v>11</v>
      </c>
      <c r="C46" s="5">
        <v>1.0</v>
      </c>
      <c r="D46" s="5" t="s">
        <v>12</v>
      </c>
      <c r="E46" s="5" t="s">
        <v>12</v>
      </c>
      <c r="F46" s="5">
        <v>1.0</v>
      </c>
      <c r="G46" s="5">
        <v>276.0</v>
      </c>
      <c r="H46" s="5">
        <v>80363.0</v>
      </c>
      <c r="I46" s="5">
        <v>1130.0</v>
      </c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5" t="s">
        <v>34</v>
      </c>
      <c r="B47" s="5" t="s">
        <v>11</v>
      </c>
      <c r="C47" s="5">
        <v>1.0</v>
      </c>
      <c r="D47" s="5" t="s">
        <v>12</v>
      </c>
      <c r="E47" s="5" t="s">
        <v>12</v>
      </c>
      <c r="F47" s="5">
        <v>1.0</v>
      </c>
      <c r="G47" s="5">
        <v>2570.0</v>
      </c>
      <c r="H47" s="5">
        <v>309569.0</v>
      </c>
      <c r="I47" s="5">
        <v>2125.0</v>
      </c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5" t="s">
        <v>35</v>
      </c>
      <c r="B48" s="5" t="s">
        <v>11</v>
      </c>
      <c r="C48" s="5">
        <v>1.0</v>
      </c>
      <c r="D48" s="5" t="s">
        <v>12</v>
      </c>
      <c r="E48" s="5" t="s">
        <v>12</v>
      </c>
      <c r="F48" s="5">
        <v>1.0</v>
      </c>
      <c r="G48" s="5">
        <v>2890.0</v>
      </c>
      <c r="H48" s="5">
        <v>392092.0</v>
      </c>
      <c r="I48" s="5">
        <v>2306.0</v>
      </c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60">
      <c r="A60" s="5" t="str">
        <f>Data!$A$1</f>
        <v>Instance</v>
      </c>
      <c r="B60" s="5" t="str">
        <f>Data!$B$1</f>
        <v>Solver Type</v>
      </c>
      <c r="C60" s="5" t="str">
        <f>Data!$C$1</f>
        <v>Solutions To Find</v>
      </c>
      <c r="D60" s="5" t="str">
        <f>Data!$D$1</f>
        <v>Variable Ordering</v>
      </c>
      <c r="E60" s="5" t="str">
        <f>Data!$E$1</f>
        <v>Value Ordering</v>
      </c>
      <c r="F60" s="5" t="str">
        <f>Data!$F$1</f>
        <v>Solutions Found</v>
      </c>
      <c r="G60" s="5" t="str">
        <f>Data!$G$1</f>
        <v>Nodes Explored</v>
      </c>
      <c r="H60" s="5" t="str">
        <f>Data!$H$1</f>
        <v>Revisions Done</v>
      </c>
      <c r="I60" s="5" t="str">
        <f>Data!$I$1</f>
        <v>Time Taken</v>
      </c>
    </row>
    <row r="61">
      <c r="A61" s="5" t="str">
        <f t="array" ref="A61:S71">SORTN(U2:AM1000,$B$36,0,9,1)</f>
        <v>langfords2_3.csp</v>
      </c>
      <c r="B61" s="5" t="s">
        <v>11</v>
      </c>
      <c r="C61" s="5">
        <v>1.0</v>
      </c>
      <c r="D61" s="5" t="s">
        <v>12</v>
      </c>
      <c r="E61" s="5" t="s">
        <v>12</v>
      </c>
      <c r="F61" s="5">
        <v>1.0</v>
      </c>
      <c r="G61" s="5">
        <v>8.0</v>
      </c>
      <c r="H61" s="5">
        <v>123.0</v>
      </c>
      <c r="I61" s="5">
        <v>32.0</v>
      </c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5" t="s">
        <v>37</v>
      </c>
      <c r="B62" s="5" t="s">
        <v>11</v>
      </c>
      <c r="C62" s="5">
        <v>1.0</v>
      </c>
      <c r="D62" s="5" t="s">
        <v>12</v>
      </c>
      <c r="E62" s="5" t="s">
        <v>12</v>
      </c>
      <c r="F62" s="5">
        <v>1.0</v>
      </c>
      <c r="G62" s="5">
        <v>12.0</v>
      </c>
      <c r="H62" s="5">
        <v>344.0</v>
      </c>
      <c r="I62" s="5">
        <v>139.0</v>
      </c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5" t="s">
        <v>38</v>
      </c>
      <c r="B63" s="5" t="s">
        <v>11</v>
      </c>
      <c r="C63" s="5">
        <v>1.0</v>
      </c>
      <c r="D63" s="5" t="s">
        <v>12</v>
      </c>
      <c r="E63" s="5" t="s">
        <v>12</v>
      </c>
      <c r="F63" s="5">
        <v>1.0</v>
      </c>
      <c r="G63" s="5">
        <v>38.0</v>
      </c>
      <c r="H63" s="5">
        <v>3416.0</v>
      </c>
      <c r="I63" s="5">
        <v>408.0</v>
      </c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5" t="s">
        <v>41</v>
      </c>
      <c r="B64" s="5" t="s">
        <v>11</v>
      </c>
      <c r="C64" s="5">
        <v>1.0</v>
      </c>
      <c r="D64" s="5" t="s">
        <v>12</v>
      </c>
      <c r="E64" s="5" t="s">
        <v>12</v>
      </c>
      <c r="F64" s="5">
        <v>1.0</v>
      </c>
      <c r="G64" s="5">
        <v>93.0</v>
      </c>
      <c r="H64" s="5">
        <v>23646.0</v>
      </c>
      <c r="I64" s="5">
        <v>678.0</v>
      </c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5" t="s">
        <v>39</v>
      </c>
      <c r="B65" s="5" t="s">
        <v>11</v>
      </c>
      <c r="C65" s="5">
        <v>1.0</v>
      </c>
      <c r="D65" s="5" t="s">
        <v>12</v>
      </c>
      <c r="E65" s="5" t="s">
        <v>12</v>
      </c>
      <c r="F65" s="5">
        <v>1.0</v>
      </c>
      <c r="G65" s="5">
        <v>176.0</v>
      </c>
      <c r="H65" s="5">
        <v>16045.0</v>
      </c>
      <c r="I65" s="5">
        <v>683.0</v>
      </c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5" t="s">
        <v>40</v>
      </c>
      <c r="B66" s="5" t="s">
        <v>11</v>
      </c>
      <c r="C66" s="5">
        <v>1.0</v>
      </c>
      <c r="D66" s="5" t="s">
        <v>12</v>
      </c>
      <c r="E66" s="5" t="s">
        <v>12</v>
      </c>
      <c r="F66" s="5">
        <v>1.0</v>
      </c>
      <c r="G66" s="5">
        <v>276.0</v>
      </c>
      <c r="H66" s="5">
        <v>80363.0</v>
      </c>
      <c r="I66" s="5">
        <v>1130.0</v>
      </c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5" t="s">
        <v>34</v>
      </c>
      <c r="B67" s="5" t="s">
        <v>11</v>
      </c>
      <c r="C67" s="5">
        <v>1.0</v>
      </c>
      <c r="D67" s="5" t="s">
        <v>12</v>
      </c>
      <c r="E67" s="5" t="s">
        <v>12</v>
      </c>
      <c r="F67" s="5">
        <v>1.0</v>
      </c>
      <c r="G67" s="5">
        <v>2570.0</v>
      </c>
      <c r="H67" s="5">
        <v>309569.0</v>
      </c>
      <c r="I67" s="5">
        <v>2125.0</v>
      </c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5" t="s">
        <v>35</v>
      </c>
      <c r="B68" s="5" t="s">
        <v>11</v>
      </c>
      <c r="C68" s="5">
        <v>1.0</v>
      </c>
      <c r="D68" s="5" t="s">
        <v>12</v>
      </c>
      <c r="E68" s="5" t="s">
        <v>12</v>
      </c>
      <c r="F68" s="5">
        <v>1.0</v>
      </c>
      <c r="G68" s="5">
        <v>2890.0</v>
      </c>
      <c r="H68" s="5">
        <v>392092.0</v>
      </c>
      <c r="I68" s="5">
        <v>2306.0</v>
      </c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75"/>
  </cols>
  <sheetData>
    <row r="1">
      <c r="A1" s="5" t="str">
        <f>Data!$A$1</f>
        <v>Instance</v>
      </c>
      <c r="B1" s="5" t="str">
        <f>Data!$B$1</f>
        <v>Solver Type</v>
      </c>
      <c r="C1" s="5" t="str">
        <f>Data!$C$1</f>
        <v>Solutions To Find</v>
      </c>
      <c r="D1" s="5" t="str">
        <f>Data!$D$1</f>
        <v>Variable Ordering</v>
      </c>
      <c r="E1" s="5" t="str">
        <f>Data!$E$1</f>
        <v>Value Ordering</v>
      </c>
      <c r="F1" s="5" t="str">
        <f>Data!$F$1</f>
        <v>Solutions Found</v>
      </c>
      <c r="G1" s="5" t="str">
        <f>Data!$G$1</f>
        <v>Nodes Explored</v>
      </c>
      <c r="H1" s="5" t="str">
        <f>Data!$H$1</f>
        <v>Revisions Done</v>
      </c>
      <c r="I1" s="5" t="str">
        <f>Data!$I$1</f>
        <v>Time Taken</v>
      </c>
      <c r="U1" s="5" t="str">
        <f>Data!$A$1</f>
        <v>Instance</v>
      </c>
      <c r="V1" s="5" t="str">
        <f>Data!$B$1</f>
        <v>Solver Type</v>
      </c>
      <c r="W1" s="5" t="str">
        <f>Data!$C$1</f>
        <v>Solutions To Find</v>
      </c>
      <c r="X1" s="5" t="str">
        <f>Data!$D$1</f>
        <v>Variable Ordering</v>
      </c>
      <c r="Y1" s="5" t="str">
        <f>Data!$E$1</f>
        <v>Value Ordering</v>
      </c>
      <c r="Z1" s="5" t="str">
        <f>Data!$F$1</f>
        <v>Solutions Found</v>
      </c>
      <c r="AA1" s="5" t="str">
        <f>Data!$G$1</f>
        <v>Nodes Explored</v>
      </c>
      <c r="AB1" s="5" t="str">
        <f>Data!$H$1</f>
        <v>Revisions Done</v>
      </c>
      <c r="AC1" s="5" t="str">
        <f>Data!$I$1</f>
        <v>Time Taken</v>
      </c>
    </row>
    <row r="2">
      <c r="A2" s="5" t="str">
        <f t="array" ref="A2:S6">SORTN(U2:AM1000,$B$36,0,7,1)</f>
        <v>langfords2_3.csp</v>
      </c>
      <c r="B2" s="5" t="s">
        <v>11</v>
      </c>
      <c r="C2" s="5">
        <v>0.0</v>
      </c>
      <c r="D2" s="5" t="s">
        <v>12</v>
      </c>
      <c r="E2" s="5" t="s">
        <v>12</v>
      </c>
      <c r="F2" s="5">
        <v>2.0</v>
      </c>
      <c r="G2" s="5">
        <v>26.0</v>
      </c>
      <c r="H2" s="5">
        <v>193.0</v>
      </c>
      <c r="I2" s="5">
        <v>26.0</v>
      </c>
      <c r="J2" s="5"/>
      <c r="K2" s="5"/>
      <c r="L2" s="5"/>
      <c r="M2" s="5"/>
      <c r="N2" s="5"/>
      <c r="O2" s="5"/>
      <c r="P2" s="5"/>
      <c r="Q2" s="5"/>
      <c r="R2" s="5"/>
      <c r="S2" s="5"/>
      <c r="U2" s="2" t="str">
        <f>IFERROR(__xludf.DUMMYFUNCTION("FILTER(Data!A:I, Data!D:D=""ASCENDING"", Data!E:E=""ASCENDING"", Data!C:C=0, Data!B:B=""MAC"", REGEXMATCH(Data!A:A, "".*langfords.*""))"),"langfords2_3.csp")</f>
        <v>langfords2_3.csp</v>
      </c>
      <c r="V2" s="5" t="str">
        <f>IFERROR(__xludf.DUMMYFUNCTION("""COMPUTED_VALUE"""),"MAC")</f>
        <v>MAC</v>
      </c>
      <c r="W2" s="5">
        <f>IFERROR(__xludf.DUMMYFUNCTION("""COMPUTED_VALUE"""),0.0)</f>
        <v>0</v>
      </c>
      <c r="X2" s="5" t="str">
        <f>IFERROR(__xludf.DUMMYFUNCTION("""COMPUTED_VALUE"""),"ASCENDING")</f>
        <v>ASCENDING</v>
      </c>
      <c r="Y2" s="5" t="str">
        <f>IFERROR(__xludf.DUMMYFUNCTION("""COMPUTED_VALUE"""),"ASCENDING")</f>
        <v>ASCENDING</v>
      </c>
      <c r="Z2" s="5">
        <f>IFERROR(__xludf.DUMMYFUNCTION("""COMPUTED_VALUE"""),2.0)</f>
        <v>2</v>
      </c>
      <c r="AA2" s="5">
        <f>IFERROR(__xludf.DUMMYFUNCTION("""COMPUTED_VALUE"""),26.0)</f>
        <v>26</v>
      </c>
      <c r="AB2" s="5">
        <f>IFERROR(__xludf.DUMMYFUNCTION("""COMPUTED_VALUE"""),193.0)</f>
        <v>193</v>
      </c>
      <c r="AC2" s="5">
        <f>IFERROR(__xludf.DUMMYFUNCTION("""COMPUTED_VALUE"""),26.0)</f>
        <v>26</v>
      </c>
    </row>
    <row r="3">
      <c r="A3" s="5" t="s">
        <v>37</v>
      </c>
      <c r="B3" s="5" t="s">
        <v>11</v>
      </c>
      <c r="C3" s="5">
        <v>0.0</v>
      </c>
      <c r="D3" s="5" t="s">
        <v>12</v>
      </c>
      <c r="E3" s="5" t="s">
        <v>12</v>
      </c>
      <c r="F3" s="5">
        <v>2.0</v>
      </c>
      <c r="G3" s="5">
        <v>48.0</v>
      </c>
      <c r="H3" s="5">
        <v>908.0</v>
      </c>
      <c r="I3" s="5">
        <v>47.0</v>
      </c>
      <c r="J3" s="5"/>
      <c r="K3" s="5"/>
      <c r="L3" s="5"/>
      <c r="M3" s="5"/>
      <c r="N3" s="5"/>
      <c r="O3" s="5"/>
      <c r="P3" s="5"/>
      <c r="Q3" s="5"/>
      <c r="R3" s="5"/>
      <c r="S3" s="5"/>
      <c r="U3" s="5" t="str">
        <f>IFERROR(__xludf.DUMMYFUNCTION("""COMPUTED_VALUE"""),"langfords2_4.csp")</f>
        <v>langfords2_4.csp</v>
      </c>
      <c r="V3" s="5" t="str">
        <f>IFERROR(__xludf.DUMMYFUNCTION("""COMPUTED_VALUE"""),"MAC")</f>
        <v>MAC</v>
      </c>
      <c r="W3" s="5">
        <f>IFERROR(__xludf.DUMMYFUNCTION("""COMPUTED_VALUE"""),0.0)</f>
        <v>0</v>
      </c>
      <c r="X3" s="5" t="str">
        <f>IFERROR(__xludf.DUMMYFUNCTION("""COMPUTED_VALUE"""),"ASCENDING")</f>
        <v>ASCENDING</v>
      </c>
      <c r="Y3" s="5" t="str">
        <f>IFERROR(__xludf.DUMMYFUNCTION("""COMPUTED_VALUE"""),"ASCENDING")</f>
        <v>ASCENDING</v>
      </c>
      <c r="Z3" s="5">
        <f>IFERROR(__xludf.DUMMYFUNCTION("""COMPUTED_VALUE"""),2.0)</f>
        <v>2</v>
      </c>
      <c r="AA3" s="5">
        <f>IFERROR(__xludf.DUMMYFUNCTION("""COMPUTED_VALUE"""),48.0)</f>
        <v>48</v>
      </c>
      <c r="AB3" s="5">
        <f>IFERROR(__xludf.DUMMYFUNCTION("""COMPUTED_VALUE"""),908.0)</f>
        <v>908</v>
      </c>
      <c r="AC3" s="5">
        <f>IFERROR(__xludf.DUMMYFUNCTION("""COMPUTED_VALUE"""),47.0)</f>
        <v>47</v>
      </c>
    </row>
    <row r="4">
      <c r="A4" s="5" t="s">
        <v>38</v>
      </c>
      <c r="B4" s="5" t="s">
        <v>11</v>
      </c>
      <c r="C4" s="5">
        <v>0.0</v>
      </c>
      <c r="D4" s="5" t="s">
        <v>12</v>
      </c>
      <c r="E4" s="5" t="s">
        <v>12</v>
      </c>
      <c r="F4" s="5">
        <v>52.0</v>
      </c>
      <c r="G4" s="5">
        <v>2702.0</v>
      </c>
      <c r="H4" s="5">
        <v>136436.0</v>
      </c>
      <c r="I4" s="5">
        <v>1390.0</v>
      </c>
      <c r="J4" s="5"/>
      <c r="K4" s="5"/>
      <c r="L4" s="5"/>
      <c r="M4" s="5"/>
      <c r="N4" s="5"/>
      <c r="O4" s="5"/>
      <c r="P4" s="5"/>
      <c r="Q4" s="5"/>
      <c r="R4" s="5"/>
      <c r="S4" s="5"/>
      <c r="U4" s="5" t="str">
        <f>IFERROR(__xludf.DUMMYFUNCTION("""COMPUTED_VALUE"""),"langfords2_7.csp")</f>
        <v>langfords2_7.csp</v>
      </c>
      <c r="V4" s="5" t="str">
        <f>IFERROR(__xludf.DUMMYFUNCTION("""COMPUTED_VALUE"""),"MAC")</f>
        <v>MAC</v>
      </c>
      <c r="W4" s="5">
        <f>IFERROR(__xludf.DUMMYFUNCTION("""COMPUTED_VALUE"""),0.0)</f>
        <v>0</v>
      </c>
      <c r="X4" s="5" t="str">
        <f>IFERROR(__xludf.DUMMYFUNCTION("""COMPUTED_VALUE"""),"ASCENDING")</f>
        <v>ASCENDING</v>
      </c>
      <c r="Y4" s="5" t="str">
        <f>IFERROR(__xludf.DUMMYFUNCTION("""COMPUTED_VALUE"""),"ASCENDING")</f>
        <v>ASCENDING</v>
      </c>
      <c r="Z4" s="5">
        <f>IFERROR(__xludf.DUMMYFUNCTION("""COMPUTED_VALUE"""),52.0)</f>
        <v>52</v>
      </c>
      <c r="AA4" s="5">
        <f>IFERROR(__xludf.DUMMYFUNCTION("""COMPUTED_VALUE"""),2702.0)</f>
        <v>2702</v>
      </c>
      <c r="AB4" s="5">
        <f>IFERROR(__xludf.DUMMYFUNCTION("""COMPUTED_VALUE"""),136436.0)</f>
        <v>136436</v>
      </c>
      <c r="AC4" s="5">
        <f>IFERROR(__xludf.DUMMYFUNCTION("""COMPUTED_VALUE"""),1390.0)</f>
        <v>1390</v>
      </c>
    </row>
    <row r="5">
      <c r="A5" s="5" t="s">
        <v>39</v>
      </c>
      <c r="B5" s="5" t="s">
        <v>11</v>
      </c>
      <c r="C5" s="5">
        <v>0.0</v>
      </c>
      <c r="D5" s="5" t="s">
        <v>12</v>
      </c>
      <c r="E5" s="5" t="s">
        <v>12</v>
      </c>
      <c r="F5" s="5">
        <v>300.0</v>
      </c>
      <c r="G5" s="5">
        <v>15172.0</v>
      </c>
      <c r="H5" s="5">
        <v>876117.0</v>
      </c>
      <c r="I5" s="5">
        <v>2521.0</v>
      </c>
      <c r="J5" s="5"/>
      <c r="K5" s="5"/>
      <c r="L5" s="5"/>
      <c r="M5" s="5"/>
      <c r="N5" s="5"/>
      <c r="O5" s="5"/>
      <c r="P5" s="5"/>
      <c r="Q5" s="5"/>
      <c r="R5" s="5"/>
      <c r="S5" s="5"/>
      <c r="U5" s="5" t="str">
        <f>IFERROR(__xludf.DUMMYFUNCTION("""COMPUTED_VALUE"""),"langfords2_8.csp")</f>
        <v>langfords2_8.csp</v>
      </c>
      <c r="V5" s="5" t="str">
        <f>IFERROR(__xludf.DUMMYFUNCTION("""COMPUTED_VALUE"""),"MAC")</f>
        <v>MAC</v>
      </c>
      <c r="W5" s="5">
        <f>IFERROR(__xludf.DUMMYFUNCTION("""COMPUTED_VALUE"""),0.0)</f>
        <v>0</v>
      </c>
      <c r="X5" s="5" t="str">
        <f>IFERROR(__xludf.DUMMYFUNCTION("""COMPUTED_VALUE"""),"ASCENDING")</f>
        <v>ASCENDING</v>
      </c>
      <c r="Y5" s="5" t="str">
        <f>IFERROR(__xludf.DUMMYFUNCTION("""COMPUTED_VALUE"""),"ASCENDING")</f>
        <v>ASCENDING</v>
      </c>
      <c r="Z5" s="5">
        <f>IFERROR(__xludf.DUMMYFUNCTION("""COMPUTED_VALUE"""),300.0)</f>
        <v>300</v>
      </c>
      <c r="AA5" s="5">
        <f>IFERROR(__xludf.DUMMYFUNCTION("""COMPUTED_VALUE"""),15172.0)</f>
        <v>15172</v>
      </c>
      <c r="AB5" s="5">
        <f>IFERROR(__xludf.DUMMYFUNCTION("""COMPUTED_VALUE"""),876117.0)</f>
        <v>876117</v>
      </c>
      <c r="AC5" s="5">
        <f>IFERROR(__xludf.DUMMYFUNCTION("""COMPUTED_VALUE"""),2521.0)</f>
        <v>2521</v>
      </c>
    </row>
    <row r="6">
      <c r="A6" s="5" t="s">
        <v>41</v>
      </c>
      <c r="B6" s="5" t="s">
        <v>11</v>
      </c>
      <c r="C6" s="5">
        <v>0.0</v>
      </c>
      <c r="D6" s="5" t="s">
        <v>12</v>
      </c>
      <c r="E6" s="5" t="s">
        <v>12</v>
      </c>
      <c r="F6" s="5">
        <v>6.0</v>
      </c>
      <c r="G6" s="5">
        <v>18968.0</v>
      </c>
      <c r="H6" s="5">
        <v>4100997.0</v>
      </c>
      <c r="I6" s="5">
        <v>19615.0</v>
      </c>
      <c r="J6" s="5"/>
      <c r="K6" s="5"/>
      <c r="L6" s="5"/>
      <c r="M6" s="5"/>
      <c r="N6" s="5"/>
      <c r="O6" s="5"/>
      <c r="P6" s="5"/>
      <c r="Q6" s="5"/>
      <c r="R6" s="5"/>
      <c r="S6" s="5"/>
      <c r="U6" s="5" t="str">
        <f>IFERROR(__xludf.DUMMYFUNCTION("""COMPUTED_VALUE"""),"langfords3_10.csp")</f>
        <v>langfords3_10.csp</v>
      </c>
      <c r="V6" s="5" t="str">
        <f>IFERROR(__xludf.DUMMYFUNCTION("""COMPUTED_VALUE"""),"MAC")</f>
        <v>MAC</v>
      </c>
      <c r="W6" s="5">
        <f>IFERROR(__xludf.DUMMYFUNCTION("""COMPUTED_VALUE"""),0.0)</f>
        <v>0</v>
      </c>
      <c r="X6" s="5" t="str">
        <f>IFERROR(__xludf.DUMMYFUNCTION("""COMPUTED_VALUE"""),"ASCENDING")</f>
        <v>ASCENDING</v>
      </c>
      <c r="Y6" s="5" t="str">
        <f>IFERROR(__xludf.DUMMYFUNCTION("""COMPUTED_VALUE"""),"ASCENDING")</f>
        <v>ASCENDING</v>
      </c>
      <c r="Z6" s="5">
        <f>IFERROR(__xludf.DUMMYFUNCTION("""COMPUTED_VALUE"""),10.0)</f>
        <v>10</v>
      </c>
      <c r="AA6" s="5">
        <f>IFERROR(__xludf.DUMMYFUNCTION("""COMPUTED_VALUE"""),90058.0)</f>
        <v>90058</v>
      </c>
      <c r="AB6" s="5">
        <f>IFERROR(__xludf.DUMMYFUNCTION("""COMPUTED_VALUE"""),2.3030822E7)</f>
        <v>23030822</v>
      </c>
      <c r="AC6" s="5">
        <f>IFERROR(__xludf.DUMMYFUNCTION("""COMPUTED_VALUE"""),80840.0)</f>
        <v>80840</v>
      </c>
    </row>
    <row r="7">
      <c r="U7" s="5" t="str">
        <f>IFERROR(__xludf.DUMMYFUNCTION("""COMPUTED_VALUE"""),"langfords3_9.csp")</f>
        <v>langfords3_9.csp</v>
      </c>
      <c r="V7" s="5" t="str">
        <f>IFERROR(__xludf.DUMMYFUNCTION("""COMPUTED_VALUE"""),"MAC")</f>
        <v>MAC</v>
      </c>
      <c r="W7" s="5">
        <f>IFERROR(__xludf.DUMMYFUNCTION("""COMPUTED_VALUE"""),0.0)</f>
        <v>0</v>
      </c>
      <c r="X7" s="5" t="str">
        <f>IFERROR(__xludf.DUMMYFUNCTION("""COMPUTED_VALUE"""),"ASCENDING")</f>
        <v>ASCENDING</v>
      </c>
      <c r="Y7" s="5" t="str">
        <f>IFERROR(__xludf.DUMMYFUNCTION("""COMPUTED_VALUE"""),"ASCENDING")</f>
        <v>ASCENDING</v>
      </c>
      <c r="Z7" s="5">
        <f>IFERROR(__xludf.DUMMYFUNCTION("""COMPUTED_VALUE"""),6.0)</f>
        <v>6</v>
      </c>
      <c r="AA7" s="5">
        <f>IFERROR(__xludf.DUMMYFUNCTION("""COMPUTED_VALUE"""),18968.0)</f>
        <v>18968</v>
      </c>
      <c r="AB7" s="5">
        <f>IFERROR(__xludf.DUMMYFUNCTION("""COMPUTED_VALUE"""),4100997.0)</f>
        <v>4100997</v>
      </c>
      <c r="AC7" s="5">
        <f>IFERROR(__xludf.DUMMYFUNCTION("""COMPUTED_VALUE"""),19615.0)</f>
        <v>19615</v>
      </c>
    </row>
    <row r="36">
      <c r="A36" s="6" t="s">
        <v>43</v>
      </c>
      <c r="B36" s="6">
        <v>5.0</v>
      </c>
    </row>
    <row r="40">
      <c r="A40" s="5" t="str">
        <f>Data!$A$1</f>
        <v>Instance</v>
      </c>
      <c r="B40" s="5" t="str">
        <f>Data!$B$1</f>
        <v>Solver Type</v>
      </c>
      <c r="C40" s="5" t="str">
        <f>Data!$C$1</f>
        <v>Solutions To Find</v>
      </c>
      <c r="D40" s="5" t="str">
        <f>Data!$D$1</f>
        <v>Variable Ordering</v>
      </c>
      <c r="E40" s="5" t="str">
        <f>Data!$E$1</f>
        <v>Value Ordering</v>
      </c>
      <c r="F40" s="5" t="str">
        <f>Data!$F$1</f>
        <v>Solutions Found</v>
      </c>
      <c r="G40" s="5" t="str">
        <f>Data!$G$1</f>
        <v>Nodes Explored</v>
      </c>
      <c r="H40" s="5" t="str">
        <f>Data!$H$1</f>
        <v>Revisions Done</v>
      </c>
      <c r="I40" s="5" t="str">
        <f>Data!$I$1</f>
        <v>Time Taken</v>
      </c>
    </row>
    <row r="41">
      <c r="A41" s="5" t="str">
        <f t="array" ref="A41:S45">SORTN(U2:AM1000,$B$36,0,8,1)</f>
        <v>langfords2_3.csp</v>
      </c>
      <c r="B41" s="5" t="s">
        <v>11</v>
      </c>
      <c r="C41" s="5">
        <v>0.0</v>
      </c>
      <c r="D41" s="5" t="s">
        <v>12</v>
      </c>
      <c r="E41" s="5" t="s">
        <v>12</v>
      </c>
      <c r="F41" s="5">
        <v>2.0</v>
      </c>
      <c r="G41" s="5">
        <v>26.0</v>
      </c>
      <c r="H41" s="5">
        <v>193.0</v>
      </c>
      <c r="I41" s="5">
        <v>26.0</v>
      </c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5" t="s">
        <v>37</v>
      </c>
      <c r="B42" s="5" t="s">
        <v>11</v>
      </c>
      <c r="C42" s="5">
        <v>0.0</v>
      </c>
      <c r="D42" s="5" t="s">
        <v>12</v>
      </c>
      <c r="E42" s="5" t="s">
        <v>12</v>
      </c>
      <c r="F42" s="5">
        <v>2.0</v>
      </c>
      <c r="G42" s="5">
        <v>48.0</v>
      </c>
      <c r="H42" s="5">
        <v>908.0</v>
      </c>
      <c r="I42" s="5">
        <v>47.0</v>
      </c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5" t="s">
        <v>38</v>
      </c>
      <c r="B43" s="5" t="s">
        <v>11</v>
      </c>
      <c r="C43" s="5">
        <v>0.0</v>
      </c>
      <c r="D43" s="5" t="s">
        <v>12</v>
      </c>
      <c r="E43" s="5" t="s">
        <v>12</v>
      </c>
      <c r="F43" s="5">
        <v>52.0</v>
      </c>
      <c r="G43" s="5">
        <v>2702.0</v>
      </c>
      <c r="H43" s="5">
        <v>136436.0</v>
      </c>
      <c r="I43" s="5">
        <v>1390.0</v>
      </c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5" t="s">
        <v>39</v>
      </c>
      <c r="B44" s="5" t="s">
        <v>11</v>
      </c>
      <c r="C44" s="5">
        <v>0.0</v>
      </c>
      <c r="D44" s="5" t="s">
        <v>12</v>
      </c>
      <c r="E44" s="5" t="s">
        <v>12</v>
      </c>
      <c r="F44" s="5">
        <v>300.0</v>
      </c>
      <c r="G44" s="5">
        <v>15172.0</v>
      </c>
      <c r="H44" s="5">
        <v>876117.0</v>
      </c>
      <c r="I44" s="5">
        <v>2521.0</v>
      </c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5" t="s">
        <v>41</v>
      </c>
      <c r="B45" s="5" t="s">
        <v>11</v>
      </c>
      <c r="C45" s="5">
        <v>0.0</v>
      </c>
      <c r="D45" s="5" t="s">
        <v>12</v>
      </c>
      <c r="E45" s="5" t="s">
        <v>12</v>
      </c>
      <c r="F45" s="5">
        <v>6.0</v>
      </c>
      <c r="G45" s="5">
        <v>18968.0</v>
      </c>
      <c r="H45" s="5">
        <v>4100997.0</v>
      </c>
      <c r="I45" s="5">
        <v>19615.0</v>
      </c>
      <c r="J45" s="5"/>
      <c r="K45" s="5"/>
      <c r="L45" s="5"/>
      <c r="M45" s="5"/>
      <c r="N45" s="5"/>
      <c r="O45" s="5"/>
      <c r="P45" s="5"/>
      <c r="Q45" s="5"/>
      <c r="R45" s="5"/>
      <c r="S45" s="5"/>
    </row>
    <row r="60">
      <c r="A60" s="5" t="str">
        <f>Data!$A$1</f>
        <v>Instance</v>
      </c>
      <c r="B60" s="5" t="str">
        <f>Data!$B$1</f>
        <v>Solver Type</v>
      </c>
      <c r="C60" s="5" t="str">
        <f>Data!$C$1</f>
        <v>Solutions To Find</v>
      </c>
      <c r="D60" s="5" t="str">
        <f>Data!$D$1</f>
        <v>Variable Ordering</v>
      </c>
      <c r="E60" s="5" t="str">
        <f>Data!$E$1</f>
        <v>Value Ordering</v>
      </c>
      <c r="F60" s="5" t="str">
        <f>Data!$F$1</f>
        <v>Solutions Found</v>
      </c>
      <c r="G60" s="5" t="str">
        <f>Data!$G$1</f>
        <v>Nodes Explored</v>
      </c>
      <c r="H60" s="5" t="str">
        <f>Data!$H$1</f>
        <v>Revisions Done</v>
      </c>
      <c r="I60" s="5" t="str">
        <f>Data!$I$1</f>
        <v>Time Taken</v>
      </c>
    </row>
    <row r="61">
      <c r="A61" s="5" t="str">
        <f t="array" ref="A61:S65">SORTN(U2:AM1000,$B$36,0,9,1)</f>
        <v>langfords2_3.csp</v>
      </c>
      <c r="B61" s="5" t="s">
        <v>11</v>
      </c>
      <c r="C61" s="5">
        <v>0.0</v>
      </c>
      <c r="D61" s="5" t="s">
        <v>12</v>
      </c>
      <c r="E61" s="5" t="s">
        <v>12</v>
      </c>
      <c r="F61" s="5">
        <v>2.0</v>
      </c>
      <c r="G61" s="5">
        <v>26.0</v>
      </c>
      <c r="H61" s="5">
        <v>193.0</v>
      </c>
      <c r="I61" s="5">
        <v>26.0</v>
      </c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5" t="s">
        <v>37</v>
      </c>
      <c r="B62" s="5" t="s">
        <v>11</v>
      </c>
      <c r="C62" s="5">
        <v>0.0</v>
      </c>
      <c r="D62" s="5" t="s">
        <v>12</v>
      </c>
      <c r="E62" s="5" t="s">
        <v>12</v>
      </c>
      <c r="F62" s="5">
        <v>2.0</v>
      </c>
      <c r="G62" s="5">
        <v>48.0</v>
      </c>
      <c r="H62" s="5">
        <v>908.0</v>
      </c>
      <c r="I62" s="5">
        <v>47.0</v>
      </c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5" t="s">
        <v>38</v>
      </c>
      <c r="B63" s="5" t="s">
        <v>11</v>
      </c>
      <c r="C63" s="5">
        <v>0.0</v>
      </c>
      <c r="D63" s="5" t="s">
        <v>12</v>
      </c>
      <c r="E63" s="5" t="s">
        <v>12</v>
      </c>
      <c r="F63" s="5">
        <v>52.0</v>
      </c>
      <c r="G63" s="5">
        <v>2702.0</v>
      </c>
      <c r="H63" s="5">
        <v>136436.0</v>
      </c>
      <c r="I63" s="5">
        <v>1390.0</v>
      </c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5" t="s">
        <v>39</v>
      </c>
      <c r="B64" s="5" t="s">
        <v>11</v>
      </c>
      <c r="C64" s="5">
        <v>0.0</v>
      </c>
      <c r="D64" s="5" t="s">
        <v>12</v>
      </c>
      <c r="E64" s="5" t="s">
        <v>12</v>
      </c>
      <c r="F64" s="5">
        <v>300.0</v>
      </c>
      <c r="G64" s="5">
        <v>15172.0</v>
      </c>
      <c r="H64" s="5">
        <v>876117.0</v>
      </c>
      <c r="I64" s="5">
        <v>2521.0</v>
      </c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5" t="s">
        <v>41</v>
      </c>
      <c r="B65" s="5" t="s">
        <v>11</v>
      </c>
      <c r="C65" s="5">
        <v>0.0</v>
      </c>
      <c r="D65" s="5" t="s">
        <v>12</v>
      </c>
      <c r="E65" s="5" t="s">
        <v>12</v>
      </c>
      <c r="F65" s="5">
        <v>6.0</v>
      </c>
      <c r="G65" s="5">
        <v>18968.0</v>
      </c>
      <c r="H65" s="5">
        <v>4100997.0</v>
      </c>
      <c r="I65" s="5">
        <v>19615.0</v>
      </c>
      <c r="J65" s="5"/>
      <c r="K65" s="5"/>
      <c r="L65" s="5"/>
      <c r="M65" s="5"/>
      <c r="N65" s="5"/>
      <c r="O65" s="5"/>
      <c r="P65" s="5"/>
      <c r="Q65" s="5"/>
      <c r="R65" s="5"/>
      <c r="S65" s="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75"/>
  </cols>
  <sheetData>
    <row r="1">
      <c r="A1" s="5" t="str">
        <f>Data!$A$1</f>
        <v>Instance</v>
      </c>
      <c r="B1" s="5" t="str">
        <f>Data!$B$1</f>
        <v>Solver Type</v>
      </c>
      <c r="C1" s="5" t="str">
        <f>Data!$C$1</f>
        <v>Solutions To Find</v>
      </c>
      <c r="D1" s="5" t="str">
        <f>Data!$D$1</f>
        <v>Variable Ordering</v>
      </c>
      <c r="E1" s="5" t="str">
        <f>Data!$E$1</f>
        <v>Value Ordering</v>
      </c>
      <c r="F1" s="5" t="str">
        <f>Data!$F$1</f>
        <v>Solutions Found</v>
      </c>
      <c r="G1" s="5" t="str">
        <f>Data!$G$1</f>
        <v>Nodes Explored</v>
      </c>
      <c r="H1" s="5" t="str">
        <f>Data!$H$1</f>
        <v>Revisions Done</v>
      </c>
      <c r="I1" s="5" t="str">
        <f>Data!$I$1</f>
        <v>Time Taken</v>
      </c>
      <c r="U1" s="5" t="str">
        <f>Data!$A$1</f>
        <v>Instance</v>
      </c>
      <c r="V1" s="5" t="str">
        <f>Data!$B$1</f>
        <v>Solver Type</v>
      </c>
      <c r="W1" s="5" t="str">
        <f>Data!$C$1</f>
        <v>Solutions To Find</v>
      </c>
      <c r="X1" s="5" t="str">
        <f>Data!$D$1</f>
        <v>Variable Ordering</v>
      </c>
      <c r="Y1" s="5" t="str">
        <f>Data!$E$1</f>
        <v>Value Ordering</v>
      </c>
      <c r="Z1" s="5" t="str">
        <f>Data!$F$1</f>
        <v>Solutions Found</v>
      </c>
      <c r="AA1" s="5" t="str">
        <f>Data!$G$1</f>
        <v>Nodes Explored</v>
      </c>
      <c r="AB1" s="5" t="str">
        <f>Data!$H$1</f>
        <v>Revisions Done</v>
      </c>
      <c r="AC1" s="5" t="str">
        <f>Data!$I$1</f>
        <v>Time Taken</v>
      </c>
    </row>
    <row r="2">
      <c r="A2" s="5" t="str">
        <f t="array" ref="A2:S12">SORTN(U2:AM1000,$B$36,0,7,1)</f>
        <v>186Sudoku.csp</v>
      </c>
      <c r="B2" s="5" t="s">
        <v>11</v>
      </c>
      <c r="C2" s="5">
        <v>1.0</v>
      </c>
      <c r="D2" s="5" t="s">
        <v>14</v>
      </c>
      <c r="E2" s="5" t="s">
        <v>12</v>
      </c>
      <c r="F2" s="5">
        <v>1.0</v>
      </c>
      <c r="G2" s="5">
        <v>81.0</v>
      </c>
      <c r="H2" s="5">
        <v>10126.0</v>
      </c>
      <c r="I2" s="5">
        <v>713.0</v>
      </c>
      <c r="J2" s="5"/>
      <c r="K2" s="5"/>
      <c r="L2" s="5"/>
      <c r="M2" s="5"/>
      <c r="N2" s="5"/>
      <c r="O2" s="5"/>
      <c r="P2" s="5"/>
      <c r="Q2" s="5"/>
      <c r="R2" s="5"/>
      <c r="S2" s="5"/>
      <c r="U2" s="2" t="str">
        <f>IFERROR(__xludf.DUMMYFUNCTION("FILTER(Data!A:I, Data!D:D=""SMALLEST_DOMAIN"", Data!E:E=""ASCENDING"", Data!C:C=1, Data!B:B=""MAC"", REGEXMATCH(Data!A:A, "".*Sudoku.*""))"),"186Sudoku.csp")</f>
        <v>186Sudoku.csp</v>
      </c>
      <c r="V2" s="5" t="str">
        <f>IFERROR(__xludf.DUMMYFUNCTION("""COMPUTED_VALUE"""),"MAC")</f>
        <v>MAC</v>
      </c>
      <c r="W2" s="5">
        <f>IFERROR(__xludf.DUMMYFUNCTION("""COMPUTED_VALUE"""),1.0)</f>
        <v>1</v>
      </c>
      <c r="X2" s="5" t="str">
        <f>IFERROR(__xludf.DUMMYFUNCTION("""COMPUTED_VALUE"""),"SMALLEST_DOMAIN")</f>
        <v>SMALLEST_DOMAIN</v>
      </c>
      <c r="Y2" s="5" t="str">
        <f>IFERROR(__xludf.DUMMYFUNCTION("""COMPUTED_VALUE"""),"ASCENDING")</f>
        <v>ASCENDING</v>
      </c>
      <c r="Z2" s="5">
        <f>IFERROR(__xludf.DUMMYFUNCTION("""COMPUTED_VALUE"""),1.0)</f>
        <v>1</v>
      </c>
      <c r="AA2" s="5">
        <f>IFERROR(__xludf.DUMMYFUNCTION("""COMPUTED_VALUE"""),81.0)</f>
        <v>81</v>
      </c>
      <c r="AB2" s="5">
        <f>IFERROR(__xludf.DUMMYFUNCTION("""COMPUTED_VALUE"""),10126.0)</f>
        <v>10126</v>
      </c>
      <c r="AC2" s="5">
        <f>IFERROR(__xludf.DUMMYFUNCTION("""COMPUTED_VALUE"""),713.0)</f>
        <v>713</v>
      </c>
    </row>
    <row r="3">
      <c r="A3" s="5" t="s">
        <v>26</v>
      </c>
      <c r="B3" s="5" t="s">
        <v>11</v>
      </c>
      <c r="C3" s="5">
        <v>1.0</v>
      </c>
      <c r="D3" s="5" t="s">
        <v>14</v>
      </c>
      <c r="E3" s="5" t="s">
        <v>12</v>
      </c>
      <c r="F3" s="5">
        <v>1.0</v>
      </c>
      <c r="G3" s="5">
        <v>81.0</v>
      </c>
      <c r="H3" s="5">
        <v>10127.0</v>
      </c>
      <c r="I3" s="5">
        <v>514.0</v>
      </c>
      <c r="J3" s="5"/>
      <c r="K3" s="5"/>
      <c r="L3" s="5"/>
      <c r="M3" s="5"/>
      <c r="N3" s="5"/>
      <c r="O3" s="5"/>
      <c r="P3" s="5"/>
      <c r="Q3" s="5"/>
      <c r="R3" s="5"/>
      <c r="S3" s="5"/>
      <c r="U3" s="5" t="str">
        <f>IFERROR(__xludf.DUMMYFUNCTION("""COMPUTED_VALUE"""),"198Sudoku.csp")</f>
        <v>198Sudoku.csp</v>
      </c>
      <c r="V3" s="5" t="str">
        <f>IFERROR(__xludf.DUMMYFUNCTION("""COMPUTED_VALUE"""),"MAC")</f>
        <v>MAC</v>
      </c>
      <c r="W3" s="5">
        <f>IFERROR(__xludf.DUMMYFUNCTION("""COMPUTED_VALUE"""),1.0)</f>
        <v>1</v>
      </c>
      <c r="X3" s="5" t="str">
        <f>IFERROR(__xludf.DUMMYFUNCTION("""COMPUTED_VALUE"""),"SMALLEST_DOMAIN")</f>
        <v>SMALLEST_DOMAIN</v>
      </c>
      <c r="Y3" s="5" t="str">
        <f>IFERROR(__xludf.DUMMYFUNCTION("""COMPUTED_VALUE"""),"ASCENDING")</f>
        <v>ASCENDING</v>
      </c>
      <c r="Z3" s="5">
        <f>IFERROR(__xludf.DUMMYFUNCTION("""COMPUTED_VALUE"""),1.0)</f>
        <v>1</v>
      </c>
      <c r="AA3" s="5">
        <f>IFERROR(__xludf.DUMMYFUNCTION("""COMPUTED_VALUE"""),83.0)</f>
        <v>83</v>
      </c>
      <c r="AB3" s="5">
        <f>IFERROR(__xludf.DUMMYFUNCTION("""COMPUTED_VALUE"""),12253.0)</f>
        <v>12253</v>
      </c>
      <c r="AC3" s="5">
        <f>IFERROR(__xludf.DUMMYFUNCTION("""COMPUTED_VALUE"""),744.0)</f>
        <v>744</v>
      </c>
    </row>
    <row r="4">
      <c r="A4" s="5" t="s">
        <v>42</v>
      </c>
      <c r="B4" s="5" t="s">
        <v>11</v>
      </c>
      <c r="C4" s="5">
        <v>1.0</v>
      </c>
      <c r="D4" s="5" t="s">
        <v>14</v>
      </c>
      <c r="E4" s="5" t="s">
        <v>12</v>
      </c>
      <c r="F4" s="5">
        <v>1.0</v>
      </c>
      <c r="G4" s="5">
        <v>81.0</v>
      </c>
      <c r="H4" s="5">
        <v>10488.0</v>
      </c>
      <c r="I4" s="5">
        <v>678.0</v>
      </c>
      <c r="J4" s="5"/>
      <c r="K4" s="5"/>
      <c r="L4" s="5"/>
      <c r="M4" s="5"/>
      <c r="N4" s="5"/>
      <c r="O4" s="5"/>
      <c r="P4" s="5"/>
      <c r="Q4" s="5"/>
      <c r="R4" s="5"/>
      <c r="S4" s="5"/>
      <c r="U4" s="5" t="str">
        <f>IFERROR(__xludf.DUMMYFUNCTION("""COMPUTED_VALUE"""),"435Sudoku.csp")</f>
        <v>435Sudoku.csp</v>
      </c>
      <c r="V4" s="5" t="str">
        <f>IFERROR(__xludf.DUMMYFUNCTION("""COMPUTED_VALUE"""),"MAC")</f>
        <v>MAC</v>
      </c>
      <c r="W4" s="5">
        <f>IFERROR(__xludf.DUMMYFUNCTION("""COMPUTED_VALUE"""),1.0)</f>
        <v>1</v>
      </c>
      <c r="X4" s="5" t="str">
        <f>IFERROR(__xludf.DUMMYFUNCTION("""COMPUTED_VALUE"""),"SMALLEST_DOMAIN")</f>
        <v>SMALLEST_DOMAIN</v>
      </c>
      <c r="Y4" s="5" t="str">
        <f>IFERROR(__xludf.DUMMYFUNCTION("""COMPUTED_VALUE"""),"ASCENDING")</f>
        <v>ASCENDING</v>
      </c>
      <c r="Z4" s="5">
        <f>IFERROR(__xludf.DUMMYFUNCTION("""COMPUTED_VALUE"""),1.0)</f>
        <v>1</v>
      </c>
      <c r="AA4" s="5">
        <f>IFERROR(__xludf.DUMMYFUNCTION("""COMPUTED_VALUE"""),81.0)</f>
        <v>81</v>
      </c>
      <c r="AB4" s="5">
        <f>IFERROR(__xludf.DUMMYFUNCTION("""COMPUTED_VALUE"""),10127.0)</f>
        <v>10127</v>
      </c>
      <c r="AC4" s="5">
        <f>IFERROR(__xludf.DUMMYFUNCTION("""COMPUTED_VALUE"""),514.0)</f>
        <v>514</v>
      </c>
    </row>
    <row r="5">
      <c r="A5" s="5" t="s">
        <v>25</v>
      </c>
      <c r="B5" s="5" t="s">
        <v>11</v>
      </c>
      <c r="C5" s="5">
        <v>1.0</v>
      </c>
      <c r="D5" s="5" t="s">
        <v>14</v>
      </c>
      <c r="E5" s="5" t="s">
        <v>12</v>
      </c>
      <c r="F5" s="5">
        <v>1.0</v>
      </c>
      <c r="G5" s="5">
        <v>83.0</v>
      </c>
      <c r="H5" s="5">
        <v>12253.0</v>
      </c>
      <c r="I5" s="5">
        <v>744.0</v>
      </c>
      <c r="J5" s="5"/>
      <c r="K5" s="5"/>
      <c r="L5" s="5"/>
      <c r="M5" s="5"/>
      <c r="N5" s="5"/>
      <c r="O5" s="5"/>
      <c r="P5" s="5"/>
      <c r="Q5" s="5"/>
      <c r="R5" s="5"/>
      <c r="S5" s="5"/>
      <c r="U5" s="5" t="str">
        <f>IFERROR(__xludf.DUMMYFUNCTION("""COMPUTED_VALUE"""),"489Sudoku.csp")</f>
        <v>489Sudoku.csp</v>
      </c>
      <c r="V5" s="5" t="str">
        <f>IFERROR(__xludf.DUMMYFUNCTION("""COMPUTED_VALUE"""),"MAC")</f>
        <v>MAC</v>
      </c>
      <c r="W5" s="5">
        <f>IFERROR(__xludf.DUMMYFUNCTION("""COMPUTED_VALUE"""),1.0)</f>
        <v>1</v>
      </c>
      <c r="X5" s="5" t="str">
        <f>IFERROR(__xludf.DUMMYFUNCTION("""COMPUTED_VALUE"""),"SMALLEST_DOMAIN")</f>
        <v>SMALLEST_DOMAIN</v>
      </c>
      <c r="Y5" s="5" t="str">
        <f>IFERROR(__xludf.DUMMYFUNCTION("""COMPUTED_VALUE"""),"ASCENDING")</f>
        <v>ASCENDING</v>
      </c>
      <c r="Z5" s="5">
        <f>IFERROR(__xludf.DUMMYFUNCTION("""COMPUTED_VALUE"""),1.0)</f>
        <v>1</v>
      </c>
      <c r="AA5" s="5">
        <f>IFERROR(__xludf.DUMMYFUNCTION("""COMPUTED_VALUE"""),105.0)</f>
        <v>105</v>
      </c>
      <c r="AB5" s="5">
        <f>IFERROR(__xludf.DUMMYFUNCTION("""COMPUTED_VALUE"""),16206.0)</f>
        <v>16206</v>
      </c>
      <c r="AC5" s="5">
        <f>IFERROR(__xludf.DUMMYFUNCTION("""COMPUTED_VALUE"""),837.0)</f>
        <v>837</v>
      </c>
    </row>
    <row r="6">
      <c r="A6" s="5" t="s">
        <v>27</v>
      </c>
      <c r="B6" s="5" t="s">
        <v>11</v>
      </c>
      <c r="C6" s="5">
        <v>1.0</v>
      </c>
      <c r="D6" s="5" t="s">
        <v>14</v>
      </c>
      <c r="E6" s="5" t="s">
        <v>12</v>
      </c>
      <c r="F6" s="5">
        <v>1.0</v>
      </c>
      <c r="G6" s="5">
        <v>105.0</v>
      </c>
      <c r="H6" s="5">
        <v>16206.0</v>
      </c>
      <c r="I6" s="5">
        <v>837.0</v>
      </c>
      <c r="J6" s="5"/>
      <c r="K6" s="5"/>
      <c r="L6" s="5"/>
      <c r="M6" s="5"/>
      <c r="N6" s="5"/>
      <c r="O6" s="5"/>
      <c r="P6" s="5"/>
      <c r="Q6" s="5"/>
      <c r="R6" s="5"/>
      <c r="S6" s="5"/>
      <c r="U6" s="5" t="str">
        <f>IFERROR(__xludf.DUMMYFUNCTION("""COMPUTED_VALUE"""),"SimonisSudoku.csp")</f>
        <v>SimonisSudoku.csp</v>
      </c>
      <c r="V6" s="5" t="str">
        <f>IFERROR(__xludf.DUMMYFUNCTION("""COMPUTED_VALUE"""),"MAC")</f>
        <v>MAC</v>
      </c>
      <c r="W6" s="5">
        <f>IFERROR(__xludf.DUMMYFUNCTION("""COMPUTED_VALUE"""),1.0)</f>
        <v>1</v>
      </c>
      <c r="X6" s="5" t="str">
        <f>IFERROR(__xludf.DUMMYFUNCTION("""COMPUTED_VALUE"""),"SMALLEST_DOMAIN")</f>
        <v>SMALLEST_DOMAIN</v>
      </c>
      <c r="Y6" s="5" t="str">
        <f>IFERROR(__xludf.DUMMYFUNCTION("""COMPUTED_VALUE"""),"ASCENDING")</f>
        <v>ASCENDING</v>
      </c>
      <c r="Z6" s="5">
        <f>IFERROR(__xludf.DUMMYFUNCTION("""COMPUTED_VALUE"""),1.0)</f>
        <v>1</v>
      </c>
      <c r="AA6" s="5">
        <f>IFERROR(__xludf.DUMMYFUNCTION("""COMPUTED_VALUE"""),81.0)</f>
        <v>81</v>
      </c>
      <c r="AB6" s="5">
        <f>IFERROR(__xludf.DUMMYFUNCTION("""COMPUTED_VALUE"""),10488.0)</f>
        <v>10488</v>
      </c>
      <c r="AC6" s="5">
        <f>IFERROR(__xludf.DUMMYFUNCTION("""COMPUTED_VALUE"""),678.0)</f>
        <v>678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36">
      <c r="A36" s="6" t="s">
        <v>43</v>
      </c>
      <c r="B36" s="6">
        <v>11.0</v>
      </c>
    </row>
    <row r="40">
      <c r="A40" s="5" t="str">
        <f>Data!$A$1</f>
        <v>Instance</v>
      </c>
      <c r="B40" s="5" t="str">
        <f>Data!$B$1</f>
        <v>Solver Type</v>
      </c>
      <c r="C40" s="5" t="str">
        <f>Data!$C$1</f>
        <v>Solutions To Find</v>
      </c>
      <c r="D40" s="5" t="str">
        <f>Data!$D$1</f>
        <v>Variable Ordering</v>
      </c>
      <c r="E40" s="5" t="str">
        <f>Data!$E$1</f>
        <v>Value Ordering</v>
      </c>
      <c r="F40" s="5" t="str">
        <f>Data!$F$1</f>
        <v>Solutions Found</v>
      </c>
      <c r="G40" s="5" t="str">
        <f>Data!$G$1</f>
        <v>Nodes Explored</v>
      </c>
      <c r="H40" s="5" t="str">
        <f>Data!$H$1</f>
        <v>Revisions Done</v>
      </c>
      <c r="I40" s="5" t="str">
        <f>Data!$I$1</f>
        <v>Time Taken</v>
      </c>
    </row>
    <row r="41">
      <c r="A41" s="5" t="str">
        <f t="array" ref="A41:S51">SORTN(U2:AM1000,$B$36,0,8,1)</f>
        <v>186Sudoku.csp</v>
      </c>
      <c r="B41" s="5" t="s">
        <v>11</v>
      </c>
      <c r="C41" s="5">
        <v>1.0</v>
      </c>
      <c r="D41" s="5" t="s">
        <v>14</v>
      </c>
      <c r="E41" s="5" t="s">
        <v>12</v>
      </c>
      <c r="F41" s="5">
        <v>1.0</v>
      </c>
      <c r="G41" s="5">
        <v>81.0</v>
      </c>
      <c r="H41" s="5">
        <v>10126.0</v>
      </c>
      <c r="I41" s="5">
        <v>713.0</v>
      </c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5" t="s">
        <v>26</v>
      </c>
      <c r="B42" s="5" t="s">
        <v>11</v>
      </c>
      <c r="C42" s="5">
        <v>1.0</v>
      </c>
      <c r="D42" s="5" t="s">
        <v>14</v>
      </c>
      <c r="E42" s="5" t="s">
        <v>12</v>
      </c>
      <c r="F42" s="5">
        <v>1.0</v>
      </c>
      <c r="G42" s="5">
        <v>81.0</v>
      </c>
      <c r="H42" s="5">
        <v>10127.0</v>
      </c>
      <c r="I42" s="5">
        <v>514.0</v>
      </c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5" t="s">
        <v>42</v>
      </c>
      <c r="B43" s="5" t="s">
        <v>11</v>
      </c>
      <c r="C43" s="5">
        <v>1.0</v>
      </c>
      <c r="D43" s="5" t="s">
        <v>14</v>
      </c>
      <c r="E43" s="5" t="s">
        <v>12</v>
      </c>
      <c r="F43" s="5">
        <v>1.0</v>
      </c>
      <c r="G43" s="5">
        <v>81.0</v>
      </c>
      <c r="H43" s="5">
        <v>10488.0</v>
      </c>
      <c r="I43" s="5">
        <v>678.0</v>
      </c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5" t="s">
        <v>25</v>
      </c>
      <c r="B44" s="5" t="s">
        <v>11</v>
      </c>
      <c r="C44" s="5">
        <v>1.0</v>
      </c>
      <c r="D44" s="5" t="s">
        <v>14</v>
      </c>
      <c r="E44" s="5" t="s">
        <v>12</v>
      </c>
      <c r="F44" s="5">
        <v>1.0</v>
      </c>
      <c r="G44" s="5">
        <v>83.0</v>
      </c>
      <c r="H44" s="5">
        <v>12253.0</v>
      </c>
      <c r="I44" s="5">
        <v>744.0</v>
      </c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5" t="s">
        <v>27</v>
      </c>
      <c r="B45" s="5" t="s">
        <v>11</v>
      </c>
      <c r="C45" s="5">
        <v>1.0</v>
      </c>
      <c r="D45" s="5" t="s">
        <v>14</v>
      </c>
      <c r="E45" s="5" t="s">
        <v>12</v>
      </c>
      <c r="F45" s="5">
        <v>1.0</v>
      </c>
      <c r="G45" s="5">
        <v>105.0</v>
      </c>
      <c r="H45" s="5">
        <v>16206.0</v>
      </c>
      <c r="I45" s="5">
        <v>837.0</v>
      </c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60">
      <c r="A60" s="5" t="str">
        <f>Data!$A$1</f>
        <v>Instance</v>
      </c>
      <c r="B60" s="5" t="str">
        <f>Data!$B$1</f>
        <v>Solver Type</v>
      </c>
      <c r="C60" s="5" t="str">
        <f>Data!$C$1</f>
        <v>Solutions To Find</v>
      </c>
      <c r="D60" s="5" t="str">
        <f>Data!$D$1</f>
        <v>Variable Ordering</v>
      </c>
      <c r="E60" s="5" t="str">
        <f>Data!$E$1</f>
        <v>Value Ordering</v>
      </c>
      <c r="F60" s="5" t="str">
        <f>Data!$F$1</f>
        <v>Solutions Found</v>
      </c>
      <c r="G60" s="5" t="str">
        <f>Data!$G$1</f>
        <v>Nodes Explored</v>
      </c>
      <c r="H60" s="5" t="str">
        <f>Data!$H$1</f>
        <v>Revisions Done</v>
      </c>
      <c r="I60" s="5" t="str">
        <f>Data!$I$1</f>
        <v>Time Taken</v>
      </c>
    </row>
    <row r="61">
      <c r="A61" s="5" t="str">
        <f t="array" ref="A61:S71">SORTN(U2:AM1000,$B$36,0,9,1)</f>
        <v>435Sudoku.csp</v>
      </c>
      <c r="B61" s="5" t="s">
        <v>11</v>
      </c>
      <c r="C61" s="5">
        <v>1.0</v>
      </c>
      <c r="D61" s="5" t="s">
        <v>14</v>
      </c>
      <c r="E61" s="5" t="s">
        <v>12</v>
      </c>
      <c r="F61" s="5">
        <v>1.0</v>
      </c>
      <c r="G61" s="5">
        <v>81.0</v>
      </c>
      <c r="H61" s="5">
        <v>10127.0</v>
      </c>
      <c r="I61" s="5">
        <v>514.0</v>
      </c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5" t="s">
        <v>42</v>
      </c>
      <c r="B62" s="5" t="s">
        <v>11</v>
      </c>
      <c r="C62" s="5">
        <v>1.0</v>
      </c>
      <c r="D62" s="5" t="s">
        <v>14</v>
      </c>
      <c r="E62" s="5" t="s">
        <v>12</v>
      </c>
      <c r="F62" s="5">
        <v>1.0</v>
      </c>
      <c r="G62" s="5">
        <v>81.0</v>
      </c>
      <c r="H62" s="5">
        <v>10488.0</v>
      </c>
      <c r="I62" s="5">
        <v>678.0</v>
      </c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5" t="s">
        <v>23</v>
      </c>
      <c r="B63" s="5" t="s">
        <v>11</v>
      </c>
      <c r="C63" s="5">
        <v>1.0</v>
      </c>
      <c r="D63" s="5" t="s">
        <v>14</v>
      </c>
      <c r="E63" s="5" t="s">
        <v>12</v>
      </c>
      <c r="F63" s="5">
        <v>1.0</v>
      </c>
      <c r="G63" s="5">
        <v>81.0</v>
      </c>
      <c r="H63" s="5">
        <v>10126.0</v>
      </c>
      <c r="I63" s="5">
        <v>713.0</v>
      </c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5" t="s">
        <v>25</v>
      </c>
      <c r="B64" s="5" t="s">
        <v>11</v>
      </c>
      <c r="C64" s="5">
        <v>1.0</v>
      </c>
      <c r="D64" s="5" t="s">
        <v>14</v>
      </c>
      <c r="E64" s="5" t="s">
        <v>12</v>
      </c>
      <c r="F64" s="5">
        <v>1.0</v>
      </c>
      <c r="G64" s="5">
        <v>83.0</v>
      </c>
      <c r="H64" s="5">
        <v>12253.0</v>
      </c>
      <c r="I64" s="5">
        <v>744.0</v>
      </c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5" t="s">
        <v>27</v>
      </c>
      <c r="B65" s="5" t="s">
        <v>11</v>
      </c>
      <c r="C65" s="5">
        <v>1.0</v>
      </c>
      <c r="D65" s="5" t="s">
        <v>14</v>
      </c>
      <c r="E65" s="5" t="s">
        <v>12</v>
      </c>
      <c r="F65" s="5">
        <v>1.0</v>
      </c>
      <c r="G65" s="5">
        <v>105.0</v>
      </c>
      <c r="H65" s="5">
        <v>16206.0</v>
      </c>
      <c r="I65" s="5">
        <v>837.0</v>
      </c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</sheetData>
  <drawing r:id="rId1"/>
</worksheet>
</file>