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drawings/drawing5.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72C4F722-039A-454B-A898-297E9AD290EE}" xr6:coauthVersionLast="47" xr6:coauthVersionMax="47" xr10:uidLastSave="{00000000-0000-0000-0000-000000000000}"/>
  <bookViews>
    <workbookView xWindow="-120" yWindow="-120" windowWidth="20730" windowHeight="11310" firstSheet="2" activeTab="2" xr2:uid="{26D4546B-D2A1-4444-8EAF-A6228F96F0C1}"/>
  </bookViews>
  <sheets>
    <sheet name="Data" sheetId="1" r:id="rId1"/>
    <sheet name="India Staff" sheetId="2" r:id="rId2"/>
    <sheet name="All staff" sheetId="4" r:id="rId3"/>
    <sheet name="Salary vs. Rating" sheetId="8" r:id="rId4"/>
    <sheet name="Mapping" sheetId="9" r:id="rId5"/>
    <sheet name="Info Finder V2.0" sheetId="5" r:id="rId6"/>
    <sheet name="Employee Trend" sheetId="10" r:id="rId7"/>
    <sheet name="Male vs. Female" sheetId="6" r:id="rId8"/>
    <sheet name="Salary Spread" sheetId="7" r:id="rId9"/>
    <sheet name="Calc Pivot" sheetId="12" r:id="rId10"/>
    <sheet name="India vs. NZ" sheetId="11" r:id="rId11"/>
  </sheets>
  <definedNames>
    <definedName name="_xlnm._FilterDatabase" localSheetId="2" hidden="1">'All staff'!$O$11:$O$11</definedName>
    <definedName name="_xlnm._FilterDatabase" localSheetId="0" hidden="1">Data!$C$5:$I$105</definedName>
    <definedName name="_xlnm._FilterDatabase" localSheetId="1" hidden="1">'India Staff'!$B$2:$H$114</definedName>
    <definedName name="_xlchart.v1.0" hidden="1">'All staff'!$G$1</definedName>
    <definedName name="_xlchart.v1.1" hidden="1">'All staff'!$G$2:$G$184</definedName>
    <definedName name="_xlchart.v1.2" hidden="1">'All staff'!$G$1</definedName>
    <definedName name="_xlchart.v1.3" hidden="1">'All staff'!$G$2:$G$184</definedName>
    <definedName name="_xlcn.WorksheetConnection_CleanJAnalyzePresentDatawthEXCEL.xlsxStaff1" hidden="1">Staff[]</definedName>
    <definedName name="ExternalData_1" localSheetId="2" hidden="1">'All staff'!$A$1:$H$184</definedName>
    <definedName name="Slicer_Country">#N/A</definedName>
  </definedNames>
  <calcPr calcId="191028"/>
  <pivotCaches>
    <pivotCache cacheId="0" r:id="rId12"/>
    <pivotCache cacheId="1" r:id="rId13"/>
    <pivotCache cacheId="2" r:id="rId14"/>
    <pivotCache cacheId="3" r:id="rId15"/>
    <pivotCache cacheId="4"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Clean^J Analyze Present Data wth EXCEL.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Lst>
</workbook>
</file>

<file path=xl/calcChain.xml><?xml version="1.0" encoding="utf-8"?>
<calcChain xmlns="http://schemas.openxmlformats.org/spreadsheetml/2006/main">
  <c r="N3" i="11" l="1"/>
  <c r="J3" i="11"/>
  <c r="L3" i="11" s="1"/>
  <c r="G3" i="11"/>
  <c r="C3" i="11"/>
  <c r="E3" i="11" s="1"/>
  <c r="P3" i="10" a="1"/>
  <c r="P3" i="10"/>
  <c r="Q3" i="10" s="1" a="1"/>
  <c r="K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C8" i="5"/>
  <c r="I22" i="4"/>
  <c r="J22" i="4" s="1"/>
  <c r="P28" i="4"/>
  <c r="P27" i="4"/>
  <c r="P26" i="4"/>
  <c r="P25" i="4"/>
  <c r="P24" i="4"/>
  <c r="P22" i="4"/>
  <c r="P23" i="4"/>
  <c r="R4" i="10" l="1"/>
  <c r="R5" i="10"/>
  <c r="R6" i="10"/>
  <c r="R7" i="10"/>
  <c r="R8" i="10"/>
  <c r="R9" i="10"/>
  <c r="R10" i="10"/>
  <c r="R11" i="10"/>
  <c r="R12" i="10"/>
  <c r="R13" i="10"/>
  <c r="R14" i="10"/>
  <c r="R15" i="10"/>
  <c r="R16" i="10"/>
  <c r="R17" i="10"/>
  <c r="R18" i="10"/>
  <c r="R19" i="10"/>
  <c r="R20" i="10"/>
  <c r="R21" i="10"/>
  <c r="R22" i="10"/>
  <c r="R23" i="10"/>
  <c r="R24" i="10"/>
  <c r="R25" i="10"/>
  <c r="R26" i="10"/>
  <c r="R27" i="10"/>
  <c r="R28" i="10"/>
  <c r="R29" i="10"/>
  <c r="R30" i="10"/>
  <c r="R31" i="10"/>
  <c r="R32" i="10"/>
  <c r="R33" i="10"/>
  <c r="R34" i="10"/>
  <c r="R35" i="10"/>
  <c r="R36" i="10"/>
  <c r="R37" i="10"/>
  <c r="R38" i="10"/>
  <c r="Q3" i="10"/>
  <c r="R3" i="10" s="1"/>
  <c r="S3" i="10"/>
  <c r="S4" i="10"/>
  <c r="S5" i="10"/>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Q4" i="4"/>
  <c r="P7" i="4"/>
  <c r="I167" i="4"/>
  <c r="J167" i="4" s="1"/>
  <c r="I43" i="4"/>
  <c r="J43" i="4" s="1"/>
  <c r="I165" i="4"/>
  <c r="J165" i="4" s="1"/>
  <c r="I10" i="4"/>
  <c r="J10" i="4" s="1"/>
  <c r="I139" i="4"/>
  <c r="J139" i="4" s="1"/>
  <c r="I55" i="4"/>
  <c r="J55" i="4" s="1"/>
  <c r="I61" i="4"/>
  <c r="J61" i="4" s="1"/>
  <c r="I95" i="4"/>
  <c r="J95" i="4" s="1"/>
  <c r="I29" i="4"/>
  <c r="J29" i="4" s="1"/>
  <c r="I39" i="4"/>
  <c r="J39" i="4" s="1"/>
  <c r="I51" i="4"/>
  <c r="J51" i="4" s="1"/>
  <c r="I161" i="4"/>
  <c r="J161" i="4" s="1"/>
  <c r="I177" i="4"/>
  <c r="J177" i="4" s="1"/>
  <c r="I23" i="4"/>
  <c r="J23" i="4" s="1"/>
  <c r="I153" i="4"/>
  <c r="J153" i="4" s="1"/>
  <c r="I4" i="4"/>
  <c r="J4" i="4" s="1"/>
  <c r="I103" i="4"/>
  <c r="J103" i="4" s="1"/>
  <c r="I77" i="4"/>
  <c r="J77" i="4" s="1"/>
  <c r="I83" i="4"/>
  <c r="J83" i="4" s="1"/>
  <c r="I141" i="4"/>
  <c r="J141" i="4" s="1"/>
  <c r="I65" i="4"/>
  <c r="J65" i="4" s="1"/>
  <c r="I179" i="4"/>
  <c r="J179" i="4" s="1"/>
  <c r="I93" i="4"/>
  <c r="J93" i="4" s="1"/>
  <c r="I175" i="4"/>
  <c r="J175" i="4" s="1"/>
  <c r="I45" i="4"/>
  <c r="J45" i="4" s="1"/>
  <c r="I135" i="4"/>
  <c r="J135" i="4" s="1"/>
  <c r="I14" i="4"/>
  <c r="J14" i="4" s="1"/>
  <c r="I173" i="4"/>
  <c r="J173" i="4" s="1"/>
  <c r="I25" i="4"/>
  <c r="J25" i="4" s="1"/>
  <c r="I163" i="4"/>
  <c r="J163" i="4" s="1"/>
  <c r="I115" i="4"/>
  <c r="J115" i="4" s="1"/>
  <c r="I47" i="4"/>
  <c r="J47" i="4" s="1"/>
  <c r="I75" i="4"/>
  <c r="J75" i="4" s="1"/>
  <c r="I151" i="4"/>
  <c r="J151" i="4" s="1"/>
  <c r="I27" i="4"/>
  <c r="J27" i="4" s="1"/>
  <c r="I2" i="4"/>
  <c r="J2" i="4" s="1"/>
  <c r="I20" i="4"/>
  <c r="J20" i="4" s="1"/>
  <c r="I12" i="4"/>
  <c r="J12" i="4" s="1"/>
  <c r="I155" i="4"/>
  <c r="J155" i="4" s="1"/>
  <c r="I87" i="4"/>
  <c r="J87" i="4" s="1"/>
  <c r="I149" i="4"/>
  <c r="J149" i="4" s="1"/>
  <c r="I71" i="4"/>
  <c r="J71" i="4" s="1"/>
  <c r="I183" i="4"/>
  <c r="J183" i="4" s="1"/>
  <c r="I91" i="4"/>
  <c r="J91" i="4" s="1"/>
  <c r="I133" i="4"/>
  <c r="J133" i="4" s="1"/>
  <c r="I37" i="4"/>
  <c r="J37" i="4" s="1"/>
  <c r="I137" i="4"/>
  <c r="J137" i="4" s="1"/>
  <c r="I59" i="4"/>
  <c r="J59" i="4" s="1"/>
  <c r="I101" i="4"/>
  <c r="J101" i="4" s="1"/>
  <c r="I85" i="4"/>
  <c r="J85" i="4" s="1"/>
  <c r="I63" i="4"/>
  <c r="J63" i="4" s="1"/>
  <c r="I125" i="4"/>
  <c r="J125" i="4" s="1"/>
  <c r="I8" i="4"/>
  <c r="J8" i="4" s="1"/>
  <c r="I119" i="4"/>
  <c r="J119" i="4" s="1"/>
  <c r="I121" i="4"/>
  <c r="J121" i="4" s="1"/>
  <c r="I57" i="4"/>
  <c r="J57" i="4" s="1"/>
  <c r="I157" i="4"/>
  <c r="J157" i="4" s="1"/>
  <c r="I73" i="4"/>
  <c r="J73" i="4" s="1"/>
  <c r="I67" i="4"/>
  <c r="J67" i="4" s="1"/>
  <c r="I109" i="4"/>
  <c r="J109" i="4" s="1"/>
  <c r="I145" i="4"/>
  <c r="J145" i="4" s="1"/>
  <c r="I169" i="4"/>
  <c r="J169" i="4" s="1"/>
  <c r="I31" i="4"/>
  <c r="J31" i="4" s="1"/>
  <c r="I49" i="4"/>
  <c r="J49" i="4" s="1"/>
  <c r="I171" i="4"/>
  <c r="J171" i="4" s="1"/>
  <c r="I97" i="4"/>
  <c r="J97" i="4" s="1"/>
  <c r="I18" i="4"/>
  <c r="J18" i="4" s="1"/>
  <c r="I69" i="4"/>
  <c r="J69" i="4" s="1"/>
  <c r="I146" i="4"/>
  <c r="J146" i="4" s="1"/>
  <c r="I107" i="4"/>
  <c r="J107" i="4" s="1"/>
  <c r="I113" i="4"/>
  <c r="J113" i="4" s="1"/>
  <c r="I105" i="4"/>
  <c r="J105" i="4" s="1"/>
  <c r="I127" i="4"/>
  <c r="J127" i="4" s="1"/>
  <c r="I35" i="4"/>
  <c r="J35" i="4" s="1"/>
  <c r="I6" i="4"/>
  <c r="J6" i="4" s="1"/>
  <c r="I81" i="4"/>
  <c r="J81" i="4" s="1"/>
  <c r="I16" i="4"/>
  <c r="J16" i="4" s="1"/>
  <c r="I41" i="4"/>
  <c r="J41" i="4" s="1"/>
  <c r="I111" i="4"/>
  <c r="J111" i="4" s="1"/>
  <c r="I181" i="4"/>
  <c r="J181" i="4" s="1"/>
  <c r="I123" i="4"/>
  <c r="J123" i="4" s="1"/>
  <c r="I33" i="4"/>
  <c r="J33" i="4" s="1"/>
  <c r="I117" i="4"/>
  <c r="J117" i="4" s="1"/>
  <c r="I89" i="4"/>
  <c r="J89" i="4" s="1"/>
  <c r="I143" i="4"/>
  <c r="J143" i="4" s="1"/>
  <c r="I79" i="4"/>
  <c r="J79" i="4" s="1"/>
  <c r="I131" i="4"/>
  <c r="J131" i="4" s="1"/>
  <c r="I99" i="4"/>
  <c r="J99" i="4" s="1"/>
  <c r="I129" i="4"/>
  <c r="J129" i="4" s="1"/>
  <c r="I159" i="4"/>
  <c r="J159" i="4" s="1"/>
  <c r="I53" i="4"/>
  <c r="J53" i="4" s="1"/>
  <c r="I21" i="4"/>
  <c r="J21" i="4" s="1"/>
  <c r="I100" i="4"/>
  <c r="J100" i="4" s="1"/>
  <c r="I150" i="4"/>
  <c r="J150" i="4" s="1"/>
  <c r="I11" i="4"/>
  <c r="J11" i="4" s="1"/>
  <c r="I147" i="4"/>
  <c r="J147" i="4" s="1"/>
  <c r="I26" i="4"/>
  <c r="J26" i="4" s="1"/>
  <c r="I160" i="4"/>
  <c r="J160" i="4" s="1"/>
  <c r="I124" i="4"/>
  <c r="J124" i="4" s="1"/>
  <c r="I144" i="4"/>
  <c r="J144" i="4" s="1"/>
  <c r="I3" i="4"/>
  <c r="J3" i="4" s="1"/>
  <c r="I28" i="4"/>
  <c r="J28" i="4" s="1"/>
  <c r="I118" i="4"/>
  <c r="J118" i="4" s="1"/>
  <c r="I108" i="4"/>
  <c r="J108" i="4" s="1"/>
  <c r="I34" i="4"/>
  <c r="J34" i="4" s="1"/>
  <c r="I168" i="4"/>
  <c r="J168" i="4" s="1"/>
  <c r="I50" i="4"/>
  <c r="J50" i="4" s="1"/>
  <c r="I178" i="4"/>
  <c r="J178" i="4" s="1"/>
  <c r="I138" i="4"/>
  <c r="J138" i="4" s="1"/>
  <c r="I172" i="4"/>
  <c r="J172" i="4" s="1"/>
  <c r="I88" i="4"/>
  <c r="J88" i="4" s="1"/>
  <c r="I134" i="4"/>
  <c r="J134" i="4" s="1"/>
  <c r="I114" i="4"/>
  <c r="J114" i="4" s="1"/>
  <c r="I136" i="4"/>
  <c r="J136" i="4" s="1"/>
  <c r="I156" i="4"/>
  <c r="J156" i="4" s="1"/>
  <c r="I122" i="4"/>
  <c r="J122" i="4" s="1"/>
  <c r="I94" i="4"/>
  <c r="I68" i="4"/>
  <c r="J68" i="4" s="1"/>
  <c r="I182" i="4"/>
  <c r="J182" i="4" s="1"/>
  <c r="I86" i="4"/>
  <c r="J86" i="4" s="1"/>
  <c r="I128" i="4"/>
  <c r="J128" i="4" s="1"/>
  <c r="I90" i="4"/>
  <c r="J90" i="4" s="1"/>
  <c r="I9" i="4"/>
  <c r="J9" i="4" s="1"/>
  <c r="I80" i="4"/>
  <c r="J80" i="4" s="1"/>
  <c r="I30" i="4"/>
  <c r="J30" i="4" s="1"/>
  <c r="I154" i="4"/>
  <c r="J154" i="4" s="1"/>
  <c r="I48" i="4"/>
  <c r="J48" i="4" s="1"/>
  <c r="I54" i="4"/>
  <c r="J54" i="4" s="1"/>
  <c r="I44" i="4"/>
  <c r="J44" i="4" s="1"/>
  <c r="I158" i="4"/>
  <c r="J158" i="4" s="1"/>
  <c r="I152" i="4"/>
  <c r="J152" i="4" s="1"/>
  <c r="I82" i="4"/>
  <c r="J82" i="4" s="1"/>
  <c r="I70" i="4"/>
  <c r="J70" i="4" s="1"/>
  <c r="I74" i="4"/>
  <c r="J74" i="4" s="1"/>
  <c r="I58" i="4"/>
  <c r="J58" i="4" s="1"/>
  <c r="I24" i="4"/>
  <c r="J24" i="4" s="1"/>
  <c r="I78" i="4"/>
  <c r="J78" i="4" s="1"/>
  <c r="I110" i="4"/>
  <c r="J110" i="4" s="1"/>
  <c r="I76" i="4"/>
  <c r="J76" i="4" s="1"/>
  <c r="I132" i="4"/>
  <c r="J132" i="4" s="1"/>
  <c r="I5" i="4"/>
  <c r="J5" i="4" s="1"/>
  <c r="I162" i="4"/>
  <c r="J162" i="4" s="1"/>
  <c r="I166" i="4"/>
  <c r="J166" i="4" s="1"/>
  <c r="I13" i="4"/>
  <c r="J13" i="4" s="1"/>
  <c r="I104" i="4"/>
  <c r="J104" i="4" s="1"/>
  <c r="I98" i="4"/>
  <c r="J98" i="4" s="1"/>
  <c r="I32" i="4"/>
  <c r="J32" i="4" s="1"/>
  <c r="I19" i="4"/>
  <c r="J19" i="4" s="1"/>
  <c r="I106" i="4"/>
  <c r="J106" i="4" s="1"/>
  <c r="I7" i="4"/>
  <c r="J7" i="4" s="1"/>
  <c r="I84" i="4"/>
  <c r="J84" i="4" s="1"/>
  <c r="I15" i="4"/>
  <c r="J15" i="4" s="1"/>
  <c r="I62" i="4"/>
  <c r="J62" i="4" s="1"/>
  <c r="I38" i="4"/>
  <c r="J38" i="4" s="1"/>
  <c r="I142" i="4"/>
  <c r="J142" i="4" s="1"/>
  <c r="I64" i="4"/>
  <c r="J64" i="4" s="1"/>
  <c r="I140" i="4"/>
  <c r="J140" i="4" s="1"/>
  <c r="I56" i="4"/>
  <c r="J56" i="4" s="1"/>
  <c r="I116" i="4"/>
  <c r="J116" i="4" s="1"/>
  <c r="I164" i="4"/>
  <c r="J164" i="4" s="1"/>
  <c r="I126" i="4"/>
  <c r="J126" i="4" s="1"/>
  <c r="I42" i="4"/>
  <c r="J42" i="4" s="1"/>
  <c r="I66" i="4"/>
  <c r="J66" i="4" s="1"/>
  <c r="I46" i="4"/>
  <c r="J46" i="4" s="1"/>
  <c r="I17" i="4"/>
  <c r="J17" i="4" s="1"/>
  <c r="I184" i="4"/>
  <c r="J184" i="4" s="1"/>
  <c r="I36" i="4"/>
  <c r="J36" i="4" s="1"/>
  <c r="I176" i="4"/>
  <c r="J176" i="4" s="1"/>
  <c r="I60" i="4"/>
  <c r="J60" i="4" s="1"/>
  <c r="I180" i="4"/>
  <c r="J180" i="4" s="1"/>
  <c r="I40" i="4"/>
  <c r="J40" i="4" s="1"/>
  <c r="I52" i="4"/>
  <c r="J52" i="4" s="1"/>
  <c r="I72" i="4"/>
  <c r="J72" i="4" s="1"/>
  <c r="I170" i="4"/>
  <c r="J170" i="4" s="1"/>
  <c r="I130" i="4"/>
  <c r="J130" i="4" s="1"/>
  <c r="I120" i="4"/>
  <c r="J120" i="4" s="1"/>
  <c r="I174" i="4"/>
  <c r="J174" i="4" s="1"/>
  <c r="I92" i="4"/>
  <c r="J92" i="4" s="1"/>
  <c r="I96" i="4"/>
  <c r="J96" i="4" s="1"/>
  <c r="I112" i="4"/>
  <c r="J112" i="4" s="1"/>
  <c r="I102" i="4"/>
  <c r="J102" i="4" s="1"/>
  <c r="I148" i="4"/>
  <c r="J148" i="4" s="1"/>
  <c r="Q3" i="4"/>
  <c r="P4" i="4"/>
  <c r="P3" i="4"/>
  <c r="P2" i="4"/>
  <c r="F106" i="1"/>
  <c r="H106" i="1"/>
  <c r="I106" i="1"/>
  <c r="P33" i="4" l="1" a="1"/>
  <c r="P33" i="4" s="1"/>
  <c r="J94" i="4"/>
  <c r="B11" i="5" a="1"/>
  <c r="B11" i="5" s="1"/>
  <c r="P29" i="4"/>
  <c r="P8" i="4"/>
  <c r="P5" i="4"/>
  <c r="Q38" i="10"/>
  <c r="Q37" i="10"/>
  <c r="Q36" i="10"/>
  <c r="Q35" i="10"/>
  <c r="Q34" i="10"/>
  <c r="Q33" i="10"/>
  <c r="Q32" i="10"/>
  <c r="Q31" i="10"/>
  <c r="Q30" i="10"/>
  <c r="Q29" i="10"/>
  <c r="Q28" i="10"/>
  <c r="Q27" i="10"/>
  <c r="Q26" i="10"/>
  <c r="Q25" i="10"/>
  <c r="Q24" i="10"/>
  <c r="Q23" i="10"/>
  <c r="Q22" i="10"/>
  <c r="Q21" i="10"/>
  <c r="Q20" i="10"/>
  <c r="Q19" i="10"/>
  <c r="Q18" i="10"/>
  <c r="Q17" i="10"/>
  <c r="Q16" i="10"/>
  <c r="Q15" i="10"/>
  <c r="Q14" i="10"/>
  <c r="Q13" i="10"/>
  <c r="Q12" i="10"/>
  <c r="Q11" i="10"/>
  <c r="Q10" i="10"/>
  <c r="Q9" i="10"/>
  <c r="Q8" i="10"/>
  <c r="Q7" i="10"/>
  <c r="Q6" i="10"/>
  <c r="Q5" i="10"/>
  <c r="Q4" i="10"/>
  <c r="P38" i="10"/>
  <c r="P37" i="10"/>
  <c r="P36" i="10"/>
  <c r="P35" i="10"/>
  <c r="P34" i="10"/>
  <c r="P33" i="10"/>
  <c r="P32" i="10"/>
  <c r="P31" i="10"/>
  <c r="P30" i="10"/>
  <c r="P29" i="10"/>
  <c r="P28" i="10"/>
  <c r="P27" i="10"/>
  <c r="P26" i="10"/>
  <c r="P25" i="10"/>
  <c r="P24" i="10"/>
  <c r="P23" i="10"/>
  <c r="P22" i="10"/>
  <c r="P21" i="10"/>
  <c r="P20" i="10"/>
  <c r="P19" i="10"/>
  <c r="P18" i="10"/>
  <c r="P17" i="10"/>
  <c r="P16" i="10"/>
  <c r="P15" i="10"/>
  <c r="P14" i="10"/>
  <c r="P13" i="10"/>
  <c r="P12" i="10"/>
  <c r="P11" i="10"/>
  <c r="P10" i="10"/>
  <c r="P9" i="10"/>
  <c r="P8" i="10"/>
  <c r="P7" i="10"/>
  <c r="P6" i="10"/>
  <c r="P5" i="10"/>
  <c r="P4" i="10"/>
  <c r="B12" i="5" l="1"/>
  <c r="C13" i="5"/>
  <c r="P35" i="4"/>
  <c r="D14" i="5"/>
  <c r="P39" i="4"/>
  <c r="B16" i="5"/>
  <c r="C17" i="5"/>
  <c r="D18" i="5"/>
  <c r="B20" i="5"/>
  <c r="C21" i="5"/>
  <c r="D22" i="5"/>
  <c r="B24" i="5"/>
  <c r="C25" i="5"/>
  <c r="D26" i="5"/>
  <c r="B28" i="5"/>
  <c r="C29" i="5"/>
  <c r="D30" i="5"/>
  <c r="B32" i="5"/>
  <c r="C33" i="5"/>
  <c r="D34" i="5"/>
  <c r="B36" i="5"/>
  <c r="C37" i="5"/>
  <c r="D38" i="5"/>
  <c r="P36" i="4"/>
  <c r="P40" i="4"/>
  <c r="C12" i="5"/>
  <c r="D13" i="5"/>
  <c r="B15" i="5"/>
  <c r="C16" i="5"/>
  <c r="D17" i="5"/>
  <c r="B19" i="5"/>
  <c r="C20" i="5"/>
  <c r="D21" i="5"/>
  <c r="B23" i="5"/>
  <c r="C24" i="5"/>
  <c r="D25" i="5"/>
  <c r="B27" i="5"/>
  <c r="C28" i="5"/>
  <c r="D29" i="5"/>
  <c r="B31" i="5"/>
  <c r="C32" i="5"/>
  <c r="D33" i="5"/>
  <c r="B35" i="5"/>
  <c r="C36" i="5"/>
  <c r="D37" i="5"/>
  <c r="P37" i="4"/>
  <c r="C11" i="5"/>
  <c r="D12" i="5"/>
  <c r="B14" i="5"/>
  <c r="C15" i="5"/>
  <c r="D16" i="5"/>
  <c r="B18" i="5"/>
  <c r="C19" i="5"/>
  <c r="D20" i="5"/>
  <c r="B22" i="5"/>
  <c r="C23" i="5"/>
  <c r="D24" i="5"/>
  <c r="B26" i="5"/>
  <c r="C27" i="5"/>
  <c r="D28" i="5"/>
  <c r="B30" i="5"/>
  <c r="C31" i="5"/>
  <c r="D32" i="5"/>
  <c r="B34" i="5"/>
  <c r="C35" i="5"/>
  <c r="D36" i="5"/>
  <c r="B38" i="5"/>
  <c r="P34" i="4"/>
  <c r="P38" i="4"/>
  <c r="D11" i="5"/>
  <c r="B13" i="5"/>
  <c r="C14" i="5"/>
  <c r="D15" i="5"/>
  <c r="B17" i="5"/>
  <c r="C18" i="5"/>
  <c r="D19" i="5"/>
  <c r="B21" i="5"/>
  <c r="C22" i="5"/>
  <c r="D23" i="5"/>
  <c r="B25" i="5"/>
  <c r="C26" i="5"/>
  <c r="D27" i="5"/>
  <c r="B29" i="5"/>
  <c r="C30" i="5"/>
  <c r="D31" i="5"/>
  <c r="B33" i="5"/>
  <c r="C34" i="5"/>
  <c r="D35" i="5"/>
  <c r="B37" i="5"/>
  <c r="C38"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ADE5BE-7D5B-40C4-A279-334A4D82927C}"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xr16:uid="{8FF21FA0-A55E-4791-984B-B18A50D10607}"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5DBB0B85-A2A5-4E9D-9D71-75A45B2D95CD}"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42978AE3-A706-4305-863E-41EDAA7524F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6FB81FDF-4B72-4EDD-A306-9D0C38612F16}" name="WorksheetConnection_Clean^J Analyze Present Data wth EXCEL.xlsx!Staff" type="102" refreshedVersion="8" minRefreshableVersion="5">
    <extLst>
      <ext xmlns:x15="http://schemas.microsoft.com/office/spreadsheetml/2010/11/main" uri="{DE250136-89BD-433C-8126-D09CA5730AF9}">
        <x15:connection id="Staff" autoDelete="1">
          <x15:rangePr sourceName="_xlcn.WorksheetConnection_CleanJAnalyzePresentDatawthEXCEL.xlsxStaff1"/>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NZ]}"/>
    <s v="{[Staff].[Country].&amp;[IND]}"/>
  </metadataStrings>
  <mdxMetadata count="2">
    <mdx n="0" f="s">
      <ms ns="1" c="0"/>
    </mdx>
    <mdx n="0" f="s">
      <ms ns="2" c="0"/>
    </mdx>
  </mdxMetadata>
  <futureMetadata name="XLDAPR" count="1">
    <bk>
      <extLst>
        <ext xmlns:xda="http://schemas.microsoft.com/office/spreadsheetml/2017/dynamicarray"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<sst xmlns="http://schemas.openxmlformats.org/spreadsheetml/2006/main" count="1899" uniqueCount="256">
  <si>
    <t>Employee Data</t>
  </si>
  <si>
    <t>Name</t>
  </si>
  <si>
    <t>Gender</t>
  </si>
  <si>
    <t>Department</t>
  </si>
  <si>
    <t>Age</t>
  </si>
  <si>
    <t>Date Joined</t>
  </si>
  <si>
    <t>Salary</t>
  </si>
  <si>
    <t>Rating</t>
  </si>
  <si>
    <t>Lindy Guillet</t>
  </si>
  <si>
    <t>Male</t>
  </si>
  <si>
    <t>Sales</t>
  </si>
  <si>
    <t>Above average</t>
  </si>
  <si>
    <t>Ambros Murthwaite</t>
  </si>
  <si>
    <t>Procurement</t>
  </si>
  <si>
    <t>Average</t>
  </si>
  <si>
    <t>Tatum Hush</t>
  </si>
  <si>
    <t>Female</t>
  </si>
  <si>
    <t>Benny Karolovsky</t>
  </si>
  <si>
    <t>Finance</t>
  </si>
  <si>
    <t>Poor</t>
  </si>
  <si>
    <t>Hoyt D'Alesco</t>
  </si>
  <si>
    <t>Halimeda Kuscha</t>
  </si>
  <si>
    <t>Erin Androsik</t>
  </si>
  <si>
    <t>Vic Radolf</t>
  </si>
  <si>
    <t>Website</t>
  </si>
  <si>
    <t>William Reeveley</t>
  </si>
  <si>
    <t>Ewart Laphorn</t>
  </si>
  <si>
    <t>HR</t>
  </si>
  <si>
    <t>Bev Lashley</t>
  </si>
  <si>
    <t>Kath Bletsoe</t>
  </si>
  <si>
    <t>Murry Dryburgh</t>
  </si>
  <si>
    <t>Kaine Padly</t>
  </si>
  <si>
    <t>Kassi Jonson</t>
  </si>
  <si>
    <t>Simon Kembery</t>
  </si>
  <si>
    <t>Orton Livick</t>
  </si>
  <si>
    <t>Kelci Walkden</t>
  </si>
  <si>
    <t>Dotty Strutley</t>
  </si>
  <si>
    <t>Shari McNee</t>
  </si>
  <si>
    <t>Oby Sorrel</t>
  </si>
  <si>
    <t>Husein Augar</t>
  </si>
  <si>
    <t>Brien Boise</t>
  </si>
  <si>
    <t>Esmaria Denecamp</t>
  </si>
  <si>
    <t>Curtice Advani</t>
  </si>
  <si>
    <t>Barr Faughny</t>
  </si>
  <si>
    <t>Exceptional</t>
  </si>
  <si>
    <t>Merrilee Plenty</t>
  </si>
  <si>
    <t>Niall Selesnick</t>
  </si>
  <si>
    <t>Beverie Moffet</t>
  </si>
  <si>
    <t>Jehu Rudeforth</t>
  </si>
  <si>
    <t>Camilla Castle</t>
  </si>
  <si>
    <t>Very poor</t>
  </si>
  <si>
    <t>Roddy Speechley</t>
  </si>
  <si>
    <t>Gray Seamon</t>
  </si>
  <si>
    <t>Madelene Upcott</t>
  </si>
  <si>
    <t>Violante Courtonne</t>
  </si>
  <si>
    <t>Bernie Gorges</t>
  </si>
  <si>
    <t>Torrance Collier</t>
  </si>
  <si>
    <t>Dyna Doucette</t>
  </si>
  <si>
    <t>Gunar Cockshoot</t>
  </si>
  <si>
    <t>Kaye Crocroft</t>
  </si>
  <si>
    <t>Allene Gobbet</t>
  </si>
  <si>
    <t>Sibyl Dunkirk</t>
  </si>
  <si>
    <t>Agnes Collicott</t>
  </si>
  <si>
    <t>Leilah Yesinin</t>
  </si>
  <si>
    <t>Mollie Hanway</t>
  </si>
  <si>
    <t>Kellsie Waby</t>
  </si>
  <si>
    <t>Hyacinthie Braybrooke</t>
  </si>
  <si>
    <t>Van Tuxwell</t>
  </si>
  <si>
    <t>Lilyan Klimpt</t>
  </si>
  <si>
    <t>Tawnya Tickel</t>
  </si>
  <si>
    <t>Jan Morforth</t>
  </si>
  <si>
    <t>Florinda Crace</t>
  </si>
  <si>
    <t>Tracy Renad</t>
  </si>
  <si>
    <t>Myer McCory</t>
  </si>
  <si>
    <t>Bennie Pepis</t>
  </si>
  <si>
    <t>Rafaelita Blaksland</t>
  </si>
  <si>
    <t>Mahalia Larcher</t>
  </si>
  <si>
    <t>Andria Kimpton</t>
  </si>
  <si>
    <t>Valentia Etteridge</t>
  </si>
  <si>
    <t>Virginia McConville</t>
  </si>
  <si>
    <t>Wilone O'Kielt</t>
  </si>
  <si>
    <t>Madge McCloughen</t>
  </si>
  <si>
    <t>Janene Hairsine</t>
  </si>
  <si>
    <t>Alta Kaszper</t>
  </si>
  <si>
    <t>Dennison Crosswaite</t>
  </si>
  <si>
    <t>Oran Buxcy</t>
  </si>
  <si>
    <t>Hinda Label</t>
  </si>
  <si>
    <t>Marney O'Breen</t>
  </si>
  <si>
    <t>Dell Molloy</t>
  </si>
  <si>
    <t>Mallorie Waber</t>
  </si>
  <si>
    <t>Cherlyn Barter</t>
  </si>
  <si>
    <t>Ches Bonnell</t>
  </si>
  <si>
    <t>Collin Jagson</t>
  </si>
  <si>
    <t>Hogan Iles</t>
  </si>
  <si>
    <t>Gretchen Callow</t>
  </si>
  <si>
    <t>Kissiah Maydway</t>
  </si>
  <si>
    <t>Archibald Filliskirk</t>
  </si>
  <si>
    <t>Enoch Dowrey</t>
  </si>
  <si>
    <t>Bili Sizey</t>
  </si>
  <si>
    <t>Caro Chappel</t>
  </si>
  <si>
    <t>Constantino Espley</t>
  </si>
  <si>
    <t>Karlen McCaffrey</t>
  </si>
  <si>
    <t>Drusy MacCombe</t>
  </si>
  <si>
    <t>My Hanscome</t>
  </si>
  <si>
    <t>Teressa Udden</t>
  </si>
  <si>
    <t>Crissie Cordel</t>
  </si>
  <si>
    <t>Elia Cockton</t>
  </si>
  <si>
    <t>Gigi Bohling</t>
  </si>
  <si>
    <t>Ebonee Roxburgh</t>
  </si>
  <si>
    <t>Shayne Stegel</t>
  </si>
  <si>
    <t>Zach Polon</t>
  </si>
  <si>
    <t>Total</t>
  </si>
  <si>
    <t>Deepali Charan</t>
  </si>
  <si>
    <t>Yagna Sujeev</t>
  </si>
  <si>
    <t>Satyendra Venkatadri</t>
  </si>
  <si>
    <t>Madhavdas Buhpathi</t>
  </si>
  <si>
    <t>Sahila Chandrasekhar</t>
  </si>
  <si>
    <t>Mirium Seemantini Shivakumar</t>
  </si>
  <si>
    <t>Purnendu Vijayarangan</t>
  </si>
  <si>
    <t>Rukma Vinita</t>
  </si>
  <si>
    <t>Yauvani Tarpa</t>
  </si>
  <si>
    <t>Damayanti Thangavadivelu</t>
  </si>
  <si>
    <t>Manjusri Ruchi</t>
  </si>
  <si>
    <t>Mithil Nadkarni</t>
  </si>
  <si>
    <t>Ardhendu Abhichandra Jayakar</t>
  </si>
  <si>
    <t>Akbar Sorabhjee</t>
  </si>
  <si>
    <t>Bandhula Sathyanna</t>
  </si>
  <si>
    <t>Daruka Ghazali</t>
  </si>
  <si>
    <t>Heer Pennathur</t>
  </si>
  <si>
    <t>Shekhar Eswara</t>
  </si>
  <si>
    <t>Udyan Lanka</t>
  </si>
  <si>
    <t>Shreela Ramasubraman</t>
  </si>
  <si>
    <t>Sanchali Shirish</t>
  </si>
  <si>
    <t>Gangadutt Ragha</t>
  </si>
  <si>
    <t>Waheeda Vasuman</t>
  </si>
  <si>
    <t>Nanak Sapna</t>
  </si>
  <si>
    <t>Shobhana Samuel</t>
  </si>
  <si>
    <t>Amlankusum Rajabhushan</t>
  </si>
  <si>
    <t>Pratigya Rema</t>
  </si>
  <si>
    <t>Ramnath Ravuri</t>
  </si>
  <si>
    <t>Prerana Nishita</t>
  </si>
  <si>
    <t>Makshi Vinutha</t>
  </si>
  <si>
    <t>Shiuli Sapna</t>
  </si>
  <si>
    <t>Agrata Rajarama</t>
  </si>
  <si>
    <t>Vasu Nandin</t>
  </si>
  <si>
    <t>Bhuvan Pals</t>
  </si>
  <si>
    <t>Gumwant Veera</t>
  </si>
  <si>
    <t>Narois Motiwala</t>
  </si>
  <si>
    <t>Anjushri Chandiramani</t>
  </si>
  <si>
    <t>Krishnakanta Vellanki</t>
  </si>
  <si>
    <t>Dhruv Manjunath</t>
  </si>
  <si>
    <t>Vanmala Shriharsha</t>
  </si>
  <si>
    <t>Sameer Shashank Sapra</t>
  </si>
  <si>
    <t>Anumati Shyamari Meherhomji</t>
  </si>
  <si>
    <t>Tarala Vishaal</t>
  </si>
  <si>
    <t>Shubhra Potla</t>
  </si>
  <si>
    <t>Hemavati Muthiah</t>
  </si>
  <si>
    <t>Krittika Gaekwad</t>
  </si>
  <si>
    <t>Shevantilal Muppala</t>
  </si>
  <si>
    <t>Shattesh Utpat</t>
  </si>
  <si>
    <t>Kamalakshi Mukundan</t>
  </si>
  <si>
    <t>Chandana Sannidhi Surnilla</t>
  </si>
  <si>
    <t>Indu Varada Sumedh</t>
  </si>
  <si>
    <t>Karuna Pashupathy</t>
  </si>
  <si>
    <t>Mardav Ramaswami</t>
  </si>
  <si>
    <t>Sarayu Ragunathan</t>
  </si>
  <si>
    <t>Kevalkumar Solanki</t>
  </si>
  <si>
    <t>Upendra Swati</t>
  </si>
  <si>
    <t>Deepit Ranjana</t>
  </si>
  <si>
    <t>Amal Nimesh</t>
  </si>
  <si>
    <t>Kunja Prashanta Vibha</t>
  </si>
  <si>
    <t>Godavari Veena</t>
  </si>
  <si>
    <t>Devasree Fullara Saurin</t>
  </si>
  <si>
    <t>Geena Raghavanpillai</t>
  </si>
  <si>
    <t>Rupak Mehra</t>
  </si>
  <si>
    <t>Sawini Chandan</t>
  </si>
  <si>
    <t>Baruna Ogale</t>
  </si>
  <si>
    <t>Jagajeet Viraj</t>
  </si>
  <si>
    <t>Kulbhushan Moorthy</t>
  </si>
  <si>
    <t>Ilesh Dasgupta</t>
  </si>
  <si>
    <t>Madhumati Gazala Soumitra</t>
  </si>
  <si>
    <t>Chitrasen Laul</t>
  </si>
  <si>
    <t>Jaishree Atasi Yavatkar</t>
  </si>
  <si>
    <t>Kantimoy Pritish</t>
  </si>
  <si>
    <t>Rameshwari Chikodi</t>
  </si>
  <si>
    <t>Lalit Kothari</t>
  </si>
  <si>
    <t>Sahas Sanabhi Shrikant</t>
  </si>
  <si>
    <t>Kaishori Harathi Kateel</t>
  </si>
  <si>
    <t>Rushil Kripa</t>
  </si>
  <si>
    <t>Sarojini Naueshwara</t>
  </si>
  <si>
    <t>Sartaj Probal</t>
  </si>
  <si>
    <t>Mahindra Sreedharan</t>
  </si>
  <si>
    <t>Suchira Bhanupriya Tapti</t>
  </si>
  <si>
    <t>Fullara Sushanti Mokate</t>
  </si>
  <si>
    <t>Hridaynath Tendulkar</t>
  </si>
  <si>
    <t>Abhaya Priyavardhan</t>
  </si>
  <si>
    <t>Ayog Chakrabarti</t>
  </si>
  <si>
    <t>Pragya Nilufar</t>
  </si>
  <si>
    <t>Shulabh Qutub Sundaramoorthy</t>
  </si>
  <si>
    <t>Vinanti Choudhari</t>
  </si>
  <si>
    <t>Ranajay Kailashnath Richa</t>
  </si>
  <si>
    <t>Asija Pothireddy</t>
  </si>
  <si>
    <t>Piyali Mahanthapa</t>
  </si>
  <si>
    <t>Sukhdev Nageshwar</t>
  </si>
  <si>
    <t>Country</t>
  </si>
  <si>
    <t>Tenure</t>
  </si>
  <si>
    <t>Bounus</t>
  </si>
  <si>
    <t>Rating as Number</t>
  </si>
  <si>
    <t>IND</t>
  </si>
  <si>
    <t>Count of employees</t>
  </si>
  <si>
    <t>NZ</t>
  </si>
  <si>
    <t>Average salary</t>
  </si>
  <si>
    <t>Average Age</t>
  </si>
  <si>
    <t>Average Tenure</t>
  </si>
  <si>
    <t>Female Ratio %</t>
  </si>
  <si>
    <t>Female Count</t>
  </si>
  <si>
    <t>Ratio %</t>
  </si>
  <si>
    <t>Other</t>
  </si>
  <si>
    <t>Ratio of 90000$ &gt;</t>
  </si>
  <si>
    <t>VLOOKUP</t>
  </si>
  <si>
    <t xml:space="preserve">Rating </t>
  </si>
  <si>
    <t>Date of Join</t>
  </si>
  <si>
    <t>XLOOKUP</t>
  </si>
  <si>
    <t>Row Labels</t>
  </si>
  <si>
    <t>Count of Name</t>
  </si>
  <si>
    <t>Average of Salary</t>
  </si>
  <si>
    <t>Grand Total</t>
  </si>
  <si>
    <t xml:space="preserve">Information Finder </t>
  </si>
  <si>
    <t xml:space="preserve">Department  Name </t>
  </si>
  <si>
    <t>Number of People</t>
  </si>
  <si>
    <t xml:space="preserve">Month </t>
  </si>
  <si>
    <t xml:space="preserve">Head count </t>
  </si>
  <si>
    <t>Running Total</t>
  </si>
  <si>
    <t>2020</t>
  </si>
  <si>
    <t>May</t>
  </si>
  <si>
    <t>Jun</t>
  </si>
  <si>
    <t>Jul</t>
  </si>
  <si>
    <t>Aug</t>
  </si>
  <si>
    <t>Sep</t>
  </si>
  <si>
    <t>Oct</t>
  </si>
  <si>
    <t>Nov</t>
  </si>
  <si>
    <t>Dec</t>
  </si>
  <si>
    <t>2021</t>
  </si>
  <si>
    <t>Jan</t>
  </si>
  <si>
    <t>Feb</t>
  </si>
  <si>
    <t>Mar</t>
  </si>
  <si>
    <t>Apr</t>
  </si>
  <si>
    <t>2022</t>
  </si>
  <si>
    <t>2023</t>
  </si>
  <si>
    <t>Male vs. Female</t>
  </si>
  <si>
    <t>Values</t>
  </si>
  <si>
    <t>Average of Age</t>
  </si>
  <si>
    <t>Average of Tenure</t>
  </si>
  <si>
    <t>New Zealand</t>
  </si>
  <si>
    <t>India</t>
  </si>
  <si>
    <t>Headcount by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</si>
</sst>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quot;$&quot;#,##0.00"/>
    <numFmt numFmtId="165" formatCode="0.0"/>
    <numFmt numFmtId="166" formatCode="&quot;$&quot;#,##0"/>
  </numFmts>
  <fonts count="12" x14ac:knownFonts="1">
    <font>
      <sz val="11"/>
      <color theme="1"/>
      <name val="Calibri"/>
      <family val="2"/>
      <scheme val="minor"/>
    </font>
    <font>
      <sz val="28"/>
      <color theme="1"/>
      <name val="Segoe UI Light"/>
      <family val="2"/>
    </font>
    <font>
      <b/>
      <sz val="11"/>
      <color theme="1"/>
      <name val="Calibri"/>
      <family val="2"/>
      <scheme val="minor"/>
    </font>
    <font>
      <b/>
      <sz val="11"/>
      <color rgb="FF000000"/>
      <name val="Calibri"/>
      <scheme val="minor"/>
    </font>
    <font>
      <sz val="24"/>
      <color theme="1"/>
      <name val="Segoe UI Black"/>
    </font>
    <font>
      <sz val="48"/>
      <color theme="1"/>
      <name val="Segoe UI Black"/>
    </font>
    <font>
      <sz val="48"/>
      <color theme="0"/>
      <name val="Segoe UI Black"/>
    </font>
    <font>
      <sz val="26"/>
      <color theme="0"/>
      <name val="Segoe UI Black"/>
    </font>
    <font>
      <sz val="24"/>
      <color theme="0"/>
      <name val="Segoe UI Black"/>
    </font>
    <font>
      <sz val="26"/>
      <color theme="1"/>
      <name val="Segoe UI Black"/>
    </font>
    <font>
      <sz val="18"/>
      <color theme="1"/>
      <name val="Segoe UI Light"/>
      <family val="2"/>
    </font>
    <font>
      <sz val="20"/>
      <color theme="1"/>
      <name val="Segoe UI Light"/>
      <family val="2"/>
    </font>
  </fonts>
  <fills count="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theme="0" tint="-0.14999847407452621"/>
        <bgColor indexed="64"/>
      </patternFill>
    </fill>
    <fill>
      <patternFill patternType="solid">
        <fgColor theme="7"/>
        <bgColor indexed="64"/>
      </patternFill>
    </fill>
    <fill>
      <patternFill patternType="solid">
        <fgColor rgb="FF0070C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theme="9" tint="0.39997558519241921"/>
      </left>
      <right/>
      <top style="thin">
        <color theme="9" tint="0.39997558519241921"/>
      </top>
      <bottom style="thin">
        <color theme="9" tint="0.39997558519241921"/>
      </bottom>
      <diagonal/>
    </border>
    <border>
      <left/>
      <right style="thin">
        <color rgb="FF000000"/>
      </right>
      <top style="thin">
        <color rgb="FF000000"/>
      </top>
      <bottom style="thin">
        <color rgb="FF000000"/>
      </bottom>
      <diagonal/>
    </border>
    <border>
      <left style="thin">
        <color theme="0"/>
      </left>
      <right style="thin">
        <color theme="0"/>
      </right>
      <top style="thin">
        <color theme="0"/>
      </top>
      <bottom style="thin">
        <color theme="0"/>
      </bottom>
      <diagonal/>
    </border>
  </borders>
  <cellStyleXfs count="1">
    <xf numFmtId="0" fontId="0" fillId="0" borderId="0"/>
  </cellStyleXfs>
  <cellXfs count="43">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0" fontId="0" fillId="0" borderId="0" xfId="0" applyAlignment="1">
      <alignment horizontal="right"/>
    </xf>
    <xf numFmtId="8" fontId="0" fillId="0" borderId="0" xfId="0" applyNumberFormat="1"/>
    <xf numFmtId="14" fontId="0" fillId="0" borderId="0" xfId="0" applyNumberFormat="1"/>
    <xf numFmtId="164" fontId="0" fillId="0" borderId="0" xfId="0" applyNumberFormat="1"/>
    <xf numFmtId="2" fontId="0" fillId="0" borderId="0" xfId="0" applyNumberFormat="1"/>
    <xf numFmtId="9" fontId="0" fillId="0" borderId="0" xfId="0" applyNumberFormat="1"/>
    <xf numFmtId="0" fontId="0" fillId="4" borderId="0" xfId="0" applyFill="1" applyAlignment="1">
      <alignment horizontal="center"/>
    </xf>
    <xf numFmtId="0" fontId="0" fillId="0" borderId="1" xfId="0" applyBorder="1" applyAlignment="1">
      <alignment horizontal="left"/>
    </xf>
    <xf numFmtId="14" fontId="0" fillId="0" borderId="1" xfId="0" applyNumberFormat="1" applyBorder="1" applyAlignment="1">
      <alignment horizontal="left"/>
    </xf>
    <xf numFmtId="2" fontId="0" fillId="0" borderId="1" xfId="0" applyNumberFormat="1" applyBorder="1" applyAlignment="1">
      <alignment horizontal="left"/>
    </xf>
    <xf numFmtId="0" fontId="2" fillId="0" borderId="0" xfId="0" applyFont="1"/>
    <xf numFmtId="0" fontId="3" fillId="0" borderId="0" xfId="0" applyFont="1"/>
    <xf numFmtId="0" fontId="0" fillId="0" borderId="2" xfId="0" applyBorder="1" applyAlignment="1">
      <alignment horizontal="left"/>
    </xf>
    <xf numFmtId="0" fontId="0" fillId="0" borderId="3" xfId="0" applyBorder="1" applyAlignment="1">
      <alignment horizontal="left" wrapText="1"/>
    </xf>
    <xf numFmtId="0" fontId="0" fillId="0" borderId="3" xfId="0" applyBorder="1" applyAlignment="1">
      <alignment horizontal="left"/>
    </xf>
    <xf numFmtId="0" fontId="0" fillId="0" borderId="3" xfId="0" applyBorder="1"/>
    <xf numFmtId="0" fontId="2" fillId="5" borderId="5" xfId="0" applyFont="1" applyFill="1" applyBorder="1" applyAlignment="1">
      <alignment horizontal="center"/>
    </xf>
    <xf numFmtId="0" fontId="0" fillId="0" borderId="0" xfId="0" pivotButton="1"/>
    <xf numFmtId="165" fontId="0" fillId="0" borderId="0" xfId="0" applyNumberFormat="1"/>
    <xf numFmtId="166" fontId="0" fillId="0" borderId="0" xfId="0" applyNumberFormat="1"/>
    <xf numFmtId="166" fontId="0" fillId="0" borderId="0" xfId="0" applyNumberFormat="1" applyAlignment="1">
      <alignment wrapText="1"/>
    </xf>
    <xf numFmtId="0" fontId="0" fillId="6" borderId="4" xfId="0" applyFill="1" applyBorder="1"/>
    <xf numFmtId="0" fontId="0" fillId="0" borderId="0" xfId="0" applyAlignment="1">
      <alignment horizontal="left"/>
    </xf>
    <xf numFmtId="1" fontId="0" fillId="0" borderId="0" xfId="0" applyNumberFormat="1" applyAlignment="1">
      <alignment wrapText="1"/>
    </xf>
    <xf numFmtId="1" fontId="0" fillId="0" borderId="0" xfId="0" applyNumberFormat="1"/>
    <xf numFmtId="0" fontId="0" fillId="0" borderId="0" xfId="0" applyAlignment="1">
      <alignment horizontal="left" indent="1"/>
    </xf>
    <xf numFmtId="17" fontId="0" fillId="0" borderId="0" xfId="0" applyNumberFormat="1"/>
    <xf numFmtId="0" fontId="0" fillId="0" borderId="6" xfId="0" applyBorder="1"/>
    <xf numFmtId="0" fontId="6" fillId="7" borderId="6" xfId="0" applyFont="1" applyFill="1" applyBorder="1" applyAlignment="1">
      <alignment horizontal="center" vertical="center"/>
    </xf>
    <xf numFmtId="9" fontId="7" fillId="7" borderId="6" xfId="0" applyNumberFormat="1" applyFont="1" applyFill="1" applyBorder="1" applyAlignment="1">
      <alignment horizontal="center" vertical="center"/>
    </xf>
    <xf numFmtId="166" fontId="8" fillId="7" borderId="6" xfId="0" applyNumberFormat="1" applyFont="1" applyFill="1" applyBorder="1" applyAlignment="1">
      <alignment horizontal="center" vertical="center"/>
    </xf>
    <xf numFmtId="0" fontId="5" fillId="4" borderId="6" xfId="0" applyFont="1" applyFill="1" applyBorder="1" applyAlignment="1">
      <alignment horizontal="center" vertical="center"/>
    </xf>
    <xf numFmtId="9" fontId="9" fillId="4" borderId="6" xfId="0" applyNumberFormat="1" applyFont="1" applyFill="1" applyBorder="1" applyAlignment="1">
      <alignment horizontal="center" vertical="center"/>
    </xf>
    <xf numFmtId="166" fontId="4" fillId="4" borderId="6" xfId="0" applyNumberFormat="1" applyFont="1" applyFill="1" applyBorder="1" applyAlignment="1">
      <alignment horizontal="center" vertical="center"/>
    </xf>
    <xf numFmtId="0" fontId="0" fillId="0" borderId="6" xfId="0" applyBorder="1" applyAlignment="1">
      <alignment horizontal="center"/>
    </xf>
    <xf numFmtId="0" fontId="10" fillId="5" borderId="6" xfId="0" applyFont="1" applyFill="1" applyBorder="1" applyAlignment="1">
      <alignment horizontal="center" vertical="center"/>
    </xf>
    <xf numFmtId="0" fontId="11" fillId="0" borderId="6" xfId="0" applyFont="1" applyBorder="1" applyAlignment="1">
      <alignment horizontal="center" vertical="center"/>
    </xf>
    <xf numFmtId="0" fontId="0" fillId="0" borderId="6" xfId="0" applyBorder="1" applyAlignment="1">
      <alignment horizontal="center" vertical="center"/>
    </xf>
  </cellXfs>
  <cellStyles count="1">
    <cellStyle name="Normal" xfId="0" builtinId="0"/>
  </cellStyles>
  <dxfs count="24">
    <dxf>
      <font>
        <color rgb="FF9C0006"/>
      </font>
      <fill>
        <patternFill>
          <bgColor rgb="FFFFC7CE"/>
        </patternFill>
      </fill>
    </dxf>
    <dxf>
      <numFmt numFmtId="166" formatCode="&quot;$&quot;#,##0"/>
    </dxf>
    <dxf>
      <numFmt numFmtId="165" formatCode="0.0"/>
    </dxf>
    <dxf>
      <numFmt numFmtId="166" formatCode="&quot;$&quot;#,##0"/>
    </dxf>
    <dxf>
      <numFmt numFmtId="166" formatCode="&quot;$&quot;#,##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66" formatCode="&quot;$&quot;#,##0"/>
    </dxf>
    <dxf>
      <numFmt numFmtId="2" formatCode="0.00"/>
    </dxf>
    <dxf>
      <alignment horizontal="right" vertical="bottom" textRotation="0" wrapText="0" indent="0" justifyLastLine="0" shrinkToFit="0" readingOrder="0"/>
    </dxf>
    <dxf>
      <numFmt numFmtId="166" formatCode="&quot;$&quot;#,##0"/>
    </dxf>
    <dxf>
      <numFmt numFmtId="0" formatCode="General"/>
      <alignment horizontal="right" vertical="bottom" textRotation="0" wrapText="0" indent="0" justifyLastLine="0" shrinkToFit="0" readingOrder="0"/>
    </dxf>
    <dxf>
      <numFmt numFmtId="19" formatCode="m/d/yyyy"/>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20" formatCode="d\-mmm\-yy"/>
    </dxf>
    <dxf>
      <numFmt numFmtId="12" formatCode="&quot;$&quot;#,##0.00_);[Red]\(&quot;$&quot;#,##0.00\)"/>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0000"/>
                </a:solidFill>
                <a:latin typeface="+mn-lt"/>
                <a:ea typeface="+mn-ea"/>
                <a:cs typeface="+mn-cs"/>
              </a:defRPr>
            </a:pPr>
            <a:r>
              <a:rPr lang="en-US"/>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0000"/>
              </a:solidFill>
              <a:latin typeface="+mn-lt"/>
              <a:ea typeface="+mn-ea"/>
              <a:cs typeface="+mn-cs"/>
            </a:defRPr>
          </a:pPr>
          <a:endParaRPr lang="en-US"/>
        </a:p>
      </c:txPr>
    </c:title>
    <c:autoTitleDeleted val="0"/>
    <c:plotArea>
      <c:layout/>
      <c:scatterChart>
        <c:scatterStyle val="lineMarker"/>
        <c:varyColors val="0"/>
        <c:ser>
          <c:idx val="0"/>
          <c:order val="0"/>
          <c:tx>
            <c:strRef>
              <c:f>'All staff'!$G$1</c:f>
              <c:strCache>
                <c:ptCount val="1"/>
                <c:pt idx="0">
                  <c:v>Salary</c:v>
                </c:pt>
              </c:strCache>
            </c:strRef>
          </c:tx>
          <c:spPr>
            <a:ln w="25400" cap="rnd">
              <a:noFill/>
              <a:round/>
            </a:ln>
            <a:effectLst/>
          </c:spPr>
          <c:marker>
            <c:symbol val="circle"/>
            <c:size val="5"/>
            <c:spPr>
              <a:solidFill>
                <a:schemeClr val="accent1"/>
              </a:solidFill>
              <a:ln w="9525">
                <a:solidFill>
                  <a:schemeClr val="accent1"/>
                </a:solidFill>
              </a:ln>
              <a:effectLst/>
            </c:spPr>
          </c:marker>
          <c:xVal>
            <c:numRef>
              <c:f>'All staff'!$K$2:$K$184</c:f>
              <c:numCache>
                <c:formatCode>0</c:formatCode>
                <c:ptCount val="183"/>
                <c:pt idx="0">
                  <c:v>3</c:v>
                </c:pt>
                <c:pt idx="1">
                  <c:v>3</c:v>
                </c:pt>
                <c:pt idx="2">
                  <c:v>3</c:v>
                </c:pt>
                <c:pt idx="3">
                  <c:v>3</c:v>
                </c:pt>
                <c:pt idx="4">
                  <c:v>3</c:v>
                </c:pt>
                <c:pt idx="5">
                  <c:v>3</c:v>
                </c:pt>
                <c:pt idx="6">
                  <c:v>3</c:v>
                </c:pt>
                <c:pt idx="7">
                  <c:v>3</c:v>
                </c:pt>
                <c:pt idx="8">
                  <c:v>2</c:v>
                </c:pt>
                <c:pt idx="9">
                  <c:v>2</c:v>
                </c:pt>
                <c:pt idx="10">
                  <c:v>3</c:v>
                </c:pt>
                <c:pt idx="11">
                  <c:v>3</c:v>
                </c:pt>
                <c:pt idx="12">
                  <c:v>3</c:v>
                </c:pt>
                <c:pt idx="13">
                  <c:v>3</c:v>
                </c:pt>
                <c:pt idx="14">
                  <c:v>3</c:v>
                </c:pt>
                <c:pt idx="15">
                  <c:v>3</c:v>
                </c:pt>
                <c:pt idx="16">
                  <c:v>1</c:v>
                </c:pt>
                <c:pt idx="17">
                  <c:v>1</c:v>
                </c:pt>
                <c:pt idx="18">
                  <c:v>4</c:v>
                </c:pt>
                <c:pt idx="19">
                  <c:v>4</c:v>
                </c:pt>
                <c:pt idx="20">
                  <c:v>3</c:v>
                </c:pt>
                <c:pt idx="21">
                  <c:v>3</c:v>
                </c:pt>
                <c:pt idx="22">
                  <c:v>3</c:v>
                </c:pt>
                <c:pt idx="23">
                  <c:v>3</c:v>
                </c:pt>
                <c:pt idx="24">
                  <c:v>3</c:v>
                </c:pt>
                <c:pt idx="25">
                  <c:v>2</c:v>
                </c:pt>
                <c:pt idx="26">
                  <c:v>2</c:v>
                </c:pt>
                <c:pt idx="27">
                  <c:v>4</c:v>
                </c:pt>
                <c:pt idx="28">
                  <c:v>4</c:v>
                </c:pt>
                <c:pt idx="29">
                  <c:v>5</c:v>
                </c:pt>
                <c:pt idx="30">
                  <c:v>5</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3</c:v>
                </c:pt>
                <c:pt idx="55">
                  <c:v>3</c:v>
                </c:pt>
                <c:pt idx="56">
                  <c:v>3</c:v>
                </c:pt>
                <c:pt idx="57">
                  <c:v>4</c:v>
                </c:pt>
                <c:pt idx="58">
                  <c:v>4</c:v>
                </c:pt>
                <c:pt idx="59">
                  <c:v>3</c:v>
                </c:pt>
                <c:pt idx="60">
                  <c:v>3</c:v>
                </c:pt>
                <c:pt idx="61">
                  <c:v>4</c:v>
                </c:pt>
                <c:pt idx="62">
                  <c:v>4</c:v>
                </c:pt>
                <c:pt idx="63">
                  <c:v>2</c:v>
                </c:pt>
                <c:pt idx="64">
                  <c:v>2</c:v>
                </c:pt>
                <c:pt idx="65">
                  <c:v>3</c:v>
                </c:pt>
                <c:pt idx="66">
                  <c:v>3</c:v>
                </c:pt>
                <c:pt idx="67">
                  <c:v>3</c:v>
                </c:pt>
                <c:pt idx="68">
                  <c:v>3</c:v>
                </c:pt>
                <c:pt idx="69">
                  <c:v>3</c:v>
                </c:pt>
                <c:pt idx="70">
                  <c:v>3</c:v>
                </c:pt>
                <c:pt idx="71">
                  <c:v>3</c:v>
                </c:pt>
                <c:pt idx="72">
                  <c:v>3</c:v>
                </c:pt>
                <c:pt idx="73">
                  <c:v>4</c:v>
                </c:pt>
                <c:pt idx="74">
                  <c:v>4</c:v>
                </c:pt>
                <c:pt idx="75">
                  <c:v>3</c:v>
                </c:pt>
                <c:pt idx="76">
                  <c:v>3</c:v>
                </c:pt>
                <c:pt idx="77">
                  <c:v>3</c:v>
                </c:pt>
                <c:pt idx="78">
                  <c:v>3</c:v>
                </c:pt>
                <c:pt idx="79">
                  <c:v>3</c:v>
                </c:pt>
                <c:pt idx="80">
                  <c:v>3</c:v>
                </c:pt>
                <c:pt idx="81">
                  <c:v>4</c:v>
                </c:pt>
                <c:pt idx="82">
                  <c:v>4</c:v>
                </c:pt>
                <c:pt idx="83">
                  <c:v>3</c:v>
                </c:pt>
                <c:pt idx="84">
                  <c:v>3</c:v>
                </c:pt>
                <c:pt idx="85">
                  <c:v>3</c:v>
                </c:pt>
                <c:pt idx="86">
                  <c:v>3</c:v>
                </c:pt>
                <c:pt idx="87">
                  <c:v>1</c:v>
                </c:pt>
                <c:pt idx="88">
                  <c:v>1</c:v>
                </c:pt>
                <c:pt idx="89">
                  <c:v>3</c:v>
                </c:pt>
                <c:pt idx="90">
                  <c:v>3</c:v>
                </c:pt>
                <c:pt idx="91">
                  <c:v>5</c:v>
                </c:pt>
                <c:pt idx="92">
                  <c:v>5</c:v>
                </c:pt>
                <c:pt idx="93">
                  <c:v>3</c:v>
                </c:pt>
                <c:pt idx="94">
                  <c:v>3</c:v>
                </c:pt>
                <c:pt idx="95">
                  <c:v>3</c:v>
                </c:pt>
                <c:pt idx="96">
                  <c:v>3</c:v>
                </c:pt>
                <c:pt idx="97">
                  <c:v>3</c:v>
                </c:pt>
                <c:pt idx="98">
                  <c:v>3</c:v>
                </c:pt>
                <c:pt idx="99">
                  <c:v>2</c:v>
                </c:pt>
                <c:pt idx="100">
                  <c:v>2</c:v>
                </c:pt>
                <c:pt idx="101">
                  <c:v>3</c:v>
                </c:pt>
                <c:pt idx="102">
                  <c:v>3</c:v>
                </c:pt>
                <c:pt idx="103">
                  <c:v>3</c:v>
                </c:pt>
                <c:pt idx="104">
                  <c:v>3</c:v>
                </c:pt>
                <c:pt idx="105">
                  <c:v>3</c:v>
                </c:pt>
                <c:pt idx="106">
                  <c:v>3</c:v>
                </c:pt>
                <c:pt idx="107">
                  <c:v>2</c:v>
                </c:pt>
                <c:pt idx="108">
                  <c:v>2</c:v>
                </c:pt>
                <c:pt idx="109">
                  <c:v>3</c:v>
                </c:pt>
                <c:pt idx="110">
                  <c:v>3</c:v>
                </c:pt>
                <c:pt idx="111">
                  <c:v>2</c:v>
                </c:pt>
                <c:pt idx="112">
                  <c:v>2</c:v>
                </c:pt>
                <c:pt idx="113">
                  <c:v>3</c:v>
                </c:pt>
                <c:pt idx="114">
                  <c:v>3</c:v>
                </c:pt>
                <c:pt idx="115">
                  <c:v>3</c:v>
                </c:pt>
                <c:pt idx="116">
                  <c:v>3</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4</c:v>
                </c:pt>
                <c:pt idx="138">
                  <c:v>4</c:v>
                </c:pt>
                <c:pt idx="139">
                  <c:v>3</c:v>
                </c:pt>
                <c:pt idx="140">
                  <c:v>3</c:v>
                </c:pt>
                <c:pt idx="141">
                  <c:v>3</c:v>
                </c:pt>
                <c:pt idx="142">
                  <c:v>3</c:v>
                </c:pt>
                <c:pt idx="143">
                  <c:v>3</c:v>
                </c:pt>
                <c:pt idx="144">
                  <c:v>3</c:v>
                </c:pt>
                <c:pt idx="145">
                  <c:v>3</c:v>
                </c:pt>
                <c:pt idx="146">
                  <c:v>3</c:v>
                </c:pt>
                <c:pt idx="147">
                  <c:v>3</c:v>
                </c:pt>
                <c:pt idx="148">
                  <c:v>3</c:v>
                </c:pt>
                <c:pt idx="149">
                  <c:v>2</c:v>
                </c:pt>
                <c:pt idx="150">
                  <c:v>2</c:v>
                </c:pt>
                <c:pt idx="151">
                  <c:v>2</c:v>
                </c:pt>
                <c:pt idx="152">
                  <c:v>2</c:v>
                </c:pt>
                <c:pt idx="153">
                  <c:v>3</c:v>
                </c:pt>
                <c:pt idx="154">
                  <c:v>3</c:v>
                </c:pt>
                <c:pt idx="155">
                  <c:v>3</c:v>
                </c:pt>
                <c:pt idx="156">
                  <c:v>3</c:v>
                </c:pt>
                <c:pt idx="157">
                  <c:v>4</c:v>
                </c:pt>
                <c:pt idx="158">
                  <c:v>4</c:v>
                </c:pt>
                <c:pt idx="159">
                  <c:v>4</c:v>
                </c:pt>
                <c:pt idx="160">
                  <c:v>4</c:v>
                </c:pt>
                <c:pt idx="161">
                  <c:v>3</c:v>
                </c:pt>
                <c:pt idx="162">
                  <c:v>3</c:v>
                </c:pt>
                <c:pt idx="163">
                  <c:v>3</c:v>
                </c:pt>
                <c:pt idx="164">
                  <c:v>3</c:v>
                </c:pt>
                <c:pt idx="165">
                  <c:v>4</c:v>
                </c:pt>
                <c:pt idx="166">
                  <c:v>4</c:v>
                </c:pt>
                <c:pt idx="167">
                  <c:v>1</c:v>
                </c:pt>
                <c:pt idx="168">
                  <c:v>1</c:v>
                </c:pt>
                <c:pt idx="169">
                  <c:v>3</c:v>
                </c:pt>
                <c:pt idx="170">
                  <c:v>3</c:v>
                </c:pt>
                <c:pt idx="171">
                  <c:v>3</c:v>
                </c:pt>
                <c:pt idx="172">
                  <c:v>3</c:v>
                </c:pt>
                <c:pt idx="173">
                  <c:v>3</c:v>
                </c:pt>
                <c:pt idx="174">
                  <c:v>3</c:v>
                </c:pt>
                <c:pt idx="175">
                  <c:v>3</c:v>
                </c:pt>
                <c:pt idx="176">
                  <c:v>3</c:v>
                </c:pt>
                <c:pt idx="177">
                  <c:v>3</c:v>
                </c:pt>
                <c:pt idx="178">
                  <c:v>3</c:v>
                </c:pt>
                <c:pt idx="179">
                  <c:v>3</c:v>
                </c:pt>
                <c:pt idx="180">
                  <c:v>3</c:v>
                </c:pt>
                <c:pt idx="181">
                  <c:v>3</c:v>
                </c:pt>
                <c:pt idx="182">
                  <c:v>3</c:v>
                </c:pt>
              </c:numCache>
            </c:numRef>
          </c:xVal>
          <c:yVal>
            <c:numRef>
              <c:f>'All staff'!$G$2:$G$184</c:f>
              <c:numCache>
                <c:formatCode>"$"#,##0</c:formatCode>
                <c:ptCount val="183"/>
                <c:pt idx="0">
                  <c:v>119110</c:v>
                </c:pt>
                <c:pt idx="1">
                  <c:v>119110</c:v>
                </c:pt>
                <c:pt idx="2">
                  <c:v>118840</c:v>
                </c:pt>
                <c:pt idx="3">
                  <c:v>118840</c:v>
                </c:pt>
                <c:pt idx="4">
                  <c:v>118100</c:v>
                </c:pt>
                <c:pt idx="5">
                  <c:v>118100</c:v>
                </c:pt>
                <c:pt idx="6">
                  <c:v>115920</c:v>
                </c:pt>
                <c:pt idx="7">
                  <c:v>115920</c:v>
                </c:pt>
                <c:pt idx="8">
                  <c:v>115440</c:v>
                </c:pt>
                <c:pt idx="9">
                  <c:v>115440</c:v>
                </c:pt>
                <c:pt idx="10">
                  <c:v>114890</c:v>
                </c:pt>
                <c:pt idx="11">
                  <c:v>114890</c:v>
                </c:pt>
                <c:pt idx="12">
                  <c:v>114870</c:v>
                </c:pt>
                <c:pt idx="13">
                  <c:v>114870</c:v>
                </c:pt>
                <c:pt idx="14">
                  <c:v>114180</c:v>
                </c:pt>
                <c:pt idx="15">
                  <c:v>114180</c:v>
                </c:pt>
                <c:pt idx="16">
                  <c:v>113280</c:v>
                </c:pt>
                <c:pt idx="17">
                  <c:v>113280</c:v>
                </c:pt>
                <c:pt idx="18">
                  <c:v>112780</c:v>
                </c:pt>
                <c:pt idx="19">
                  <c:v>112780</c:v>
                </c:pt>
                <c:pt idx="20">
                  <c:v>112650</c:v>
                </c:pt>
                <c:pt idx="21">
                  <c:v>112650</c:v>
                </c:pt>
                <c:pt idx="22">
                  <c:v>112650</c:v>
                </c:pt>
                <c:pt idx="23">
                  <c:v>112570</c:v>
                </c:pt>
                <c:pt idx="24">
                  <c:v>112570</c:v>
                </c:pt>
                <c:pt idx="25">
                  <c:v>112110</c:v>
                </c:pt>
                <c:pt idx="26">
                  <c:v>112110</c:v>
                </c:pt>
                <c:pt idx="27">
                  <c:v>109190</c:v>
                </c:pt>
                <c:pt idx="28">
                  <c:v>109190</c:v>
                </c:pt>
                <c:pt idx="29">
                  <c:v>109160</c:v>
                </c:pt>
                <c:pt idx="30">
                  <c:v>109160</c:v>
                </c:pt>
                <c:pt idx="31">
                  <c:v>107700</c:v>
                </c:pt>
                <c:pt idx="32">
                  <c:v>107700</c:v>
                </c:pt>
                <c:pt idx="33">
                  <c:v>106460</c:v>
                </c:pt>
                <c:pt idx="34">
                  <c:v>106460</c:v>
                </c:pt>
                <c:pt idx="35">
                  <c:v>104770</c:v>
                </c:pt>
                <c:pt idx="36">
                  <c:v>104770</c:v>
                </c:pt>
                <c:pt idx="37">
                  <c:v>104410</c:v>
                </c:pt>
                <c:pt idx="38">
                  <c:v>104410</c:v>
                </c:pt>
                <c:pt idx="39">
                  <c:v>104120</c:v>
                </c:pt>
                <c:pt idx="40">
                  <c:v>104120</c:v>
                </c:pt>
                <c:pt idx="41">
                  <c:v>103550</c:v>
                </c:pt>
                <c:pt idx="42">
                  <c:v>103550</c:v>
                </c:pt>
                <c:pt idx="43">
                  <c:v>100420</c:v>
                </c:pt>
                <c:pt idx="44">
                  <c:v>100420</c:v>
                </c:pt>
                <c:pt idx="45">
                  <c:v>99970</c:v>
                </c:pt>
                <c:pt idx="46">
                  <c:v>99970</c:v>
                </c:pt>
                <c:pt idx="47">
                  <c:v>99750</c:v>
                </c:pt>
                <c:pt idx="48">
                  <c:v>99750</c:v>
                </c:pt>
                <c:pt idx="49">
                  <c:v>96800</c:v>
                </c:pt>
                <c:pt idx="50">
                  <c:v>96800</c:v>
                </c:pt>
                <c:pt idx="51">
                  <c:v>96140</c:v>
                </c:pt>
                <c:pt idx="52">
                  <c:v>96140</c:v>
                </c:pt>
                <c:pt idx="53">
                  <c:v>92700</c:v>
                </c:pt>
                <c:pt idx="54">
                  <c:v>92700</c:v>
                </c:pt>
                <c:pt idx="55">
                  <c:v>92450</c:v>
                </c:pt>
                <c:pt idx="56">
                  <c:v>92450</c:v>
                </c:pt>
                <c:pt idx="57">
                  <c:v>91650</c:v>
                </c:pt>
                <c:pt idx="58">
                  <c:v>91650</c:v>
                </c:pt>
                <c:pt idx="59">
                  <c:v>91310</c:v>
                </c:pt>
                <c:pt idx="60">
                  <c:v>91310</c:v>
                </c:pt>
                <c:pt idx="61">
                  <c:v>90700</c:v>
                </c:pt>
                <c:pt idx="62">
                  <c:v>90700</c:v>
                </c:pt>
                <c:pt idx="63">
                  <c:v>88050</c:v>
                </c:pt>
                <c:pt idx="64">
                  <c:v>88050</c:v>
                </c:pt>
                <c:pt idx="65">
                  <c:v>87620</c:v>
                </c:pt>
                <c:pt idx="66">
                  <c:v>87620</c:v>
                </c:pt>
                <c:pt idx="67">
                  <c:v>86570</c:v>
                </c:pt>
                <c:pt idx="68">
                  <c:v>86570</c:v>
                </c:pt>
                <c:pt idx="69">
                  <c:v>85000</c:v>
                </c:pt>
                <c:pt idx="70">
                  <c:v>85000</c:v>
                </c:pt>
                <c:pt idx="71">
                  <c:v>83750</c:v>
                </c:pt>
                <c:pt idx="72">
                  <c:v>83750</c:v>
                </c:pt>
                <c:pt idx="73">
                  <c:v>80700</c:v>
                </c:pt>
                <c:pt idx="74">
                  <c:v>80700</c:v>
                </c:pt>
                <c:pt idx="75">
                  <c:v>79570</c:v>
                </c:pt>
                <c:pt idx="76">
                  <c:v>79570</c:v>
                </c:pt>
                <c:pt idx="77">
                  <c:v>78540</c:v>
                </c:pt>
                <c:pt idx="78">
                  <c:v>78540</c:v>
                </c:pt>
                <c:pt idx="79">
                  <c:v>78390</c:v>
                </c:pt>
                <c:pt idx="80">
                  <c:v>78390</c:v>
                </c:pt>
                <c:pt idx="81">
                  <c:v>76900</c:v>
                </c:pt>
                <c:pt idx="82">
                  <c:v>76900</c:v>
                </c:pt>
                <c:pt idx="83">
                  <c:v>75970</c:v>
                </c:pt>
                <c:pt idx="84">
                  <c:v>75970</c:v>
                </c:pt>
                <c:pt idx="85">
                  <c:v>75880</c:v>
                </c:pt>
                <c:pt idx="86">
                  <c:v>75880</c:v>
                </c:pt>
                <c:pt idx="87">
                  <c:v>75480</c:v>
                </c:pt>
                <c:pt idx="88">
                  <c:v>75480</c:v>
                </c:pt>
                <c:pt idx="89">
                  <c:v>75280</c:v>
                </c:pt>
                <c:pt idx="90">
                  <c:v>75280</c:v>
                </c:pt>
                <c:pt idx="91">
                  <c:v>75000</c:v>
                </c:pt>
                <c:pt idx="92">
                  <c:v>75000</c:v>
                </c:pt>
                <c:pt idx="93">
                  <c:v>74550</c:v>
                </c:pt>
                <c:pt idx="94">
                  <c:v>74550</c:v>
                </c:pt>
                <c:pt idx="95">
                  <c:v>71380</c:v>
                </c:pt>
                <c:pt idx="96">
                  <c:v>71380</c:v>
                </c:pt>
                <c:pt idx="97">
                  <c:v>70610</c:v>
                </c:pt>
                <c:pt idx="98">
                  <c:v>70610</c:v>
                </c:pt>
                <c:pt idx="99">
                  <c:v>70270</c:v>
                </c:pt>
                <c:pt idx="100">
                  <c:v>70270</c:v>
                </c:pt>
                <c:pt idx="101">
                  <c:v>69710</c:v>
                </c:pt>
                <c:pt idx="102">
                  <c:v>69710</c:v>
                </c:pt>
                <c:pt idx="103">
                  <c:v>69120</c:v>
                </c:pt>
                <c:pt idx="104">
                  <c:v>69120</c:v>
                </c:pt>
                <c:pt idx="105">
                  <c:v>69070</c:v>
                </c:pt>
                <c:pt idx="106">
                  <c:v>69070</c:v>
                </c:pt>
                <c:pt idx="107">
                  <c:v>68900</c:v>
                </c:pt>
                <c:pt idx="108">
                  <c:v>68900</c:v>
                </c:pt>
                <c:pt idx="109">
                  <c:v>67950</c:v>
                </c:pt>
                <c:pt idx="110">
                  <c:v>67950</c:v>
                </c:pt>
                <c:pt idx="111">
                  <c:v>67910</c:v>
                </c:pt>
                <c:pt idx="112">
                  <c:v>67910</c:v>
                </c:pt>
                <c:pt idx="113">
                  <c:v>65920</c:v>
                </c:pt>
                <c:pt idx="114">
                  <c:v>65920</c:v>
                </c:pt>
                <c:pt idx="115">
                  <c:v>65700</c:v>
                </c:pt>
                <c:pt idx="116">
                  <c:v>65700</c:v>
                </c:pt>
                <c:pt idx="117">
                  <c:v>65360</c:v>
                </c:pt>
                <c:pt idx="118">
                  <c:v>65360</c:v>
                </c:pt>
                <c:pt idx="119">
                  <c:v>64000</c:v>
                </c:pt>
                <c:pt idx="120">
                  <c:v>64000</c:v>
                </c:pt>
                <c:pt idx="121">
                  <c:v>62780</c:v>
                </c:pt>
                <c:pt idx="122">
                  <c:v>62780</c:v>
                </c:pt>
                <c:pt idx="123">
                  <c:v>60570</c:v>
                </c:pt>
                <c:pt idx="124">
                  <c:v>60570</c:v>
                </c:pt>
                <c:pt idx="125">
                  <c:v>60130</c:v>
                </c:pt>
                <c:pt idx="126">
                  <c:v>60130</c:v>
                </c:pt>
                <c:pt idx="127">
                  <c:v>59430</c:v>
                </c:pt>
                <c:pt idx="128">
                  <c:v>59430</c:v>
                </c:pt>
                <c:pt idx="129">
                  <c:v>58960</c:v>
                </c:pt>
                <c:pt idx="130">
                  <c:v>58960</c:v>
                </c:pt>
                <c:pt idx="131">
                  <c:v>58940</c:v>
                </c:pt>
                <c:pt idx="132">
                  <c:v>58940</c:v>
                </c:pt>
                <c:pt idx="133">
                  <c:v>58100</c:v>
                </c:pt>
                <c:pt idx="134">
                  <c:v>58100</c:v>
                </c:pt>
                <c:pt idx="135">
                  <c:v>57090</c:v>
                </c:pt>
                <c:pt idx="136">
                  <c:v>57090</c:v>
                </c:pt>
                <c:pt idx="137">
                  <c:v>56870</c:v>
                </c:pt>
                <c:pt idx="138">
                  <c:v>56870</c:v>
                </c:pt>
                <c:pt idx="139">
                  <c:v>54970</c:v>
                </c:pt>
                <c:pt idx="140">
                  <c:v>54970</c:v>
                </c:pt>
                <c:pt idx="141">
                  <c:v>53870</c:v>
                </c:pt>
                <c:pt idx="142">
                  <c:v>53870</c:v>
                </c:pt>
                <c:pt idx="143">
                  <c:v>53540</c:v>
                </c:pt>
                <c:pt idx="144">
                  <c:v>53540</c:v>
                </c:pt>
                <c:pt idx="145">
                  <c:v>53540</c:v>
                </c:pt>
                <c:pt idx="146">
                  <c:v>53540</c:v>
                </c:pt>
                <c:pt idx="147">
                  <c:v>53240</c:v>
                </c:pt>
                <c:pt idx="148">
                  <c:v>53240</c:v>
                </c:pt>
                <c:pt idx="149">
                  <c:v>52610</c:v>
                </c:pt>
                <c:pt idx="150">
                  <c:v>52610</c:v>
                </c:pt>
                <c:pt idx="151">
                  <c:v>49630</c:v>
                </c:pt>
                <c:pt idx="152">
                  <c:v>49630</c:v>
                </c:pt>
                <c:pt idx="153">
                  <c:v>48980</c:v>
                </c:pt>
                <c:pt idx="154">
                  <c:v>48980</c:v>
                </c:pt>
                <c:pt idx="155">
                  <c:v>48950</c:v>
                </c:pt>
                <c:pt idx="156">
                  <c:v>48950</c:v>
                </c:pt>
                <c:pt idx="157">
                  <c:v>48530</c:v>
                </c:pt>
                <c:pt idx="158">
                  <c:v>48530</c:v>
                </c:pt>
                <c:pt idx="159">
                  <c:v>48170</c:v>
                </c:pt>
                <c:pt idx="160">
                  <c:v>48170</c:v>
                </c:pt>
                <c:pt idx="161">
                  <c:v>47360</c:v>
                </c:pt>
                <c:pt idx="162">
                  <c:v>47360</c:v>
                </c:pt>
                <c:pt idx="163">
                  <c:v>45510</c:v>
                </c:pt>
                <c:pt idx="164">
                  <c:v>45510</c:v>
                </c:pt>
                <c:pt idx="165">
                  <c:v>43840</c:v>
                </c:pt>
                <c:pt idx="166">
                  <c:v>43840</c:v>
                </c:pt>
                <c:pt idx="167">
                  <c:v>43510</c:v>
                </c:pt>
                <c:pt idx="168">
                  <c:v>43510</c:v>
                </c:pt>
                <c:pt idx="169">
                  <c:v>41980</c:v>
                </c:pt>
                <c:pt idx="170">
                  <c:v>41980</c:v>
                </c:pt>
                <c:pt idx="171">
                  <c:v>41570</c:v>
                </c:pt>
                <c:pt idx="172">
                  <c:v>41570</c:v>
                </c:pt>
                <c:pt idx="173">
                  <c:v>40400</c:v>
                </c:pt>
                <c:pt idx="174">
                  <c:v>40400</c:v>
                </c:pt>
                <c:pt idx="175">
                  <c:v>37920</c:v>
                </c:pt>
                <c:pt idx="176">
                  <c:v>37920</c:v>
                </c:pt>
                <c:pt idx="177">
                  <c:v>36040</c:v>
                </c:pt>
                <c:pt idx="178">
                  <c:v>36040</c:v>
                </c:pt>
                <c:pt idx="179">
                  <c:v>34980</c:v>
                </c:pt>
                <c:pt idx="180">
                  <c:v>34980</c:v>
                </c:pt>
                <c:pt idx="181">
                  <c:v>33920</c:v>
                </c:pt>
                <c:pt idx="182">
                  <c:v>33920</c:v>
                </c:pt>
              </c:numCache>
            </c:numRef>
          </c:yVal>
          <c:smooth val="0"/>
          <c:extLst>
            <c:ext xmlns:c16="http://schemas.microsoft.com/office/drawing/2014/chart" uri="{C3380CC4-5D6E-409C-BE32-E72D297353CC}">
              <c16:uniqueId val="{00000000-0858-498F-BF83-398063D28047}"/>
            </c:ext>
          </c:extLst>
        </c:ser>
        <c:dLbls>
          <c:showLegendKey val="0"/>
          <c:showVal val="0"/>
          <c:showCatName val="0"/>
          <c:showSerName val="0"/>
          <c:showPercent val="0"/>
          <c:showBubbleSize val="0"/>
        </c:dLbls>
        <c:axId val="1408530440"/>
        <c:axId val="1408552968"/>
      </c:scatterChart>
      <c:valAx>
        <c:axId val="140853044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552968"/>
        <c:crosses val="autoZero"/>
        <c:crossBetween val="midCat"/>
      </c:valAx>
      <c:valAx>
        <c:axId val="14085529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53044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[Clean^J Analyze Present Data wth EXCEL.xlsx]Employee Trend!PivotTable1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Trend'!$C$2</c:f>
              <c:strCache>
                <c:ptCount val="1"/>
                <c:pt idx="0">
                  <c:v>Total</c:v>
                </c:pt>
              </c:strCache>
            </c:strRef>
          </c:tx>
          <c:spPr>
            <a:ln w="28575" cap="rnd">
              <a:solidFill>
                <a:schemeClr val="accent1"/>
              </a:solidFill>
              <a:round/>
            </a:ln>
            <a:effectLst/>
          </c:spPr>
          <c:marker>
            <c:symbol val="none"/>
          </c:marker>
          <c:cat>
            <c:multiLvlStrRef>
              <c:f>'Employee Trend'!$B$3:$B$39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39E5-48D1-916B-DC8B50259123}"/>
            </c:ext>
          </c:extLst>
        </c:ser>
        <c:dLbls>
          <c:showLegendKey val="0"/>
          <c:showVal val="0"/>
          <c:showCatName val="0"/>
          <c:showSerName val="0"/>
          <c:showPercent val="0"/>
          <c:showBubbleSize val="0"/>
        </c:dLbls>
        <c:smooth val="0"/>
        <c:axId val="524105768"/>
        <c:axId val="524107928"/>
      </c:lineChart>
      <c:catAx>
        <c:axId val="524105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107928"/>
        <c:crosses val="autoZero"/>
        <c:auto val="1"/>
        <c:lblAlgn val="ctr"/>
        <c:lblOffset val="100"/>
        <c:noMultiLvlLbl val="0"/>
      </c:catAx>
      <c:valAx>
        <c:axId val="524107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105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0000"/>
                </a:solidFill>
                <a:latin typeface="+mn-lt"/>
                <a:ea typeface="+mn-ea"/>
                <a:cs typeface="+mn-cs"/>
              </a:defRPr>
            </a:pPr>
            <a:r>
              <a:rPr lang="en-US"/>
              <a:t>Running 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0000"/>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Trend'!$Q$3:$Q$38</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Trend'!$S$3:$S$38</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1-3867-4149-89C2-DCF6DD63A511}"/>
            </c:ext>
          </c:extLst>
        </c:ser>
        <c:dLbls>
          <c:showLegendKey val="0"/>
          <c:showVal val="0"/>
          <c:showCatName val="0"/>
          <c:showSerName val="0"/>
          <c:showPercent val="0"/>
          <c:showBubbleSize val="0"/>
        </c:dLbls>
        <c:marker val="1"/>
        <c:smooth val="0"/>
        <c:axId val="1511151624"/>
        <c:axId val="1511153672"/>
      </c:lineChart>
      <c:dateAx>
        <c:axId val="151115162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153672"/>
        <c:crosses val="autoZero"/>
        <c:auto val="1"/>
        <c:lblOffset val="100"/>
        <c:baseTimeUnit val="months"/>
      </c:dateAx>
      <c:valAx>
        <c:axId val="1511153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151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[Clean^J Analyze Present Data wth EXCEL.xlsx]Calc Pivot!PivotTable1</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694659744234138"/>
          <c:y val="0.15082706766917295"/>
          <c:w val="0.76684700719522703"/>
          <c:h val="0.74291595129556176"/>
        </c:manualLayout>
      </c:layout>
      <c:barChart>
        <c:barDir val="bar"/>
        <c:grouping val="clustered"/>
        <c:varyColors val="0"/>
        <c:ser>
          <c:idx val="0"/>
          <c:order val="0"/>
          <c:tx>
            <c:strRef>
              <c:f>'Calc Pivot'!$C$4</c:f>
              <c:strCache>
                <c:ptCount val="1"/>
                <c:pt idx="0">
                  <c:v>Total</c:v>
                </c:pt>
              </c:strCache>
            </c:strRef>
          </c:tx>
          <c:spPr>
            <a:solidFill>
              <a:schemeClr val="accent1"/>
            </a:solidFill>
            <a:ln>
              <a:noFill/>
            </a:ln>
            <a:effectLst/>
          </c:spPr>
          <c:invertIfNegative val="0"/>
          <c:cat>
            <c:strRef>
              <c:f>'Calc Pivot'!$B$5:$B$10</c:f>
              <c:strCache>
                <c:ptCount val="5"/>
                <c:pt idx="0">
                  <c:v>Website</c:v>
                </c:pt>
                <c:pt idx="1">
                  <c:v>Procurement</c:v>
                </c:pt>
                <c:pt idx="2">
                  <c:v>Finance</c:v>
                </c:pt>
                <c:pt idx="3">
                  <c:v>Sales</c:v>
                </c:pt>
                <c:pt idx="4">
                  <c:v>HR</c:v>
                </c:pt>
              </c:strCache>
            </c:strRef>
          </c:cat>
          <c:val>
            <c:numRef>
              <c:f>'Calc Pivot'!$C$5:$C$10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3497-4EC8-A7F9-188DE7B11F53}"/>
            </c:ext>
          </c:extLst>
        </c:ser>
        <c:dLbls>
          <c:showLegendKey val="0"/>
          <c:showVal val="0"/>
          <c:showCatName val="0"/>
          <c:showSerName val="0"/>
          <c:showPercent val="0"/>
          <c:showBubbleSize val="0"/>
        </c:dLbls>
        <c:gapWidth val="25"/>
        <c:axId val="343584800"/>
        <c:axId val="343582640"/>
      </c:barChart>
      <c:catAx>
        <c:axId val="343584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a:softEdge rad="50800"/>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effectLst>
                  <a:outerShdw blurRad="101600" dist="50800" dir="5400000" algn="ctr" rotWithShape="0">
                    <a:srgbClr val="000000">
                      <a:alpha val="43137"/>
                    </a:srgbClr>
                  </a:outerShdw>
                </a:effectLst>
                <a:latin typeface="+mn-lt"/>
                <a:ea typeface="+mn-ea"/>
                <a:cs typeface="+mn-cs"/>
              </a:defRPr>
            </a:pPr>
            <a:endParaRPr lang="en-US"/>
          </a:p>
        </c:txPr>
        <c:crossAx val="343582640"/>
        <c:crosses val="autoZero"/>
        <c:auto val="1"/>
        <c:lblAlgn val="ctr"/>
        <c:lblOffset val="100"/>
        <c:noMultiLvlLbl val="0"/>
      </c:catAx>
      <c:valAx>
        <c:axId val="3435826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584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[Clean^J Analyze Present Data wth EXCEL.xlsx]Calc Pivot!PivotTable2</c:name>
    <c:fmtId val="13"/>
  </c:pivotSource>
  <c:chart>
    <c:title>
      <c:layout>
        <c:manualLayout>
          <c:xMode val="edge"/>
          <c:yMode val="edge"/>
          <c:x val="0.5376028782918989"/>
          <c:y val="4.82780369529798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712884484945"/>
          <c:y val="0.18004566131962885"/>
          <c:w val="0.70960016514789581"/>
          <c:h val="0.70279141700810588"/>
        </c:manualLayout>
      </c:layout>
      <c:barChart>
        <c:barDir val="bar"/>
        <c:grouping val="clustered"/>
        <c:varyColors val="0"/>
        <c:ser>
          <c:idx val="0"/>
          <c:order val="0"/>
          <c:tx>
            <c:strRef>
              <c:f>'Calc Pivot'!$F$4</c:f>
              <c:strCache>
                <c:ptCount val="1"/>
                <c:pt idx="0">
                  <c:v>Total</c:v>
                </c:pt>
              </c:strCache>
            </c:strRef>
          </c:tx>
          <c:spPr>
            <a:solidFill>
              <a:schemeClr val="accent2"/>
            </a:solidFill>
            <a:ln>
              <a:noFill/>
            </a:ln>
            <a:effectLst/>
          </c:spPr>
          <c:invertIfNegative val="0"/>
          <c:cat>
            <c:strRef>
              <c:f>'Calc Pivot'!$E$5:$E$10</c:f>
              <c:strCache>
                <c:ptCount val="5"/>
                <c:pt idx="0">
                  <c:v>Procurement</c:v>
                </c:pt>
                <c:pt idx="1">
                  <c:v>Website</c:v>
                </c:pt>
                <c:pt idx="2">
                  <c:v>Finance</c:v>
                </c:pt>
                <c:pt idx="3">
                  <c:v>Sales</c:v>
                </c:pt>
                <c:pt idx="4">
                  <c:v>HR</c:v>
                </c:pt>
              </c:strCache>
            </c:strRef>
          </c:cat>
          <c:val>
            <c:numRef>
              <c:f>'Calc Pivot'!$F$5:$F$10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D2F1-4B95-BD97-FFC84D569ADC}"/>
            </c:ext>
          </c:extLst>
        </c:ser>
        <c:dLbls>
          <c:showLegendKey val="0"/>
          <c:showVal val="0"/>
          <c:showCatName val="0"/>
          <c:showSerName val="0"/>
          <c:showPercent val="0"/>
          <c:showBubbleSize val="0"/>
        </c:dLbls>
        <c:gapWidth val="25"/>
        <c:axId val="845838464"/>
        <c:axId val="845840264"/>
      </c:barChart>
      <c:catAx>
        <c:axId val="845838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840264"/>
        <c:crosses val="autoZero"/>
        <c:auto val="1"/>
        <c:lblAlgn val="ctr"/>
        <c:lblOffset val="100"/>
        <c:noMultiLvlLbl val="0"/>
      </c:catAx>
      <c:valAx>
        <c:axId val="8458402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838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Speard - by $10k</cx:v>
        </cx:txData>
      </cx:tx>
      <cx:txPr>
        <a:bodyPr vertOverflow="overflow" horzOverflow="overflow" wrap="square" lIns="0" tIns="0" rIns="0" bIns="0"/>
        <a:lstStyle/>
        <a:p>
          <a:pPr algn="ctr" rtl="0">
            <a:defRPr sz="1400" b="0" i="0">
              <a:solidFill>
                <a:srgbClr val="000000"/>
              </a:solidFill>
              <a:latin typeface="Calibri" panose="020F0502020204030204" pitchFamily="34" charset="0"/>
              <a:ea typeface="Calibri" panose="020F0502020204030204" pitchFamily="34" charset="0"/>
              <a:cs typeface="Calibri" panose="020F0502020204030204" pitchFamily="34" charset="0"/>
            </a:defRPr>
          </a:pPr>
          <a:r>
            <a:rPr b="0">
              <a:solidFill>
                <a:srgbClr val="000000"/>
              </a:solidFill>
            </a:rPr>
            <a:t>Salary Speard - by $10k</a:t>
          </a:r>
        </a:p>
      </cx:txPr>
    </cx:title>
    <cx:plotArea>
      <cx:plotAreaRegion>
        <cx:series layoutId="clusteredColumn" uniqueId="{6D8D3D4A-9D7A-4BEB-81B5-1051BE98EDED}">
          <cx:tx>
            <cx:txData>
              <cx:f>_xlchart.v1.2</cx:f>
              <cx:v>Salary</cx:v>
            </cx:txData>
          </cx:tx>
          <cx:spPr>
            <a:ln w="12700">
              <a:solidFill>
                <a:srgbClr val="FFFFFF"/>
              </a:solidFill>
              <a:prstDash val="solid"/>
            </a:ln>
          </cx:spPr>
          <cx:dataId val="0"/>
          <cx:layoutPr>
            <cx:binning intervalClosed="r" underflow="40000">
              <cx:binSize val="10000"/>
            </cx:binning>
          </cx:layoutPr>
        </cx:series>
      </cx:plotAreaRegion>
      <cx:axis id="0">
        <cx:catScaling gapWidth="0"/>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Speard Box Plot</cx:v>
        </cx:txData>
      </cx:tx>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r>
            <a:rPr sz="1200">
              <a:solidFill>
                <a:srgbClr val="000000"/>
              </a:solidFill>
            </a:rPr>
            <a:t>Salary Speard Box Plot</a:t>
          </a:r>
        </a:p>
      </cx:txPr>
    </cx:title>
    <cx:plotArea>
      <cx:plotAreaRegion>
        <cx:series layoutId="boxWhisker" uniqueId="{5F8584A3-0477-4B91-8FD0-EF88D53DBEEF}">
          <cx:tx>
            <cx:txData>
              <cx:f>_xlchart.v1.0</cx:f>
              <cx:v>Salary</cx:v>
            </cx:txData>
          </cx:tx>
          <cx:spPr>
            <a:solidFill>
              <a:srgbClr val="548235"/>
            </a:solidFill>
            <a:ln w="12700">
              <a:solidFill>
                <a:srgbClr val="375623"/>
              </a:solidFill>
              <a:prstDash val="solid"/>
            </a:ln>
          </cx:spPr>
          <cx:dataId val="0"/>
          <cx:layoutPr>
            <cx:visibility meanLine="0" meanMarker="1" nonoutliers="0" outliers="1"/>
            <cx:statistics quartileMethod="exclusive"/>
          </cx:layoutPr>
        </cx:series>
      </cx:plotAreaRegion>
      <cx:axis id="0">
        <cx:catScaling gapWidth="1"/>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hyperlink" Target="https://youtu.be/H6k28jhclwI"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32</xdr:col>
      <xdr:colOff>11429</xdr:colOff>
      <xdr:row>17</xdr:row>
      <xdr:rowOff>98141</xdr:rowOff>
    </xdr:from>
    <xdr:to>
      <xdr:col>32</xdr:col>
      <xdr:colOff>57148</xdr:colOff>
      <xdr:row>17</xdr:row>
      <xdr:rowOff>143860</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FB0C10A5-873E-49A5-819F-85042883FE66}"/>
            </a:ext>
          </a:extLst>
        </xdr:cNvPr>
        <xdr:cNvSpPr/>
      </xdr:nvSpPr>
      <xdr:spPr>
        <a:xfrm flipH="1" flipV="1">
          <a:off x="20318729" y="3812891"/>
          <a:ext cx="45719" cy="45719"/>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latin typeface="Roboto" panose="02000000000000000000" pitchFamily="2" charset="0"/>
              <a:ea typeface="Roboto" panose="02000000000000000000" pitchFamily="2" charset="0"/>
            </a:rPr>
            <a:t>Watch the video</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381000</xdr:colOff>
      <xdr:row>0</xdr:row>
      <xdr:rowOff>95250</xdr:rowOff>
    </xdr:from>
    <xdr:to>
      <xdr:col>22</xdr:col>
      <xdr:colOff>304800</xdr:colOff>
      <xdr:row>16</xdr:row>
      <xdr:rowOff>95250</xdr:rowOff>
    </xdr:to>
    <xdr:graphicFrame macro="">
      <xdr:nvGraphicFramePr>
        <xdr:cNvPr id="2" name="Chart 1">
          <a:extLst>
            <a:ext uri="{FF2B5EF4-FFF2-40B4-BE49-F238E27FC236}">
              <a16:creationId xmlns:a16="http://schemas.microsoft.com/office/drawing/2014/main" id="{C1E96D75-2855-4290-B646-CA6648F8F0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552450</xdr:colOff>
      <xdr:row>2</xdr:row>
      <xdr:rowOff>166687</xdr:rowOff>
    </xdr:from>
    <xdr:to>
      <xdr:col>13</xdr:col>
      <xdr:colOff>361950</xdr:colOff>
      <xdr:row>14</xdr:row>
      <xdr:rowOff>180975</xdr:rowOff>
    </xdr:to>
    <xdr:graphicFrame macro="">
      <xdr:nvGraphicFramePr>
        <xdr:cNvPr id="2" name="Chart 1">
          <a:extLst>
            <a:ext uri="{FF2B5EF4-FFF2-40B4-BE49-F238E27FC236}">
              <a16:creationId xmlns:a16="http://schemas.microsoft.com/office/drawing/2014/main" id="{712AF029-33C8-579B-5F72-71C88FC8FA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542925</xdr:colOff>
      <xdr:row>15</xdr:row>
      <xdr:rowOff>123825</xdr:rowOff>
    </xdr:from>
    <xdr:to>
      <xdr:col>13</xdr:col>
      <xdr:colOff>390525</xdr:colOff>
      <xdr:row>33</xdr:row>
      <xdr:rowOff>180975</xdr:rowOff>
    </xdr:to>
    <xdr:graphicFrame macro="">
      <xdr:nvGraphicFramePr>
        <xdr:cNvPr id="3" name="Chart 2">
          <a:extLst>
            <a:ext uri="{FF2B5EF4-FFF2-40B4-BE49-F238E27FC236}">
              <a16:creationId xmlns:a16="http://schemas.microsoft.com/office/drawing/2014/main" id="{11D42CA0-DF8B-4F56-269A-D084028B91BA}"/>
            </a:ext>
            <a:ext uri="{147F2762-F138-4A5C-976F-8EAC2B608ADB}">
              <a16:predDERef xmlns:a16="http://schemas.microsoft.com/office/drawing/2014/main" pred="{712AF029-33C8-579B-5F72-71C88FC8FA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447675</xdr:colOff>
      <xdr:row>6</xdr:row>
      <xdr:rowOff>1</xdr:rowOff>
    </xdr:from>
    <xdr:to>
      <xdr:col>7</xdr:col>
      <xdr:colOff>504825</xdr:colOff>
      <xdr:row>11</xdr:row>
      <xdr:rowOff>161925</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37B138A3-760C-AAD9-DC7D-D014A54427D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581525" y="1143001"/>
              <a:ext cx="1828800" cy="11144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xdr:row>
      <xdr:rowOff>0</xdr:rowOff>
    </xdr:from>
    <xdr:to>
      <xdr:col>11</xdr:col>
      <xdr:colOff>142875</xdr:colOff>
      <xdr:row>19</xdr:row>
      <xdr:rowOff>142875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085A635-17F0-4525-A4E1-FD731396712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381000"/>
              <a:ext cx="6238875" cy="33813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104775</xdr:colOff>
      <xdr:row>1</xdr:row>
      <xdr:rowOff>66675</xdr:rowOff>
    </xdr:from>
    <xdr:to>
      <xdr:col>16</xdr:col>
      <xdr:colOff>304800</xdr:colOff>
      <xdr:row>22</xdr:row>
      <xdr:rowOff>104775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173B64F-C697-469D-895F-88320B2F26AB}"/>
                </a:ext>
                <a:ext uri="{147F2762-F138-4A5C-976F-8EAC2B608ADB}">
                  <a16:predDERef xmlns:a16="http://schemas.microsoft.com/office/drawing/2014/main" pred="{6085A635-17F0-4525-A4E1-FD731396712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029575" y="257175"/>
              <a:ext cx="2028825" cy="4038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600075</xdr:colOff>
      <xdr:row>7</xdr:row>
      <xdr:rowOff>171449</xdr:rowOff>
    </xdr:from>
    <xdr:to>
      <xdr:col>7</xdr:col>
      <xdr:colOff>28574</xdr:colOff>
      <xdr:row>22</xdr:row>
      <xdr:rowOff>19050</xdr:rowOff>
    </xdr:to>
    <xdr:graphicFrame macro="">
      <xdr:nvGraphicFramePr>
        <xdr:cNvPr id="2" name="Chart 1">
          <a:extLst>
            <a:ext uri="{FF2B5EF4-FFF2-40B4-BE49-F238E27FC236}">
              <a16:creationId xmlns:a16="http://schemas.microsoft.com/office/drawing/2014/main" id="{05730ADD-8838-44FB-9D19-442D9377DF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9525</xdr:colOff>
      <xdr:row>7</xdr:row>
      <xdr:rowOff>171450</xdr:rowOff>
    </xdr:from>
    <xdr:to>
      <xdr:col>14</xdr:col>
      <xdr:colOff>9525</xdr:colOff>
      <xdr:row>21</xdr:row>
      <xdr:rowOff>180975</xdr:rowOff>
    </xdr:to>
    <xdr:graphicFrame macro="">
      <xdr:nvGraphicFramePr>
        <xdr:cNvPr id="3" name="Chart 2">
          <a:extLst>
            <a:ext uri="{FF2B5EF4-FFF2-40B4-BE49-F238E27FC236}">
              <a16:creationId xmlns:a16="http://schemas.microsoft.com/office/drawing/2014/main" id="{7211899E-BFE6-4137-99ED-D1E2FB67A7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693.429452662036" createdVersion="8" refreshedVersion="8" minRefreshableVersion="3" recordCount="183" xr:uid="{65312852-9B25-420F-B36A-44F9EE8375ED}">
  <cacheSource type="worksheet">
    <worksheetSource name="Staff"/>
  </cacheSource>
  <cacheFields count="9">
    <cacheField name="Name" numFmtId="0">
      <sharedItems/>
    </cacheField>
    <cacheField name="Gender" numFmtId="0">
      <sharedItems count="3">
        <s v="Male"/>
        <s v="Female"/>
        <s v="Other"/>
      </sharedItems>
    </cacheField>
    <cacheField name="Age" numFmtId="0">
      <sharedItems containsSemiMixedTypes="0" containsString="0" containsNumber="1" containsInteger="1" minValue="19" maxValue="46"/>
    </cacheField>
    <cacheField name="Rating" numFmtId="0">
      <sharedItems/>
    </cacheField>
    <cacheField name="Date Joined" numFmtId="14">
      <sharedItems containsSemiMixedTypes="0" containsNonDate="0" containsDate="1" containsString="0" minDate="2020-05-07T00:00:00" maxDate="2023-04-30T00:00:00"/>
    </cacheField>
    <cacheField name="Department" numFmtId="0">
      <sharedItems/>
    </cacheField>
    <cacheField name="Salary" numFmtId="0">
      <sharedItems containsSemiMixedTypes="0" containsString="0" containsNumber="1" containsInteger="1" minValue="33920" maxValue="119110"/>
    </cacheField>
    <cacheField name="Country" numFmtId="0">
      <sharedItems count="2">
        <s v="IND"/>
        <s v="NZ"/>
      </sharedItems>
    </cacheField>
    <cacheField name="Tenure" numFmtId="2">
      <sharedItems containsSemiMixedTypes="0" containsString="0" containsNumber="1" minValue="1.7753424657534247" maxValue="4.7534246575342465"/>
    </cacheField>
  </cacheFields>
  <extLst>
    <ext xmlns:x14="http://schemas.microsoft.com/office/spreadsheetml/2009/9/main" uri="{725AE2AE-9491-48be-B2B4-4EB974FC3084}">
      <x14:pivotCacheDefinition pivotCacheId="181483244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693.569718402781" backgroundQuery="1" createdVersion="8" refreshedVersion="8" minRefreshableVersion="3" recordCount="0" supportSubquery="1" supportAdvancedDrill="1" xr:uid="{25F30E15-8B2F-49C3-ABC6-5ED7FF20428C}">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6" level="32767"/>
    <cacheField name="[Measures].[Average of Salary]" caption="Average of Salary" numFmtId="0" hierarchy="18" level="32767"/>
  </cacheFields>
  <cacheHierarchies count="19">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Bounus]" caption="Bounus" attribute="1" defaultMemberUniqueName="[Staff].[Bounus].[All]" allUniqueName="[Staff].[Bou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 Services" refreshedDate="45694.565755902775" backgroundQuery="1" createdVersion="8" refreshedVersion="8" minRefreshableVersion="3" recordCount="0" supportSubquery="1" supportAdvancedDrill="1" xr:uid="{BEB816A5-375C-4BAB-9C4C-0B69B73DF1C4}">
  <cacheSource type="external" connectionId="4"/>
  <cacheFields count="3">
    <cacheField name="[Measures].[Count of Name]" caption="Count of Name" numFmtId="0" hierarchy="16" level="32767"/>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s>
  <cacheHierarchies count="19">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1"/>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Bounus]" caption="Bounus" attribute="1" defaultMemberUniqueName="[Staff].[Bounus].[All]" allUniqueName="[Staff].[Bou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 Services" refreshedDate="45694.565817939816" backgroundQuery="1" createdVersion="8" refreshedVersion="8" minRefreshableVersion="3" recordCount="0" supportSubquery="1" supportAdvancedDrill="1" xr:uid="{C200EF97-D085-4228-A328-C04AB210A638}">
  <cacheSource type="external" connectionId="4"/>
  <cacheFields count="3">
    <cacheField name="[Measures].[Count of Name]" caption="Count of Name" numFmtId="0" hierarchy="16" level="32767"/>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s>
  <cacheHierarchies count="19">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1"/>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Bounus]" caption="Bounus" attribute="1" defaultMemberUniqueName="[Staff].[Bounus].[All]" allUniqueName="[Staff].[Bou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 Services" refreshedDate="45699.512783564816" backgroundQuery="1" createdVersion="8" refreshedVersion="8" minRefreshableVersion="3" recordCount="0" supportSubquery="1" supportAdvancedDrill="1" xr:uid="{FC7EEF09-65C8-4C21-80D2-D5490ADD2C77}">
  <cacheSource type="external" connectionId="4"/>
  <cacheFields count="3">
    <cacheField name="[Staff].[Date Joined (Month)].[Date Joined (Month)]" caption="Date Joined (Month)" numFmtId="0" hierarchy="12" level="1">
      <sharedItems count="12">
        <s v="May"/>
        <s v="Jun"/>
        <s v="Jul"/>
        <s v="Aug"/>
        <s v="Sep"/>
        <s v="Oct"/>
        <s v="Nov"/>
        <s v="Dec"/>
        <s v="Jan"/>
        <s v="Feb"/>
        <s v="Mar"/>
        <s v="Apr"/>
      </sharedItems>
    </cacheField>
    <cacheField name="[Staff].[Date Joined (Year)].[Date Joined (Year)]" caption="Date Joined (Year)" numFmtId="0" hierarchy="10" level="1">
      <sharedItems count="4">
        <s v="2020"/>
        <s v="2021"/>
        <s v="2022"/>
        <s v="2023"/>
      </sharedItems>
    </cacheField>
    <cacheField name="[Measures].[Count of Name]" caption="Count of Name" numFmtId="0" hierarchy="16" level="32767"/>
  </cacheFields>
  <cacheHierarchies count="19">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Bounus]" caption="Bounus" attribute="1" defaultMemberUniqueName="[Staff].[Bounus].[All]" allUniqueName="[Staff].[Bou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s v="Deepali Charan"/>
    <x v="0"/>
    <n v="20"/>
    <s v="Average"/>
    <d v="2020-10-18T00:00:00"/>
    <s v="Website"/>
    <n v="112650"/>
    <x v="0"/>
    <n v="4.3041095890410963"/>
  </r>
  <r>
    <s v="Yagna Sujeev"/>
    <x v="1"/>
    <n v="32"/>
    <s v="Above average"/>
    <d v="2021-04-07T00:00:00"/>
    <s v="Website"/>
    <n v="43840"/>
    <x v="0"/>
    <n v="3.8356164383561642"/>
  </r>
  <r>
    <s v="Satyendra Venkatadri"/>
    <x v="0"/>
    <n v="31"/>
    <s v="Average"/>
    <d v="2022-04-12T00:00:00"/>
    <s v="Procurement"/>
    <n v="103550"/>
    <x v="0"/>
    <n v="2.8219178082191783"/>
  </r>
  <r>
    <s v="Madhavdas Buhpathi"/>
    <x v="1"/>
    <n v="32"/>
    <s v="Average"/>
    <d v="2021-05-23T00:00:00"/>
    <s v="HR"/>
    <n v="45510"/>
    <x v="0"/>
    <n v="3.7095890410958905"/>
  </r>
  <r>
    <s v="Sahila Chandrasekhar"/>
    <x v="2"/>
    <n v="37"/>
    <s v="Poor"/>
    <d v="2020-09-11T00:00:00"/>
    <s v="Finance"/>
    <n v="115440"/>
    <x v="0"/>
    <n v="4.4054794520547942"/>
  </r>
  <r>
    <s v="Mirium Seemantini Shivakumar"/>
    <x v="1"/>
    <n v="38"/>
    <s v="Above average"/>
    <d v="2021-03-13T00:00:00"/>
    <s v="Sales"/>
    <n v="56870"/>
    <x v="0"/>
    <n v="3.904109589041096"/>
  </r>
  <r>
    <s v="Purnendu Vijayarangan"/>
    <x v="1"/>
    <n v="25"/>
    <s v="Average"/>
    <d v="2020-11-09T00:00:00"/>
    <s v="Sales"/>
    <n v="92700"/>
    <x v="0"/>
    <n v="4.2438356164383562"/>
  </r>
  <r>
    <s v="Rukma Vinita"/>
    <x v="2"/>
    <n v="32"/>
    <s v="Average"/>
    <d v="2022-06-01T00:00:00"/>
    <s v="Website"/>
    <n v="91310"/>
    <x v="0"/>
    <n v="2.6849315068493151"/>
  </r>
  <r>
    <s v="Yauvani Tarpa"/>
    <x v="0"/>
    <n v="33"/>
    <s v="Average"/>
    <d v="2021-05-08T00:00:00"/>
    <s v="Sales"/>
    <n v="74550"/>
    <x v="0"/>
    <n v="3.7506849315068491"/>
  </r>
  <r>
    <s v="Damayanti Thangavadivelu"/>
    <x v="0"/>
    <n v="25"/>
    <s v="Above average"/>
    <d v="2022-04-14T00:00:00"/>
    <s v="Procurement"/>
    <n v="109190"/>
    <x v="0"/>
    <n v="2.8164383561643835"/>
  </r>
  <r>
    <s v="Manjusri Ruchi"/>
    <x v="1"/>
    <n v="40"/>
    <s v="Average"/>
    <d v="2021-05-04T00:00:00"/>
    <s v="Website"/>
    <n v="104410"/>
    <x v="0"/>
    <n v="3.7616438356164386"/>
  </r>
  <r>
    <s v="Mithil Nadkarni"/>
    <x v="0"/>
    <n v="30"/>
    <s v="Average"/>
    <d v="2021-12-14T00:00:00"/>
    <s v="Finance"/>
    <n v="96800"/>
    <x v="0"/>
    <n v="3.1479452054794521"/>
  </r>
  <r>
    <s v="Ardhendu Abhichandra Jayakar"/>
    <x v="0"/>
    <n v="28"/>
    <s v="Above average"/>
    <d v="2020-05-29T00:00:00"/>
    <s v="Finance"/>
    <n v="48170"/>
    <x v="0"/>
    <n v="4.6931506849315072"/>
  </r>
  <r>
    <s v="Akbar Sorabhjee"/>
    <x v="0"/>
    <n v="21"/>
    <s v="Average"/>
    <d v="2020-07-30T00:00:00"/>
    <s v="Procurement"/>
    <n v="37920"/>
    <x v="0"/>
    <n v="4.5232876712328771"/>
  </r>
  <r>
    <s v="Bandhula Sathyanna"/>
    <x v="0"/>
    <n v="34"/>
    <s v="Average"/>
    <d v="2022-03-22T00:00:00"/>
    <s v="Procurement"/>
    <n v="112650"/>
    <x v="0"/>
    <n v="2.8794520547945206"/>
  </r>
  <r>
    <s v="Daruka Ghazali"/>
    <x v="1"/>
    <n v="34"/>
    <s v="Poor"/>
    <d v="2022-04-09T00:00:00"/>
    <s v="Sales"/>
    <n v="49630"/>
    <x v="0"/>
    <n v="2.8301369863013699"/>
  </r>
  <r>
    <s v="Heer Pennathur"/>
    <x v="0"/>
    <n v="36"/>
    <s v="Average"/>
    <d v="2020-05-07T00:00:00"/>
    <s v="Website"/>
    <n v="118840"/>
    <x v="0"/>
    <n v="4.7534246575342465"/>
  </r>
  <r>
    <s v="Shekhar Eswara"/>
    <x v="0"/>
    <n v="30"/>
    <s v="Average"/>
    <d v="2022-08-16T00:00:00"/>
    <s v="Website"/>
    <n v="69710"/>
    <x v="0"/>
    <n v="2.4767123287671233"/>
  </r>
  <r>
    <s v="Udyan Lanka"/>
    <x v="0"/>
    <n v="20"/>
    <s v="Average"/>
    <d v="2022-05-02T00:00:00"/>
    <s v="Procurement"/>
    <n v="79570"/>
    <x v="0"/>
    <n v="2.7671232876712328"/>
  </r>
  <r>
    <s v="Shreela Ramasubraman"/>
    <x v="1"/>
    <n v="22"/>
    <s v="Above average"/>
    <d v="2021-07-11T00:00:00"/>
    <s v="Procurement"/>
    <n v="76900"/>
    <x v="0"/>
    <n v="3.5753424657534247"/>
  </r>
  <r>
    <s v="Sanchali Shirish"/>
    <x v="0"/>
    <n v="27"/>
    <s v="Average"/>
    <d v="2020-08-30T00:00:00"/>
    <s v="Sales"/>
    <n v="54970"/>
    <x v="0"/>
    <n v="4.4383561643835616"/>
  </r>
  <r>
    <s v="Gangadutt Ragha"/>
    <x v="0"/>
    <n v="37"/>
    <s v="Poor"/>
    <d v="2021-03-22T00:00:00"/>
    <s v="Website"/>
    <n v="88050"/>
    <x v="0"/>
    <n v="3.8794520547945206"/>
  </r>
  <r>
    <s v="Waheeda Vasuman"/>
    <x v="0"/>
    <n v="43"/>
    <s v="Average"/>
    <d v="2021-12-28T00:00:00"/>
    <s v="Sales"/>
    <n v="36040"/>
    <x v="0"/>
    <n v="3.1095890410958904"/>
  </r>
  <r>
    <s v="Nanak Sapna"/>
    <x v="1"/>
    <n v="42"/>
    <s v="Exceptional"/>
    <d v="2022-06-06T00:00:00"/>
    <s v="Procurement"/>
    <n v="75000"/>
    <x v="0"/>
    <n v="2.6712328767123288"/>
  </r>
  <r>
    <s v="Shobhana Samuel"/>
    <x v="0"/>
    <n v="35"/>
    <s v="Average"/>
    <d v="2022-04-15T00:00:00"/>
    <s v="Procurement"/>
    <n v="40400"/>
    <x v="0"/>
    <n v="2.8136986301369862"/>
  </r>
  <r>
    <s v="Amlankusum Rajabhushan"/>
    <x v="0"/>
    <n v="24"/>
    <s v="Average"/>
    <d v="2022-03-05T00:00:00"/>
    <s v="Website"/>
    <n v="100420"/>
    <x v="0"/>
    <n v="2.9260273972602739"/>
  </r>
  <r>
    <s v="Pratigya Rema"/>
    <x v="1"/>
    <n v="31"/>
    <s v="Average"/>
    <d v="2022-02-12T00:00:00"/>
    <s v="Website"/>
    <n v="58100"/>
    <x v="0"/>
    <n v="2.9835616438356163"/>
  </r>
  <r>
    <s v="Ramnath Ravuri"/>
    <x v="1"/>
    <n v="44"/>
    <s v="Average"/>
    <d v="2023-02-28T00:00:00"/>
    <s v="Website"/>
    <n v="114870"/>
    <x v="0"/>
    <n v="1.9397260273972603"/>
  </r>
  <r>
    <s v="Prerana Nishita"/>
    <x v="1"/>
    <n v="32"/>
    <s v="Average"/>
    <d v="2021-12-19T00:00:00"/>
    <s v="Procurement"/>
    <n v="41570"/>
    <x v="0"/>
    <n v="3.1342465753424658"/>
  </r>
  <r>
    <s v="Makshi Vinutha"/>
    <x v="1"/>
    <n v="30"/>
    <s v="Average"/>
    <d v="2022-08-27T00:00:00"/>
    <s v="Procurement"/>
    <n v="112570"/>
    <x v="0"/>
    <n v="2.4465753424657533"/>
  </r>
  <r>
    <s v="Shiuli Sapna"/>
    <x v="0"/>
    <n v="26"/>
    <s v="Average"/>
    <d v="2020-11-29T00:00:00"/>
    <s v="Procurement"/>
    <n v="47360"/>
    <x v="0"/>
    <n v="4.1890410958904107"/>
  </r>
  <r>
    <s v="Agrata Rajarama"/>
    <x v="1"/>
    <n v="21"/>
    <s v="Average"/>
    <d v="2021-03-01T00:00:00"/>
    <s v="Finance"/>
    <n v="65920"/>
    <x v="0"/>
    <n v="3.9369863013698629"/>
  </r>
  <r>
    <s v="Vasu Nandin"/>
    <x v="1"/>
    <n v="28"/>
    <s v="Average"/>
    <d v="2022-01-10T00:00:00"/>
    <s v="Procurement"/>
    <n v="99970"/>
    <x v="0"/>
    <n v="3.0739726027397261"/>
  </r>
  <r>
    <s v="Bhuvan Pals"/>
    <x v="1"/>
    <n v="25"/>
    <s v="Above average"/>
    <d v="2022-03-13T00:00:00"/>
    <s v="Website"/>
    <n v="80700"/>
    <x v="0"/>
    <n v="2.904109589041096"/>
  </r>
  <r>
    <s v="Gumwant Veera"/>
    <x v="0"/>
    <n v="24"/>
    <s v="Poor"/>
    <d v="2021-06-28T00:00:00"/>
    <s v="Finance"/>
    <n v="52610"/>
    <x v="0"/>
    <n v="3.6109589041095891"/>
  </r>
  <r>
    <s v="Narois Motiwala"/>
    <x v="0"/>
    <n v="29"/>
    <s v="Poor"/>
    <d v="2020-10-15T00:00:00"/>
    <s v="Website"/>
    <n v="112110"/>
    <x v="0"/>
    <n v="4.3123287671232875"/>
  </r>
  <r>
    <s v="Anjushri Chandiramani"/>
    <x v="1"/>
    <n v="27"/>
    <s v="Average"/>
    <d v="2020-08-18T00:00:00"/>
    <s v="HR"/>
    <n v="119110"/>
    <x v="0"/>
    <n v="4.4712328767123291"/>
  </r>
  <r>
    <s v="Krishnakanta Vellanki"/>
    <x v="0"/>
    <n v="22"/>
    <s v="Above average"/>
    <d v="2021-07-07T00:00:00"/>
    <s v="Sales"/>
    <n v="112780"/>
    <x v="0"/>
    <n v="3.5863013698630137"/>
  </r>
  <r>
    <s v="Dhruv Manjunath"/>
    <x v="1"/>
    <n v="36"/>
    <s v="Average"/>
    <d v="2020-07-11T00:00:00"/>
    <s v="Procurement"/>
    <n v="114890"/>
    <x v="0"/>
    <n v="4.5753424657534243"/>
  </r>
  <r>
    <s v="Vanmala Shriharsha"/>
    <x v="0"/>
    <n v="27"/>
    <s v="Average"/>
    <d v="2021-11-06T00:00:00"/>
    <s v="Finance"/>
    <n v="48980"/>
    <x v="0"/>
    <n v="3.2520547945205478"/>
  </r>
  <r>
    <s v="Sameer Shashank Sapra"/>
    <x v="0"/>
    <n v="21"/>
    <s v="Average"/>
    <d v="2020-12-15T00:00:00"/>
    <s v="HR"/>
    <n v="75880"/>
    <x v="0"/>
    <n v="4.1452054794520548"/>
  </r>
  <r>
    <s v="Anumati Shyamari Meherhomji"/>
    <x v="1"/>
    <n v="28"/>
    <s v="Average"/>
    <d v="2021-04-10T00:00:00"/>
    <s v="Sales"/>
    <n v="53240"/>
    <x v="0"/>
    <n v="3.8273972602739725"/>
  </r>
  <r>
    <s v="Tarala Vishaal"/>
    <x v="1"/>
    <n v="34"/>
    <s v="Average"/>
    <d v="2021-07-20T00:00:00"/>
    <s v="Finance"/>
    <n v="85000"/>
    <x v="0"/>
    <n v="3.5506849315068494"/>
  </r>
  <r>
    <s v="Shubhra Potla"/>
    <x v="1"/>
    <n v="21"/>
    <s v="Average"/>
    <d v="2022-02-27T00:00:00"/>
    <s v="Website"/>
    <n v="33920"/>
    <x v="0"/>
    <n v="2.9424657534246577"/>
  </r>
  <r>
    <s v="Hemavati Muthiah"/>
    <x v="1"/>
    <n v="33"/>
    <s v="Average"/>
    <d v="2021-02-26T00:00:00"/>
    <s v="Website"/>
    <n v="75280"/>
    <x v="0"/>
    <n v="3.9452054794520546"/>
  </r>
  <r>
    <s v="Krittika Gaekwad"/>
    <x v="1"/>
    <n v="34"/>
    <s v="Average"/>
    <d v="2022-02-02T00:00:00"/>
    <s v="Finance"/>
    <n v="58940"/>
    <x v="0"/>
    <n v="3.010958904109589"/>
  </r>
  <r>
    <s v="Shevantilal Muppala"/>
    <x v="1"/>
    <n v="28"/>
    <s v="Average"/>
    <d v="2021-08-17T00:00:00"/>
    <s v="Procurement"/>
    <n v="104770"/>
    <x v="0"/>
    <n v="3.473972602739726"/>
  </r>
  <r>
    <s v="Shattesh Utpat"/>
    <x v="0"/>
    <n v="21"/>
    <s v="Average"/>
    <d v="2022-05-20T00:00:00"/>
    <s v="Procurement"/>
    <n v="57090"/>
    <x v="0"/>
    <n v="2.7178082191780821"/>
  </r>
  <r>
    <s v="Kamalakshi Mukundan"/>
    <x v="0"/>
    <n v="27"/>
    <s v="Above average"/>
    <d v="2020-12-09T00:00:00"/>
    <s v="Finance"/>
    <n v="91650"/>
    <x v="0"/>
    <n v="4.161643835616438"/>
  </r>
  <r>
    <s v="Chandana Sannidhi Surnilla"/>
    <x v="0"/>
    <n v="42"/>
    <s v="Poor"/>
    <d v="2022-04-19T00:00:00"/>
    <s v="Finance"/>
    <n v="70270"/>
    <x v="0"/>
    <n v="2.8027397260273972"/>
  </r>
  <r>
    <s v="Indu Varada Sumedh"/>
    <x v="1"/>
    <n v="28"/>
    <s v="Average"/>
    <d v="2020-10-20T00:00:00"/>
    <s v="Finance"/>
    <n v="75970"/>
    <x v="0"/>
    <n v="4.2986301369863016"/>
  </r>
  <r>
    <s v="Karuna Pashupathy"/>
    <x v="2"/>
    <n v="27"/>
    <s v="Above average"/>
    <d v="2021-01-16T00:00:00"/>
    <s v="Website"/>
    <n v="90700"/>
    <x v="0"/>
    <n v="4.0575342465753428"/>
  </r>
  <r>
    <s v="Mardav Ramaswami"/>
    <x v="0"/>
    <n v="30"/>
    <s v="Average"/>
    <d v="2022-02-15T00:00:00"/>
    <s v="Procurement"/>
    <n v="60570"/>
    <x v="0"/>
    <n v="2.9753424657534246"/>
  </r>
  <r>
    <s v="Sarayu Ragunathan"/>
    <x v="0"/>
    <n v="33"/>
    <s v="Average"/>
    <d v="2020-09-29T00:00:00"/>
    <s v="Procurement"/>
    <n v="115920"/>
    <x v="0"/>
    <n v="4.3561643835616435"/>
  </r>
  <r>
    <s v="Kevalkumar Solanki"/>
    <x v="1"/>
    <n v="33"/>
    <s v="Average"/>
    <d v="2020-06-24T00:00:00"/>
    <s v="Finance"/>
    <n v="65360"/>
    <x v="0"/>
    <n v="4.6219178082191785"/>
  </r>
  <r>
    <s v="Upendra Swati"/>
    <x v="2"/>
    <n v="30"/>
    <s v="Average"/>
    <d v="2021-12-05T00:00:00"/>
    <s v="Finance"/>
    <n v="64000"/>
    <x v="0"/>
    <n v="3.1726027397260275"/>
  </r>
  <r>
    <s v="Deepit Ranjana"/>
    <x v="1"/>
    <n v="34"/>
    <s v="Average"/>
    <d v="2021-07-06T00:00:00"/>
    <s v="Finance"/>
    <n v="92450"/>
    <x v="0"/>
    <n v="3.5890410958904111"/>
  </r>
  <r>
    <s v="Amal Nimesh"/>
    <x v="0"/>
    <n v="31"/>
    <s v="Average"/>
    <d v="2021-09-11T00:00:00"/>
    <s v="Website"/>
    <n v="48950"/>
    <x v="0"/>
    <n v="3.4054794520547946"/>
  </r>
  <r>
    <s v="Kunja Prashanta Vibha"/>
    <x v="1"/>
    <n v="27"/>
    <s v="Average"/>
    <d v="2022-03-05T00:00:00"/>
    <s v="Website"/>
    <n v="83750"/>
    <x v="0"/>
    <n v="2.9260273972602739"/>
  </r>
  <r>
    <s v="Godavari Veena"/>
    <x v="1"/>
    <n v="40"/>
    <s v="Average"/>
    <d v="2021-03-21T00:00:00"/>
    <s v="Website"/>
    <n v="87620"/>
    <x v="0"/>
    <n v="3.882191780821918"/>
  </r>
  <r>
    <s v="Devasree Fullara Saurin"/>
    <x v="1"/>
    <n v="20"/>
    <s v="Poor"/>
    <d v="2021-10-07T00:00:00"/>
    <s v="Sales"/>
    <n v="68900"/>
    <x v="0"/>
    <n v="3.3342465753424659"/>
  </r>
  <r>
    <s v="Geena Raghavanpillai"/>
    <x v="0"/>
    <n v="32"/>
    <s v="Average"/>
    <d v="2021-07-26T00:00:00"/>
    <s v="Sales"/>
    <n v="53540"/>
    <x v="0"/>
    <n v="3.5342465753424657"/>
  </r>
  <r>
    <s v="Rupak Mehra"/>
    <x v="0"/>
    <n v="28"/>
    <s v="Very poor"/>
    <d v="2022-07-16T00:00:00"/>
    <s v="Sales"/>
    <n v="43510"/>
    <x v="0"/>
    <n v="2.5616438356164384"/>
  </r>
  <r>
    <s v="Sawini Chandan"/>
    <x v="1"/>
    <n v="38"/>
    <s v="Exceptional"/>
    <d v="2021-04-30T00:00:00"/>
    <s v="Sales"/>
    <n v="109160"/>
    <x v="0"/>
    <n v="3.7726027397260276"/>
  </r>
  <r>
    <s v="Baruna Ogale"/>
    <x v="0"/>
    <n v="40"/>
    <s v="Average"/>
    <d v="2021-01-08T00:00:00"/>
    <s v="Procurement"/>
    <n v="99750"/>
    <x v="0"/>
    <n v="4.0794520547945208"/>
  </r>
  <r>
    <s v="Jagajeet Viraj"/>
    <x v="1"/>
    <n v="31"/>
    <s v="Average"/>
    <d v="2020-09-10T00:00:00"/>
    <s v="Website"/>
    <n v="41980"/>
    <x v="0"/>
    <n v="4.4082191780821915"/>
  </r>
  <r>
    <s v="Kulbhushan Moorthy"/>
    <x v="0"/>
    <n v="36"/>
    <s v="Average"/>
    <d v="2021-03-17T00:00:00"/>
    <s v="Finance"/>
    <n v="71380"/>
    <x v="0"/>
    <n v="3.893150684931507"/>
  </r>
  <r>
    <s v="Ilesh Dasgupta"/>
    <x v="0"/>
    <n v="27"/>
    <s v="Very poor"/>
    <d v="2021-12-17T00:00:00"/>
    <s v="Procurement"/>
    <n v="113280"/>
    <x v="0"/>
    <n v="3.1397260273972605"/>
  </r>
  <r>
    <s v="Madhumati Gazala Soumitra"/>
    <x v="1"/>
    <n v="33"/>
    <s v="Average"/>
    <d v="2022-07-05T00:00:00"/>
    <s v="Finance"/>
    <n v="86570"/>
    <x v="0"/>
    <n v="2.591780821917808"/>
  </r>
  <r>
    <s v="Chitrasen Laul"/>
    <x v="0"/>
    <n v="26"/>
    <s v="Average"/>
    <d v="2021-06-03T00:00:00"/>
    <s v="Procurement"/>
    <n v="53540"/>
    <x v="0"/>
    <n v="3.6794520547945204"/>
  </r>
  <r>
    <s v="Jaishree Atasi Yavatkar"/>
    <x v="0"/>
    <n v="37"/>
    <s v="Average"/>
    <d v="2022-03-20T00:00:00"/>
    <s v="Website"/>
    <n v="69070"/>
    <x v="0"/>
    <n v="2.8849315068493149"/>
  </r>
  <r>
    <s v="Kantimoy Pritish"/>
    <x v="1"/>
    <n v="30"/>
    <s v="Poor"/>
    <d v="2021-05-12T00:00:00"/>
    <s v="Finance"/>
    <n v="67910"/>
    <x v="0"/>
    <n v="3.7397260273972601"/>
  </r>
  <r>
    <s v="Rameshwari Chikodi"/>
    <x v="0"/>
    <n v="30"/>
    <s v="Average"/>
    <d v="2021-01-18T00:00:00"/>
    <s v="Website"/>
    <n v="69120"/>
    <x v="0"/>
    <n v="4.0520547945205481"/>
  </r>
  <r>
    <s v="Lalit Kothari"/>
    <x v="1"/>
    <n v="34"/>
    <s v="Average"/>
    <d v="2021-12-20T00:00:00"/>
    <s v="Finance"/>
    <n v="60130"/>
    <x v="0"/>
    <n v="3.1315068493150684"/>
  </r>
  <r>
    <s v="Sahas Sanabhi Shrikant"/>
    <x v="0"/>
    <n v="23"/>
    <s v="Average"/>
    <d v="2021-07-01T00:00:00"/>
    <s v="Procurement"/>
    <n v="106460"/>
    <x v="0"/>
    <n v="3.6027397260273974"/>
  </r>
  <r>
    <s v="Kaishori Harathi Kateel"/>
    <x v="1"/>
    <n v="37"/>
    <s v="Average"/>
    <d v="2021-07-12T00:00:00"/>
    <s v="HR"/>
    <n v="118100"/>
    <x v="0"/>
    <n v="3.5726027397260274"/>
  </r>
  <r>
    <s v="Rushil Kripa"/>
    <x v="1"/>
    <n v="36"/>
    <s v="Average"/>
    <d v="2021-09-29T00:00:00"/>
    <s v="Procurement"/>
    <n v="78390"/>
    <x v="0"/>
    <n v="3.3561643835616439"/>
  </r>
  <r>
    <s v="Sarojini Naueshwara"/>
    <x v="1"/>
    <n v="30"/>
    <s v="Average"/>
    <d v="2022-08-16T00:00:00"/>
    <s v="Procurement"/>
    <n v="114180"/>
    <x v="0"/>
    <n v="2.4767123287671233"/>
  </r>
  <r>
    <s v="Sartaj Probal"/>
    <x v="1"/>
    <n v="28"/>
    <s v="Average"/>
    <d v="2022-01-29T00:00:00"/>
    <s v="Procurement"/>
    <n v="104120"/>
    <x v="0"/>
    <n v="3.021917808219178"/>
  </r>
  <r>
    <s v="Mahindra Sreedharan"/>
    <x v="0"/>
    <n v="30"/>
    <s v="Average"/>
    <d v="2022-03-20T00:00:00"/>
    <s v="Procurement"/>
    <n v="67950"/>
    <x v="0"/>
    <n v="2.8849315068493149"/>
  </r>
  <r>
    <s v="Suchira Bhanupriya Tapti"/>
    <x v="1"/>
    <n v="29"/>
    <s v="Average"/>
    <d v="2020-05-11T00:00:00"/>
    <s v="Website"/>
    <n v="34980"/>
    <x v="0"/>
    <n v="4.7424657534246579"/>
  </r>
  <r>
    <s v="Fullara Sushanti Mokate"/>
    <x v="1"/>
    <n v="24"/>
    <s v="Average"/>
    <d v="2020-09-13T00:00:00"/>
    <s v="Website"/>
    <n v="62780"/>
    <x v="0"/>
    <n v="4.4000000000000004"/>
  </r>
  <r>
    <s v="Hridaynath Tendulkar"/>
    <x v="0"/>
    <n v="20"/>
    <s v="Average"/>
    <d v="2021-07-20T00:00:00"/>
    <s v="Website"/>
    <n v="107700"/>
    <x v="0"/>
    <n v="3.5506849315068494"/>
  </r>
  <r>
    <s v="Abhaya Priyavardhan"/>
    <x v="0"/>
    <n v="25"/>
    <s v="Average"/>
    <d v="2021-05-06T00:00:00"/>
    <s v="Sales"/>
    <n v="65700"/>
    <x v="0"/>
    <n v="3.7561643835616438"/>
  </r>
  <r>
    <s v="Ayog Chakrabarti"/>
    <x v="1"/>
    <n v="33"/>
    <s v="Very poor"/>
    <d v="2021-04-27T00:00:00"/>
    <s v="Website"/>
    <n v="75480"/>
    <x v="0"/>
    <n v="3.7808219178082192"/>
  </r>
  <r>
    <s v="Pragya Nilufar"/>
    <x v="0"/>
    <n v="33"/>
    <s v="Average"/>
    <d v="2021-09-09T00:00:00"/>
    <s v="Website"/>
    <n v="53870"/>
    <x v="0"/>
    <n v="3.4109589041095889"/>
  </r>
  <r>
    <s v="Shulabh Qutub Sundaramoorthy"/>
    <x v="1"/>
    <n v="36"/>
    <s v="Average"/>
    <d v="2021-08-25T00:00:00"/>
    <s v="Sales"/>
    <n v="78540"/>
    <x v="0"/>
    <n v="3.452054794520548"/>
  </r>
  <r>
    <s v="Vinanti Choudhari"/>
    <x v="0"/>
    <n v="19"/>
    <s v="Average"/>
    <d v="2021-01-22T00:00:00"/>
    <s v="Procurement"/>
    <n v="58960"/>
    <x v="0"/>
    <n v="4.0410958904109586"/>
  </r>
  <r>
    <s v="Ranajay Kailashnath Richa"/>
    <x v="0"/>
    <n v="46"/>
    <s v="Average"/>
    <d v="2022-05-16T00:00:00"/>
    <s v="Procurement"/>
    <n v="70610"/>
    <x v="0"/>
    <n v="2.7287671232876711"/>
  </r>
  <r>
    <s v="Asija Pothireddy"/>
    <x v="0"/>
    <n v="33"/>
    <s v="Average"/>
    <d v="2020-12-16T00:00:00"/>
    <s v="Finance"/>
    <n v="59430"/>
    <x v="0"/>
    <n v="4.1424657534246574"/>
  </r>
  <r>
    <s v="Piyali Mahanthapa"/>
    <x v="0"/>
    <n v="33"/>
    <s v="Above average"/>
    <d v="2022-03-20T00:00:00"/>
    <s v="Procurement"/>
    <n v="48530"/>
    <x v="0"/>
    <n v="2.8849315068493149"/>
  </r>
  <r>
    <s v="Sukhdev Nageshwar"/>
    <x v="1"/>
    <n v="33"/>
    <s v="Average"/>
    <d v="2020-10-25T00:00:00"/>
    <s v="Website"/>
    <n v="96140"/>
    <x v="0"/>
    <n v="4.2849315068493148"/>
  </r>
  <r>
    <s v="Lindy Guillet"/>
    <x v="0"/>
    <n v="22"/>
    <s v="Above average"/>
    <d v="2021-09-07T00:00:00"/>
    <s v="Sales"/>
    <n v="112780"/>
    <x v="1"/>
    <n v="3.4164383561643836"/>
  </r>
  <r>
    <s v="Ambros Murthwaite"/>
    <x v="0"/>
    <n v="46"/>
    <s v="Average"/>
    <d v="2022-07-16T00:00:00"/>
    <s v="Procurement"/>
    <n v="70610"/>
    <x v="1"/>
    <n v="2.5616438356164384"/>
  </r>
  <r>
    <s v="Tatum Hush"/>
    <x v="1"/>
    <n v="28"/>
    <s v="Average"/>
    <d v="2021-06-10T00:00:00"/>
    <s v="Sales"/>
    <n v="53240"/>
    <x v="1"/>
    <n v="3.6602739726027398"/>
  </r>
  <r>
    <s v="Benny Karolovsky"/>
    <x v="2"/>
    <n v="37"/>
    <s v="Poor"/>
    <d v="2020-11-11T00:00:00"/>
    <s v="Finance"/>
    <n v="115440"/>
    <x v="1"/>
    <n v="4.2383561643835614"/>
  </r>
  <r>
    <s v="Hoyt D'Alesco"/>
    <x v="0"/>
    <n v="32"/>
    <s v="Average"/>
    <d v="2021-09-26T00:00:00"/>
    <s v="Sales"/>
    <n v="53540"/>
    <x v="1"/>
    <n v="3.3643835616438356"/>
  </r>
  <r>
    <s v="Halimeda Kuscha"/>
    <x v="1"/>
    <n v="30"/>
    <s v="Average"/>
    <d v="2022-10-27T00:00:00"/>
    <s v="Procurement"/>
    <n v="112570"/>
    <x v="1"/>
    <n v="2.2794520547945205"/>
  </r>
  <r>
    <s v="Erin Androsik"/>
    <x v="0"/>
    <n v="33"/>
    <s v="Above average"/>
    <d v="2022-05-20T00:00:00"/>
    <s v="Procurement"/>
    <n v="48530"/>
    <x v="1"/>
    <n v="2.7178082191780821"/>
  </r>
  <r>
    <s v="Vic Radolf"/>
    <x v="1"/>
    <n v="24"/>
    <s v="Average"/>
    <d v="2020-11-13T00:00:00"/>
    <s v="Website"/>
    <n v="62780"/>
    <x v="1"/>
    <n v="4.2328767123287667"/>
  </r>
  <r>
    <s v="William Reeveley"/>
    <x v="0"/>
    <n v="33"/>
    <s v="Average"/>
    <d v="2021-11-09T00:00:00"/>
    <s v="Website"/>
    <n v="53870"/>
    <x v="1"/>
    <n v="3.2438356164383562"/>
  </r>
  <r>
    <s v="Ewart Laphorn"/>
    <x v="1"/>
    <n v="27"/>
    <s v="Average"/>
    <d v="2020-10-18T00:00:00"/>
    <s v="HR"/>
    <n v="119110"/>
    <x v="1"/>
    <n v="4.3041095890410963"/>
  </r>
  <r>
    <s v="Bev Lashley"/>
    <x v="0"/>
    <n v="29"/>
    <s v="Poor"/>
    <d v="2020-12-15T00:00:00"/>
    <s v="Website"/>
    <n v="112110"/>
    <x v="1"/>
    <n v="4.1452054794520548"/>
  </r>
  <r>
    <s v="Kath Bletsoe"/>
    <x v="0"/>
    <n v="25"/>
    <s v="Average"/>
    <d v="2021-07-06T00:00:00"/>
    <s v="Sales"/>
    <n v="65700"/>
    <x v="1"/>
    <n v="3.5890410958904111"/>
  </r>
  <r>
    <s v="Murry Dryburgh"/>
    <x v="0"/>
    <n v="37"/>
    <s v="Average"/>
    <d v="2022-05-20T00:00:00"/>
    <s v="Website"/>
    <n v="69070"/>
    <x v="1"/>
    <n v="2.7178082191780821"/>
  </r>
  <r>
    <s v="Kaine Padly"/>
    <x v="0"/>
    <n v="20"/>
    <s v="Average"/>
    <d v="2021-09-20T00:00:00"/>
    <s v="Website"/>
    <n v="107700"/>
    <x v="1"/>
    <n v="3.3808219178082193"/>
  </r>
  <r>
    <s v="Kassi Jonson"/>
    <x v="1"/>
    <n v="32"/>
    <s v="Above average"/>
    <d v="2021-06-07T00:00:00"/>
    <s v="Website"/>
    <n v="43840"/>
    <x v="1"/>
    <n v="3.6684931506849314"/>
  </r>
  <r>
    <s v="Simon Kembery"/>
    <x v="0"/>
    <n v="40"/>
    <s v="Average"/>
    <d v="2021-03-08T00:00:00"/>
    <s v="Procurement"/>
    <n v="99750"/>
    <x v="1"/>
    <n v="3.9178082191780823"/>
  </r>
  <r>
    <s v="Orton Livick"/>
    <x v="0"/>
    <n v="21"/>
    <s v="Average"/>
    <d v="2020-09-30T00:00:00"/>
    <s v="Procurement"/>
    <n v="37920"/>
    <x v="1"/>
    <n v="4.353424657534247"/>
  </r>
  <r>
    <s v="Kelci Walkden"/>
    <x v="0"/>
    <n v="21"/>
    <s v="Average"/>
    <d v="2022-07-20T00:00:00"/>
    <s v="Procurement"/>
    <n v="57090"/>
    <x v="1"/>
    <n v="2.5506849315068494"/>
  </r>
  <r>
    <s v="Dotty Strutley"/>
    <x v="1"/>
    <n v="31"/>
    <s v="Average"/>
    <d v="2020-11-10T00:00:00"/>
    <s v="Website"/>
    <n v="41980"/>
    <x v="1"/>
    <n v="4.2410958904109588"/>
  </r>
  <r>
    <s v="Shari McNee"/>
    <x v="0"/>
    <n v="21"/>
    <s v="Average"/>
    <d v="2021-02-15T00:00:00"/>
    <s v="HR"/>
    <n v="75880"/>
    <x v="1"/>
    <n v="3.9753424657534246"/>
  </r>
  <r>
    <s v="Oby Sorrel"/>
    <x v="1"/>
    <n v="34"/>
    <s v="Average"/>
    <d v="2022-04-02T00:00:00"/>
    <s v="Finance"/>
    <n v="58940"/>
    <x v="1"/>
    <n v="2.8493150684931505"/>
  </r>
  <r>
    <s v="Husein Augar"/>
    <x v="1"/>
    <n v="30"/>
    <s v="Poor"/>
    <d v="2021-07-12T00:00:00"/>
    <s v="Finance"/>
    <n v="67910"/>
    <x v="1"/>
    <n v="3.5726027397260274"/>
  </r>
  <r>
    <s v="Brien Boise"/>
    <x v="1"/>
    <n v="31"/>
    <s v="Average"/>
    <d v="2022-04-12T00:00:00"/>
    <s v="Website"/>
    <n v="58100"/>
    <x v="1"/>
    <n v="2.8219178082191783"/>
  </r>
  <r>
    <s v="Esmaria Denecamp"/>
    <x v="0"/>
    <n v="27"/>
    <s v="Average"/>
    <d v="2022-01-06T00:00:00"/>
    <s v="Finance"/>
    <n v="48980"/>
    <x v="1"/>
    <n v="3.0849315068493151"/>
  </r>
  <r>
    <s v="Curtice Advani"/>
    <x v="2"/>
    <n v="30"/>
    <s v="Average"/>
    <d v="2022-02-05T00:00:00"/>
    <s v="Finance"/>
    <n v="64000"/>
    <x v="1"/>
    <n v="3.0027397260273974"/>
  </r>
  <r>
    <s v="Barr Faughny"/>
    <x v="1"/>
    <n v="42"/>
    <s v="Exceptional"/>
    <d v="2022-08-06T00:00:00"/>
    <s v="Procurement"/>
    <n v="75000"/>
    <x v="1"/>
    <n v="2.504109589041096"/>
  </r>
  <r>
    <s v="Merrilee Plenty"/>
    <x v="1"/>
    <n v="40"/>
    <s v="Average"/>
    <d v="2021-05-21T00:00:00"/>
    <s v="Website"/>
    <n v="87620"/>
    <x v="1"/>
    <n v="3.7150684931506848"/>
  </r>
  <r>
    <s v="Niall Selesnick"/>
    <x v="1"/>
    <n v="29"/>
    <s v="Average"/>
    <d v="2020-07-11T00:00:00"/>
    <s v="Website"/>
    <n v="34980"/>
    <x v="1"/>
    <n v="4.5753424657534243"/>
  </r>
  <r>
    <s v="Beverie Moffet"/>
    <x v="1"/>
    <n v="28"/>
    <s v="Average"/>
    <d v="2020-12-20T00:00:00"/>
    <s v="Finance"/>
    <n v="75970"/>
    <x v="1"/>
    <n v="4.1315068493150688"/>
  </r>
  <r>
    <s v="Jehu Rudeforth"/>
    <x v="1"/>
    <n v="34"/>
    <s v="Average"/>
    <d v="2022-02-20T00:00:00"/>
    <s v="Finance"/>
    <n v="60130"/>
    <x v="1"/>
    <n v="2.9616438356164383"/>
  </r>
  <r>
    <s v="Camilla Castle"/>
    <x v="1"/>
    <n v="33"/>
    <s v="Very poor"/>
    <d v="2021-06-27T00:00:00"/>
    <s v="Website"/>
    <n v="75480"/>
    <x v="1"/>
    <n v="3.6136986301369864"/>
  </r>
  <r>
    <s v="Roddy Speechley"/>
    <x v="0"/>
    <n v="33"/>
    <s v="Average"/>
    <d v="2020-11-29T00:00:00"/>
    <s v="Procurement"/>
    <n v="115920"/>
    <x v="1"/>
    <n v="4.1890410958904107"/>
  </r>
  <r>
    <s v="Gray Seamon"/>
    <x v="1"/>
    <n v="36"/>
    <s v="Average"/>
    <d v="2021-10-25T00:00:00"/>
    <s v="Sales"/>
    <n v="78540"/>
    <x v="1"/>
    <n v="3.2849315068493152"/>
  </r>
  <r>
    <s v="Madelene Upcott"/>
    <x v="0"/>
    <n v="25"/>
    <s v="Above average"/>
    <d v="2022-06-14T00:00:00"/>
    <s v="Procurement"/>
    <n v="109190"/>
    <x v="1"/>
    <n v="2.6493150684931508"/>
  </r>
  <r>
    <s v="Violante Courtonne"/>
    <x v="1"/>
    <n v="34"/>
    <s v="Poor"/>
    <d v="2022-06-09T00:00:00"/>
    <s v="Sales"/>
    <n v="49630"/>
    <x v="1"/>
    <n v="2.6630136986301371"/>
  </r>
  <r>
    <s v="Bernie Gorges"/>
    <x v="1"/>
    <n v="28"/>
    <s v="Average"/>
    <d v="2022-03-10T00:00:00"/>
    <s v="Procurement"/>
    <n v="99970"/>
    <x v="1"/>
    <n v="2.9123287671232876"/>
  </r>
  <r>
    <s v="Torrance Collier"/>
    <x v="1"/>
    <n v="33"/>
    <s v="Average"/>
    <d v="2020-12-25T00:00:00"/>
    <s v="Website"/>
    <n v="96140"/>
    <x v="1"/>
    <n v="4.117808219178082"/>
  </r>
  <r>
    <s v="Dyna Doucette"/>
    <x v="0"/>
    <n v="31"/>
    <s v="Average"/>
    <d v="2022-06-12T00:00:00"/>
    <s v="Procurement"/>
    <n v="103550"/>
    <x v="1"/>
    <n v="2.6547945205479451"/>
  </r>
  <r>
    <s v="Gunar Cockshoot"/>
    <x v="0"/>
    <n v="31"/>
    <s v="Average"/>
    <d v="2021-11-11T00:00:00"/>
    <s v="Website"/>
    <n v="48950"/>
    <x v="1"/>
    <n v="3.2383561643835614"/>
  </r>
  <r>
    <s v="Kaye Crocroft"/>
    <x v="0"/>
    <n v="24"/>
    <s v="Poor"/>
    <d v="2021-08-28T00:00:00"/>
    <s v="Finance"/>
    <n v="52610"/>
    <x v="1"/>
    <n v="3.4438356164383563"/>
  </r>
  <r>
    <s v="Allene Gobbet"/>
    <x v="1"/>
    <n v="36"/>
    <s v="Average"/>
    <d v="2021-11-29T00:00:00"/>
    <s v="Procurement"/>
    <n v="78390"/>
    <x v="1"/>
    <n v="3.1890410958904107"/>
  </r>
  <r>
    <s v="Sibyl Dunkirk"/>
    <x v="1"/>
    <n v="33"/>
    <s v="Average"/>
    <d v="2022-09-05T00:00:00"/>
    <s v="Finance"/>
    <n v="86570"/>
    <x v="1"/>
    <n v="2.4219178082191779"/>
  </r>
  <r>
    <s v="Agnes Collicott"/>
    <x v="1"/>
    <n v="27"/>
    <s v="Average"/>
    <d v="2022-05-05T00:00:00"/>
    <s v="Website"/>
    <n v="83750"/>
    <x v="1"/>
    <n v="2.7589041095890412"/>
  </r>
  <r>
    <s v="Leilah Yesinin"/>
    <x v="1"/>
    <n v="34"/>
    <s v="Average"/>
    <d v="2021-09-06T00:00:00"/>
    <s v="Finance"/>
    <n v="92450"/>
    <x v="1"/>
    <n v="3.419178082191781"/>
  </r>
  <r>
    <s v="Mollie Hanway"/>
    <x v="0"/>
    <n v="20"/>
    <s v="Average"/>
    <d v="2020-12-18T00:00:00"/>
    <s v="Website"/>
    <n v="112650"/>
    <x v="1"/>
    <n v="4.1369863013698627"/>
  </r>
  <r>
    <s v="Kellsie Waby"/>
    <x v="0"/>
    <n v="20"/>
    <s v="Average"/>
    <d v="2022-07-02T00:00:00"/>
    <s v="Procurement"/>
    <n v="79570"/>
    <x v="1"/>
    <n v="2.6"/>
  </r>
  <r>
    <s v="Hyacinthie Braybrooke"/>
    <x v="1"/>
    <n v="20"/>
    <s v="Poor"/>
    <d v="2021-12-07T00:00:00"/>
    <s v="Sales"/>
    <n v="68900"/>
    <x v="1"/>
    <n v="3.1671232876712327"/>
  </r>
  <r>
    <s v="Van Tuxwell"/>
    <x v="1"/>
    <n v="25"/>
    <s v="Above average"/>
    <d v="2022-05-13T00:00:00"/>
    <s v="Website"/>
    <n v="80700"/>
    <x v="1"/>
    <n v="2.7369863013698632"/>
  </r>
  <r>
    <s v="Lilyan Klimpt"/>
    <x v="0"/>
    <n v="19"/>
    <s v="Average"/>
    <d v="2021-03-22T00:00:00"/>
    <s v="Procurement"/>
    <n v="58960"/>
    <x v="1"/>
    <n v="3.8794520547945206"/>
  </r>
  <r>
    <s v="Tawnya Tickel"/>
    <x v="0"/>
    <n v="36"/>
    <s v="Average"/>
    <d v="2020-07-07T00:00:00"/>
    <s v="Website"/>
    <n v="118840"/>
    <x v="1"/>
    <n v="4.5863013698630137"/>
  </r>
  <r>
    <s v="Jan Morforth"/>
    <x v="0"/>
    <n v="28"/>
    <s v="Above average"/>
    <d v="2020-07-29T00:00:00"/>
    <s v="Finance"/>
    <n v="48170"/>
    <x v="1"/>
    <n v="4.5260273972602736"/>
  </r>
  <r>
    <s v="Florinda Crace"/>
    <x v="1"/>
    <n v="32"/>
    <s v="Average"/>
    <d v="2021-07-23T00:00:00"/>
    <s v="HR"/>
    <n v="45510"/>
    <x v="1"/>
    <n v="3.5424657534246577"/>
  </r>
  <r>
    <s v="Tracy Renad"/>
    <x v="1"/>
    <n v="36"/>
    <s v="Average"/>
    <d v="2020-09-11T00:00:00"/>
    <s v="Procurement"/>
    <n v="114890"/>
    <x v="1"/>
    <n v="4.4054794520547942"/>
  </r>
  <r>
    <s v="Myer McCory"/>
    <x v="0"/>
    <n v="30"/>
    <s v="Average"/>
    <d v="2022-10-16T00:00:00"/>
    <s v="Website"/>
    <n v="69710"/>
    <x v="1"/>
    <n v="2.3095890410958906"/>
  </r>
  <r>
    <s v="Bennie Pepis"/>
    <x v="0"/>
    <n v="36"/>
    <s v="Average"/>
    <d v="2021-05-17T00:00:00"/>
    <s v="Finance"/>
    <n v="71380"/>
    <x v="1"/>
    <n v="3.7260273972602738"/>
  </r>
  <r>
    <s v="Rafaelita Blaksland"/>
    <x v="1"/>
    <n v="38"/>
    <s v="Exceptional"/>
    <d v="2021-06-30T00:00:00"/>
    <s v="Sales"/>
    <n v="109160"/>
    <x v="1"/>
    <n v="3.6054794520547944"/>
  </r>
  <r>
    <s v="Mahalia Larcher"/>
    <x v="0"/>
    <n v="27"/>
    <s v="Very poor"/>
    <d v="2022-02-17T00:00:00"/>
    <s v="Procurement"/>
    <n v="113280"/>
    <x v="1"/>
    <n v="2.9698630136986299"/>
  </r>
  <r>
    <s v="Andria Kimpton"/>
    <x v="0"/>
    <n v="30"/>
    <s v="Average"/>
    <d v="2021-03-18T00:00:00"/>
    <s v="Website"/>
    <n v="69120"/>
    <x v="1"/>
    <n v="3.8904109589041096"/>
  </r>
  <r>
    <s v="Valentia Etteridge"/>
    <x v="1"/>
    <n v="37"/>
    <s v="Average"/>
    <d v="2021-09-12T00:00:00"/>
    <s v="HR"/>
    <n v="118100"/>
    <x v="1"/>
    <n v="3.4027397260273973"/>
  </r>
  <r>
    <s v="Virginia McConville"/>
    <x v="1"/>
    <n v="22"/>
    <s v="Above average"/>
    <d v="2021-09-11T00:00:00"/>
    <s v="Procurement"/>
    <n v="76900"/>
    <x v="1"/>
    <n v="3.4054794520547946"/>
  </r>
  <r>
    <s v="Wilone O'Kielt"/>
    <x v="1"/>
    <n v="43"/>
    <s v="Average"/>
    <d v="2023-04-29T00:00:00"/>
    <s v="Website"/>
    <n v="114870"/>
    <x v="1"/>
    <n v="1.7753424657534247"/>
  </r>
  <r>
    <s v="Madge McCloughen"/>
    <x v="2"/>
    <n v="32"/>
    <s v="Average"/>
    <d v="2022-08-01T00:00:00"/>
    <s v="Website"/>
    <n v="91310"/>
    <x v="1"/>
    <n v="2.5178082191780824"/>
  </r>
  <r>
    <s v="Janene Hairsine"/>
    <x v="1"/>
    <n v="28"/>
    <s v="Average"/>
    <d v="2021-10-17T00:00:00"/>
    <s v="Procurement"/>
    <n v="104770"/>
    <x v="1"/>
    <n v="3.3068493150684932"/>
  </r>
  <r>
    <s v="Alta Kaszper"/>
    <x v="0"/>
    <n v="27"/>
    <s v="Average"/>
    <d v="2020-10-30T00:00:00"/>
    <s v="Sales"/>
    <n v="54970"/>
    <x v="1"/>
    <n v="4.2712328767123289"/>
  </r>
  <r>
    <s v="Dennison Crosswaite"/>
    <x v="2"/>
    <n v="26"/>
    <s v="Above average"/>
    <d v="2021-03-16T00:00:00"/>
    <s v="Website"/>
    <n v="90700"/>
    <x v="1"/>
    <n v="3.8958904109589043"/>
  </r>
  <r>
    <s v="Oran Buxcy"/>
    <x v="1"/>
    <n v="38"/>
    <s v="Above average"/>
    <d v="2021-05-13T00:00:00"/>
    <s v="Sales"/>
    <n v="56870"/>
    <x v="1"/>
    <n v="3.7369863013698632"/>
  </r>
  <r>
    <s v="Hinda Label"/>
    <x v="1"/>
    <n v="25"/>
    <s v="Average"/>
    <d v="2021-01-09T00:00:00"/>
    <s v="Sales"/>
    <n v="92700"/>
    <x v="1"/>
    <n v="4.0767123287671234"/>
  </r>
  <r>
    <s v="Marney O'Breen"/>
    <x v="1"/>
    <n v="21"/>
    <s v="Average"/>
    <d v="2021-05-01T00:00:00"/>
    <s v="Finance"/>
    <n v="65920"/>
    <x v="1"/>
    <n v="3.7698630136986302"/>
  </r>
  <r>
    <s v="Dell Molloy"/>
    <x v="0"/>
    <n v="26"/>
    <s v="Average"/>
    <d v="2021-01-29T00:00:00"/>
    <s v="Procurement"/>
    <n v="47360"/>
    <x v="1"/>
    <n v="4.021917808219178"/>
  </r>
  <r>
    <s v="Mallorie Waber"/>
    <x v="0"/>
    <n v="30"/>
    <s v="Average"/>
    <d v="2022-04-15T00:00:00"/>
    <s v="Procurement"/>
    <n v="60570"/>
    <x v="1"/>
    <n v="2.8136986301369862"/>
  </r>
  <r>
    <s v="Cherlyn Barter"/>
    <x v="1"/>
    <n v="28"/>
    <s v="Average"/>
    <d v="2022-03-29T00:00:00"/>
    <s v="Procurement"/>
    <n v="104120"/>
    <x v="1"/>
    <n v="2.8602739726027395"/>
  </r>
  <r>
    <s v="Ches Bonnell"/>
    <x v="0"/>
    <n v="37"/>
    <s v="Poor"/>
    <d v="2021-05-22T00:00:00"/>
    <s v="Website"/>
    <n v="88050"/>
    <x v="1"/>
    <n v="3.7123287671232879"/>
  </r>
  <r>
    <s v="Collin Jagson"/>
    <x v="0"/>
    <n v="24"/>
    <s v="Average"/>
    <d v="2022-05-05T00:00:00"/>
    <s v="Website"/>
    <n v="100420"/>
    <x v="1"/>
    <n v="2.7589041095890412"/>
  </r>
  <r>
    <s v="Hogan Iles"/>
    <x v="1"/>
    <n v="30"/>
    <s v="Average"/>
    <d v="2022-10-16T00:00:00"/>
    <s v="Procurement"/>
    <n v="114180"/>
    <x v="1"/>
    <n v="2.3095890410958906"/>
  </r>
  <r>
    <s v="Gretchen Callow"/>
    <x v="1"/>
    <n v="21"/>
    <s v="Average"/>
    <d v="2022-04-27T00:00:00"/>
    <s v="Website"/>
    <n v="33920"/>
    <x v="1"/>
    <n v="2.7808219178082192"/>
  </r>
  <r>
    <s v="Kissiah Maydway"/>
    <x v="0"/>
    <n v="23"/>
    <s v="Average"/>
    <d v="2021-09-01T00:00:00"/>
    <s v="Procurement"/>
    <n v="106460"/>
    <x v="1"/>
    <n v="3.4328767123287673"/>
  </r>
  <r>
    <s v="Archibald Filliskirk"/>
    <x v="0"/>
    <n v="35"/>
    <s v="Average"/>
    <d v="2022-06-15T00:00:00"/>
    <s v="Procurement"/>
    <n v="40400"/>
    <x v="1"/>
    <n v="2.6465753424657534"/>
  </r>
  <r>
    <s v="Enoch Dowrey"/>
    <x v="0"/>
    <n v="27"/>
    <s v="Above average"/>
    <d v="2021-02-09T00:00:00"/>
    <s v="Finance"/>
    <n v="91650"/>
    <x v="1"/>
    <n v="3.9917808219178084"/>
  </r>
  <r>
    <s v="Bili Sizey"/>
    <x v="0"/>
    <n v="43"/>
    <s v="Average"/>
    <d v="2022-02-28T00:00:00"/>
    <s v="Sales"/>
    <n v="36040"/>
    <x v="1"/>
    <n v="2.9397260273972603"/>
  </r>
  <r>
    <s v="Caro Chappel"/>
    <x v="1"/>
    <n v="40"/>
    <s v="Average"/>
    <d v="2021-07-04T00:00:00"/>
    <s v="Website"/>
    <n v="104410"/>
    <x v="1"/>
    <n v="3.5945205479452054"/>
  </r>
  <r>
    <s v="Constantino Espley"/>
    <x v="0"/>
    <n v="30"/>
    <s v="Average"/>
    <d v="2022-02-14T00:00:00"/>
    <s v="Finance"/>
    <n v="96800"/>
    <x v="1"/>
    <n v="2.978082191780822"/>
  </r>
  <r>
    <s v="Karlen McCaffrey"/>
    <x v="1"/>
    <n v="34"/>
    <s v="Average"/>
    <d v="2021-09-20T00:00:00"/>
    <s v="Finance"/>
    <n v="85000"/>
    <x v="1"/>
    <n v="3.3808219178082193"/>
  </r>
  <r>
    <s v="Drusy MacCombe"/>
    <x v="0"/>
    <n v="28"/>
    <s v="Very poor"/>
    <d v="2022-09-16T00:00:00"/>
    <s v="Sales"/>
    <n v="43510"/>
    <x v="1"/>
    <n v="2.3917808219178083"/>
  </r>
  <r>
    <s v="My Hanscome"/>
    <x v="0"/>
    <n v="33"/>
    <s v="Average"/>
    <d v="2021-02-16T00:00:00"/>
    <s v="Finance"/>
    <n v="59430"/>
    <x v="1"/>
    <n v="3.9726027397260273"/>
  </r>
  <r>
    <s v="Teressa Udden"/>
    <x v="1"/>
    <n v="33"/>
    <s v="Average"/>
    <d v="2020-08-24T00:00:00"/>
    <s v="Finance"/>
    <n v="65360"/>
    <x v="1"/>
    <n v="4.4547945205479449"/>
  </r>
  <r>
    <s v="Crissie Cordel"/>
    <x v="1"/>
    <n v="32"/>
    <s v="Average"/>
    <d v="2022-02-19T00:00:00"/>
    <s v="Procurement"/>
    <n v="41570"/>
    <x v="1"/>
    <n v="2.9643835616438357"/>
  </r>
  <r>
    <s v="Elia Cockton"/>
    <x v="1"/>
    <n v="33"/>
    <s v="Average"/>
    <d v="2021-04-26T00:00:00"/>
    <s v="Website"/>
    <n v="75280"/>
    <x v="1"/>
    <n v="3.7835616438356166"/>
  </r>
  <r>
    <s v="Gigi Bohling"/>
    <x v="0"/>
    <n v="33"/>
    <s v="Average"/>
    <d v="2021-07-08T00:00:00"/>
    <s v="Sales"/>
    <n v="74550"/>
    <x v="1"/>
    <n v="3.5835616438356164"/>
  </r>
  <r>
    <s v="Ebonee Roxburgh"/>
    <x v="0"/>
    <n v="30"/>
    <s v="Average"/>
    <d v="2022-05-20T00:00:00"/>
    <s v="Procurement"/>
    <n v="67950"/>
    <x v="1"/>
    <n v="2.7178082191780821"/>
  </r>
  <r>
    <s v="Shayne Stegel"/>
    <x v="0"/>
    <n v="42"/>
    <s v="Poor"/>
    <d v="2022-06-19T00:00:00"/>
    <s v="Finance"/>
    <n v="70270"/>
    <x v="1"/>
    <n v="2.6356164383561644"/>
  </r>
  <r>
    <s v="Zach Polon"/>
    <x v="0"/>
    <n v="26"/>
    <s v="Average"/>
    <d v="2021-08-03T00:00:00"/>
    <s v="Procurement"/>
    <n v="53540"/>
    <x v="1"/>
    <n v="3.512328767123287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B75DC0-1365-40A8-811D-58D06ECB65DA}" name="PivotTable1"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4:D10"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6"/>
  </dataFields>
  <formats count="7">
    <format dxfId="10">
      <pivotArea collapsedLevelsAreSubtotals="1" fieldPosition="0">
        <references count="2">
          <reference field="4294967294" count="1" selected="0">
            <x v="1"/>
          </reference>
          <reference field="0" count="1">
            <x v="0"/>
          </reference>
        </references>
      </pivotArea>
    </format>
    <format dxfId="9">
      <pivotArea collapsedLevelsAreSubtotals="1" fieldPosition="0">
        <references count="2">
          <reference field="4294967294" count="1" selected="0">
            <x v="1"/>
          </reference>
          <reference field="0" count="1">
            <x v="1"/>
          </reference>
        </references>
      </pivotArea>
    </format>
    <format dxfId="8">
      <pivotArea outline="0" fieldPosition="0">
        <references count="1">
          <reference field="4294967294" count="1">
            <x v="1"/>
          </reference>
        </references>
      </pivotArea>
    </format>
    <format dxfId="7">
      <pivotArea collapsedLevelsAreSubtotals="1" fieldPosition="0">
        <references count="2">
          <reference field="4294967294" count="1" selected="0">
            <x v="1"/>
          </reference>
          <reference field="0" count="1">
            <x v="2"/>
          </reference>
        </references>
      </pivotArea>
    </format>
    <format dxfId="6">
      <pivotArea collapsedLevelsAreSubtotals="1" fieldPosition="0">
        <references count="2">
          <reference field="4294967294" count="1" selected="0">
            <x v="1"/>
          </reference>
          <reference field="0" count="1">
            <x v="4"/>
          </reference>
        </references>
      </pivotArea>
    </format>
    <format dxfId="5">
      <pivotArea field="0" grandRow="1" outline="0" collapsedLevelsAreSubtotals="1" axis="axisRow" fieldPosition="0">
        <references count="1">
          <reference field="4294967294" count="1" selected="0">
            <x v="1"/>
          </reference>
        </references>
      </pivotArea>
    </format>
    <format dxfId="4">
      <pivotArea outline="0" collapsedLevelsAreSubtotals="1" fieldPosition="0">
        <references count="1">
          <reference field="4294967294" count="1" selected="0">
            <x v="1"/>
          </reference>
        </references>
      </pivotArea>
    </format>
  </formats>
  <conditionalFormats count="2">
    <conditionalFormat priority="2">
      <pivotAreas count="1">
        <pivotArea type="data" collapsedLevelsAreSubtotals="1" fieldPosition="0">
          <references count="2">
            <reference field="4294967294" count="1" selected="0">
              <x v="1"/>
            </reference>
            <reference field="0" count="1">
              <x v="0"/>
            </reference>
          </references>
        </pivotArea>
      </pivotAreas>
    </conditionalFormat>
    <conditionalFormat priority="1">
      <pivotAreas count="1">
        <pivotArea type="data" collapsedLevelsAreSubtotals="1" fieldPosition="0">
          <references count="2">
            <reference field="4294967294" count="1" selected="0">
              <x v="1"/>
            </reference>
            <reference field="0" count="5">
              <x v="0"/>
              <x v="1"/>
              <x v="2"/>
              <x v="3"/>
              <x v="4"/>
            </reference>
          </references>
        </pivotArea>
      </pivotAreas>
    </conditionalFormat>
  </conditionalFormats>
  <pivotHierarchies count="1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Salary"/>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J Analyze Present Data wth EXCEL.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CECDDC-B887-4BC7-A365-9A82973FCC19}"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2:C3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3" format="0" series="1">
      <pivotArea type="data" outline="0" fieldPosition="0">
        <references count="1">
          <reference field="4294967294" count="1" selected="0">
            <x v="0"/>
          </reference>
        </references>
      </pivotArea>
    </chartFormat>
  </chartFormats>
  <pivotHierarchies count="1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0"/>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9B020A-910C-4790-AB7C-55B463993FFA}"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7:E12" firstHeaderRow="1" firstDataRow="2" firstDataCol="1"/>
  <pivotFields count="9">
    <pivotField dataField="1" compact="0" outline="0" showAll="0"/>
    <pivotField axis="axisCol" compact="0" outline="0" showAll="0">
      <items count="4">
        <item x="1"/>
        <item x="0"/>
        <item h="1" x="2"/>
        <item t="default"/>
      </items>
    </pivotField>
    <pivotField dataField="1" compact="0" outline="0" showAll="0"/>
    <pivotField compact="0" outline="0" showAll="0"/>
    <pivotField compact="0" numFmtId="14" outline="0" showAll="0"/>
    <pivotField compact="0" outline="0" showAll="0"/>
    <pivotField dataField="1" compact="0" outline="0" showAll="0"/>
    <pivotField compact="0" outline="0" showAll="0">
      <items count="3">
        <item x="0"/>
        <item x="1"/>
        <item t="default"/>
      </items>
    </pivotField>
    <pivotField dataField="1" compact="0" numFmtId="2" outline="0" showAll="0"/>
  </pivotFields>
  <rowFields count="1">
    <field x="-2"/>
  </rowFields>
  <rowItems count="4">
    <i>
      <x/>
    </i>
    <i i="1">
      <x v="1"/>
    </i>
    <i i="2">
      <x v="2"/>
    </i>
    <i i="3">
      <x v="3"/>
    </i>
  </rowItems>
  <colFields count="1">
    <field x="1"/>
  </colFields>
  <colItems count="3">
    <i>
      <x/>
    </i>
    <i>
      <x v="1"/>
    </i>
    <i t="grand">
      <x/>
    </i>
  </colItems>
  <dataFields count="4">
    <dataField name="Count of Name" fld="0" subtotal="count" baseField="0" baseItem="0"/>
    <dataField name="Average of Age" fld="2" subtotal="average" baseField="1" baseItem="0" numFmtId="165"/>
    <dataField name="Average of Salary" fld="6" subtotal="average" baseField="1" baseItem="0" numFmtId="166"/>
    <dataField name="Average of Tenure" fld="8" subtotal="average" baseField="1" baseItem="0" numFmtId="165"/>
  </dataFields>
  <formats count="3">
    <format dxfId="3">
      <pivotArea outline="0" fieldPosition="0">
        <references count="2">
          <reference field="4294967294" count="1" selected="0">
            <x v="2"/>
          </reference>
          <reference field="1" count="1" selected="0">
            <x v="0"/>
          </reference>
        </references>
      </pivotArea>
    </format>
    <format dxfId="2">
      <pivotArea outline="0" fieldPosition="0">
        <references count="1">
          <reference field="4294967294" count="1">
            <x v="3"/>
          </reference>
        </references>
      </pivotArea>
    </format>
    <format dxfId="1">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C5A7A90-854A-4017-8C27-F9C537D8BA45}" name="PivotTable1"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B4:C10" firstHeaderRow="1" firstDataRow="1" firstDataCol="1" rowPageCount="1" colPageCount="1"/>
  <pivotFields count="3">
    <pivotField dataField="1" subtotalTop="0" showAll="0" defaultSubtotal="0"/>
    <pivotField axis="axisRow" allDrilled="1" subtotalTop="0" showAll="0" sortType="descending" dataSourceSort="1"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s>
  <rowFields count="1">
    <field x="1"/>
  </rowFields>
  <rowItems count="6">
    <i>
      <x v="4"/>
    </i>
    <i>
      <x v="2"/>
    </i>
    <i>
      <x/>
    </i>
    <i>
      <x v="3"/>
    </i>
    <i>
      <x v="1"/>
    </i>
    <i t="grand">
      <x/>
    </i>
  </rowItems>
  <colItems count="1">
    <i/>
  </colItems>
  <pageFields count="1">
    <pageField fld="2" hier="7" name="[Staff].[Country].&amp;[NZ]" cap="NZ"/>
  </pageFields>
  <dataFields count="1">
    <dataField name="Count of Name" fld="0" subtotal="count" baseField="0" baseItem="0"/>
  </dataFields>
  <chartFormats count="1">
    <chartFormat chart="7" format="2" series="1">
      <pivotArea type="data" outline="0" fieldPosition="0">
        <references count="1">
          <reference field="4294967294" count="1" selected="0">
            <x v="0"/>
          </reference>
        </references>
      </pivotArea>
    </chartFormat>
  </chartFormats>
  <pivotHierarchies count="19">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CA3004E-E57D-4D38-BD6E-9C06E7292FF7}"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E4:F10" firstHeaderRow="1" firstDataRow="1" firstDataCol="1" rowPageCount="1" colPageCount="1"/>
  <pivotFields count="3">
    <pivotField dataField="1" subtotalTop="0" showAll="0" defaultSubtotal="0"/>
    <pivotField axis="axisRow" allDrilled="1" subtotalTop="0" showAll="0" sortType="descending" dataSourceSort="1"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s>
  <rowFields count="1">
    <field x="1"/>
  </rowFields>
  <rowItems count="6">
    <i>
      <x v="2"/>
    </i>
    <i>
      <x v="4"/>
    </i>
    <i>
      <x/>
    </i>
    <i>
      <x v="3"/>
    </i>
    <i>
      <x v="1"/>
    </i>
    <i t="grand">
      <x/>
    </i>
  </rowItems>
  <colItems count="1">
    <i/>
  </colItems>
  <pageFields count="1">
    <pageField fld="2" hier="7" name="[Staff].[Country].&amp;[IND]" cap="IND"/>
  </pageFields>
  <dataFields count="1">
    <dataField name="Count of Name" fld="0" subtotal="count" baseField="0" baseItem="0"/>
  </dataFields>
  <chartFormats count="2">
    <chartFormat chart="12"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s>
  <pivotHierarchies count="19">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IND]"/>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2BB198A4-75B1-474D-B48A-260D8C1EE64F}"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3927E667-674A-4810-BA96-A883D19FCEB7}" sourceName="Country">
  <pivotTables>
    <pivotTable tabId="6" name="PivotTable1"/>
  </pivotTables>
  <data>
    <tabular pivotCacheId="181483244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8E3545A8-8A2F-4929-989B-CC7E7901F61C}" cache="Slicer_Country" caption="Country"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3B775B-FD9E-4BBC-8C9D-595C8A7BFD55}" name="Nz_staff" displayName="Nz_staff" ref="C5:I106" totalsRowCount="1">
  <autoFilter ref="C5:I105" xr:uid="{BD3B775B-FD9E-4BBC-8C9D-595C8A7BFD55}"/>
  <tableColumns count="7">
    <tableColumn id="1" xr3:uid="{05341A40-8140-40DD-AD03-1E6D9681DADF}" name="Name" totalsRowLabel="Total"/>
    <tableColumn id="2" xr3:uid="{05E1FD45-1810-4871-A2C3-EB1F55E94A66}" name="Gender"/>
    <tableColumn id="3" xr3:uid="{605ECBDF-F456-420A-B218-69A559160CD8}" name="Department"/>
    <tableColumn id="4" xr3:uid="{761FBF14-26E6-4265-886D-CBC4CCD27291}" name="Age" totalsRowFunction="average"/>
    <tableColumn id="5" xr3:uid="{7B64BCB2-8A98-4116-B575-72A736814896}" name="Date Joined"/>
    <tableColumn id="6" xr3:uid="{B62536B6-85B7-482C-9C30-C2FA5311F534}" name="Salary" totalsRowFunction="average" dataDxfId="23" totalsRowDxfId="22"/>
    <tableColumn id="7" xr3:uid="{D376E992-2AB2-4D71-989A-748DB26DA26D}"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492DC5-B278-4E2E-AF36-FCCD8E54A12E}" name="India_staff" displayName="India_staff" ref="B2:H114" totalsRowShown="0">
  <autoFilter ref="B2:H114" xr:uid="{0A492DC5-B278-4E2E-AF36-FCCD8E54A12E}"/>
  <tableColumns count="7">
    <tableColumn id="1" xr3:uid="{EEE074B8-20D8-48C8-951C-A15BDCB97BD1}" name="Name"/>
    <tableColumn id="2" xr3:uid="{D9E5025B-640A-44E8-9AC4-97B7B4646E9D}" name="Gender"/>
    <tableColumn id="3" xr3:uid="{1D71F6E2-AE17-418D-AFA8-D79BE7EF08D3}" name="Age"/>
    <tableColumn id="4" xr3:uid="{43606F48-5369-4C42-980F-831182BA1B7C}" name="Rating"/>
    <tableColumn id="5" xr3:uid="{2ADD02FC-2333-4C66-B6E2-FF3708AF127F}" name="Date Joined" dataDxfId="21"/>
    <tableColumn id="6" xr3:uid="{F9CE1AC2-3441-4379-A926-315F2F9C315E}" name="Department"/>
    <tableColumn id="7" xr3:uid="{FB154DCE-AEDF-4132-A301-D6A8B547BE18}"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DAD16E3-7476-4075-9CBE-84017E43347C}" name="Staff" displayName="Staff" ref="A1:K184" tableType="queryTable" totalsRowShown="0">
  <autoFilter ref="A1:K184" xr:uid="{1DAD16E3-7476-4075-9CBE-84017E43347C}"/>
  <sortState xmlns:xlrd2="http://schemas.microsoft.com/office/spreadsheetml/2017/richdata2" ref="A2:J184">
    <sortCondition descending="1" ref="G1:G184"/>
  </sortState>
  <tableColumns count="11">
    <tableColumn id="1" xr3:uid="{00745DAE-AD02-4D80-A42A-141166227E18}" uniqueName="1" name="Name" queryTableFieldId="1" dataDxfId="20"/>
    <tableColumn id="2" xr3:uid="{A287C163-388F-4FE6-A330-546927F9CCD2}" uniqueName="2" name="Gender" queryTableFieldId="2" dataDxfId="19"/>
    <tableColumn id="3" xr3:uid="{BE7C155C-7EAE-45D9-9E15-EE44DB6EADF7}" uniqueName="3" name="Age" queryTableFieldId="3"/>
    <tableColumn id="4" xr3:uid="{D37CABAE-120D-42DB-8B71-B8A6695613AA}" uniqueName="4" name="Rating" queryTableFieldId="4" dataDxfId="18"/>
    <tableColumn id="5" xr3:uid="{E4C44D0F-9DC1-48EA-8269-DED51A661BCF}" uniqueName="5" name="Date Joined" queryTableFieldId="5" dataDxfId="17"/>
    <tableColumn id="6" xr3:uid="{029DEE7F-30FB-4CBC-930E-1E25E19CC616}" uniqueName="6" name="Department" queryTableFieldId="6" dataDxfId="16"/>
    <tableColumn id="7" xr3:uid="{51E5B821-EB34-43E3-932A-24425C83F3EA}" uniqueName="7" name="Salary" queryTableFieldId="7" dataDxfId="15"/>
    <tableColumn id="8" xr3:uid="{BD45D58E-7CC4-41C5-BD15-0032ED5B824B}" uniqueName="8" name="Country" queryTableFieldId="8" dataDxfId="14"/>
    <tableColumn id="9" xr3:uid="{52FE88A4-D3A2-4CE7-B080-0466330A776B}" uniqueName="9" name="Tenure" queryTableFieldId="9" dataDxfId="13">
      <calculatedColumnFormula>(TODAY()-Staff[[#This Row],[Date Joined]])/365</calculatedColumnFormula>
    </tableColumn>
    <tableColumn id="10" xr3:uid="{DEBAACCA-01EB-41C5-9420-DA4D18FA9391}" uniqueName="10" name="Bounus" queryTableFieldId="10" dataDxfId="12">
      <calculatedColumnFormula>ROUNDUP(IF(Staff[[#This Row],[Tenure]]&gt;2,3%,2%)*Staff[[#This Row],[Salary]],0)</calculatedColumnFormula>
    </tableColumn>
    <tableColumn id="11" xr3:uid="{E72C2F90-11E3-4051-B08E-669DA9402EBA}" uniqueName="11" name="Rating as Number" queryTableFieldId="11" dataDxfId="11">
      <calculatedColumnFormula>_xlfn.XLOOKUP(Staff[[#This Row],[Rating]],Mapping!$B$2:$B$6,Mapping!$C$2:$C$6)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workbookViewId="0">
      <selection activeCell="E10" sqref="E10"/>
    </sheetView>
  </sheetViews>
  <sheetFormatPr defaultRowHeight="15" x14ac:dyDescent="0.25"/>
  <cols>
    <col min="1" max="1" width="1.7109375" customWidth="1"/>
    <col min="2" max="2" width="3.7109375" customWidth="1"/>
    <col min="3" max="3" width="25.42578125" customWidth="1"/>
    <col min="4" max="4" width="10" bestFit="1" customWidth="1"/>
    <col min="5" max="5" width="14" bestFit="1" customWidth="1"/>
    <col min="6" max="6" width="8.7109375" customWidth="1"/>
    <col min="7" max="7" width="13.7109375" bestFit="1" customWidth="1"/>
    <col min="8" max="8" width="13.42578125" customWidth="1"/>
    <col min="9" max="9" width="14.28515625" bestFit="1" customWidth="1"/>
  </cols>
  <sheetData>
    <row r="1" spans="1:9" s="2" customFormat="1" ht="52.5" customHeight="1" x14ac:dyDescent="0.25">
      <c r="A1" s="1"/>
      <c r="C1" s="3" t="s">
        <v>0</v>
      </c>
    </row>
    <row r="5" spans="1:9" x14ac:dyDescent="0.25">
      <c r="C5" t="s">
        <v>1</v>
      </c>
      <c r="D5" t="s">
        <v>2</v>
      </c>
      <c r="E5" t="s">
        <v>3</v>
      </c>
      <c r="F5" s="5" t="s">
        <v>4</v>
      </c>
      <c r="G5" s="4" t="s">
        <v>5</v>
      </c>
      <c r="H5" s="5" t="s">
        <v>6</v>
      </c>
      <c r="I5" t="s">
        <v>7</v>
      </c>
    </row>
    <row r="6" spans="1:9" x14ac:dyDescent="0.25">
      <c r="C6" t="s">
        <v>8</v>
      </c>
      <c r="D6" t="s">
        <v>9</v>
      </c>
      <c r="E6" t="s">
        <v>10</v>
      </c>
      <c r="F6">
        <v>22</v>
      </c>
      <c r="G6" s="4">
        <v>44446</v>
      </c>
      <c r="H6" s="6">
        <v>112780</v>
      </c>
      <c r="I6" t="s">
        <v>11</v>
      </c>
    </row>
    <row r="7" spans="1:9" x14ac:dyDescent="0.25">
      <c r="C7" t="s">
        <v>12</v>
      </c>
      <c r="D7" t="s">
        <v>9</v>
      </c>
      <c r="E7" t="s">
        <v>13</v>
      </c>
      <c r="F7">
        <v>46</v>
      </c>
      <c r="G7" s="4">
        <v>44758</v>
      </c>
      <c r="H7" s="6">
        <v>70610</v>
      </c>
      <c r="I7" t="s">
        <v>14</v>
      </c>
    </row>
    <row r="8" spans="1:9" x14ac:dyDescent="0.25">
      <c r="C8" t="s">
        <v>15</v>
      </c>
      <c r="D8" t="s">
        <v>16</v>
      </c>
      <c r="E8" t="s">
        <v>10</v>
      </c>
      <c r="F8">
        <v>28</v>
      </c>
      <c r="G8" s="4">
        <v>44357</v>
      </c>
      <c r="H8" s="6">
        <v>53240</v>
      </c>
      <c r="I8" t="s">
        <v>14</v>
      </c>
    </row>
    <row r="9" spans="1:9" x14ac:dyDescent="0.25">
      <c r="C9" t="s">
        <v>17</v>
      </c>
      <c r="E9" t="s">
        <v>18</v>
      </c>
      <c r="F9">
        <v>37</v>
      </c>
      <c r="G9" s="4">
        <v>44146</v>
      </c>
      <c r="H9" s="6">
        <v>115440</v>
      </c>
      <c r="I9" t="s">
        <v>19</v>
      </c>
    </row>
    <row r="10" spans="1:9" x14ac:dyDescent="0.25">
      <c r="C10" t="s">
        <v>20</v>
      </c>
      <c r="D10" t="s">
        <v>9</v>
      </c>
      <c r="E10" t="s">
        <v>10</v>
      </c>
      <c r="F10">
        <v>32</v>
      </c>
      <c r="G10" s="4">
        <v>44465</v>
      </c>
      <c r="H10" s="6">
        <v>53540</v>
      </c>
      <c r="I10" t="s">
        <v>14</v>
      </c>
    </row>
    <row r="11" spans="1:9" x14ac:dyDescent="0.25">
      <c r="C11" t="s">
        <v>21</v>
      </c>
      <c r="D11" t="s">
        <v>16</v>
      </c>
      <c r="E11" t="s">
        <v>13</v>
      </c>
      <c r="F11">
        <v>30</v>
      </c>
      <c r="G11" s="4">
        <v>44861</v>
      </c>
      <c r="H11" s="6">
        <v>112570</v>
      </c>
      <c r="I11" t="s">
        <v>14</v>
      </c>
    </row>
    <row r="12" spans="1:9" x14ac:dyDescent="0.25">
      <c r="C12" t="s">
        <v>22</v>
      </c>
      <c r="D12" t="s">
        <v>9</v>
      </c>
      <c r="E12" t="s">
        <v>13</v>
      </c>
      <c r="F12">
        <v>33</v>
      </c>
      <c r="G12" s="4">
        <v>44701</v>
      </c>
      <c r="H12" s="6">
        <v>48530</v>
      </c>
      <c r="I12" t="s">
        <v>11</v>
      </c>
    </row>
    <row r="13" spans="1:9" x14ac:dyDescent="0.25">
      <c r="C13" t="s">
        <v>23</v>
      </c>
      <c r="D13" t="s">
        <v>16</v>
      </c>
      <c r="E13" t="s">
        <v>24</v>
      </c>
      <c r="F13">
        <v>24</v>
      </c>
      <c r="G13" s="4">
        <v>44148</v>
      </c>
      <c r="H13" s="6">
        <v>62780</v>
      </c>
      <c r="I13" t="s">
        <v>14</v>
      </c>
    </row>
    <row r="14" spans="1:9" x14ac:dyDescent="0.25">
      <c r="C14" t="s">
        <v>25</v>
      </c>
      <c r="D14" t="s">
        <v>9</v>
      </c>
      <c r="E14" t="s">
        <v>24</v>
      </c>
      <c r="F14">
        <v>33</v>
      </c>
      <c r="G14" s="4">
        <v>44509</v>
      </c>
      <c r="H14" s="6">
        <v>53870</v>
      </c>
      <c r="I14" t="s">
        <v>14</v>
      </c>
    </row>
    <row r="15" spans="1:9" x14ac:dyDescent="0.25">
      <c r="C15" t="s">
        <v>26</v>
      </c>
      <c r="D15" t="s">
        <v>16</v>
      </c>
      <c r="E15" t="s">
        <v>27</v>
      </c>
      <c r="F15">
        <v>27</v>
      </c>
      <c r="G15" s="4">
        <v>44122</v>
      </c>
      <c r="H15" s="6">
        <v>119110</v>
      </c>
      <c r="I15" t="s">
        <v>14</v>
      </c>
    </row>
    <row r="16" spans="1:9" x14ac:dyDescent="0.25">
      <c r="C16" t="s">
        <v>28</v>
      </c>
      <c r="D16" t="s">
        <v>9</v>
      </c>
      <c r="E16" t="s">
        <v>24</v>
      </c>
      <c r="F16">
        <v>29</v>
      </c>
      <c r="G16" s="4">
        <v>44180</v>
      </c>
      <c r="H16" s="6">
        <v>112110</v>
      </c>
      <c r="I16" t="s">
        <v>19</v>
      </c>
    </row>
    <row r="17" spans="3:9" x14ac:dyDescent="0.25">
      <c r="C17" t="s">
        <v>29</v>
      </c>
      <c r="D17" t="s">
        <v>9</v>
      </c>
      <c r="E17" t="s">
        <v>10</v>
      </c>
      <c r="F17">
        <v>25</v>
      </c>
      <c r="G17" s="4">
        <v>44383</v>
      </c>
      <c r="H17" s="6">
        <v>65700</v>
      </c>
      <c r="I17" t="s">
        <v>14</v>
      </c>
    </row>
    <row r="18" spans="3:9" x14ac:dyDescent="0.25">
      <c r="C18" t="s">
        <v>30</v>
      </c>
      <c r="D18" t="s">
        <v>9</v>
      </c>
      <c r="E18" t="s">
        <v>24</v>
      </c>
      <c r="F18">
        <v>37</v>
      </c>
      <c r="G18" s="4">
        <v>44701</v>
      </c>
      <c r="H18" s="6">
        <v>69070</v>
      </c>
      <c r="I18" t="s">
        <v>14</v>
      </c>
    </row>
    <row r="19" spans="3:9" x14ac:dyDescent="0.25">
      <c r="C19" t="s">
        <v>31</v>
      </c>
      <c r="D19" t="s">
        <v>9</v>
      </c>
      <c r="E19" t="s">
        <v>24</v>
      </c>
      <c r="F19">
        <v>20</v>
      </c>
      <c r="G19" s="4">
        <v>44459</v>
      </c>
      <c r="H19" s="6">
        <v>107700</v>
      </c>
      <c r="I19" t="s">
        <v>14</v>
      </c>
    </row>
    <row r="20" spans="3:9" x14ac:dyDescent="0.25">
      <c r="C20" t="s">
        <v>32</v>
      </c>
      <c r="D20" t="s">
        <v>16</v>
      </c>
      <c r="E20" t="s">
        <v>24</v>
      </c>
      <c r="F20">
        <v>32</v>
      </c>
      <c r="G20" s="4">
        <v>44354</v>
      </c>
      <c r="H20" s="6">
        <v>43840</v>
      </c>
      <c r="I20" t="s">
        <v>11</v>
      </c>
    </row>
    <row r="21" spans="3:9" x14ac:dyDescent="0.25">
      <c r="C21" t="s">
        <v>33</v>
      </c>
      <c r="D21" t="s">
        <v>9</v>
      </c>
      <c r="E21" t="s">
        <v>13</v>
      </c>
      <c r="F21">
        <v>40</v>
      </c>
      <c r="G21" s="4">
        <v>44263</v>
      </c>
      <c r="H21" s="6">
        <v>99750</v>
      </c>
      <c r="I21" t="s">
        <v>14</v>
      </c>
    </row>
    <row r="22" spans="3:9" x14ac:dyDescent="0.25">
      <c r="C22" t="s">
        <v>34</v>
      </c>
      <c r="D22" t="s">
        <v>9</v>
      </c>
      <c r="E22" t="s">
        <v>13</v>
      </c>
      <c r="F22">
        <v>21</v>
      </c>
      <c r="G22" s="4">
        <v>44104</v>
      </c>
      <c r="H22" s="6">
        <v>37920</v>
      </c>
      <c r="I22" t="s">
        <v>14</v>
      </c>
    </row>
    <row r="23" spans="3:9" x14ac:dyDescent="0.25">
      <c r="C23" t="s">
        <v>35</v>
      </c>
      <c r="D23" t="s">
        <v>9</v>
      </c>
      <c r="E23" t="s">
        <v>13</v>
      </c>
      <c r="F23">
        <v>21</v>
      </c>
      <c r="G23" s="4">
        <v>44762</v>
      </c>
      <c r="H23" s="6">
        <v>57090</v>
      </c>
      <c r="I23" t="s">
        <v>14</v>
      </c>
    </row>
    <row r="24" spans="3:9" x14ac:dyDescent="0.25">
      <c r="C24" t="s">
        <v>36</v>
      </c>
      <c r="D24" t="s">
        <v>16</v>
      </c>
      <c r="E24" t="s">
        <v>24</v>
      </c>
      <c r="F24">
        <v>31</v>
      </c>
      <c r="G24" s="4">
        <v>44145</v>
      </c>
      <c r="H24" s="6">
        <v>41980</v>
      </c>
      <c r="I24" t="s">
        <v>14</v>
      </c>
    </row>
    <row r="25" spans="3:9" x14ac:dyDescent="0.25">
      <c r="C25" t="s">
        <v>37</v>
      </c>
      <c r="D25" t="s">
        <v>9</v>
      </c>
      <c r="E25" t="s">
        <v>27</v>
      </c>
      <c r="F25">
        <v>21</v>
      </c>
      <c r="G25" s="4">
        <v>44242</v>
      </c>
      <c r="H25" s="6">
        <v>75880</v>
      </c>
      <c r="I25" t="s">
        <v>14</v>
      </c>
    </row>
    <row r="26" spans="3:9" x14ac:dyDescent="0.25">
      <c r="C26" t="s">
        <v>38</v>
      </c>
      <c r="D26" t="s">
        <v>16</v>
      </c>
      <c r="E26" t="s">
        <v>18</v>
      </c>
      <c r="F26">
        <v>34</v>
      </c>
      <c r="G26" s="4">
        <v>44653</v>
      </c>
      <c r="H26" s="6">
        <v>58940</v>
      </c>
      <c r="I26" t="s">
        <v>14</v>
      </c>
    </row>
    <row r="27" spans="3:9" x14ac:dyDescent="0.25">
      <c r="C27" t="s">
        <v>39</v>
      </c>
      <c r="D27" t="s">
        <v>16</v>
      </c>
      <c r="E27" t="s">
        <v>18</v>
      </c>
      <c r="F27">
        <v>30</v>
      </c>
      <c r="G27" s="4">
        <v>44389</v>
      </c>
      <c r="H27" s="6">
        <v>67910</v>
      </c>
      <c r="I27" t="s">
        <v>19</v>
      </c>
    </row>
    <row r="28" spans="3:9" x14ac:dyDescent="0.25">
      <c r="C28" t="s">
        <v>40</v>
      </c>
      <c r="D28" t="s">
        <v>16</v>
      </c>
      <c r="E28" t="s">
        <v>24</v>
      </c>
      <c r="F28">
        <v>31</v>
      </c>
      <c r="G28" s="4">
        <v>44663</v>
      </c>
      <c r="H28" s="6">
        <v>58100</v>
      </c>
      <c r="I28" t="s">
        <v>14</v>
      </c>
    </row>
    <row r="29" spans="3:9" x14ac:dyDescent="0.25">
      <c r="C29" t="s">
        <v>41</v>
      </c>
      <c r="D29" t="s">
        <v>9</v>
      </c>
      <c r="E29" t="s">
        <v>18</v>
      </c>
      <c r="F29">
        <v>27</v>
      </c>
      <c r="G29" s="4">
        <v>44567</v>
      </c>
      <c r="H29" s="6">
        <v>48980</v>
      </c>
      <c r="I29" t="s">
        <v>14</v>
      </c>
    </row>
    <row r="30" spans="3:9" x14ac:dyDescent="0.25">
      <c r="C30" t="s">
        <v>42</v>
      </c>
      <c r="E30" t="s">
        <v>18</v>
      </c>
      <c r="F30">
        <v>30</v>
      </c>
      <c r="G30" s="4">
        <v>44597</v>
      </c>
      <c r="H30" s="6">
        <v>64000</v>
      </c>
      <c r="I30" t="s">
        <v>14</v>
      </c>
    </row>
    <row r="31" spans="3:9" x14ac:dyDescent="0.25">
      <c r="C31" t="s">
        <v>43</v>
      </c>
      <c r="D31" t="s">
        <v>16</v>
      </c>
      <c r="E31" t="s">
        <v>13</v>
      </c>
      <c r="F31">
        <v>42</v>
      </c>
      <c r="G31" s="4">
        <v>44779</v>
      </c>
      <c r="H31" s="6">
        <v>75000</v>
      </c>
      <c r="I31" t="s">
        <v>44</v>
      </c>
    </row>
    <row r="32" spans="3:9" x14ac:dyDescent="0.25">
      <c r="C32" t="s">
        <v>45</v>
      </c>
      <c r="D32" t="s">
        <v>16</v>
      </c>
      <c r="E32" t="s">
        <v>24</v>
      </c>
      <c r="F32">
        <v>40</v>
      </c>
      <c r="G32" s="4">
        <v>44337</v>
      </c>
      <c r="H32" s="6">
        <v>87620</v>
      </c>
      <c r="I32" t="s">
        <v>14</v>
      </c>
    </row>
    <row r="33" spans="3:9" x14ac:dyDescent="0.25">
      <c r="C33" t="s">
        <v>46</v>
      </c>
      <c r="D33" t="s">
        <v>16</v>
      </c>
      <c r="E33" t="s">
        <v>24</v>
      </c>
      <c r="F33">
        <v>29</v>
      </c>
      <c r="G33" s="4">
        <v>44023</v>
      </c>
      <c r="H33" s="6">
        <v>34980</v>
      </c>
      <c r="I33" t="s">
        <v>14</v>
      </c>
    </row>
    <row r="34" spans="3:9" x14ac:dyDescent="0.25">
      <c r="C34" t="s">
        <v>47</v>
      </c>
      <c r="D34" t="s">
        <v>16</v>
      </c>
      <c r="E34" t="s">
        <v>18</v>
      </c>
      <c r="F34">
        <v>28</v>
      </c>
      <c r="G34" s="4">
        <v>44185</v>
      </c>
      <c r="H34" s="6">
        <v>75970</v>
      </c>
      <c r="I34" t="s">
        <v>14</v>
      </c>
    </row>
    <row r="35" spans="3:9" x14ac:dyDescent="0.25">
      <c r="C35" t="s">
        <v>48</v>
      </c>
      <c r="D35" t="s">
        <v>16</v>
      </c>
      <c r="E35" t="s">
        <v>18</v>
      </c>
      <c r="F35">
        <v>34</v>
      </c>
      <c r="G35" s="4">
        <v>44612</v>
      </c>
      <c r="H35" s="6">
        <v>60130</v>
      </c>
      <c r="I35" t="s">
        <v>14</v>
      </c>
    </row>
    <row r="36" spans="3:9" x14ac:dyDescent="0.25">
      <c r="C36" t="s">
        <v>49</v>
      </c>
      <c r="D36" t="s">
        <v>16</v>
      </c>
      <c r="E36" t="s">
        <v>24</v>
      </c>
      <c r="F36">
        <v>33</v>
      </c>
      <c r="G36" s="4">
        <v>44374</v>
      </c>
      <c r="H36" s="6">
        <v>75480</v>
      </c>
      <c r="I36" t="s">
        <v>50</v>
      </c>
    </row>
    <row r="37" spans="3:9" x14ac:dyDescent="0.25">
      <c r="C37" t="s">
        <v>51</v>
      </c>
      <c r="D37" t="s">
        <v>9</v>
      </c>
      <c r="E37" t="s">
        <v>13</v>
      </c>
      <c r="F37">
        <v>33</v>
      </c>
      <c r="G37" s="4">
        <v>44164</v>
      </c>
      <c r="H37" s="6">
        <v>115920</v>
      </c>
      <c r="I37" t="s">
        <v>14</v>
      </c>
    </row>
    <row r="38" spans="3:9" x14ac:dyDescent="0.25">
      <c r="C38" t="s">
        <v>52</v>
      </c>
      <c r="D38" t="s">
        <v>16</v>
      </c>
      <c r="E38" t="s">
        <v>10</v>
      </c>
      <c r="F38">
        <v>36</v>
      </c>
      <c r="G38" s="4">
        <v>44494</v>
      </c>
      <c r="H38" s="6">
        <v>78540</v>
      </c>
      <c r="I38" t="s">
        <v>14</v>
      </c>
    </row>
    <row r="39" spans="3:9" x14ac:dyDescent="0.25">
      <c r="C39" t="s">
        <v>53</v>
      </c>
      <c r="D39" t="s">
        <v>9</v>
      </c>
      <c r="E39" t="s">
        <v>13</v>
      </c>
      <c r="F39">
        <v>25</v>
      </c>
      <c r="G39" s="4">
        <v>44726</v>
      </c>
      <c r="H39" s="6">
        <v>109190</v>
      </c>
      <c r="I39" t="s">
        <v>11</v>
      </c>
    </row>
    <row r="40" spans="3:9" x14ac:dyDescent="0.25">
      <c r="C40" t="s">
        <v>54</v>
      </c>
      <c r="D40" t="s">
        <v>16</v>
      </c>
      <c r="E40" t="s">
        <v>10</v>
      </c>
      <c r="F40">
        <v>34</v>
      </c>
      <c r="G40" s="4">
        <v>44721</v>
      </c>
      <c r="H40" s="6">
        <v>49630</v>
      </c>
      <c r="I40" t="s">
        <v>19</v>
      </c>
    </row>
    <row r="41" spans="3:9" x14ac:dyDescent="0.25">
      <c r="C41" t="s">
        <v>55</v>
      </c>
      <c r="D41" t="s">
        <v>16</v>
      </c>
      <c r="E41" t="s">
        <v>13</v>
      </c>
      <c r="F41">
        <v>28</v>
      </c>
      <c r="G41" s="4">
        <v>44630</v>
      </c>
      <c r="H41" s="6">
        <v>99970</v>
      </c>
      <c r="I41" t="s">
        <v>14</v>
      </c>
    </row>
    <row r="42" spans="3:9" x14ac:dyDescent="0.25">
      <c r="C42" t="s">
        <v>56</v>
      </c>
      <c r="D42" t="s">
        <v>16</v>
      </c>
      <c r="E42" t="s">
        <v>24</v>
      </c>
      <c r="F42">
        <v>33</v>
      </c>
      <c r="G42" s="4">
        <v>44190</v>
      </c>
      <c r="H42" s="6">
        <v>96140</v>
      </c>
      <c r="I42" t="s">
        <v>14</v>
      </c>
    </row>
    <row r="43" spans="3:9" x14ac:dyDescent="0.25">
      <c r="C43" t="s">
        <v>57</v>
      </c>
      <c r="D43" t="s">
        <v>9</v>
      </c>
      <c r="E43" t="s">
        <v>13</v>
      </c>
      <c r="F43">
        <v>31</v>
      </c>
      <c r="G43" s="4">
        <v>44724</v>
      </c>
      <c r="H43" s="6">
        <v>103550</v>
      </c>
      <c r="I43" t="s">
        <v>14</v>
      </c>
    </row>
    <row r="44" spans="3:9" x14ac:dyDescent="0.25">
      <c r="C44" t="s">
        <v>58</v>
      </c>
      <c r="D44" t="s">
        <v>9</v>
      </c>
      <c r="E44" t="s">
        <v>24</v>
      </c>
      <c r="F44">
        <v>31</v>
      </c>
      <c r="G44" s="4">
        <v>44511</v>
      </c>
      <c r="H44" s="6">
        <v>48950</v>
      </c>
      <c r="I44" t="s">
        <v>14</v>
      </c>
    </row>
    <row r="45" spans="3:9" x14ac:dyDescent="0.25">
      <c r="C45" t="s">
        <v>59</v>
      </c>
      <c r="D45" t="s">
        <v>9</v>
      </c>
      <c r="E45" t="s">
        <v>18</v>
      </c>
      <c r="F45">
        <v>24</v>
      </c>
      <c r="G45" s="4">
        <v>44436</v>
      </c>
      <c r="H45" s="6">
        <v>52610</v>
      </c>
      <c r="I45" t="s">
        <v>19</v>
      </c>
    </row>
    <row r="46" spans="3:9" x14ac:dyDescent="0.25">
      <c r="C46" t="s">
        <v>60</v>
      </c>
      <c r="D46" t="s">
        <v>16</v>
      </c>
      <c r="E46" t="s">
        <v>13</v>
      </c>
      <c r="F46">
        <v>36</v>
      </c>
      <c r="G46" s="4">
        <v>44529</v>
      </c>
      <c r="H46" s="6">
        <v>78390</v>
      </c>
      <c r="I46" t="s">
        <v>14</v>
      </c>
    </row>
    <row r="47" spans="3:9" x14ac:dyDescent="0.25">
      <c r="C47" t="s">
        <v>61</v>
      </c>
      <c r="D47" t="s">
        <v>16</v>
      </c>
      <c r="E47" t="s">
        <v>18</v>
      </c>
      <c r="F47">
        <v>33</v>
      </c>
      <c r="G47" s="4">
        <v>44809</v>
      </c>
      <c r="H47" s="6">
        <v>86570</v>
      </c>
      <c r="I47" t="s">
        <v>14</v>
      </c>
    </row>
    <row r="48" spans="3:9" x14ac:dyDescent="0.25">
      <c r="C48" t="s">
        <v>62</v>
      </c>
      <c r="D48" t="s">
        <v>16</v>
      </c>
      <c r="E48" t="s">
        <v>24</v>
      </c>
      <c r="F48">
        <v>27</v>
      </c>
      <c r="G48" s="4">
        <v>44686</v>
      </c>
      <c r="H48" s="6">
        <v>83750</v>
      </c>
      <c r="I48" t="s">
        <v>14</v>
      </c>
    </row>
    <row r="49" spans="3:9" x14ac:dyDescent="0.25">
      <c r="C49" t="s">
        <v>63</v>
      </c>
      <c r="D49" t="s">
        <v>16</v>
      </c>
      <c r="E49" t="s">
        <v>18</v>
      </c>
      <c r="F49">
        <v>34</v>
      </c>
      <c r="G49" s="4">
        <v>44445</v>
      </c>
      <c r="H49" s="6">
        <v>92450</v>
      </c>
      <c r="I49" t="s">
        <v>14</v>
      </c>
    </row>
    <row r="50" spans="3:9" x14ac:dyDescent="0.25">
      <c r="C50" t="s">
        <v>64</v>
      </c>
      <c r="D50" t="s">
        <v>9</v>
      </c>
      <c r="E50" t="s">
        <v>24</v>
      </c>
      <c r="F50">
        <v>20</v>
      </c>
      <c r="G50" s="4">
        <v>44183</v>
      </c>
      <c r="H50" s="6">
        <v>112650</v>
      </c>
      <c r="I50" t="s">
        <v>14</v>
      </c>
    </row>
    <row r="51" spans="3:9" x14ac:dyDescent="0.25">
      <c r="C51" t="s">
        <v>65</v>
      </c>
      <c r="D51" t="s">
        <v>9</v>
      </c>
      <c r="E51" t="s">
        <v>13</v>
      </c>
      <c r="F51">
        <v>20</v>
      </c>
      <c r="G51" s="4">
        <v>44744</v>
      </c>
      <c r="H51" s="6">
        <v>79570</v>
      </c>
      <c r="I51" t="s">
        <v>14</v>
      </c>
    </row>
    <row r="52" spans="3:9" x14ac:dyDescent="0.25">
      <c r="C52" t="s">
        <v>66</v>
      </c>
      <c r="D52" t="s">
        <v>16</v>
      </c>
      <c r="E52" t="s">
        <v>10</v>
      </c>
      <c r="F52">
        <v>20</v>
      </c>
      <c r="G52" s="4">
        <v>44537</v>
      </c>
      <c r="H52" s="6">
        <v>68900</v>
      </c>
      <c r="I52" t="s">
        <v>19</v>
      </c>
    </row>
    <row r="53" spans="3:9" x14ac:dyDescent="0.25">
      <c r="C53" t="s">
        <v>67</v>
      </c>
      <c r="D53" t="s">
        <v>16</v>
      </c>
      <c r="E53" t="s">
        <v>24</v>
      </c>
      <c r="F53">
        <v>25</v>
      </c>
      <c r="G53" s="4">
        <v>44694</v>
      </c>
      <c r="H53" s="6">
        <v>80700</v>
      </c>
      <c r="I53" t="s">
        <v>11</v>
      </c>
    </row>
    <row r="54" spans="3:9" x14ac:dyDescent="0.25">
      <c r="C54" t="s">
        <v>68</v>
      </c>
      <c r="D54" t="s">
        <v>9</v>
      </c>
      <c r="E54" t="s">
        <v>13</v>
      </c>
      <c r="F54">
        <v>19</v>
      </c>
      <c r="G54" s="4">
        <v>44277</v>
      </c>
      <c r="H54" s="6">
        <v>58960</v>
      </c>
      <c r="I54" t="s">
        <v>14</v>
      </c>
    </row>
    <row r="55" spans="3:9" x14ac:dyDescent="0.25">
      <c r="C55" t="s">
        <v>69</v>
      </c>
      <c r="D55" t="s">
        <v>9</v>
      </c>
      <c r="E55" t="s">
        <v>24</v>
      </c>
      <c r="F55">
        <v>36</v>
      </c>
      <c r="G55" s="4">
        <v>44019</v>
      </c>
      <c r="H55" s="6">
        <v>118840</v>
      </c>
      <c r="I55" t="s">
        <v>14</v>
      </c>
    </row>
    <row r="56" spans="3:9" x14ac:dyDescent="0.25">
      <c r="C56" t="s">
        <v>70</v>
      </c>
      <c r="D56" t="s">
        <v>9</v>
      </c>
      <c r="E56" t="s">
        <v>18</v>
      </c>
      <c r="F56">
        <v>28</v>
      </c>
      <c r="G56" s="4">
        <v>44041</v>
      </c>
      <c r="H56" s="6">
        <v>48170</v>
      </c>
      <c r="I56" t="s">
        <v>11</v>
      </c>
    </row>
    <row r="57" spans="3:9" x14ac:dyDescent="0.25">
      <c r="C57" t="s">
        <v>71</v>
      </c>
      <c r="D57" t="s">
        <v>16</v>
      </c>
      <c r="E57" t="s">
        <v>27</v>
      </c>
      <c r="F57">
        <v>32</v>
      </c>
      <c r="G57" s="4">
        <v>44400</v>
      </c>
      <c r="H57" s="6">
        <v>45510</v>
      </c>
      <c r="I57" t="s">
        <v>14</v>
      </c>
    </row>
    <row r="58" spans="3:9" x14ac:dyDescent="0.25">
      <c r="C58" t="s">
        <v>64</v>
      </c>
      <c r="D58" t="s">
        <v>9</v>
      </c>
      <c r="E58" t="s">
        <v>13</v>
      </c>
      <c r="F58">
        <v>34</v>
      </c>
      <c r="G58" s="4">
        <v>44703</v>
      </c>
      <c r="H58" s="6">
        <v>112650</v>
      </c>
      <c r="I58" t="s">
        <v>14</v>
      </c>
    </row>
    <row r="59" spans="3:9" x14ac:dyDescent="0.25">
      <c r="C59" t="s">
        <v>72</v>
      </c>
      <c r="D59" t="s">
        <v>16</v>
      </c>
      <c r="E59" t="s">
        <v>13</v>
      </c>
      <c r="F59">
        <v>36</v>
      </c>
      <c r="G59" s="4">
        <v>44085</v>
      </c>
      <c r="H59" s="6">
        <v>114890</v>
      </c>
      <c r="I59" t="s">
        <v>14</v>
      </c>
    </row>
    <row r="60" spans="3:9" x14ac:dyDescent="0.25">
      <c r="C60" t="s">
        <v>73</v>
      </c>
      <c r="D60" t="s">
        <v>9</v>
      </c>
      <c r="E60" t="s">
        <v>24</v>
      </c>
      <c r="F60">
        <v>30</v>
      </c>
      <c r="G60" s="4">
        <v>44850</v>
      </c>
      <c r="H60" s="6">
        <v>69710</v>
      </c>
      <c r="I60" t="s">
        <v>14</v>
      </c>
    </row>
    <row r="61" spans="3:9" x14ac:dyDescent="0.25">
      <c r="C61" t="s">
        <v>74</v>
      </c>
      <c r="D61" t="s">
        <v>9</v>
      </c>
      <c r="E61" t="s">
        <v>18</v>
      </c>
      <c r="F61">
        <v>36</v>
      </c>
      <c r="G61" s="4">
        <v>44333</v>
      </c>
      <c r="H61" s="6">
        <v>71380</v>
      </c>
      <c r="I61" t="s">
        <v>14</v>
      </c>
    </row>
    <row r="62" spans="3:9" x14ac:dyDescent="0.25">
      <c r="C62" t="s">
        <v>75</v>
      </c>
      <c r="D62" t="s">
        <v>16</v>
      </c>
      <c r="E62" t="s">
        <v>10</v>
      </c>
      <c r="F62">
        <v>38</v>
      </c>
      <c r="G62" s="4">
        <v>44377</v>
      </c>
      <c r="H62" s="6">
        <v>109160</v>
      </c>
      <c r="I62" t="s">
        <v>44</v>
      </c>
    </row>
    <row r="63" spans="3:9" x14ac:dyDescent="0.25">
      <c r="C63" t="s">
        <v>76</v>
      </c>
      <c r="D63" t="s">
        <v>9</v>
      </c>
      <c r="E63" t="s">
        <v>13</v>
      </c>
      <c r="F63">
        <v>27</v>
      </c>
      <c r="G63" s="4">
        <v>44609</v>
      </c>
      <c r="H63" s="6">
        <v>113280</v>
      </c>
      <c r="I63" t="s">
        <v>50</v>
      </c>
    </row>
    <row r="64" spans="3:9" x14ac:dyDescent="0.25">
      <c r="C64" t="s">
        <v>77</v>
      </c>
      <c r="D64" t="s">
        <v>9</v>
      </c>
      <c r="E64" t="s">
        <v>24</v>
      </c>
      <c r="F64">
        <v>30</v>
      </c>
      <c r="G64" s="4">
        <v>44273</v>
      </c>
      <c r="H64" s="6">
        <v>69120</v>
      </c>
      <c r="I64" t="s">
        <v>14</v>
      </c>
    </row>
    <row r="65" spans="3:9" x14ac:dyDescent="0.25">
      <c r="C65" t="s">
        <v>78</v>
      </c>
      <c r="D65" t="s">
        <v>16</v>
      </c>
      <c r="E65" t="s">
        <v>27</v>
      </c>
      <c r="F65">
        <v>37</v>
      </c>
      <c r="G65" s="4">
        <v>44451</v>
      </c>
      <c r="H65" s="6">
        <v>118100</v>
      </c>
      <c r="I65" t="s">
        <v>14</v>
      </c>
    </row>
    <row r="66" spans="3:9" x14ac:dyDescent="0.25">
      <c r="C66" t="s">
        <v>79</v>
      </c>
      <c r="D66" t="s">
        <v>16</v>
      </c>
      <c r="E66" t="s">
        <v>13</v>
      </c>
      <c r="F66">
        <v>22</v>
      </c>
      <c r="G66" s="4">
        <v>44450</v>
      </c>
      <c r="H66" s="6">
        <v>76900</v>
      </c>
      <c r="I66" t="s">
        <v>11</v>
      </c>
    </row>
    <row r="67" spans="3:9" x14ac:dyDescent="0.25">
      <c r="C67" t="s">
        <v>80</v>
      </c>
      <c r="D67" t="s">
        <v>16</v>
      </c>
      <c r="E67" t="s">
        <v>24</v>
      </c>
      <c r="F67">
        <v>43</v>
      </c>
      <c r="G67" s="4">
        <v>45045</v>
      </c>
      <c r="H67" s="6">
        <v>114870</v>
      </c>
      <c r="I67" t="s">
        <v>14</v>
      </c>
    </row>
    <row r="68" spans="3:9" x14ac:dyDescent="0.25">
      <c r="C68" t="s">
        <v>81</v>
      </c>
      <c r="E68" t="s">
        <v>24</v>
      </c>
      <c r="F68">
        <v>32</v>
      </c>
      <c r="G68" s="4">
        <v>44774</v>
      </c>
      <c r="H68" s="6">
        <v>91310</v>
      </c>
      <c r="I68" t="s">
        <v>14</v>
      </c>
    </row>
    <row r="69" spans="3:9" x14ac:dyDescent="0.25">
      <c r="C69" t="s">
        <v>82</v>
      </c>
      <c r="D69" t="s">
        <v>16</v>
      </c>
      <c r="E69" t="s">
        <v>13</v>
      </c>
      <c r="F69">
        <v>28</v>
      </c>
      <c r="G69" s="4">
        <v>44486</v>
      </c>
      <c r="H69" s="6">
        <v>104770</v>
      </c>
      <c r="I69" t="s">
        <v>14</v>
      </c>
    </row>
    <row r="70" spans="3:9" x14ac:dyDescent="0.25">
      <c r="C70" t="s">
        <v>83</v>
      </c>
      <c r="D70" t="s">
        <v>9</v>
      </c>
      <c r="E70" t="s">
        <v>10</v>
      </c>
      <c r="F70">
        <v>27</v>
      </c>
      <c r="G70" s="4">
        <v>44134</v>
      </c>
      <c r="H70" s="6">
        <v>54970</v>
      </c>
      <c r="I70" t="s">
        <v>14</v>
      </c>
    </row>
    <row r="71" spans="3:9" x14ac:dyDescent="0.25">
      <c r="C71" t="s">
        <v>84</v>
      </c>
      <c r="E71" t="s">
        <v>24</v>
      </c>
      <c r="F71">
        <v>26</v>
      </c>
      <c r="G71" s="4">
        <v>44271</v>
      </c>
      <c r="H71" s="6">
        <v>90700</v>
      </c>
      <c r="I71" t="s">
        <v>11</v>
      </c>
    </row>
    <row r="72" spans="3:9" x14ac:dyDescent="0.25">
      <c r="C72" t="s">
        <v>85</v>
      </c>
      <c r="D72" t="s">
        <v>16</v>
      </c>
      <c r="E72" t="s">
        <v>10</v>
      </c>
      <c r="F72">
        <v>38</v>
      </c>
      <c r="G72" s="4">
        <v>44329</v>
      </c>
      <c r="H72" s="6">
        <v>56870</v>
      </c>
      <c r="I72" t="s">
        <v>11</v>
      </c>
    </row>
    <row r="73" spans="3:9" x14ac:dyDescent="0.25">
      <c r="C73" t="s">
        <v>86</v>
      </c>
      <c r="D73" t="s">
        <v>16</v>
      </c>
      <c r="E73" t="s">
        <v>10</v>
      </c>
      <c r="F73">
        <v>25</v>
      </c>
      <c r="G73" s="4">
        <v>44205</v>
      </c>
      <c r="H73" s="6">
        <v>92700</v>
      </c>
      <c r="I73" t="s">
        <v>14</v>
      </c>
    </row>
    <row r="74" spans="3:9" x14ac:dyDescent="0.25">
      <c r="C74" t="s">
        <v>87</v>
      </c>
      <c r="D74" t="s">
        <v>16</v>
      </c>
      <c r="E74" t="s">
        <v>18</v>
      </c>
      <c r="F74">
        <v>21</v>
      </c>
      <c r="G74" s="4">
        <v>44317</v>
      </c>
      <c r="H74" s="6">
        <v>65920</v>
      </c>
      <c r="I74" t="s">
        <v>14</v>
      </c>
    </row>
    <row r="75" spans="3:9" x14ac:dyDescent="0.25">
      <c r="C75" t="s">
        <v>88</v>
      </c>
      <c r="D75" t="s">
        <v>9</v>
      </c>
      <c r="E75" t="s">
        <v>13</v>
      </c>
      <c r="F75">
        <v>26</v>
      </c>
      <c r="G75" s="4">
        <v>44225</v>
      </c>
      <c r="H75" s="6">
        <v>47360</v>
      </c>
      <c r="I75" t="s">
        <v>14</v>
      </c>
    </row>
    <row r="76" spans="3:9" x14ac:dyDescent="0.25">
      <c r="C76" t="s">
        <v>89</v>
      </c>
      <c r="D76" t="s">
        <v>9</v>
      </c>
      <c r="E76" t="s">
        <v>13</v>
      </c>
      <c r="F76">
        <v>30</v>
      </c>
      <c r="G76" s="4">
        <v>44666</v>
      </c>
      <c r="H76" s="6">
        <v>60570</v>
      </c>
      <c r="I76" t="s">
        <v>14</v>
      </c>
    </row>
    <row r="77" spans="3:9" x14ac:dyDescent="0.25">
      <c r="C77" t="s">
        <v>90</v>
      </c>
      <c r="D77" t="s">
        <v>16</v>
      </c>
      <c r="E77" t="s">
        <v>13</v>
      </c>
      <c r="F77">
        <v>28</v>
      </c>
      <c r="G77" s="4">
        <v>44649</v>
      </c>
      <c r="H77" s="6">
        <v>104120</v>
      </c>
      <c r="I77" t="s">
        <v>14</v>
      </c>
    </row>
    <row r="78" spans="3:9" x14ac:dyDescent="0.25">
      <c r="C78" t="s">
        <v>91</v>
      </c>
      <c r="D78" t="s">
        <v>9</v>
      </c>
      <c r="E78" t="s">
        <v>24</v>
      </c>
      <c r="F78">
        <v>37</v>
      </c>
      <c r="G78" s="4">
        <v>44338</v>
      </c>
      <c r="H78" s="6">
        <v>88050</v>
      </c>
      <c r="I78" t="s">
        <v>19</v>
      </c>
    </row>
    <row r="79" spans="3:9" x14ac:dyDescent="0.25">
      <c r="C79" t="s">
        <v>92</v>
      </c>
      <c r="D79" t="s">
        <v>9</v>
      </c>
      <c r="E79" t="s">
        <v>24</v>
      </c>
      <c r="F79">
        <v>24</v>
      </c>
      <c r="G79" s="4">
        <v>44686</v>
      </c>
      <c r="H79" s="6">
        <v>100420</v>
      </c>
      <c r="I79" t="s">
        <v>14</v>
      </c>
    </row>
    <row r="80" spans="3:9" x14ac:dyDescent="0.25">
      <c r="C80" t="s">
        <v>93</v>
      </c>
      <c r="D80" t="s">
        <v>16</v>
      </c>
      <c r="E80" t="s">
        <v>13</v>
      </c>
      <c r="F80">
        <v>30</v>
      </c>
      <c r="G80" s="4">
        <v>44850</v>
      </c>
      <c r="H80" s="6">
        <v>114180</v>
      </c>
      <c r="I80" t="s">
        <v>14</v>
      </c>
    </row>
    <row r="81" spans="3:9" x14ac:dyDescent="0.25">
      <c r="C81" t="s">
        <v>94</v>
      </c>
      <c r="D81" t="s">
        <v>16</v>
      </c>
      <c r="E81" t="s">
        <v>24</v>
      </c>
      <c r="F81">
        <v>21</v>
      </c>
      <c r="G81" s="4">
        <v>44678</v>
      </c>
      <c r="H81" s="6">
        <v>33920</v>
      </c>
      <c r="I81" t="s">
        <v>14</v>
      </c>
    </row>
    <row r="82" spans="3:9" x14ac:dyDescent="0.25">
      <c r="C82" t="s">
        <v>95</v>
      </c>
      <c r="D82" t="s">
        <v>9</v>
      </c>
      <c r="E82" t="s">
        <v>13</v>
      </c>
      <c r="F82">
        <v>23</v>
      </c>
      <c r="G82" s="4">
        <v>44440</v>
      </c>
      <c r="H82" s="6">
        <v>106460</v>
      </c>
      <c r="I82" t="s">
        <v>14</v>
      </c>
    </row>
    <row r="83" spans="3:9" x14ac:dyDescent="0.25">
      <c r="C83" t="s">
        <v>96</v>
      </c>
      <c r="D83" t="s">
        <v>9</v>
      </c>
      <c r="E83" t="s">
        <v>13</v>
      </c>
      <c r="F83">
        <v>35</v>
      </c>
      <c r="G83" s="4">
        <v>44727</v>
      </c>
      <c r="H83" s="6">
        <v>40400</v>
      </c>
      <c r="I83" t="s">
        <v>14</v>
      </c>
    </row>
    <row r="84" spans="3:9" x14ac:dyDescent="0.25">
      <c r="C84" t="s">
        <v>97</v>
      </c>
      <c r="D84" t="s">
        <v>9</v>
      </c>
      <c r="E84" t="s">
        <v>18</v>
      </c>
      <c r="F84">
        <v>27</v>
      </c>
      <c r="G84" s="4">
        <v>44236</v>
      </c>
      <c r="H84" s="6">
        <v>91650</v>
      </c>
      <c r="I84" t="s">
        <v>11</v>
      </c>
    </row>
    <row r="85" spans="3:9" x14ac:dyDescent="0.25">
      <c r="C85" t="s">
        <v>98</v>
      </c>
      <c r="D85" t="s">
        <v>9</v>
      </c>
      <c r="E85" t="s">
        <v>10</v>
      </c>
      <c r="F85">
        <v>43</v>
      </c>
      <c r="G85" s="4">
        <v>44620</v>
      </c>
      <c r="H85" s="6">
        <v>36040</v>
      </c>
      <c r="I85" t="s">
        <v>14</v>
      </c>
    </row>
    <row r="86" spans="3:9" x14ac:dyDescent="0.25">
      <c r="C86" t="s">
        <v>99</v>
      </c>
      <c r="D86" t="s">
        <v>16</v>
      </c>
      <c r="E86" t="s">
        <v>24</v>
      </c>
      <c r="F86">
        <v>40</v>
      </c>
      <c r="G86" s="4">
        <v>44381</v>
      </c>
      <c r="H86" s="6">
        <v>104410</v>
      </c>
      <c r="I86" t="s">
        <v>14</v>
      </c>
    </row>
    <row r="87" spans="3:9" x14ac:dyDescent="0.25">
      <c r="C87" t="s">
        <v>100</v>
      </c>
      <c r="D87" t="s">
        <v>9</v>
      </c>
      <c r="E87" t="s">
        <v>18</v>
      </c>
      <c r="F87">
        <v>30</v>
      </c>
      <c r="G87" s="4">
        <v>44606</v>
      </c>
      <c r="H87" s="6">
        <v>96800</v>
      </c>
      <c r="I87" t="s">
        <v>14</v>
      </c>
    </row>
    <row r="88" spans="3:9" x14ac:dyDescent="0.25">
      <c r="C88" t="s">
        <v>101</v>
      </c>
      <c r="D88" t="s">
        <v>16</v>
      </c>
      <c r="E88" t="s">
        <v>18</v>
      </c>
      <c r="F88">
        <v>34</v>
      </c>
      <c r="G88" s="4">
        <v>44459</v>
      </c>
      <c r="H88" s="6">
        <v>85000</v>
      </c>
      <c r="I88" t="s">
        <v>14</v>
      </c>
    </row>
    <row r="89" spans="3:9" x14ac:dyDescent="0.25">
      <c r="C89" t="s">
        <v>102</v>
      </c>
      <c r="D89" t="s">
        <v>9</v>
      </c>
      <c r="E89" t="s">
        <v>10</v>
      </c>
      <c r="F89">
        <v>28</v>
      </c>
      <c r="G89" s="4">
        <v>44820</v>
      </c>
      <c r="H89" s="6">
        <v>43510</v>
      </c>
      <c r="I89" t="s">
        <v>50</v>
      </c>
    </row>
    <row r="90" spans="3:9" x14ac:dyDescent="0.25">
      <c r="C90" t="s">
        <v>103</v>
      </c>
      <c r="D90" t="s">
        <v>9</v>
      </c>
      <c r="E90" t="s">
        <v>18</v>
      </c>
      <c r="F90">
        <v>33</v>
      </c>
      <c r="G90" s="4">
        <v>44243</v>
      </c>
      <c r="H90" s="6">
        <v>59430</v>
      </c>
      <c r="I90" t="s">
        <v>14</v>
      </c>
    </row>
    <row r="91" spans="3:9" x14ac:dyDescent="0.25">
      <c r="C91" t="s">
        <v>104</v>
      </c>
      <c r="D91" t="s">
        <v>16</v>
      </c>
      <c r="E91" t="s">
        <v>18</v>
      </c>
      <c r="F91">
        <v>33</v>
      </c>
      <c r="G91" s="4">
        <v>44067</v>
      </c>
      <c r="H91" s="6">
        <v>65360</v>
      </c>
      <c r="I91" t="s">
        <v>14</v>
      </c>
    </row>
    <row r="92" spans="3:9" x14ac:dyDescent="0.25">
      <c r="C92" t="s">
        <v>105</v>
      </c>
      <c r="D92" t="s">
        <v>16</v>
      </c>
      <c r="E92" t="s">
        <v>13</v>
      </c>
      <c r="F92">
        <v>32</v>
      </c>
      <c r="G92" s="4">
        <v>44611</v>
      </c>
      <c r="H92" s="6">
        <v>41570</v>
      </c>
      <c r="I92" t="s">
        <v>14</v>
      </c>
    </row>
    <row r="93" spans="3:9" x14ac:dyDescent="0.25">
      <c r="C93" t="s">
        <v>106</v>
      </c>
      <c r="D93" t="s">
        <v>16</v>
      </c>
      <c r="E93" t="s">
        <v>24</v>
      </c>
      <c r="F93">
        <v>33</v>
      </c>
      <c r="G93" s="4">
        <v>44312</v>
      </c>
      <c r="H93" s="6">
        <v>75280</v>
      </c>
      <c r="I93" t="s">
        <v>14</v>
      </c>
    </row>
    <row r="94" spans="3:9" x14ac:dyDescent="0.25">
      <c r="C94" t="s">
        <v>107</v>
      </c>
      <c r="D94" t="s">
        <v>9</v>
      </c>
      <c r="E94" t="s">
        <v>10</v>
      </c>
      <c r="F94">
        <v>33</v>
      </c>
      <c r="G94" s="4">
        <v>44385</v>
      </c>
      <c r="H94" s="6">
        <v>74550</v>
      </c>
      <c r="I94" t="s">
        <v>14</v>
      </c>
    </row>
    <row r="95" spans="3:9" x14ac:dyDescent="0.25">
      <c r="C95" t="s">
        <v>108</v>
      </c>
      <c r="D95" t="s">
        <v>9</v>
      </c>
      <c r="E95" t="s">
        <v>13</v>
      </c>
      <c r="F95">
        <v>30</v>
      </c>
      <c r="G95" s="4">
        <v>44701</v>
      </c>
      <c r="H95" s="6">
        <v>67950</v>
      </c>
      <c r="I95" t="s">
        <v>14</v>
      </c>
    </row>
    <row r="96" spans="3:9" x14ac:dyDescent="0.25">
      <c r="C96" t="s">
        <v>109</v>
      </c>
      <c r="D96" t="s">
        <v>9</v>
      </c>
      <c r="E96" t="s">
        <v>18</v>
      </c>
      <c r="F96">
        <v>42</v>
      </c>
      <c r="G96" s="4">
        <v>44731</v>
      </c>
      <c r="H96" s="6">
        <v>70270</v>
      </c>
      <c r="I96" t="s">
        <v>19</v>
      </c>
    </row>
    <row r="97" spans="3:9" x14ac:dyDescent="0.25">
      <c r="C97" t="s">
        <v>110</v>
      </c>
      <c r="D97" t="s">
        <v>9</v>
      </c>
      <c r="E97" t="s">
        <v>13</v>
      </c>
      <c r="F97">
        <v>26</v>
      </c>
      <c r="G97" s="4">
        <v>44411</v>
      </c>
      <c r="H97" s="6">
        <v>53540</v>
      </c>
      <c r="I97" t="s">
        <v>14</v>
      </c>
    </row>
    <row r="98" spans="3:9" x14ac:dyDescent="0.25">
      <c r="C98" t="s">
        <v>8</v>
      </c>
      <c r="D98" t="s">
        <v>9</v>
      </c>
      <c r="E98" t="s">
        <v>10</v>
      </c>
      <c r="F98">
        <v>22</v>
      </c>
      <c r="G98" s="4">
        <v>44446</v>
      </c>
      <c r="H98" s="6">
        <v>112780</v>
      </c>
      <c r="I98" t="s">
        <v>11</v>
      </c>
    </row>
    <row r="99" spans="3:9" x14ac:dyDescent="0.25">
      <c r="C99" t="s">
        <v>12</v>
      </c>
      <c r="D99" t="s">
        <v>9</v>
      </c>
      <c r="E99" t="s">
        <v>13</v>
      </c>
      <c r="F99">
        <v>46</v>
      </c>
      <c r="G99" s="4">
        <v>44758</v>
      </c>
      <c r="H99" s="6">
        <v>70610</v>
      </c>
      <c r="I99" t="s">
        <v>14</v>
      </c>
    </row>
    <row r="100" spans="3:9" x14ac:dyDescent="0.25">
      <c r="C100" t="s">
        <v>15</v>
      </c>
      <c r="D100" t="s">
        <v>16</v>
      </c>
      <c r="E100" t="s">
        <v>10</v>
      </c>
      <c r="F100">
        <v>28</v>
      </c>
      <c r="G100" s="4">
        <v>44357</v>
      </c>
      <c r="H100" s="6">
        <v>53240</v>
      </c>
      <c r="I100" t="s">
        <v>14</v>
      </c>
    </row>
    <row r="101" spans="3:9" x14ac:dyDescent="0.25">
      <c r="C101" t="s">
        <v>17</v>
      </c>
      <c r="E101" t="s">
        <v>18</v>
      </c>
      <c r="F101">
        <v>37</v>
      </c>
      <c r="G101" s="4">
        <v>44146</v>
      </c>
      <c r="H101" s="6">
        <v>115440</v>
      </c>
      <c r="I101" t="s">
        <v>19</v>
      </c>
    </row>
    <row r="102" spans="3:9" x14ac:dyDescent="0.25">
      <c r="C102" t="s">
        <v>20</v>
      </c>
      <c r="D102" t="s">
        <v>9</v>
      </c>
      <c r="E102" t="s">
        <v>10</v>
      </c>
      <c r="F102">
        <v>32</v>
      </c>
      <c r="G102" s="4">
        <v>44465</v>
      </c>
      <c r="H102" s="6">
        <v>53540</v>
      </c>
      <c r="I102" t="s">
        <v>14</v>
      </c>
    </row>
    <row r="103" spans="3:9" x14ac:dyDescent="0.25">
      <c r="C103" t="s">
        <v>21</v>
      </c>
      <c r="D103" t="s">
        <v>16</v>
      </c>
      <c r="E103" t="s">
        <v>13</v>
      </c>
      <c r="F103">
        <v>30</v>
      </c>
      <c r="G103" s="4">
        <v>44861</v>
      </c>
      <c r="H103" s="6">
        <v>112570</v>
      </c>
      <c r="I103" t="s">
        <v>14</v>
      </c>
    </row>
    <row r="104" spans="3:9" x14ac:dyDescent="0.25">
      <c r="C104" t="s">
        <v>22</v>
      </c>
      <c r="D104" t="s">
        <v>9</v>
      </c>
      <c r="E104" t="s">
        <v>13</v>
      </c>
      <c r="F104">
        <v>33</v>
      </c>
      <c r="G104" s="4">
        <v>44701</v>
      </c>
      <c r="H104" s="6">
        <v>48530</v>
      </c>
      <c r="I104" t="s">
        <v>11</v>
      </c>
    </row>
    <row r="105" spans="3:9" x14ac:dyDescent="0.25">
      <c r="C105" t="s">
        <v>23</v>
      </c>
      <c r="D105" t="s">
        <v>16</v>
      </c>
      <c r="E105" t="s">
        <v>24</v>
      </c>
      <c r="F105">
        <v>24</v>
      </c>
      <c r="G105" s="4">
        <v>44148</v>
      </c>
      <c r="H105" s="6">
        <v>62780</v>
      </c>
      <c r="I105" t="s">
        <v>14</v>
      </c>
    </row>
    <row r="106" spans="3:9" x14ac:dyDescent="0.25">
      <c r="C106" t="s">
        <v>111</v>
      </c>
      <c r="F106">
        <f>SUBTOTAL(101,Nz_staff[Age])</f>
        <v>30.52</v>
      </c>
      <c r="H106" s="6">
        <f>SUBTOTAL(101,Nz_staff[Salary])</f>
        <v>77472.100000000006</v>
      </c>
      <c r="I106">
        <f>SUBTOTAL(103,Nz_staff[Rating])</f>
        <v>100</v>
      </c>
    </row>
  </sheetData>
  <conditionalFormatting sqref="C6:C105">
    <cfRule type="duplicateValues" dxfId="0" priority="1"/>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sheetPr>
    <tabColor rgb="FF00B0F0"/>
  </sheetPr>
  <dimension ref="B2:H114"/>
  <sheetViews>
    <sheetView workbookViewId="0">
      <selection activeCell="C17" sqref="C17"/>
    </sheetView>
  </sheetViews>
  <sheetFormatPr defaultRowHeight="15" x14ac:dyDescent="0.25"/>
  <cols>
    <col min="2" max="2" width="30" bestFit="1" customWidth="1"/>
    <col min="3" max="3" width="10" bestFit="1" customWidth="1"/>
    <col min="4" max="4" width="6.7109375" bestFit="1" customWidth="1"/>
    <col min="5" max="5" width="14.28515625" bestFit="1" customWidth="1"/>
    <col min="6" max="6" width="13.7109375" bestFit="1" customWidth="1"/>
    <col min="7" max="7" width="14" bestFit="1" customWidth="1"/>
    <col min="8" max="8" width="8.5703125" bestFit="1" customWidth="1"/>
  </cols>
  <sheetData>
    <row r="2" spans="2:8" x14ac:dyDescent="0.25">
      <c r="B2" t="s">
        <v>1</v>
      </c>
      <c r="C2" t="s">
        <v>2</v>
      </c>
      <c r="D2" t="s">
        <v>4</v>
      </c>
      <c r="E2" t="s">
        <v>7</v>
      </c>
      <c r="F2" t="s">
        <v>5</v>
      </c>
      <c r="G2" t="s">
        <v>3</v>
      </c>
      <c r="H2" t="s">
        <v>6</v>
      </c>
    </row>
    <row r="3" spans="2:8" x14ac:dyDescent="0.25">
      <c r="B3" t="s">
        <v>112</v>
      </c>
      <c r="C3" t="s">
        <v>9</v>
      </c>
      <c r="D3">
        <v>20</v>
      </c>
      <c r="E3" t="s">
        <v>14</v>
      </c>
      <c r="F3" s="4">
        <v>44122</v>
      </c>
      <c r="G3" t="s">
        <v>24</v>
      </c>
      <c r="H3">
        <v>112650</v>
      </c>
    </row>
    <row r="4" spans="2:8" x14ac:dyDescent="0.25">
      <c r="B4" t="s">
        <v>113</v>
      </c>
      <c r="C4" t="s">
        <v>16</v>
      </c>
      <c r="D4">
        <v>32</v>
      </c>
      <c r="E4" t="s">
        <v>11</v>
      </c>
      <c r="F4" s="4">
        <v>44293</v>
      </c>
      <c r="G4" t="s">
        <v>24</v>
      </c>
      <c r="H4">
        <v>43840</v>
      </c>
    </row>
    <row r="5" spans="2:8" x14ac:dyDescent="0.25">
      <c r="B5" t="s">
        <v>114</v>
      </c>
      <c r="C5" t="s">
        <v>9</v>
      </c>
      <c r="D5">
        <v>31</v>
      </c>
      <c r="E5" t="s">
        <v>14</v>
      </c>
      <c r="F5" s="4">
        <v>44663</v>
      </c>
      <c r="G5" t="s">
        <v>13</v>
      </c>
      <c r="H5">
        <v>103550</v>
      </c>
    </row>
    <row r="6" spans="2:8" x14ac:dyDescent="0.25">
      <c r="B6" t="s">
        <v>115</v>
      </c>
      <c r="C6" t="s">
        <v>16</v>
      </c>
      <c r="D6">
        <v>32</v>
      </c>
      <c r="E6" t="s">
        <v>14</v>
      </c>
      <c r="F6" s="4">
        <v>44339</v>
      </c>
      <c r="G6" t="s">
        <v>27</v>
      </c>
      <c r="H6">
        <v>45510</v>
      </c>
    </row>
    <row r="7" spans="2:8" x14ac:dyDescent="0.25">
      <c r="B7" t="s">
        <v>116</v>
      </c>
      <c r="D7">
        <v>37</v>
      </c>
      <c r="E7" t="s">
        <v>19</v>
      </c>
      <c r="F7" s="4">
        <v>44085</v>
      </c>
      <c r="G7" t="s">
        <v>18</v>
      </c>
      <c r="H7">
        <v>115440</v>
      </c>
    </row>
    <row r="8" spans="2:8" x14ac:dyDescent="0.25">
      <c r="B8" t="s">
        <v>117</v>
      </c>
      <c r="C8" t="s">
        <v>16</v>
      </c>
      <c r="D8">
        <v>38</v>
      </c>
      <c r="E8" t="s">
        <v>11</v>
      </c>
      <c r="F8" s="4">
        <v>44268</v>
      </c>
      <c r="G8" t="s">
        <v>10</v>
      </c>
      <c r="H8">
        <v>56870</v>
      </c>
    </row>
    <row r="9" spans="2:8" x14ac:dyDescent="0.25">
      <c r="B9" t="s">
        <v>118</v>
      </c>
      <c r="C9" t="s">
        <v>16</v>
      </c>
      <c r="D9">
        <v>25</v>
      </c>
      <c r="E9" t="s">
        <v>14</v>
      </c>
      <c r="F9" s="4">
        <v>44144</v>
      </c>
      <c r="G9" t="s">
        <v>10</v>
      </c>
      <c r="H9">
        <v>92700</v>
      </c>
    </row>
    <row r="10" spans="2:8" x14ac:dyDescent="0.25">
      <c r="B10" t="s">
        <v>119</v>
      </c>
      <c r="D10">
        <v>32</v>
      </c>
      <c r="E10" t="s">
        <v>14</v>
      </c>
      <c r="F10" s="4">
        <v>44713</v>
      </c>
      <c r="G10" t="s">
        <v>24</v>
      </c>
      <c r="H10">
        <v>91310</v>
      </c>
    </row>
    <row r="11" spans="2:8" x14ac:dyDescent="0.25">
      <c r="B11" t="s">
        <v>120</v>
      </c>
      <c r="C11" t="s">
        <v>9</v>
      </c>
      <c r="D11">
        <v>33</v>
      </c>
      <c r="E11" t="s">
        <v>14</v>
      </c>
      <c r="F11" s="4">
        <v>44324</v>
      </c>
      <c r="G11" t="s">
        <v>10</v>
      </c>
      <c r="H11">
        <v>74550</v>
      </c>
    </row>
    <row r="12" spans="2:8" x14ac:dyDescent="0.25">
      <c r="B12" t="s">
        <v>121</v>
      </c>
      <c r="C12" t="s">
        <v>9</v>
      </c>
      <c r="D12">
        <v>25</v>
      </c>
      <c r="E12" t="s">
        <v>11</v>
      </c>
      <c r="F12" s="4">
        <v>44665</v>
      </c>
      <c r="G12" t="s">
        <v>13</v>
      </c>
      <c r="H12">
        <v>109190</v>
      </c>
    </row>
    <row r="13" spans="2:8" x14ac:dyDescent="0.25">
      <c r="B13" t="s">
        <v>122</v>
      </c>
      <c r="C13" t="s">
        <v>16</v>
      </c>
      <c r="D13">
        <v>40</v>
      </c>
      <c r="E13" t="s">
        <v>14</v>
      </c>
      <c r="F13" s="4">
        <v>44320</v>
      </c>
      <c r="G13" t="s">
        <v>24</v>
      </c>
      <c r="H13">
        <v>104410</v>
      </c>
    </row>
    <row r="14" spans="2:8" x14ac:dyDescent="0.25">
      <c r="B14" t="s">
        <v>123</v>
      </c>
      <c r="C14" t="s">
        <v>9</v>
      </c>
      <c r="D14">
        <v>30</v>
      </c>
      <c r="E14" t="s">
        <v>14</v>
      </c>
      <c r="F14" s="4">
        <v>44544</v>
      </c>
      <c r="G14" t="s">
        <v>18</v>
      </c>
      <c r="H14">
        <v>96800</v>
      </c>
    </row>
    <row r="15" spans="2:8" x14ac:dyDescent="0.25">
      <c r="B15" t="s">
        <v>124</v>
      </c>
      <c r="C15" t="s">
        <v>9</v>
      </c>
      <c r="D15">
        <v>28</v>
      </c>
      <c r="E15" t="s">
        <v>11</v>
      </c>
      <c r="F15" s="4">
        <v>43980</v>
      </c>
      <c r="G15" t="s">
        <v>18</v>
      </c>
      <c r="H15">
        <v>48170</v>
      </c>
    </row>
    <row r="16" spans="2:8" x14ac:dyDescent="0.25">
      <c r="B16" t="s">
        <v>125</v>
      </c>
      <c r="C16" t="s">
        <v>9</v>
      </c>
      <c r="D16">
        <v>21</v>
      </c>
      <c r="E16" t="s">
        <v>14</v>
      </c>
      <c r="F16" s="4">
        <v>44042</v>
      </c>
      <c r="G16" t="s">
        <v>13</v>
      </c>
      <c r="H16">
        <v>37920</v>
      </c>
    </row>
    <row r="17" spans="2:8" x14ac:dyDescent="0.25">
      <c r="B17" t="s">
        <v>126</v>
      </c>
      <c r="C17" t="s">
        <v>9</v>
      </c>
      <c r="D17">
        <v>34</v>
      </c>
      <c r="E17" t="s">
        <v>14</v>
      </c>
      <c r="F17" s="4">
        <v>44642</v>
      </c>
      <c r="G17" t="s">
        <v>13</v>
      </c>
      <c r="H17">
        <v>112650</v>
      </c>
    </row>
    <row r="18" spans="2:8" x14ac:dyDescent="0.25">
      <c r="B18" t="s">
        <v>127</v>
      </c>
      <c r="C18" t="s">
        <v>16</v>
      </c>
      <c r="D18">
        <v>34</v>
      </c>
      <c r="E18" t="s">
        <v>19</v>
      </c>
      <c r="F18" s="4">
        <v>44660</v>
      </c>
      <c r="G18" t="s">
        <v>10</v>
      </c>
      <c r="H18">
        <v>49630</v>
      </c>
    </row>
    <row r="19" spans="2:8" x14ac:dyDescent="0.25">
      <c r="B19" t="s">
        <v>128</v>
      </c>
      <c r="C19" t="s">
        <v>9</v>
      </c>
      <c r="D19">
        <v>36</v>
      </c>
      <c r="E19" t="s">
        <v>14</v>
      </c>
      <c r="F19" s="4">
        <v>43958</v>
      </c>
      <c r="G19" t="s">
        <v>24</v>
      </c>
      <c r="H19">
        <v>118840</v>
      </c>
    </row>
    <row r="20" spans="2:8" x14ac:dyDescent="0.25">
      <c r="B20" t="s">
        <v>129</v>
      </c>
      <c r="C20" t="s">
        <v>9</v>
      </c>
      <c r="D20">
        <v>30</v>
      </c>
      <c r="E20" t="s">
        <v>14</v>
      </c>
      <c r="F20" s="4">
        <v>44789</v>
      </c>
      <c r="G20" t="s">
        <v>24</v>
      </c>
      <c r="H20">
        <v>69710</v>
      </c>
    </row>
    <row r="21" spans="2:8" x14ac:dyDescent="0.25">
      <c r="B21" t="s">
        <v>130</v>
      </c>
      <c r="C21" t="s">
        <v>9</v>
      </c>
      <c r="D21">
        <v>20</v>
      </c>
      <c r="E21" t="s">
        <v>14</v>
      </c>
      <c r="F21" s="4">
        <v>44683</v>
      </c>
      <c r="G21" t="s">
        <v>13</v>
      </c>
      <c r="H21">
        <v>79570</v>
      </c>
    </row>
    <row r="22" spans="2:8" x14ac:dyDescent="0.25">
      <c r="B22" t="s">
        <v>131</v>
      </c>
      <c r="C22" t="s">
        <v>16</v>
      </c>
      <c r="D22">
        <v>22</v>
      </c>
      <c r="E22" t="s">
        <v>11</v>
      </c>
      <c r="F22" s="4">
        <v>44388</v>
      </c>
      <c r="G22" t="s">
        <v>13</v>
      </c>
      <c r="H22">
        <v>76900</v>
      </c>
    </row>
    <row r="23" spans="2:8" x14ac:dyDescent="0.25">
      <c r="B23" t="s">
        <v>132</v>
      </c>
      <c r="C23" t="s">
        <v>9</v>
      </c>
      <c r="D23">
        <v>27</v>
      </c>
      <c r="E23" t="s">
        <v>14</v>
      </c>
      <c r="F23" s="4">
        <v>44073</v>
      </c>
      <c r="G23" t="s">
        <v>10</v>
      </c>
      <c r="H23">
        <v>54970</v>
      </c>
    </row>
    <row r="24" spans="2:8" x14ac:dyDescent="0.25">
      <c r="B24" t="s">
        <v>133</v>
      </c>
      <c r="C24" t="s">
        <v>9</v>
      </c>
      <c r="D24">
        <v>37</v>
      </c>
      <c r="E24" t="s">
        <v>19</v>
      </c>
      <c r="F24" s="4">
        <v>44277</v>
      </c>
      <c r="G24" t="s">
        <v>24</v>
      </c>
      <c r="H24">
        <v>88050</v>
      </c>
    </row>
    <row r="25" spans="2:8" x14ac:dyDescent="0.25">
      <c r="B25" t="s">
        <v>134</v>
      </c>
      <c r="C25" t="s">
        <v>9</v>
      </c>
      <c r="D25">
        <v>43</v>
      </c>
      <c r="E25" t="s">
        <v>14</v>
      </c>
      <c r="F25" s="4">
        <v>44558</v>
      </c>
      <c r="G25" t="s">
        <v>10</v>
      </c>
      <c r="H25">
        <v>36040</v>
      </c>
    </row>
    <row r="26" spans="2:8" x14ac:dyDescent="0.25">
      <c r="B26" t="s">
        <v>135</v>
      </c>
      <c r="C26" t="s">
        <v>16</v>
      </c>
      <c r="D26">
        <v>42</v>
      </c>
      <c r="E26" t="s">
        <v>44</v>
      </c>
      <c r="F26" s="4">
        <v>44718</v>
      </c>
      <c r="G26" t="s">
        <v>13</v>
      </c>
      <c r="H26">
        <v>75000</v>
      </c>
    </row>
    <row r="27" spans="2:8" x14ac:dyDescent="0.25">
      <c r="B27" t="s">
        <v>136</v>
      </c>
      <c r="C27" t="s">
        <v>9</v>
      </c>
      <c r="D27">
        <v>35</v>
      </c>
      <c r="E27" t="s">
        <v>14</v>
      </c>
      <c r="F27" s="4">
        <v>44666</v>
      </c>
      <c r="G27" t="s">
        <v>13</v>
      </c>
      <c r="H27">
        <v>40400</v>
      </c>
    </row>
    <row r="28" spans="2:8" x14ac:dyDescent="0.25">
      <c r="B28" t="s">
        <v>137</v>
      </c>
      <c r="C28" t="s">
        <v>9</v>
      </c>
      <c r="D28">
        <v>24</v>
      </c>
      <c r="E28" t="s">
        <v>14</v>
      </c>
      <c r="F28" s="4">
        <v>44625</v>
      </c>
      <c r="G28" t="s">
        <v>24</v>
      </c>
      <c r="H28">
        <v>100420</v>
      </c>
    </row>
    <row r="29" spans="2:8" x14ac:dyDescent="0.25">
      <c r="B29" t="s">
        <v>138</v>
      </c>
      <c r="C29" t="s">
        <v>16</v>
      </c>
      <c r="D29">
        <v>31</v>
      </c>
      <c r="E29" t="s">
        <v>14</v>
      </c>
      <c r="F29" s="4">
        <v>44604</v>
      </c>
      <c r="G29" t="s">
        <v>24</v>
      </c>
      <c r="H29">
        <v>58100</v>
      </c>
    </row>
    <row r="30" spans="2:8" x14ac:dyDescent="0.25">
      <c r="B30" t="s">
        <v>139</v>
      </c>
      <c r="C30" t="s">
        <v>16</v>
      </c>
      <c r="D30">
        <v>44</v>
      </c>
      <c r="E30" t="s">
        <v>14</v>
      </c>
      <c r="F30" s="4">
        <v>44985</v>
      </c>
      <c r="G30" t="s">
        <v>24</v>
      </c>
      <c r="H30">
        <v>114870</v>
      </c>
    </row>
    <row r="31" spans="2:8" x14ac:dyDescent="0.25">
      <c r="B31" t="s">
        <v>140</v>
      </c>
      <c r="C31" t="s">
        <v>16</v>
      </c>
      <c r="D31">
        <v>32</v>
      </c>
      <c r="E31" t="s">
        <v>14</v>
      </c>
      <c r="F31" s="4">
        <v>44549</v>
      </c>
      <c r="G31" t="s">
        <v>13</v>
      </c>
      <c r="H31">
        <v>41570</v>
      </c>
    </row>
    <row r="32" spans="2:8" x14ac:dyDescent="0.25">
      <c r="B32" t="s">
        <v>141</v>
      </c>
      <c r="C32" t="s">
        <v>16</v>
      </c>
      <c r="D32">
        <v>30</v>
      </c>
      <c r="E32" t="s">
        <v>14</v>
      </c>
      <c r="F32" s="4">
        <v>44800</v>
      </c>
      <c r="G32" t="s">
        <v>13</v>
      </c>
      <c r="H32">
        <v>112570</v>
      </c>
    </row>
    <row r="33" spans="2:8" x14ac:dyDescent="0.25">
      <c r="B33" t="s">
        <v>142</v>
      </c>
      <c r="C33" t="s">
        <v>9</v>
      </c>
      <c r="D33">
        <v>26</v>
      </c>
      <c r="E33" t="s">
        <v>14</v>
      </c>
      <c r="F33" s="4">
        <v>44164</v>
      </c>
      <c r="G33" t="s">
        <v>13</v>
      </c>
      <c r="H33">
        <v>47360</v>
      </c>
    </row>
    <row r="34" spans="2:8" x14ac:dyDescent="0.25">
      <c r="B34" t="s">
        <v>143</v>
      </c>
      <c r="C34" t="s">
        <v>16</v>
      </c>
      <c r="D34">
        <v>21</v>
      </c>
      <c r="E34" t="s">
        <v>14</v>
      </c>
      <c r="F34" s="4">
        <v>44256</v>
      </c>
      <c r="G34" t="s">
        <v>18</v>
      </c>
      <c r="H34">
        <v>65920</v>
      </c>
    </row>
    <row r="35" spans="2:8" x14ac:dyDescent="0.25">
      <c r="B35" t="s">
        <v>144</v>
      </c>
      <c r="C35" t="s">
        <v>16</v>
      </c>
      <c r="D35">
        <v>28</v>
      </c>
      <c r="E35" t="s">
        <v>14</v>
      </c>
      <c r="F35" s="4">
        <v>44571</v>
      </c>
      <c r="G35" t="s">
        <v>13</v>
      </c>
      <c r="H35">
        <v>99970</v>
      </c>
    </row>
    <row r="36" spans="2:8" x14ac:dyDescent="0.25">
      <c r="B36" t="s">
        <v>145</v>
      </c>
      <c r="C36" t="s">
        <v>16</v>
      </c>
      <c r="D36">
        <v>25</v>
      </c>
      <c r="E36" t="s">
        <v>11</v>
      </c>
      <c r="F36" s="4">
        <v>44633</v>
      </c>
      <c r="G36" t="s">
        <v>24</v>
      </c>
      <c r="H36">
        <v>80700</v>
      </c>
    </row>
    <row r="37" spans="2:8" x14ac:dyDescent="0.25">
      <c r="B37" t="s">
        <v>146</v>
      </c>
      <c r="C37" t="s">
        <v>9</v>
      </c>
      <c r="D37">
        <v>24</v>
      </c>
      <c r="E37" t="s">
        <v>19</v>
      </c>
      <c r="F37" s="4">
        <v>44375</v>
      </c>
      <c r="G37" t="s">
        <v>18</v>
      </c>
      <c r="H37">
        <v>52610</v>
      </c>
    </row>
    <row r="38" spans="2:8" x14ac:dyDescent="0.25">
      <c r="B38" t="s">
        <v>147</v>
      </c>
      <c r="C38" t="s">
        <v>9</v>
      </c>
      <c r="D38">
        <v>29</v>
      </c>
      <c r="E38" t="s">
        <v>19</v>
      </c>
      <c r="F38" s="4">
        <v>44119</v>
      </c>
      <c r="G38" t="s">
        <v>24</v>
      </c>
      <c r="H38">
        <v>112110</v>
      </c>
    </row>
    <row r="39" spans="2:8" x14ac:dyDescent="0.25">
      <c r="B39" t="s">
        <v>148</v>
      </c>
      <c r="C39" t="s">
        <v>16</v>
      </c>
      <c r="D39">
        <v>27</v>
      </c>
      <c r="E39" t="s">
        <v>14</v>
      </c>
      <c r="F39" s="4">
        <v>44061</v>
      </c>
      <c r="G39" t="s">
        <v>27</v>
      </c>
      <c r="H39">
        <v>119110</v>
      </c>
    </row>
    <row r="40" spans="2:8" x14ac:dyDescent="0.25">
      <c r="B40" t="s">
        <v>149</v>
      </c>
      <c r="C40" t="s">
        <v>9</v>
      </c>
      <c r="D40">
        <v>22</v>
      </c>
      <c r="E40" t="s">
        <v>11</v>
      </c>
      <c r="F40" s="4">
        <v>44384</v>
      </c>
      <c r="G40" t="s">
        <v>10</v>
      </c>
      <c r="H40">
        <v>112780</v>
      </c>
    </row>
    <row r="41" spans="2:8" x14ac:dyDescent="0.25">
      <c r="B41" t="s">
        <v>150</v>
      </c>
      <c r="C41" t="s">
        <v>16</v>
      </c>
      <c r="D41">
        <v>36</v>
      </c>
      <c r="E41" t="s">
        <v>14</v>
      </c>
      <c r="F41" s="4">
        <v>44023</v>
      </c>
      <c r="G41" t="s">
        <v>13</v>
      </c>
      <c r="H41">
        <v>114890</v>
      </c>
    </row>
    <row r="42" spans="2:8" x14ac:dyDescent="0.25">
      <c r="B42" t="s">
        <v>151</v>
      </c>
      <c r="C42" t="s">
        <v>9</v>
      </c>
      <c r="D42">
        <v>27</v>
      </c>
      <c r="E42" t="s">
        <v>14</v>
      </c>
      <c r="F42" s="4">
        <v>44506</v>
      </c>
      <c r="G42" t="s">
        <v>18</v>
      </c>
      <c r="H42">
        <v>48980</v>
      </c>
    </row>
    <row r="43" spans="2:8" x14ac:dyDescent="0.25">
      <c r="B43" t="s">
        <v>152</v>
      </c>
      <c r="C43" t="s">
        <v>9</v>
      </c>
      <c r="D43">
        <v>21</v>
      </c>
      <c r="E43" t="s">
        <v>14</v>
      </c>
      <c r="F43" s="4">
        <v>44180</v>
      </c>
      <c r="G43" t="s">
        <v>27</v>
      </c>
      <c r="H43">
        <v>75880</v>
      </c>
    </row>
    <row r="44" spans="2:8" x14ac:dyDescent="0.25">
      <c r="B44" t="s">
        <v>153</v>
      </c>
      <c r="C44" t="s">
        <v>16</v>
      </c>
      <c r="D44">
        <v>28</v>
      </c>
      <c r="E44" t="s">
        <v>14</v>
      </c>
      <c r="F44" s="4">
        <v>44296</v>
      </c>
      <c r="G44" t="s">
        <v>10</v>
      </c>
      <c r="H44">
        <v>53240</v>
      </c>
    </row>
    <row r="45" spans="2:8" x14ac:dyDescent="0.25">
      <c r="B45" t="s">
        <v>154</v>
      </c>
      <c r="C45" t="s">
        <v>16</v>
      </c>
      <c r="D45">
        <v>34</v>
      </c>
      <c r="E45" t="s">
        <v>14</v>
      </c>
      <c r="F45" s="4">
        <v>44397</v>
      </c>
      <c r="G45" t="s">
        <v>18</v>
      </c>
      <c r="H45">
        <v>85000</v>
      </c>
    </row>
    <row r="46" spans="2:8" x14ac:dyDescent="0.25">
      <c r="B46" t="s">
        <v>155</v>
      </c>
      <c r="C46" t="s">
        <v>16</v>
      </c>
      <c r="D46">
        <v>21</v>
      </c>
      <c r="E46" t="s">
        <v>14</v>
      </c>
      <c r="F46" s="4">
        <v>44619</v>
      </c>
      <c r="G46" t="s">
        <v>24</v>
      </c>
      <c r="H46">
        <v>33920</v>
      </c>
    </row>
    <row r="47" spans="2:8" x14ac:dyDescent="0.25">
      <c r="B47" t="s">
        <v>156</v>
      </c>
      <c r="C47" t="s">
        <v>16</v>
      </c>
      <c r="D47">
        <v>33</v>
      </c>
      <c r="E47" t="s">
        <v>14</v>
      </c>
      <c r="F47" s="4">
        <v>44253</v>
      </c>
      <c r="G47" t="s">
        <v>24</v>
      </c>
      <c r="H47">
        <v>75280</v>
      </c>
    </row>
    <row r="48" spans="2:8" x14ac:dyDescent="0.25">
      <c r="B48" t="s">
        <v>157</v>
      </c>
      <c r="C48" t="s">
        <v>16</v>
      </c>
      <c r="D48">
        <v>34</v>
      </c>
      <c r="E48" t="s">
        <v>14</v>
      </c>
      <c r="F48" s="4">
        <v>44594</v>
      </c>
      <c r="G48" t="s">
        <v>18</v>
      </c>
      <c r="H48">
        <v>58940</v>
      </c>
    </row>
    <row r="49" spans="2:8" x14ac:dyDescent="0.25">
      <c r="B49" t="s">
        <v>158</v>
      </c>
      <c r="C49" t="s">
        <v>16</v>
      </c>
      <c r="D49">
        <v>28</v>
      </c>
      <c r="E49" t="s">
        <v>14</v>
      </c>
      <c r="F49" s="4">
        <v>44425</v>
      </c>
      <c r="G49" t="s">
        <v>13</v>
      </c>
      <c r="H49">
        <v>104770</v>
      </c>
    </row>
    <row r="50" spans="2:8" x14ac:dyDescent="0.25">
      <c r="B50" t="s">
        <v>159</v>
      </c>
      <c r="C50" t="s">
        <v>9</v>
      </c>
      <c r="D50">
        <v>21</v>
      </c>
      <c r="E50" t="s">
        <v>14</v>
      </c>
      <c r="F50" s="4">
        <v>44701</v>
      </c>
      <c r="G50" t="s">
        <v>13</v>
      </c>
      <c r="H50">
        <v>57090</v>
      </c>
    </row>
    <row r="51" spans="2:8" x14ac:dyDescent="0.25">
      <c r="B51" t="s">
        <v>160</v>
      </c>
      <c r="C51" t="s">
        <v>9</v>
      </c>
      <c r="D51">
        <v>27</v>
      </c>
      <c r="E51" t="s">
        <v>11</v>
      </c>
      <c r="F51" s="4">
        <v>44174</v>
      </c>
      <c r="G51" t="s">
        <v>18</v>
      </c>
      <c r="H51">
        <v>91650</v>
      </c>
    </row>
    <row r="52" spans="2:8" x14ac:dyDescent="0.25">
      <c r="B52" t="s">
        <v>161</v>
      </c>
      <c r="C52" t="s">
        <v>9</v>
      </c>
      <c r="D52">
        <v>42</v>
      </c>
      <c r="E52" t="s">
        <v>19</v>
      </c>
      <c r="F52" s="4">
        <v>44670</v>
      </c>
      <c r="G52" t="s">
        <v>18</v>
      </c>
      <c r="H52">
        <v>70270</v>
      </c>
    </row>
    <row r="53" spans="2:8" x14ac:dyDescent="0.25">
      <c r="B53" t="s">
        <v>162</v>
      </c>
      <c r="C53" t="s">
        <v>16</v>
      </c>
      <c r="D53">
        <v>28</v>
      </c>
      <c r="E53" t="s">
        <v>14</v>
      </c>
      <c r="F53" s="4">
        <v>44124</v>
      </c>
      <c r="G53" t="s">
        <v>18</v>
      </c>
      <c r="H53">
        <v>75970</v>
      </c>
    </row>
    <row r="54" spans="2:8" x14ac:dyDescent="0.25">
      <c r="B54" t="s">
        <v>163</v>
      </c>
      <c r="D54">
        <v>27</v>
      </c>
      <c r="E54" t="s">
        <v>11</v>
      </c>
      <c r="F54" s="4">
        <v>44212</v>
      </c>
      <c r="G54" t="s">
        <v>24</v>
      </c>
      <c r="H54">
        <v>90700</v>
      </c>
    </row>
    <row r="55" spans="2:8" x14ac:dyDescent="0.25">
      <c r="B55" t="s">
        <v>164</v>
      </c>
      <c r="C55" t="s">
        <v>9</v>
      </c>
      <c r="D55">
        <v>30</v>
      </c>
      <c r="E55" t="s">
        <v>14</v>
      </c>
      <c r="F55" s="4">
        <v>44607</v>
      </c>
      <c r="G55" t="s">
        <v>13</v>
      </c>
      <c r="H55">
        <v>60570</v>
      </c>
    </row>
    <row r="56" spans="2:8" x14ac:dyDescent="0.25">
      <c r="B56" t="s">
        <v>165</v>
      </c>
      <c r="C56" t="s">
        <v>9</v>
      </c>
      <c r="D56">
        <v>33</v>
      </c>
      <c r="E56" t="s">
        <v>14</v>
      </c>
      <c r="F56" s="4">
        <v>44103</v>
      </c>
      <c r="G56" t="s">
        <v>13</v>
      </c>
      <c r="H56">
        <v>115920</v>
      </c>
    </row>
    <row r="57" spans="2:8" x14ac:dyDescent="0.25">
      <c r="B57" t="s">
        <v>166</v>
      </c>
      <c r="C57" t="s">
        <v>16</v>
      </c>
      <c r="D57">
        <v>33</v>
      </c>
      <c r="E57" t="s">
        <v>14</v>
      </c>
      <c r="F57" s="4">
        <v>44006</v>
      </c>
      <c r="G57" t="s">
        <v>18</v>
      </c>
      <c r="H57">
        <v>65360</v>
      </c>
    </row>
    <row r="58" spans="2:8" x14ac:dyDescent="0.25">
      <c r="B58" t="s">
        <v>167</v>
      </c>
      <c r="D58">
        <v>30</v>
      </c>
      <c r="E58" t="s">
        <v>14</v>
      </c>
      <c r="F58" s="4">
        <v>44535</v>
      </c>
      <c r="G58" t="s">
        <v>18</v>
      </c>
      <c r="H58">
        <v>64000</v>
      </c>
    </row>
    <row r="59" spans="2:8" x14ac:dyDescent="0.25">
      <c r="B59" t="s">
        <v>168</v>
      </c>
      <c r="C59" t="s">
        <v>16</v>
      </c>
      <c r="D59">
        <v>34</v>
      </c>
      <c r="E59" t="s">
        <v>14</v>
      </c>
      <c r="F59" s="4">
        <v>44383</v>
      </c>
      <c r="G59" t="s">
        <v>18</v>
      </c>
      <c r="H59">
        <v>92450</v>
      </c>
    </row>
    <row r="60" spans="2:8" x14ac:dyDescent="0.25">
      <c r="B60" t="s">
        <v>169</v>
      </c>
      <c r="C60" t="s">
        <v>9</v>
      </c>
      <c r="D60">
        <v>31</v>
      </c>
      <c r="E60" t="s">
        <v>14</v>
      </c>
      <c r="F60" s="4">
        <v>44450</v>
      </c>
      <c r="G60" t="s">
        <v>24</v>
      </c>
      <c r="H60">
        <v>48950</v>
      </c>
    </row>
    <row r="61" spans="2:8" x14ac:dyDescent="0.25">
      <c r="B61" t="s">
        <v>170</v>
      </c>
      <c r="C61" t="s">
        <v>16</v>
      </c>
      <c r="D61">
        <v>27</v>
      </c>
      <c r="E61" t="s">
        <v>14</v>
      </c>
      <c r="F61" s="4">
        <v>44625</v>
      </c>
      <c r="G61" t="s">
        <v>24</v>
      </c>
      <c r="H61">
        <v>83750</v>
      </c>
    </row>
    <row r="62" spans="2:8" x14ac:dyDescent="0.25">
      <c r="B62" t="s">
        <v>171</v>
      </c>
      <c r="C62" t="s">
        <v>16</v>
      </c>
      <c r="D62">
        <v>40</v>
      </c>
      <c r="E62" t="s">
        <v>14</v>
      </c>
      <c r="F62" s="4">
        <v>44276</v>
      </c>
      <c r="G62" t="s">
        <v>24</v>
      </c>
      <c r="H62">
        <v>87620</v>
      </c>
    </row>
    <row r="63" spans="2:8" x14ac:dyDescent="0.25">
      <c r="B63" t="s">
        <v>172</v>
      </c>
      <c r="C63" t="s">
        <v>16</v>
      </c>
      <c r="D63">
        <v>20</v>
      </c>
      <c r="E63" t="s">
        <v>19</v>
      </c>
      <c r="F63" s="4">
        <v>44476</v>
      </c>
      <c r="G63" t="s">
        <v>10</v>
      </c>
      <c r="H63">
        <v>68900</v>
      </c>
    </row>
    <row r="64" spans="2:8" x14ac:dyDescent="0.25">
      <c r="B64" t="s">
        <v>173</v>
      </c>
      <c r="C64" t="s">
        <v>9</v>
      </c>
      <c r="D64">
        <v>32</v>
      </c>
      <c r="E64" t="s">
        <v>14</v>
      </c>
      <c r="F64" s="4">
        <v>44403</v>
      </c>
      <c r="G64" t="s">
        <v>10</v>
      </c>
      <c r="H64">
        <v>53540</v>
      </c>
    </row>
    <row r="65" spans="2:8" x14ac:dyDescent="0.25">
      <c r="B65" t="s">
        <v>174</v>
      </c>
      <c r="C65" t="s">
        <v>9</v>
      </c>
      <c r="D65">
        <v>28</v>
      </c>
      <c r="E65" t="s">
        <v>50</v>
      </c>
      <c r="F65" s="4">
        <v>44758</v>
      </c>
      <c r="G65" t="s">
        <v>10</v>
      </c>
      <c r="H65">
        <v>43510</v>
      </c>
    </row>
    <row r="66" spans="2:8" x14ac:dyDescent="0.25">
      <c r="B66" t="s">
        <v>175</v>
      </c>
      <c r="C66" t="s">
        <v>16</v>
      </c>
      <c r="D66">
        <v>38</v>
      </c>
      <c r="E66" t="s">
        <v>44</v>
      </c>
      <c r="F66" s="4">
        <v>44316</v>
      </c>
      <c r="G66" t="s">
        <v>10</v>
      </c>
      <c r="H66">
        <v>109160</v>
      </c>
    </row>
    <row r="67" spans="2:8" x14ac:dyDescent="0.25">
      <c r="B67" t="s">
        <v>176</v>
      </c>
      <c r="C67" t="s">
        <v>9</v>
      </c>
      <c r="D67">
        <v>40</v>
      </c>
      <c r="E67" t="s">
        <v>14</v>
      </c>
      <c r="F67" s="4">
        <v>44204</v>
      </c>
      <c r="G67" t="s">
        <v>13</v>
      </c>
      <c r="H67">
        <v>99750</v>
      </c>
    </row>
    <row r="68" spans="2:8" x14ac:dyDescent="0.25">
      <c r="B68" t="s">
        <v>177</v>
      </c>
      <c r="C68" t="s">
        <v>16</v>
      </c>
      <c r="D68">
        <v>31</v>
      </c>
      <c r="E68" t="s">
        <v>14</v>
      </c>
      <c r="F68" s="4">
        <v>44084</v>
      </c>
      <c r="G68" t="s">
        <v>24</v>
      </c>
      <c r="H68">
        <v>41980</v>
      </c>
    </row>
    <row r="69" spans="2:8" x14ac:dyDescent="0.25">
      <c r="B69" t="s">
        <v>178</v>
      </c>
      <c r="C69" t="s">
        <v>9</v>
      </c>
      <c r="D69">
        <v>36</v>
      </c>
      <c r="E69" t="s">
        <v>14</v>
      </c>
      <c r="F69" s="4">
        <v>44272</v>
      </c>
      <c r="G69" t="s">
        <v>18</v>
      </c>
      <c r="H69">
        <v>71380</v>
      </c>
    </row>
    <row r="70" spans="2:8" x14ac:dyDescent="0.25">
      <c r="B70" t="s">
        <v>179</v>
      </c>
      <c r="C70" t="s">
        <v>9</v>
      </c>
      <c r="D70">
        <v>27</v>
      </c>
      <c r="E70" t="s">
        <v>50</v>
      </c>
      <c r="F70" s="4">
        <v>44547</v>
      </c>
      <c r="G70" t="s">
        <v>13</v>
      </c>
      <c r="H70">
        <v>113280</v>
      </c>
    </row>
    <row r="71" spans="2:8" x14ac:dyDescent="0.25">
      <c r="B71" t="s">
        <v>180</v>
      </c>
      <c r="C71" t="s">
        <v>16</v>
      </c>
      <c r="D71">
        <v>33</v>
      </c>
      <c r="E71" t="s">
        <v>14</v>
      </c>
      <c r="F71" s="4">
        <v>44747</v>
      </c>
      <c r="G71" t="s">
        <v>18</v>
      </c>
      <c r="H71">
        <v>86570</v>
      </c>
    </row>
    <row r="72" spans="2:8" x14ac:dyDescent="0.25">
      <c r="B72" t="s">
        <v>181</v>
      </c>
      <c r="C72" t="s">
        <v>9</v>
      </c>
      <c r="D72">
        <v>26</v>
      </c>
      <c r="E72" t="s">
        <v>14</v>
      </c>
      <c r="F72" s="4">
        <v>44350</v>
      </c>
      <c r="G72" t="s">
        <v>13</v>
      </c>
      <c r="H72">
        <v>53540</v>
      </c>
    </row>
    <row r="73" spans="2:8" x14ac:dyDescent="0.25">
      <c r="B73" t="s">
        <v>182</v>
      </c>
      <c r="C73" t="s">
        <v>9</v>
      </c>
      <c r="D73">
        <v>37</v>
      </c>
      <c r="E73" t="s">
        <v>14</v>
      </c>
      <c r="F73" s="4">
        <v>44640</v>
      </c>
      <c r="G73" t="s">
        <v>24</v>
      </c>
      <c r="H73">
        <v>69070</v>
      </c>
    </row>
    <row r="74" spans="2:8" x14ac:dyDescent="0.25">
      <c r="B74" t="s">
        <v>183</v>
      </c>
      <c r="C74" t="s">
        <v>16</v>
      </c>
      <c r="D74">
        <v>30</v>
      </c>
      <c r="E74" t="s">
        <v>19</v>
      </c>
      <c r="F74" s="4">
        <v>44328</v>
      </c>
      <c r="G74" t="s">
        <v>18</v>
      </c>
      <c r="H74">
        <v>67910</v>
      </c>
    </row>
    <row r="75" spans="2:8" x14ac:dyDescent="0.25">
      <c r="B75" t="s">
        <v>184</v>
      </c>
      <c r="C75" t="s">
        <v>9</v>
      </c>
      <c r="D75">
        <v>30</v>
      </c>
      <c r="E75" t="s">
        <v>14</v>
      </c>
      <c r="F75" s="4">
        <v>44214</v>
      </c>
      <c r="G75" t="s">
        <v>24</v>
      </c>
      <c r="H75">
        <v>69120</v>
      </c>
    </row>
    <row r="76" spans="2:8" x14ac:dyDescent="0.25">
      <c r="B76" t="s">
        <v>185</v>
      </c>
      <c r="C76" t="s">
        <v>16</v>
      </c>
      <c r="D76">
        <v>34</v>
      </c>
      <c r="E76" t="s">
        <v>14</v>
      </c>
      <c r="F76" s="4">
        <v>44550</v>
      </c>
      <c r="G76" t="s">
        <v>18</v>
      </c>
      <c r="H76">
        <v>60130</v>
      </c>
    </row>
    <row r="77" spans="2:8" x14ac:dyDescent="0.25">
      <c r="B77" t="s">
        <v>186</v>
      </c>
      <c r="C77" t="s">
        <v>9</v>
      </c>
      <c r="D77">
        <v>23</v>
      </c>
      <c r="E77" t="s">
        <v>14</v>
      </c>
      <c r="F77" s="4">
        <v>44378</v>
      </c>
      <c r="G77" t="s">
        <v>13</v>
      </c>
      <c r="H77">
        <v>106460</v>
      </c>
    </row>
    <row r="78" spans="2:8" x14ac:dyDescent="0.25">
      <c r="B78" t="s">
        <v>187</v>
      </c>
      <c r="C78" t="s">
        <v>16</v>
      </c>
      <c r="D78">
        <v>37</v>
      </c>
      <c r="E78" t="s">
        <v>14</v>
      </c>
      <c r="F78" s="4">
        <v>44389</v>
      </c>
      <c r="G78" t="s">
        <v>27</v>
      </c>
      <c r="H78">
        <v>118100</v>
      </c>
    </row>
    <row r="79" spans="2:8" x14ac:dyDescent="0.25">
      <c r="B79" t="s">
        <v>188</v>
      </c>
      <c r="C79" t="s">
        <v>16</v>
      </c>
      <c r="D79">
        <v>36</v>
      </c>
      <c r="E79" t="s">
        <v>14</v>
      </c>
      <c r="F79" s="4">
        <v>44468</v>
      </c>
      <c r="G79" t="s">
        <v>13</v>
      </c>
      <c r="H79">
        <v>78390</v>
      </c>
    </row>
    <row r="80" spans="2:8" x14ac:dyDescent="0.25">
      <c r="B80" t="s">
        <v>189</v>
      </c>
      <c r="C80" t="s">
        <v>16</v>
      </c>
      <c r="D80">
        <v>30</v>
      </c>
      <c r="E80" t="s">
        <v>14</v>
      </c>
      <c r="F80" s="4">
        <v>44789</v>
      </c>
      <c r="G80" t="s">
        <v>13</v>
      </c>
      <c r="H80">
        <v>114180</v>
      </c>
    </row>
    <row r="81" spans="2:8" x14ac:dyDescent="0.25">
      <c r="B81" t="s">
        <v>190</v>
      </c>
      <c r="C81" t="s">
        <v>16</v>
      </c>
      <c r="D81">
        <v>28</v>
      </c>
      <c r="E81" t="s">
        <v>14</v>
      </c>
      <c r="F81" s="4">
        <v>44590</v>
      </c>
      <c r="G81" t="s">
        <v>13</v>
      </c>
      <c r="H81">
        <v>104120</v>
      </c>
    </row>
    <row r="82" spans="2:8" x14ac:dyDescent="0.25">
      <c r="B82" t="s">
        <v>191</v>
      </c>
      <c r="C82" t="s">
        <v>9</v>
      </c>
      <c r="D82">
        <v>30</v>
      </c>
      <c r="E82" t="s">
        <v>14</v>
      </c>
      <c r="F82" s="4">
        <v>44640</v>
      </c>
      <c r="G82" t="s">
        <v>13</v>
      </c>
      <c r="H82">
        <v>67950</v>
      </c>
    </row>
    <row r="83" spans="2:8" x14ac:dyDescent="0.25">
      <c r="B83" t="s">
        <v>192</v>
      </c>
      <c r="C83" t="s">
        <v>16</v>
      </c>
      <c r="D83">
        <v>29</v>
      </c>
      <c r="E83" t="s">
        <v>14</v>
      </c>
      <c r="F83" s="4">
        <v>43962</v>
      </c>
      <c r="G83" t="s">
        <v>24</v>
      </c>
      <c r="H83">
        <v>34980</v>
      </c>
    </row>
    <row r="84" spans="2:8" x14ac:dyDescent="0.25">
      <c r="B84" t="s">
        <v>193</v>
      </c>
      <c r="C84" t="s">
        <v>16</v>
      </c>
      <c r="D84">
        <v>24</v>
      </c>
      <c r="E84" t="s">
        <v>14</v>
      </c>
      <c r="F84" s="4">
        <v>44087</v>
      </c>
      <c r="G84" t="s">
        <v>24</v>
      </c>
      <c r="H84">
        <v>62780</v>
      </c>
    </row>
    <row r="85" spans="2:8" x14ac:dyDescent="0.25">
      <c r="B85" t="s">
        <v>194</v>
      </c>
      <c r="C85" t="s">
        <v>9</v>
      </c>
      <c r="D85">
        <v>20</v>
      </c>
      <c r="E85" t="s">
        <v>14</v>
      </c>
      <c r="F85" s="4">
        <v>44397</v>
      </c>
      <c r="G85" t="s">
        <v>24</v>
      </c>
      <c r="H85">
        <v>107700</v>
      </c>
    </row>
    <row r="86" spans="2:8" x14ac:dyDescent="0.25">
      <c r="B86" t="s">
        <v>195</v>
      </c>
      <c r="C86" t="s">
        <v>9</v>
      </c>
      <c r="D86">
        <v>25</v>
      </c>
      <c r="E86" t="s">
        <v>14</v>
      </c>
      <c r="F86" s="4">
        <v>44322</v>
      </c>
      <c r="G86" t="s">
        <v>10</v>
      </c>
      <c r="H86">
        <v>65700</v>
      </c>
    </row>
    <row r="87" spans="2:8" x14ac:dyDescent="0.25">
      <c r="B87" t="s">
        <v>196</v>
      </c>
      <c r="C87" t="s">
        <v>16</v>
      </c>
      <c r="D87">
        <v>33</v>
      </c>
      <c r="E87" t="s">
        <v>50</v>
      </c>
      <c r="F87" s="4">
        <v>44313</v>
      </c>
      <c r="G87" t="s">
        <v>24</v>
      </c>
      <c r="H87">
        <v>75480</v>
      </c>
    </row>
    <row r="88" spans="2:8" x14ac:dyDescent="0.25">
      <c r="B88" t="s">
        <v>197</v>
      </c>
      <c r="C88" t="s">
        <v>9</v>
      </c>
      <c r="D88">
        <v>33</v>
      </c>
      <c r="E88" t="s">
        <v>14</v>
      </c>
      <c r="F88" s="4">
        <v>44448</v>
      </c>
      <c r="G88" t="s">
        <v>24</v>
      </c>
      <c r="H88">
        <v>53870</v>
      </c>
    </row>
    <row r="89" spans="2:8" x14ac:dyDescent="0.25">
      <c r="B89" t="s">
        <v>198</v>
      </c>
      <c r="C89" t="s">
        <v>16</v>
      </c>
      <c r="D89">
        <v>36</v>
      </c>
      <c r="E89" t="s">
        <v>14</v>
      </c>
      <c r="F89" s="4">
        <v>44433</v>
      </c>
      <c r="G89" t="s">
        <v>10</v>
      </c>
      <c r="H89">
        <v>78540</v>
      </c>
    </row>
    <row r="90" spans="2:8" x14ac:dyDescent="0.25">
      <c r="B90" t="s">
        <v>199</v>
      </c>
      <c r="C90" t="s">
        <v>9</v>
      </c>
      <c r="D90">
        <v>19</v>
      </c>
      <c r="E90" t="s">
        <v>14</v>
      </c>
      <c r="F90" s="4">
        <v>44218</v>
      </c>
      <c r="G90" t="s">
        <v>13</v>
      </c>
      <c r="H90">
        <v>58960</v>
      </c>
    </row>
    <row r="91" spans="2:8" x14ac:dyDescent="0.25">
      <c r="B91" t="s">
        <v>200</v>
      </c>
      <c r="C91" t="s">
        <v>9</v>
      </c>
      <c r="D91">
        <v>46</v>
      </c>
      <c r="E91" t="s">
        <v>14</v>
      </c>
      <c r="F91" s="4">
        <v>44697</v>
      </c>
      <c r="G91" t="s">
        <v>13</v>
      </c>
      <c r="H91">
        <v>70610</v>
      </c>
    </row>
    <row r="92" spans="2:8" x14ac:dyDescent="0.25">
      <c r="B92" t="s">
        <v>201</v>
      </c>
      <c r="C92" t="s">
        <v>9</v>
      </c>
      <c r="D92">
        <v>33</v>
      </c>
      <c r="E92" t="s">
        <v>14</v>
      </c>
      <c r="F92" s="4">
        <v>44181</v>
      </c>
      <c r="G92" t="s">
        <v>18</v>
      </c>
      <c r="H92">
        <v>59430</v>
      </c>
    </row>
    <row r="93" spans="2:8" x14ac:dyDescent="0.25">
      <c r="B93" t="s">
        <v>202</v>
      </c>
      <c r="C93" t="s">
        <v>9</v>
      </c>
      <c r="D93">
        <v>33</v>
      </c>
      <c r="E93" t="s">
        <v>11</v>
      </c>
      <c r="F93" s="4">
        <v>44640</v>
      </c>
      <c r="G93" t="s">
        <v>13</v>
      </c>
      <c r="H93">
        <v>48530</v>
      </c>
    </row>
    <row r="94" spans="2:8" x14ac:dyDescent="0.25">
      <c r="B94" t="s">
        <v>203</v>
      </c>
      <c r="C94" t="s">
        <v>16</v>
      </c>
      <c r="D94">
        <v>33</v>
      </c>
      <c r="E94" t="s">
        <v>14</v>
      </c>
      <c r="F94" s="4">
        <v>44129</v>
      </c>
      <c r="G94" t="s">
        <v>24</v>
      </c>
      <c r="H94">
        <v>96140</v>
      </c>
    </row>
    <row r="95" spans="2:8" x14ac:dyDescent="0.25">
      <c r="B95" t="s">
        <v>112</v>
      </c>
      <c r="C95" t="s">
        <v>9</v>
      </c>
      <c r="D95">
        <v>20</v>
      </c>
      <c r="E95" t="s">
        <v>14</v>
      </c>
      <c r="F95" s="4">
        <v>44122</v>
      </c>
      <c r="G95" t="s">
        <v>24</v>
      </c>
      <c r="H95">
        <v>112650</v>
      </c>
    </row>
    <row r="96" spans="2:8" x14ac:dyDescent="0.25">
      <c r="B96" t="s">
        <v>113</v>
      </c>
      <c r="C96" t="s">
        <v>16</v>
      </c>
      <c r="D96">
        <v>32</v>
      </c>
      <c r="E96" t="s">
        <v>11</v>
      </c>
      <c r="F96" s="4">
        <v>44293</v>
      </c>
      <c r="G96" t="s">
        <v>24</v>
      </c>
      <c r="H96">
        <v>43840</v>
      </c>
    </row>
    <row r="97" spans="2:8" x14ac:dyDescent="0.25">
      <c r="B97" t="s">
        <v>114</v>
      </c>
      <c r="C97" t="s">
        <v>9</v>
      </c>
      <c r="D97">
        <v>31</v>
      </c>
      <c r="E97" t="s">
        <v>14</v>
      </c>
      <c r="F97" s="4">
        <v>44663</v>
      </c>
      <c r="G97" t="s">
        <v>13</v>
      </c>
      <c r="H97">
        <v>103550</v>
      </c>
    </row>
    <row r="98" spans="2:8" x14ac:dyDescent="0.25">
      <c r="B98" t="s">
        <v>115</v>
      </c>
      <c r="C98" t="s">
        <v>16</v>
      </c>
      <c r="D98">
        <v>32</v>
      </c>
      <c r="E98" t="s">
        <v>14</v>
      </c>
      <c r="F98" s="4">
        <v>44339</v>
      </c>
      <c r="G98" t="s">
        <v>27</v>
      </c>
      <c r="H98">
        <v>45510</v>
      </c>
    </row>
    <row r="99" spans="2:8" x14ac:dyDescent="0.25">
      <c r="B99" t="s">
        <v>116</v>
      </c>
      <c r="D99">
        <v>37</v>
      </c>
      <c r="E99" t="s">
        <v>19</v>
      </c>
      <c r="F99" s="4">
        <v>44085</v>
      </c>
      <c r="G99" t="s">
        <v>18</v>
      </c>
      <c r="H99">
        <v>115440</v>
      </c>
    </row>
    <row r="100" spans="2:8" x14ac:dyDescent="0.25">
      <c r="B100" t="s">
        <v>117</v>
      </c>
      <c r="C100" t="s">
        <v>16</v>
      </c>
      <c r="D100">
        <v>38</v>
      </c>
      <c r="E100" t="s">
        <v>11</v>
      </c>
      <c r="F100" s="4">
        <v>44268</v>
      </c>
      <c r="G100" t="s">
        <v>10</v>
      </c>
      <c r="H100">
        <v>56870</v>
      </c>
    </row>
    <row r="101" spans="2:8" x14ac:dyDescent="0.25">
      <c r="B101" t="s">
        <v>118</v>
      </c>
      <c r="C101" t="s">
        <v>16</v>
      </c>
      <c r="D101">
        <v>25</v>
      </c>
      <c r="E101" t="s">
        <v>14</v>
      </c>
      <c r="F101" s="4">
        <v>44144</v>
      </c>
      <c r="G101" t="s">
        <v>10</v>
      </c>
      <c r="H101">
        <v>92700</v>
      </c>
    </row>
    <row r="102" spans="2:8" x14ac:dyDescent="0.25">
      <c r="B102" t="s">
        <v>119</v>
      </c>
      <c r="D102">
        <v>32</v>
      </c>
      <c r="E102" t="s">
        <v>14</v>
      </c>
      <c r="F102" s="4">
        <v>44713</v>
      </c>
      <c r="G102" t="s">
        <v>24</v>
      </c>
      <c r="H102">
        <v>91310</v>
      </c>
    </row>
    <row r="103" spans="2:8" x14ac:dyDescent="0.25">
      <c r="B103" t="s">
        <v>120</v>
      </c>
      <c r="C103" t="s">
        <v>9</v>
      </c>
      <c r="D103">
        <v>33</v>
      </c>
      <c r="E103" t="s">
        <v>14</v>
      </c>
      <c r="F103" s="4">
        <v>44324</v>
      </c>
      <c r="G103" t="s">
        <v>10</v>
      </c>
      <c r="H103">
        <v>74550</v>
      </c>
    </row>
    <row r="104" spans="2:8" x14ac:dyDescent="0.25">
      <c r="B104" t="s">
        <v>121</v>
      </c>
      <c r="C104" t="s">
        <v>9</v>
      </c>
      <c r="D104">
        <v>25</v>
      </c>
      <c r="E104" t="s">
        <v>11</v>
      </c>
      <c r="F104" s="4">
        <v>44665</v>
      </c>
      <c r="G104" t="s">
        <v>13</v>
      </c>
      <c r="H104">
        <v>109190</v>
      </c>
    </row>
    <row r="105" spans="2:8" x14ac:dyDescent="0.25">
      <c r="B105" t="s">
        <v>122</v>
      </c>
      <c r="C105" t="s">
        <v>16</v>
      </c>
      <c r="D105">
        <v>40</v>
      </c>
      <c r="E105" t="s">
        <v>14</v>
      </c>
      <c r="F105" s="4">
        <v>44320</v>
      </c>
      <c r="G105" t="s">
        <v>24</v>
      </c>
      <c r="H105">
        <v>104410</v>
      </c>
    </row>
    <row r="106" spans="2:8" x14ac:dyDescent="0.25">
      <c r="B106" t="s">
        <v>123</v>
      </c>
      <c r="C106" t="s">
        <v>9</v>
      </c>
      <c r="D106">
        <v>30</v>
      </c>
      <c r="E106" t="s">
        <v>14</v>
      </c>
      <c r="F106" s="4">
        <v>44544</v>
      </c>
      <c r="G106" t="s">
        <v>18</v>
      </c>
      <c r="H106">
        <v>96800</v>
      </c>
    </row>
    <row r="107" spans="2:8" x14ac:dyDescent="0.25">
      <c r="B107" t="s">
        <v>124</v>
      </c>
      <c r="C107" t="s">
        <v>9</v>
      </c>
      <c r="D107">
        <v>28</v>
      </c>
      <c r="E107" t="s">
        <v>11</v>
      </c>
      <c r="F107" s="4">
        <v>43980</v>
      </c>
      <c r="G107" t="s">
        <v>18</v>
      </c>
      <c r="H107">
        <v>48170</v>
      </c>
    </row>
    <row r="108" spans="2:8" x14ac:dyDescent="0.25">
      <c r="B108" t="s">
        <v>125</v>
      </c>
      <c r="C108" t="s">
        <v>9</v>
      </c>
      <c r="D108">
        <v>21</v>
      </c>
      <c r="E108" t="s">
        <v>14</v>
      </c>
      <c r="F108" s="4">
        <v>44042</v>
      </c>
      <c r="G108" t="s">
        <v>13</v>
      </c>
      <c r="H108">
        <v>37920</v>
      </c>
    </row>
    <row r="109" spans="2:8" x14ac:dyDescent="0.25">
      <c r="B109" t="s">
        <v>126</v>
      </c>
      <c r="C109" t="s">
        <v>9</v>
      </c>
      <c r="D109">
        <v>34</v>
      </c>
      <c r="E109" t="s">
        <v>14</v>
      </c>
      <c r="F109" s="4">
        <v>44642</v>
      </c>
      <c r="G109" t="s">
        <v>13</v>
      </c>
      <c r="H109">
        <v>112650</v>
      </c>
    </row>
    <row r="110" spans="2:8" x14ac:dyDescent="0.25">
      <c r="B110" t="s">
        <v>127</v>
      </c>
      <c r="C110" t="s">
        <v>16</v>
      </c>
      <c r="D110">
        <v>34</v>
      </c>
      <c r="E110" t="s">
        <v>19</v>
      </c>
      <c r="F110" s="4">
        <v>44660</v>
      </c>
      <c r="G110" t="s">
        <v>10</v>
      </c>
      <c r="H110">
        <v>49630</v>
      </c>
    </row>
    <row r="111" spans="2:8" x14ac:dyDescent="0.25">
      <c r="B111" t="s">
        <v>128</v>
      </c>
      <c r="C111" t="s">
        <v>9</v>
      </c>
      <c r="D111">
        <v>36</v>
      </c>
      <c r="E111" t="s">
        <v>14</v>
      </c>
      <c r="F111" s="4">
        <v>43958</v>
      </c>
      <c r="G111" t="s">
        <v>24</v>
      </c>
      <c r="H111">
        <v>118840</v>
      </c>
    </row>
    <row r="112" spans="2:8" x14ac:dyDescent="0.25">
      <c r="B112" t="s">
        <v>129</v>
      </c>
      <c r="C112" t="s">
        <v>9</v>
      </c>
      <c r="D112">
        <v>30</v>
      </c>
      <c r="E112" t="s">
        <v>14</v>
      </c>
      <c r="F112" s="4">
        <v>44789</v>
      </c>
      <c r="G112" t="s">
        <v>24</v>
      </c>
      <c r="H112">
        <v>69710</v>
      </c>
    </row>
    <row r="113" spans="2:8" x14ac:dyDescent="0.25">
      <c r="B113" t="s">
        <v>130</v>
      </c>
      <c r="C113" t="s">
        <v>9</v>
      </c>
      <c r="D113">
        <v>20</v>
      </c>
      <c r="E113" t="s">
        <v>14</v>
      </c>
      <c r="F113" s="4">
        <v>44683</v>
      </c>
      <c r="G113" t="s">
        <v>13</v>
      </c>
      <c r="H113">
        <v>79570</v>
      </c>
    </row>
    <row r="114" spans="2:8" x14ac:dyDescent="0.25">
      <c r="B114" t="s">
        <v>131</v>
      </c>
      <c r="C114" t="s">
        <v>16</v>
      </c>
      <c r="D114">
        <v>22</v>
      </c>
      <c r="E114" t="s">
        <v>11</v>
      </c>
      <c r="F114" s="4">
        <v>44388</v>
      </c>
      <c r="G114" t="s">
        <v>13</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ABD6-1B25-4EF4-81E3-EFDF2427F657}">
  <sheetPr>
    <tabColor theme="7"/>
  </sheetPr>
  <dimension ref="A1:Q184"/>
  <sheetViews>
    <sheetView tabSelected="1" workbookViewId="0">
      <selection activeCell="A4" sqref="A4"/>
    </sheetView>
  </sheetViews>
  <sheetFormatPr defaultRowHeight="15" x14ac:dyDescent="0.25"/>
  <cols>
    <col min="1" max="1" width="30" bestFit="1" customWidth="1"/>
    <col min="2" max="2" width="10" bestFit="1" customWidth="1"/>
    <col min="3" max="3" width="6.7109375" bestFit="1" customWidth="1"/>
    <col min="4" max="4" width="14.28515625" style="5" bestFit="1" customWidth="1"/>
    <col min="5" max="5" width="13.7109375" bestFit="1" customWidth="1"/>
    <col min="6" max="6" width="14" bestFit="1" customWidth="1"/>
    <col min="7" max="7" width="11.7109375" style="24" bestFit="1" customWidth="1"/>
    <col min="8" max="8" width="10.28515625" style="5" bestFit="1" customWidth="1"/>
    <col min="9" max="9" width="14.140625" style="9" customWidth="1"/>
    <col min="10" max="10" width="9.5703125" style="9" customWidth="1"/>
    <col min="11" max="11" width="17.42578125" style="9" customWidth="1"/>
    <col min="12" max="12" width="8.85546875" style="9" customWidth="1"/>
    <col min="15" max="15" width="24.42578125" customWidth="1"/>
    <col min="16" max="16" width="13.28515625" customWidth="1"/>
  </cols>
  <sheetData>
    <row r="1" spans="1:17" x14ac:dyDescent="0.25">
      <c r="A1" t="s">
        <v>1</v>
      </c>
      <c r="B1" t="s">
        <v>2</v>
      </c>
      <c r="C1" t="s">
        <v>4</v>
      </c>
      <c r="D1" s="5" t="s">
        <v>7</v>
      </c>
      <c r="E1" t="s">
        <v>5</v>
      </c>
      <c r="F1" t="s">
        <v>3</v>
      </c>
      <c r="G1" s="24" t="s">
        <v>6</v>
      </c>
      <c r="H1" s="5" t="s">
        <v>204</v>
      </c>
      <c r="I1" s="9" t="s">
        <v>205</v>
      </c>
      <c r="J1" s="24" t="s">
        <v>206</v>
      </c>
      <c r="K1" s="28" t="s">
        <v>207</v>
      </c>
    </row>
    <row r="2" spans="1:17" x14ac:dyDescent="0.25">
      <c r="A2" t="s">
        <v>148</v>
      </c>
      <c r="B2" s="5" t="s">
        <v>16</v>
      </c>
      <c r="C2">
        <v>27</v>
      </c>
      <c r="D2" s="5" t="s">
        <v>14</v>
      </c>
      <c r="E2" s="7">
        <v>44061</v>
      </c>
      <c r="F2" s="5" t="s">
        <v>27</v>
      </c>
      <c r="G2" s="24">
        <v>119110</v>
      </c>
      <c r="H2" s="5" t="s">
        <v>208</v>
      </c>
      <c r="I2" s="9">
        <f ca="1">(TODAY()-Staff[[#This Row],[Date Joined]])/365</f>
        <v>4.4958904109589044</v>
      </c>
      <c r="J2" s="24">
        <f ca="1">ROUNDUP(IF(Staff[[#This Row],[Tenure]]&gt;2,3%,2%)*Staff[[#This Row],[Salary]],0)</f>
        <v>3574</v>
      </c>
      <c r="K2" s="28">
        <f>_xlfn.XLOOKUP(Staff[[#This Row],[Rating]],Mapping!$B$2:$B$6,Mapping!$C$2:$C$6)</f>
        <v>3</v>
      </c>
      <c r="N2" s="11">
        <v>1</v>
      </c>
      <c r="O2" t="s">
        <v>209</v>
      </c>
      <c r="P2">
        <f>COUNTA(Staff[Name])</f>
        <v>183</v>
      </c>
    </row>
    <row r="3" spans="1:17" x14ac:dyDescent="0.25">
      <c r="A3" t="s">
        <v>26</v>
      </c>
      <c r="B3" s="5" t="s">
        <v>16</v>
      </c>
      <c r="C3">
        <v>27</v>
      </c>
      <c r="D3" s="5" t="s">
        <v>14</v>
      </c>
      <c r="E3" s="7">
        <v>44122</v>
      </c>
      <c r="F3" s="5" t="s">
        <v>27</v>
      </c>
      <c r="G3" s="24">
        <v>119110</v>
      </c>
      <c r="H3" s="5" t="s">
        <v>210</v>
      </c>
      <c r="I3" s="9">
        <f ca="1">(TODAY()-Staff[[#This Row],[Date Joined]])/365</f>
        <v>4.3287671232876717</v>
      </c>
      <c r="J3" s="24">
        <f ca="1">ROUNDUP(IF(Staff[[#This Row],[Tenure]]&gt;2,3%,2%)*Staff[[#This Row],[Salary]],0)</f>
        <v>3574</v>
      </c>
      <c r="K3" s="29">
        <f>_xlfn.XLOOKUP(Staff[[#This Row],[Rating]],Mapping!$B$2:$B$6,Mapping!$C$2:$C$6)</f>
        <v>3</v>
      </c>
      <c r="O3" t="s">
        <v>211</v>
      </c>
      <c r="P3" s="8">
        <f>AVERAGE(Staff[Salary])</f>
        <v>77173.715846994543</v>
      </c>
      <c r="Q3">
        <f>MEDIAN(Staff[Salary])</f>
        <v>75000</v>
      </c>
    </row>
    <row r="4" spans="1:17" x14ac:dyDescent="0.25">
      <c r="A4" t="s">
        <v>128</v>
      </c>
      <c r="B4" s="5" t="s">
        <v>9</v>
      </c>
      <c r="C4">
        <v>36</v>
      </c>
      <c r="D4" s="5" t="s">
        <v>14</v>
      </c>
      <c r="E4" s="7">
        <v>43958</v>
      </c>
      <c r="F4" s="5" t="s">
        <v>24</v>
      </c>
      <c r="G4" s="24">
        <v>118840</v>
      </c>
      <c r="H4" s="5" t="s">
        <v>208</v>
      </c>
      <c r="I4" s="9">
        <f ca="1">(TODAY()-Staff[[#This Row],[Date Joined]])/365</f>
        <v>4.7780821917808218</v>
      </c>
      <c r="J4" s="24">
        <f ca="1">ROUNDUP(IF(Staff[[#This Row],[Tenure]]&gt;2,3%,2%)*Staff[[#This Row],[Salary]],0)</f>
        <v>3566</v>
      </c>
      <c r="K4" s="29">
        <f>_xlfn.XLOOKUP(Staff[[#This Row],[Rating]],Mapping!$B$2:$B$6,Mapping!$C$2:$C$6)</f>
        <v>3</v>
      </c>
      <c r="O4" t="s">
        <v>212</v>
      </c>
      <c r="P4">
        <f>AVERAGE(Staff[Age])</f>
        <v>30.42622950819672</v>
      </c>
      <c r="Q4">
        <f>MEDIAN(C:C)</f>
        <v>30</v>
      </c>
    </row>
    <row r="5" spans="1:17" x14ac:dyDescent="0.25">
      <c r="A5" t="s">
        <v>69</v>
      </c>
      <c r="B5" s="5" t="s">
        <v>9</v>
      </c>
      <c r="C5">
        <v>36</v>
      </c>
      <c r="D5" s="5" t="s">
        <v>14</v>
      </c>
      <c r="E5" s="7">
        <v>44019</v>
      </c>
      <c r="F5" s="5" t="s">
        <v>24</v>
      </c>
      <c r="G5" s="24">
        <v>118840</v>
      </c>
      <c r="H5" s="5" t="s">
        <v>210</v>
      </c>
      <c r="I5" s="9">
        <f ca="1">(TODAY()-Staff[[#This Row],[Date Joined]])/365</f>
        <v>4.6109589041095891</v>
      </c>
      <c r="J5" s="24">
        <f ca="1">ROUNDUP(IF(Staff[[#This Row],[Tenure]]&gt;2,3%,2%)*Staff[[#This Row],[Salary]],0)</f>
        <v>3566</v>
      </c>
      <c r="K5" s="29">
        <f>_xlfn.XLOOKUP(Staff[[#This Row],[Rating]],Mapping!$B$2:$B$6,Mapping!$C$2:$C$6)</f>
        <v>3</v>
      </c>
      <c r="O5" t="s">
        <v>213</v>
      </c>
      <c r="P5">
        <f ca="1">AVERAGE(Staff[Tenure])</f>
        <v>3.4766225016842562</v>
      </c>
    </row>
    <row r="6" spans="1:17" x14ac:dyDescent="0.25">
      <c r="A6" t="s">
        <v>187</v>
      </c>
      <c r="B6" s="5" t="s">
        <v>16</v>
      </c>
      <c r="C6">
        <v>37</v>
      </c>
      <c r="D6" s="5" t="s">
        <v>14</v>
      </c>
      <c r="E6" s="7">
        <v>44389</v>
      </c>
      <c r="F6" s="5" t="s">
        <v>27</v>
      </c>
      <c r="G6" s="24">
        <v>118100</v>
      </c>
      <c r="H6" s="5" t="s">
        <v>208</v>
      </c>
      <c r="I6" s="9">
        <f ca="1">(TODAY()-Staff[[#This Row],[Date Joined]])/365</f>
        <v>3.5972602739726027</v>
      </c>
      <c r="J6" s="24">
        <f ca="1">ROUNDUP(IF(Staff[[#This Row],[Tenure]]&gt;2,3%,2%)*Staff[[#This Row],[Salary]],0)</f>
        <v>3543</v>
      </c>
      <c r="K6" s="29">
        <f>_xlfn.XLOOKUP(Staff[[#This Row],[Rating]],Mapping!$B$2:$B$6,Mapping!$C$2:$C$6)</f>
        <v>3</v>
      </c>
      <c r="O6" t="s">
        <v>214</v>
      </c>
      <c r="P6" s="10"/>
    </row>
    <row r="7" spans="1:17" x14ac:dyDescent="0.25">
      <c r="A7" t="s">
        <v>78</v>
      </c>
      <c r="B7" s="5" t="s">
        <v>16</v>
      </c>
      <c r="C7">
        <v>37</v>
      </c>
      <c r="D7" s="5" t="s">
        <v>14</v>
      </c>
      <c r="E7" s="7">
        <v>44451</v>
      </c>
      <c r="F7" s="5" t="s">
        <v>27</v>
      </c>
      <c r="G7" s="24">
        <v>118100</v>
      </c>
      <c r="H7" s="5" t="s">
        <v>210</v>
      </c>
      <c r="I7" s="9">
        <f ca="1">(TODAY()-Staff[[#This Row],[Date Joined]])/365</f>
        <v>3.4273972602739726</v>
      </c>
      <c r="J7" s="24">
        <f ca="1">ROUNDUP(IF(Staff[[#This Row],[Tenure]]&gt;2,3%,2%)*Staff[[#This Row],[Salary]],0)</f>
        <v>3543</v>
      </c>
      <c r="K7" s="29">
        <f>_xlfn.XLOOKUP(Staff[[#This Row],[Rating]],Mapping!$B$2:$B$6,Mapping!$C$2:$C$6)</f>
        <v>3</v>
      </c>
      <c r="O7" t="s">
        <v>215</v>
      </c>
      <c r="P7">
        <f>COUNTIFS(Staff[Gender],"female")</f>
        <v>86</v>
      </c>
    </row>
    <row r="8" spans="1:17" x14ac:dyDescent="0.25">
      <c r="A8" t="s">
        <v>165</v>
      </c>
      <c r="B8" s="5" t="s">
        <v>9</v>
      </c>
      <c r="C8">
        <v>33</v>
      </c>
      <c r="D8" s="5" t="s">
        <v>14</v>
      </c>
      <c r="E8" s="7">
        <v>44103</v>
      </c>
      <c r="F8" s="5" t="s">
        <v>13</v>
      </c>
      <c r="G8" s="24">
        <v>115920</v>
      </c>
      <c r="H8" s="5" t="s">
        <v>208</v>
      </c>
      <c r="I8" s="9">
        <f ca="1">(TODAY()-Staff[[#This Row],[Date Joined]])/365</f>
        <v>4.3808219178082188</v>
      </c>
      <c r="J8" s="24">
        <f ca="1">ROUNDUP(IF(Staff[[#This Row],[Tenure]]&gt;2,3%,2%)*Staff[[#This Row],[Salary]],0)</f>
        <v>3478</v>
      </c>
      <c r="K8" s="29">
        <f>_xlfn.XLOOKUP(Staff[[#This Row],[Rating]],Mapping!$B$2:$B$6,Mapping!$C$2:$C$6)</f>
        <v>3</v>
      </c>
      <c r="O8" t="s">
        <v>216</v>
      </c>
      <c r="P8" s="10">
        <f>P7/P2</f>
        <v>0.46994535519125685</v>
      </c>
    </row>
    <row r="9" spans="1:17" x14ac:dyDescent="0.25">
      <c r="A9" t="s">
        <v>51</v>
      </c>
      <c r="B9" s="5" t="s">
        <v>9</v>
      </c>
      <c r="C9">
        <v>33</v>
      </c>
      <c r="D9" s="5" t="s">
        <v>14</v>
      </c>
      <c r="E9" s="7">
        <v>44164</v>
      </c>
      <c r="F9" s="5" t="s">
        <v>13</v>
      </c>
      <c r="G9" s="24">
        <v>115920</v>
      </c>
      <c r="H9" s="5" t="s">
        <v>210</v>
      </c>
      <c r="I9" s="9">
        <f ca="1">(TODAY()-Staff[[#This Row],[Date Joined]])/365</f>
        <v>4.2136986301369861</v>
      </c>
      <c r="J9" s="24">
        <f ca="1">ROUNDUP(IF(Staff[[#This Row],[Tenure]]&gt;2,3%,2%)*Staff[[#This Row],[Salary]],0)</f>
        <v>3478</v>
      </c>
      <c r="K9" s="29">
        <f>_xlfn.XLOOKUP(Staff[[#This Row],[Rating]],Mapping!$B$2:$B$6,Mapping!$C$2:$C$6)</f>
        <v>3</v>
      </c>
    </row>
    <row r="10" spans="1:17" x14ac:dyDescent="0.25">
      <c r="A10" t="s">
        <v>116</v>
      </c>
      <c r="B10" s="5" t="s">
        <v>217</v>
      </c>
      <c r="C10">
        <v>37</v>
      </c>
      <c r="D10" s="5" t="s">
        <v>19</v>
      </c>
      <c r="E10" s="7">
        <v>44085</v>
      </c>
      <c r="F10" s="5" t="s">
        <v>18</v>
      </c>
      <c r="G10" s="24">
        <v>115440</v>
      </c>
      <c r="H10" s="5" t="s">
        <v>208</v>
      </c>
      <c r="I10" s="9">
        <f ca="1">(TODAY()-Staff[[#This Row],[Date Joined]])/365</f>
        <v>4.4301369863013695</v>
      </c>
      <c r="J10" s="24">
        <f ca="1">ROUNDUP(IF(Staff[[#This Row],[Tenure]]&gt;2,3%,2%)*Staff[[#This Row],[Salary]],0)</f>
        <v>3464</v>
      </c>
      <c r="K10" s="29">
        <f>_xlfn.XLOOKUP(Staff[[#This Row],[Rating]],Mapping!$B$2:$B$6,Mapping!$C$2:$C$6)</f>
        <v>2</v>
      </c>
    </row>
    <row r="11" spans="1:17" x14ac:dyDescent="0.25">
      <c r="A11" t="s">
        <v>17</v>
      </c>
      <c r="B11" s="5" t="s">
        <v>217</v>
      </c>
      <c r="C11">
        <v>37</v>
      </c>
      <c r="D11" s="5" t="s">
        <v>19</v>
      </c>
      <c r="E11" s="7">
        <v>44146</v>
      </c>
      <c r="F11" s="5" t="s">
        <v>18</v>
      </c>
      <c r="G11" s="24">
        <v>115440</v>
      </c>
      <c r="H11" s="5" t="s">
        <v>210</v>
      </c>
      <c r="I11" s="9">
        <f ca="1">(TODAY()-Staff[[#This Row],[Date Joined]])/365</f>
        <v>4.2630136986301368</v>
      </c>
      <c r="J11" s="24">
        <f ca="1">ROUNDUP(IF(Staff[[#This Row],[Tenure]]&gt;2,3%,2%)*Staff[[#This Row],[Salary]],0)</f>
        <v>3464</v>
      </c>
      <c r="K11" s="29">
        <f>_xlfn.XLOOKUP(Staff[[#This Row],[Rating]],Mapping!$B$2:$B$6,Mapping!$C$2:$C$6)</f>
        <v>2</v>
      </c>
      <c r="O11" t="s">
        <v>218</v>
      </c>
    </row>
    <row r="12" spans="1:17" x14ac:dyDescent="0.25">
      <c r="A12" t="s">
        <v>150</v>
      </c>
      <c r="B12" s="5" t="s">
        <v>16</v>
      </c>
      <c r="C12">
        <v>36</v>
      </c>
      <c r="D12" s="5" t="s">
        <v>14</v>
      </c>
      <c r="E12" s="7">
        <v>44023</v>
      </c>
      <c r="F12" s="5" t="s">
        <v>13</v>
      </c>
      <c r="G12" s="24">
        <v>114890</v>
      </c>
      <c r="H12" s="5" t="s">
        <v>208</v>
      </c>
      <c r="I12" s="9">
        <f ca="1">(TODAY()-Staff[[#This Row],[Date Joined]])/365</f>
        <v>4.5999999999999996</v>
      </c>
      <c r="J12" s="24">
        <f ca="1">ROUNDUP(IF(Staff[[#This Row],[Tenure]]&gt;2,3%,2%)*Staff[[#This Row],[Salary]],0)</f>
        <v>3447</v>
      </c>
      <c r="K12" s="29">
        <f>_xlfn.XLOOKUP(Staff[[#This Row],[Rating]],Mapping!$B$2:$B$6,Mapping!$C$2:$C$6)</f>
        <v>3</v>
      </c>
    </row>
    <row r="13" spans="1:17" x14ac:dyDescent="0.25">
      <c r="A13" t="s">
        <v>72</v>
      </c>
      <c r="B13" s="5" t="s">
        <v>16</v>
      </c>
      <c r="C13">
        <v>36</v>
      </c>
      <c r="D13" s="5" t="s">
        <v>14</v>
      </c>
      <c r="E13" s="7">
        <v>44085</v>
      </c>
      <c r="F13" s="5" t="s">
        <v>13</v>
      </c>
      <c r="G13" s="24">
        <v>114890</v>
      </c>
      <c r="H13" s="5" t="s">
        <v>210</v>
      </c>
      <c r="I13" s="9">
        <f ca="1">(TODAY()-Staff[[#This Row],[Date Joined]])/365</f>
        <v>4.4301369863013695</v>
      </c>
      <c r="J13" s="24">
        <f ca="1">ROUNDUP(IF(Staff[[#This Row],[Tenure]]&gt;2,3%,2%)*Staff[[#This Row],[Salary]],0)</f>
        <v>3447</v>
      </c>
      <c r="K13" s="29">
        <f>_xlfn.XLOOKUP(Staff[[#This Row],[Rating]],Mapping!$B$2:$B$6,Mapping!$C$2:$C$6)</f>
        <v>3</v>
      </c>
    </row>
    <row r="14" spans="1:17" x14ac:dyDescent="0.25">
      <c r="A14" t="s">
        <v>139</v>
      </c>
      <c r="B14" s="5" t="s">
        <v>16</v>
      </c>
      <c r="C14">
        <v>44</v>
      </c>
      <c r="D14" s="5" t="s">
        <v>14</v>
      </c>
      <c r="E14" s="7">
        <v>44985</v>
      </c>
      <c r="F14" s="5" t="s">
        <v>24</v>
      </c>
      <c r="G14" s="24">
        <v>114870</v>
      </c>
      <c r="H14" s="5" t="s">
        <v>208</v>
      </c>
      <c r="I14" s="9">
        <f ca="1">(TODAY()-Staff[[#This Row],[Date Joined]])/365</f>
        <v>1.9643835616438357</v>
      </c>
      <c r="J14" s="24">
        <f ca="1">ROUNDUP(IF(Staff[[#This Row],[Tenure]]&gt;2,3%,2%)*Staff[[#This Row],[Salary]],0)</f>
        <v>2298</v>
      </c>
      <c r="K14" s="29">
        <f>_xlfn.XLOOKUP(Staff[[#This Row],[Rating]],Mapping!$B$2:$B$6,Mapping!$C$2:$C$6)</f>
        <v>3</v>
      </c>
    </row>
    <row r="15" spans="1:17" x14ac:dyDescent="0.25">
      <c r="A15" t="s">
        <v>80</v>
      </c>
      <c r="B15" s="5" t="s">
        <v>16</v>
      </c>
      <c r="C15">
        <v>43</v>
      </c>
      <c r="D15" s="5" t="s">
        <v>14</v>
      </c>
      <c r="E15" s="7">
        <v>45045</v>
      </c>
      <c r="F15" s="5" t="s">
        <v>24</v>
      </c>
      <c r="G15" s="24">
        <v>114870</v>
      </c>
      <c r="H15" s="5" t="s">
        <v>210</v>
      </c>
      <c r="I15" s="9">
        <f ca="1">(TODAY()-Staff[[#This Row],[Date Joined]])/365</f>
        <v>1.8</v>
      </c>
      <c r="J15" s="24">
        <f ca="1">ROUNDUP(IF(Staff[[#This Row],[Tenure]]&gt;2,3%,2%)*Staff[[#This Row],[Salary]],0)</f>
        <v>2298</v>
      </c>
      <c r="K15" s="29">
        <f>_xlfn.XLOOKUP(Staff[[#This Row],[Rating]],Mapping!$B$2:$B$6,Mapping!$C$2:$C$6)</f>
        <v>3</v>
      </c>
    </row>
    <row r="16" spans="1:17" x14ac:dyDescent="0.25">
      <c r="A16" t="s">
        <v>189</v>
      </c>
      <c r="B16" s="5" t="s">
        <v>16</v>
      </c>
      <c r="C16">
        <v>30</v>
      </c>
      <c r="D16" s="5" t="s">
        <v>14</v>
      </c>
      <c r="E16" s="7">
        <v>44789</v>
      </c>
      <c r="F16" s="5" t="s">
        <v>13</v>
      </c>
      <c r="G16" s="24">
        <v>114180</v>
      </c>
      <c r="H16" s="5" t="s">
        <v>208</v>
      </c>
      <c r="I16" s="9">
        <f ca="1">(TODAY()-Staff[[#This Row],[Date Joined]])/365</f>
        <v>2.5013698630136987</v>
      </c>
      <c r="J16" s="24">
        <f ca="1">ROUNDUP(IF(Staff[[#This Row],[Tenure]]&gt;2,3%,2%)*Staff[[#This Row],[Salary]],0)</f>
        <v>3426</v>
      </c>
      <c r="K16" s="29">
        <f>_xlfn.XLOOKUP(Staff[[#This Row],[Rating]],Mapping!$B$2:$B$6,Mapping!$C$2:$C$6)</f>
        <v>3</v>
      </c>
      <c r="N16" s="11">
        <v>2</v>
      </c>
    </row>
    <row r="17" spans="1:16" x14ac:dyDescent="0.25">
      <c r="A17" t="s">
        <v>93</v>
      </c>
      <c r="B17" s="5" t="s">
        <v>16</v>
      </c>
      <c r="C17">
        <v>30</v>
      </c>
      <c r="D17" s="5" t="s">
        <v>14</v>
      </c>
      <c r="E17" s="7">
        <v>44850</v>
      </c>
      <c r="F17" s="5" t="s">
        <v>13</v>
      </c>
      <c r="G17" s="24">
        <v>114180</v>
      </c>
      <c r="H17" s="5" t="s">
        <v>210</v>
      </c>
      <c r="I17" s="9">
        <f ca="1">(TODAY()-Staff[[#This Row],[Date Joined]])/365</f>
        <v>2.3342465753424659</v>
      </c>
      <c r="J17" s="24">
        <f ca="1">ROUNDUP(IF(Staff[[#This Row],[Tenure]]&gt;2,3%,2%)*Staff[[#This Row],[Salary]],0)</f>
        <v>3426</v>
      </c>
      <c r="K17" s="29">
        <f>_xlfn.XLOOKUP(Staff[[#This Row],[Rating]],Mapping!$B$2:$B$6,Mapping!$C$2:$C$6)</f>
        <v>3</v>
      </c>
      <c r="O17" s="26" t="s">
        <v>150</v>
      </c>
    </row>
    <row r="18" spans="1:16" x14ac:dyDescent="0.25">
      <c r="A18" t="s">
        <v>179</v>
      </c>
      <c r="B18" s="5" t="s">
        <v>9</v>
      </c>
      <c r="C18">
        <v>27</v>
      </c>
      <c r="D18" s="5" t="s">
        <v>50</v>
      </c>
      <c r="E18" s="7">
        <v>44547</v>
      </c>
      <c r="F18" s="5" t="s">
        <v>13</v>
      </c>
      <c r="G18" s="24">
        <v>113280</v>
      </c>
      <c r="H18" s="5" t="s">
        <v>208</v>
      </c>
      <c r="I18" s="9">
        <f ca="1">(TODAY()-Staff[[#This Row],[Date Joined]])/365</f>
        <v>3.1643835616438358</v>
      </c>
      <c r="J18" s="24">
        <f ca="1">ROUNDUP(IF(Staff[[#This Row],[Tenure]]&gt;2,3%,2%)*Staff[[#This Row],[Salary]],0)</f>
        <v>3399</v>
      </c>
      <c r="K18" s="29">
        <f>_xlfn.XLOOKUP(Staff[[#This Row],[Rating]],Mapping!$B$2:$B$6,Mapping!$C$2:$C$6)</f>
        <v>1</v>
      </c>
    </row>
    <row r="19" spans="1:16" x14ac:dyDescent="0.25">
      <c r="A19" t="s">
        <v>76</v>
      </c>
      <c r="B19" s="5" t="s">
        <v>9</v>
      </c>
      <c r="C19">
        <v>27</v>
      </c>
      <c r="D19" s="5" t="s">
        <v>50</v>
      </c>
      <c r="E19" s="7">
        <v>44609</v>
      </c>
      <c r="F19" s="5" t="s">
        <v>13</v>
      </c>
      <c r="G19" s="24">
        <v>113280</v>
      </c>
      <c r="H19" s="5" t="s">
        <v>210</v>
      </c>
      <c r="I19" s="9">
        <f ca="1">(TODAY()-Staff[[#This Row],[Date Joined]])/365</f>
        <v>2.9945205479452053</v>
      </c>
      <c r="J19" s="24">
        <f ca="1">ROUNDUP(IF(Staff[[#This Row],[Tenure]]&gt;2,3%,2%)*Staff[[#This Row],[Salary]],0)</f>
        <v>3399</v>
      </c>
      <c r="K19" s="29">
        <f>_xlfn.XLOOKUP(Staff[[#This Row],[Rating]],Mapping!$B$2:$B$6,Mapping!$C$2:$C$6)</f>
        <v>1</v>
      </c>
    </row>
    <row r="20" spans="1:16" x14ac:dyDescent="0.25">
      <c r="A20" t="s">
        <v>149</v>
      </c>
      <c r="B20" s="5" t="s">
        <v>9</v>
      </c>
      <c r="C20">
        <v>22</v>
      </c>
      <c r="D20" s="5" t="s">
        <v>11</v>
      </c>
      <c r="E20" s="7">
        <v>44384</v>
      </c>
      <c r="F20" s="5" t="s">
        <v>10</v>
      </c>
      <c r="G20" s="24">
        <v>112780</v>
      </c>
      <c r="H20" s="5" t="s">
        <v>208</v>
      </c>
      <c r="I20" s="9">
        <f ca="1">(TODAY()-Staff[[#This Row],[Date Joined]])/365</f>
        <v>3.6109589041095891</v>
      </c>
      <c r="J20" s="24">
        <f ca="1">ROUNDUP(IF(Staff[[#This Row],[Tenure]]&gt;2,3%,2%)*Staff[[#This Row],[Salary]],0)</f>
        <v>3384</v>
      </c>
      <c r="K20" s="29">
        <f>_xlfn.XLOOKUP(Staff[[#This Row],[Rating]],Mapping!$B$2:$B$6,Mapping!$C$2:$C$6)</f>
        <v>4</v>
      </c>
      <c r="O20" s="15" t="s">
        <v>219</v>
      </c>
    </row>
    <row r="21" spans="1:16" x14ac:dyDescent="0.25">
      <c r="A21" t="s">
        <v>8</v>
      </c>
      <c r="B21" s="5" t="s">
        <v>9</v>
      </c>
      <c r="C21">
        <v>22</v>
      </c>
      <c r="D21" s="5" t="s">
        <v>11</v>
      </c>
      <c r="E21" s="7">
        <v>44446</v>
      </c>
      <c r="F21" s="5" t="s">
        <v>10</v>
      </c>
      <c r="G21" s="24">
        <v>112780</v>
      </c>
      <c r="H21" s="5" t="s">
        <v>210</v>
      </c>
      <c r="I21" s="9">
        <f ca="1">(TODAY()-Staff[[#This Row],[Date Joined]])/365</f>
        <v>3.441095890410959</v>
      </c>
      <c r="J21" s="24">
        <f ca="1">ROUNDUP(IF(Staff[[#This Row],[Tenure]]&gt;2,3%,2%)*Staff[[#This Row],[Salary]],0)</f>
        <v>3384</v>
      </c>
      <c r="K21" s="29">
        <f>_xlfn.XLOOKUP(Staff[[#This Row],[Rating]],Mapping!$B$2:$B$6,Mapping!$C$2:$C$6)</f>
        <v>4</v>
      </c>
      <c r="O21" s="15"/>
    </row>
    <row r="22" spans="1:16" x14ac:dyDescent="0.25">
      <c r="A22" t="s">
        <v>112</v>
      </c>
      <c r="B22" s="5" t="s">
        <v>9</v>
      </c>
      <c r="C22">
        <v>20</v>
      </c>
      <c r="D22" s="5" t="s">
        <v>14</v>
      </c>
      <c r="E22" s="7">
        <v>44122</v>
      </c>
      <c r="F22" s="5" t="s">
        <v>24</v>
      </c>
      <c r="G22" s="24">
        <v>112650</v>
      </c>
      <c r="H22" s="5" t="s">
        <v>208</v>
      </c>
      <c r="I22" s="9">
        <f ca="1">(TODAY()-Staff[[#This Row],[Date Joined]])/365</f>
        <v>4.3287671232876717</v>
      </c>
      <c r="J22" s="25">
        <f ca="1">ROUNDUP(IF(Staff[[#This Row],[Tenure]]&gt;2,3%,2%)*Staff[[#This Row],[Salary]],0)</f>
        <v>3380</v>
      </c>
      <c r="K22" s="29">
        <f>_xlfn.XLOOKUP(Staff[[#This Row],[Rating]],Mapping!$B$2:$B$6,Mapping!$C$2:$C$6)</f>
        <v>3</v>
      </c>
      <c r="O22" s="12" t="s">
        <v>2</v>
      </c>
      <c r="P22" s="12" t="str">
        <f>VLOOKUP(O17,Staff[],2,FALSE)</f>
        <v>Female</v>
      </c>
    </row>
    <row r="23" spans="1:16" x14ac:dyDescent="0.25">
      <c r="A23" t="s">
        <v>126</v>
      </c>
      <c r="B23" s="5" t="s">
        <v>9</v>
      </c>
      <c r="C23">
        <v>34</v>
      </c>
      <c r="D23" s="5" t="s">
        <v>14</v>
      </c>
      <c r="E23" s="7">
        <v>44642</v>
      </c>
      <c r="F23" s="5" t="s">
        <v>13</v>
      </c>
      <c r="G23" s="24">
        <v>112650</v>
      </c>
      <c r="H23" s="5" t="s">
        <v>208</v>
      </c>
      <c r="I23" s="9">
        <f ca="1">(TODAY()-Staff[[#This Row],[Date Joined]])/365</f>
        <v>2.904109589041096</v>
      </c>
      <c r="J23" s="24">
        <f ca="1">ROUNDUP(IF(Staff[[#This Row],[Tenure]]&gt;2,3%,2%)*Staff[[#This Row],[Salary]],0)</f>
        <v>3380</v>
      </c>
      <c r="K23" s="29">
        <f>_xlfn.XLOOKUP(Staff[[#This Row],[Rating]],Mapping!$B$2:$B$6,Mapping!$C$2:$C$6)</f>
        <v>3</v>
      </c>
      <c r="O23" s="12" t="s">
        <v>4</v>
      </c>
      <c r="P23" s="12">
        <f>VLOOKUP(O17,Staff[],3,FALSE)</f>
        <v>36</v>
      </c>
    </row>
    <row r="24" spans="1:16" x14ac:dyDescent="0.25">
      <c r="A24" t="s">
        <v>64</v>
      </c>
      <c r="B24" s="5" t="s">
        <v>9</v>
      </c>
      <c r="C24">
        <v>20</v>
      </c>
      <c r="D24" s="5" t="s">
        <v>14</v>
      </c>
      <c r="E24" s="7">
        <v>44183</v>
      </c>
      <c r="F24" s="5" t="s">
        <v>24</v>
      </c>
      <c r="G24" s="24">
        <v>112650</v>
      </c>
      <c r="H24" s="5" t="s">
        <v>210</v>
      </c>
      <c r="I24" s="9">
        <f ca="1">(TODAY()-Staff[[#This Row],[Date Joined]])/365</f>
        <v>4.161643835616438</v>
      </c>
      <c r="J24" s="24">
        <f ca="1">ROUNDUP(IF(Staff[[#This Row],[Tenure]]&gt;2,3%,2%)*Staff[[#This Row],[Salary]],0)</f>
        <v>3380</v>
      </c>
      <c r="K24" s="29">
        <f>_xlfn.XLOOKUP(Staff[[#This Row],[Rating]],Mapping!$B$2:$B$6,Mapping!$C$2:$C$6)</f>
        <v>3</v>
      </c>
      <c r="O24" s="12" t="s">
        <v>220</v>
      </c>
      <c r="P24" s="12" t="str">
        <f>VLOOKUP(O17,Staff[],4,FALSE)</f>
        <v>Average</v>
      </c>
    </row>
    <row r="25" spans="1:16" x14ac:dyDescent="0.25">
      <c r="A25" t="s">
        <v>141</v>
      </c>
      <c r="B25" s="5" t="s">
        <v>16</v>
      </c>
      <c r="C25">
        <v>30</v>
      </c>
      <c r="D25" s="5" t="s">
        <v>14</v>
      </c>
      <c r="E25" s="7">
        <v>44800</v>
      </c>
      <c r="F25" s="5" t="s">
        <v>13</v>
      </c>
      <c r="G25" s="24">
        <v>112570</v>
      </c>
      <c r="H25" s="5" t="s">
        <v>208</v>
      </c>
      <c r="I25" s="9">
        <f ca="1">(TODAY()-Staff[[#This Row],[Date Joined]])/365</f>
        <v>2.4712328767123286</v>
      </c>
      <c r="J25" s="24">
        <f ca="1">ROUNDUP(IF(Staff[[#This Row],[Tenure]]&gt;2,3%,2%)*Staff[[#This Row],[Salary]],0)</f>
        <v>3378</v>
      </c>
      <c r="K25" s="29">
        <f>_xlfn.XLOOKUP(Staff[[#This Row],[Rating]],Mapping!$B$2:$B$6,Mapping!$C$2:$C$6)</f>
        <v>3</v>
      </c>
      <c r="O25" s="12" t="s">
        <v>221</v>
      </c>
      <c r="P25" s="13">
        <f>VLOOKUP(O17,Staff[],5,FALSE)</f>
        <v>44023</v>
      </c>
    </row>
    <row r="26" spans="1:16" x14ac:dyDescent="0.25">
      <c r="A26" t="s">
        <v>21</v>
      </c>
      <c r="B26" s="5" t="s">
        <v>16</v>
      </c>
      <c r="C26">
        <v>30</v>
      </c>
      <c r="D26" s="5" t="s">
        <v>14</v>
      </c>
      <c r="E26" s="7">
        <v>44861</v>
      </c>
      <c r="F26" s="5" t="s">
        <v>13</v>
      </c>
      <c r="G26" s="24">
        <v>112570</v>
      </c>
      <c r="H26" s="5" t="s">
        <v>210</v>
      </c>
      <c r="I26" s="9">
        <f ca="1">(TODAY()-Staff[[#This Row],[Date Joined]])/365</f>
        <v>2.3041095890410959</v>
      </c>
      <c r="J26" s="24">
        <f ca="1">ROUNDUP(IF(Staff[[#This Row],[Tenure]]&gt;2,3%,2%)*Staff[[#This Row],[Salary]],0)</f>
        <v>3378</v>
      </c>
      <c r="K26" s="29">
        <f>_xlfn.XLOOKUP(Staff[[#This Row],[Rating]],Mapping!$B$2:$B$6,Mapping!$C$2:$C$6)</f>
        <v>3</v>
      </c>
      <c r="O26" s="12" t="s">
        <v>3</v>
      </c>
      <c r="P26" s="12" t="str">
        <f>VLOOKUP(O17,Staff[],6,FALSE)</f>
        <v>Procurement</v>
      </c>
    </row>
    <row r="27" spans="1:16" x14ac:dyDescent="0.25">
      <c r="A27" t="s">
        <v>147</v>
      </c>
      <c r="B27" s="5" t="s">
        <v>9</v>
      </c>
      <c r="C27">
        <v>29</v>
      </c>
      <c r="D27" s="5" t="s">
        <v>19</v>
      </c>
      <c r="E27" s="7">
        <v>44119</v>
      </c>
      <c r="F27" s="5" t="s">
        <v>24</v>
      </c>
      <c r="G27" s="24">
        <v>112110</v>
      </c>
      <c r="H27" s="5" t="s">
        <v>208</v>
      </c>
      <c r="I27" s="9">
        <f ca="1">(TODAY()-Staff[[#This Row],[Date Joined]])/365</f>
        <v>4.3369863013698629</v>
      </c>
      <c r="J27" s="24">
        <f ca="1">ROUNDUP(IF(Staff[[#This Row],[Tenure]]&gt;2,3%,2%)*Staff[[#This Row],[Salary]],0)</f>
        <v>3364</v>
      </c>
      <c r="K27" s="29">
        <f>_xlfn.XLOOKUP(Staff[[#This Row],[Rating]],Mapping!$B$2:$B$6,Mapping!$C$2:$C$6)</f>
        <v>2</v>
      </c>
      <c r="O27" s="12" t="s">
        <v>6</v>
      </c>
      <c r="P27" s="12">
        <f>VLOOKUP(O17,Staff[],7,FALSE)</f>
        <v>114890</v>
      </c>
    </row>
    <row r="28" spans="1:16" x14ac:dyDescent="0.25">
      <c r="A28" t="s">
        <v>28</v>
      </c>
      <c r="B28" s="5" t="s">
        <v>9</v>
      </c>
      <c r="C28">
        <v>29</v>
      </c>
      <c r="D28" s="5" t="s">
        <v>19</v>
      </c>
      <c r="E28" s="7">
        <v>44180</v>
      </c>
      <c r="F28" s="5" t="s">
        <v>24</v>
      </c>
      <c r="G28" s="24">
        <v>112110</v>
      </c>
      <c r="H28" s="5" t="s">
        <v>210</v>
      </c>
      <c r="I28" s="9">
        <f ca="1">(TODAY()-Staff[[#This Row],[Date Joined]])/365</f>
        <v>4.1698630136986301</v>
      </c>
      <c r="J28" s="24">
        <f ca="1">ROUNDUP(IF(Staff[[#This Row],[Tenure]]&gt;2,3%,2%)*Staff[[#This Row],[Salary]],0)</f>
        <v>3364</v>
      </c>
      <c r="K28" s="29">
        <f>_xlfn.XLOOKUP(Staff[[#This Row],[Rating]],Mapping!$B$2:$B$6,Mapping!$C$2:$C$6)</f>
        <v>2</v>
      </c>
      <c r="O28" s="12" t="s">
        <v>204</v>
      </c>
      <c r="P28" s="12" t="str">
        <f>VLOOKUP(O17,Staff[],8,FALSE)</f>
        <v>IND</v>
      </c>
    </row>
    <row r="29" spans="1:16" x14ac:dyDescent="0.25">
      <c r="A29" t="s">
        <v>121</v>
      </c>
      <c r="B29" s="5" t="s">
        <v>9</v>
      </c>
      <c r="C29">
        <v>25</v>
      </c>
      <c r="D29" s="5" t="s">
        <v>11</v>
      </c>
      <c r="E29" s="7">
        <v>44665</v>
      </c>
      <c r="F29" s="5" t="s">
        <v>13</v>
      </c>
      <c r="G29" s="24">
        <v>109190</v>
      </c>
      <c r="H29" s="5" t="s">
        <v>208</v>
      </c>
      <c r="I29" s="9">
        <f ca="1">(TODAY()-Staff[[#This Row],[Date Joined]])/365</f>
        <v>2.8410958904109589</v>
      </c>
      <c r="J29" s="24">
        <f ca="1">ROUNDUP(IF(Staff[[#This Row],[Tenure]]&gt;2,3%,2%)*Staff[[#This Row],[Salary]],0)</f>
        <v>3276</v>
      </c>
      <c r="K29" s="29">
        <f>_xlfn.XLOOKUP(Staff[[#This Row],[Rating]],Mapping!$B$2:$B$6,Mapping!$C$2:$C$6)</f>
        <v>4</v>
      </c>
      <c r="O29" s="12" t="s">
        <v>205</v>
      </c>
      <c r="P29" s="14">
        <f ca="1">VLOOKUP(O17,Staff[],9,FALSE)</f>
        <v>4.5999999999999996</v>
      </c>
    </row>
    <row r="30" spans="1:16" x14ac:dyDescent="0.25">
      <c r="A30" t="s">
        <v>53</v>
      </c>
      <c r="B30" s="5" t="s">
        <v>9</v>
      </c>
      <c r="C30">
        <v>25</v>
      </c>
      <c r="D30" s="5" t="s">
        <v>11</v>
      </c>
      <c r="E30" s="7">
        <v>44726</v>
      </c>
      <c r="F30" s="5" t="s">
        <v>13</v>
      </c>
      <c r="G30" s="24">
        <v>109190</v>
      </c>
      <c r="H30" s="5" t="s">
        <v>210</v>
      </c>
      <c r="I30" s="9">
        <f ca="1">(TODAY()-Staff[[#This Row],[Date Joined]])/365</f>
        <v>2.6739726027397261</v>
      </c>
      <c r="J30" s="24">
        <f ca="1">ROUNDUP(IF(Staff[[#This Row],[Tenure]]&gt;2,3%,2%)*Staff[[#This Row],[Salary]],0)</f>
        <v>3276</v>
      </c>
      <c r="K30" s="29">
        <f>_xlfn.XLOOKUP(Staff[[#This Row],[Rating]],Mapping!$B$2:$B$6,Mapping!$C$2:$C$6)</f>
        <v>4</v>
      </c>
    </row>
    <row r="31" spans="1:16" x14ac:dyDescent="0.25">
      <c r="A31" t="s">
        <v>175</v>
      </c>
      <c r="B31" s="5" t="s">
        <v>16</v>
      </c>
      <c r="C31">
        <v>38</v>
      </c>
      <c r="D31" s="5" t="s">
        <v>44</v>
      </c>
      <c r="E31" s="7">
        <v>44316</v>
      </c>
      <c r="F31" s="5" t="s">
        <v>10</v>
      </c>
      <c r="G31" s="24">
        <v>109160</v>
      </c>
      <c r="H31" s="5" t="s">
        <v>208</v>
      </c>
      <c r="I31" s="9">
        <f ca="1">(TODAY()-Staff[[#This Row],[Date Joined]])/365</f>
        <v>3.7972602739726029</v>
      </c>
      <c r="J31" s="24">
        <f ca="1">ROUNDUP(IF(Staff[[#This Row],[Tenure]]&gt;2,3%,2%)*Staff[[#This Row],[Salary]],0)</f>
        <v>3275</v>
      </c>
      <c r="K31" s="29">
        <f>_xlfn.XLOOKUP(Staff[[#This Row],[Rating]],Mapping!$B$2:$B$6,Mapping!$C$2:$C$6)</f>
        <v>5</v>
      </c>
      <c r="O31" s="16" t="s">
        <v>222</v>
      </c>
    </row>
    <row r="32" spans="1:16" x14ac:dyDescent="0.25">
      <c r="A32" t="s">
        <v>75</v>
      </c>
      <c r="B32" s="5" t="s">
        <v>16</v>
      </c>
      <c r="C32">
        <v>38</v>
      </c>
      <c r="D32" s="5" t="s">
        <v>44</v>
      </c>
      <c r="E32" s="7">
        <v>44377</v>
      </c>
      <c r="F32" s="5" t="s">
        <v>10</v>
      </c>
      <c r="G32" s="24">
        <v>109160</v>
      </c>
      <c r="H32" s="5" t="s">
        <v>210</v>
      </c>
      <c r="I32" s="9">
        <f ca="1">(TODAY()-Staff[[#This Row],[Date Joined]])/365</f>
        <v>3.6301369863013697</v>
      </c>
      <c r="J32" s="24">
        <f ca="1">ROUNDUP(IF(Staff[[#This Row],[Tenure]]&gt;2,3%,2%)*Staff[[#This Row],[Salary]],0)</f>
        <v>3275</v>
      </c>
      <c r="K32" s="29">
        <f>_xlfn.XLOOKUP(Staff[[#This Row],[Rating]],Mapping!$B$2:$B$6,Mapping!$C$2:$C$6)</f>
        <v>5</v>
      </c>
    </row>
    <row r="33" spans="1:16" x14ac:dyDescent="0.25">
      <c r="A33" t="s">
        <v>194</v>
      </c>
      <c r="B33" s="5" t="s">
        <v>9</v>
      </c>
      <c r="C33">
        <v>20</v>
      </c>
      <c r="D33" s="5" t="s">
        <v>14</v>
      </c>
      <c r="E33" s="7">
        <v>44397</v>
      </c>
      <c r="F33" s="5" t="s">
        <v>24</v>
      </c>
      <c r="G33" s="24">
        <v>107700</v>
      </c>
      <c r="H33" s="5" t="s">
        <v>208</v>
      </c>
      <c r="I33" s="9">
        <f ca="1">(TODAY()-Staff[[#This Row],[Date Joined]])/365</f>
        <v>3.5753424657534247</v>
      </c>
      <c r="J33" s="24">
        <f ca="1">ROUNDUP(IF(Staff[[#This Row],[Tenure]]&gt;2,3%,2%)*Staff[[#This Row],[Salary]],0)</f>
        <v>3231</v>
      </c>
      <c r="K33" s="29">
        <f>_xlfn.XLOOKUP(Staff[[#This Row],[Rating]],Mapping!$B$2:$B$6,Mapping!$C$2:$C$6)</f>
        <v>3</v>
      </c>
      <c r="O33" s="17" t="s">
        <v>2</v>
      </c>
      <c r="P33" s="18" t="e" cm="1">
        <f t="array" aca="1" ref="P33:P40" ca="1">TRANSPOSE(_xlfn.XLOOKUP(O17,Staff[Name],Staff[[Gender]:[Tenure]]))</f>
        <v>#NAME?</v>
      </c>
    </row>
    <row r="34" spans="1:16" x14ac:dyDescent="0.25">
      <c r="A34" t="s">
        <v>31</v>
      </c>
      <c r="B34" s="5" t="s">
        <v>9</v>
      </c>
      <c r="C34">
        <v>20</v>
      </c>
      <c r="D34" s="5" t="s">
        <v>14</v>
      </c>
      <c r="E34" s="7">
        <v>44459</v>
      </c>
      <c r="F34" s="5" t="s">
        <v>24</v>
      </c>
      <c r="G34" s="24">
        <v>107700</v>
      </c>
      <c r="H34" s="5" t="s">
        <v>210</v>
      </c>
      <c r="I34" s="9">
        <f ca="1">(TODAY()-Staff[[#This Row],[Date Joined]])/365</f>
        <v>3.4054794520547946</v>
      </c>
      <c r="J34" s="24">
        <f ca="1">ROUNDUP(IF(Staff[[#This Row],[Tenure]]&gt;2,3%,2%)*Staff[[#This Row],[Salary]],0)</f>
        <v>3231</v>
      </c>
      <c r="K34" s="29">
        <f>_xlfn.XLOOKUP(Staff[[#This Row],[Rating]],Mapping!$B$2:$B$6,Mapping!$C$2:$C$6)</f>
        <v>3</v>
      </c>
      <c r="O34" s="17" t="s">
        <v>4</v>
      </c>
      <c r="P34" s="19" t="e">
        <f ca="1"/>
        <v>#NAME?</v>
      </c>
    </row>
    <row r="35" spans="1:16" x14ac:dyDescent="0.25">
      <c r="A35" t="s">
        <v>186</v>
      </c>
      <c r="B35" s="5" t="s">
        <v>9</v>
      </c>
      <c r="C35">
        <v>23</v>
      </c>
      <c r="D35" s="5" t="s">
        <v>14</v>
      </c>
      <c r="E35" s="7">
        <v>44378</v>
      </c>
      <c r="F35" s="5" t="s">
        <v>13</v>
      </c>
      <c r="G35" s="24">
        <v>106460</v>
      </c>
      <c r="H35" s="5" t="s">
        <v>208</v>
      </c>
      <c r="I35" s="9">
        <f ca="1">(TODAY()-Staff[[#This Row],[Date Joined]])/365</f>
        <v>3.6273972602739728</v>
      </c>
      <c r="J35" s="24">
        <f ca="1">ROUNDUP(IF(Staff[[#This Row],[Tenure]]&gt;2,3%,2%)*Staff[[#This Row],[Salary]],0)</f>
        <v>3194</v>
      </c>
      <c r="K35" s="29">
        <f>_xlfn.XLOOKUP(Staff[[#This Row],[Rating]],Mapping!$B$2:$B$6,Mapping!$C$2:$C$6)</f>
        <v>3</v>
      </c>
      <c r="O35" s="17" t="s">
        <v>220</v>
      </c>
      <c r="P35" s="19" t="e">
        <f ca="1"/>
        <v>#NAME?</v>
      </c>
    </row>
    <row r="36" spans="1:16" x14ac:dyDescent="0.25">
      <c r="A36" t="s">
        <v>95</v>
      </c>
      <c r="B36" s="5" t="s">
        <v>9</v>
      </c>
      <c r="C36">
        <v>23</v>
      </c>
      <c r="D36" s="5" t="s">
        <v>14</v>
      </c>
      <c r="E36" s="7">
        <v>44440</v>
      </c>
      <c r="F36" s="5" t="s">
        <v>13</v>
      </c>
      <c r="G36" s="24">
        <v>106460</v>
      </c>
      <c r="H36" s="5" t="s">
        <v>210</v>
      </c>
      <c r="I36" s="9">
        <f ca="1">(TODAY()-Staff[[#This Row],[Date Joined]])/365</f>
        <v>3.4575342465753423</v>
      </c>
      <c r="J36" s="24">
        <f ca="1">ROUNDUP(IF(Staff[[#This Row],[Tenure]]&gt;2,3%,2%)*Staff[[#This Row],[Salary]],0)</f>
        <v>3194</v>
      </c>
      <c r="K36" s="29">
        <f>_xlfn.XLOOKUP(Staff[[#This Row],[Rating]],Mapping!$B$2:$B$6,Mapping!$C$2:$C$6)</f>
        <v>3</v>
      </c>
      <c r="O36" s="17" t="s">
        <v>221</v>
      </c>
      <c r="P36" s="19" t="e">
        <f ca="1"/>
        <v>#NAME?</v>
      </c>
    </row>
    <row r="37" spans="1:16" x14ac:dyDescent="0.25">
      <c r="A37" t="s">
        <v>158</v>
      </c>
      <c r="B37" s="5" t="s">
        <v>16</v>
      </c>
      <c r="C37">
        <v>28</v>
      </c>
      <c r="D37" s="5" t="s">
        <v>14</v>
      </c>
      <c r="E37" s="7">
        <v>44425</v>
      </c>
      <c r="F37" s="5" t="s">
        <v>13</v>
      </c>
      <c r="G37" s="24">
        <v>104770</v>
      </c>
      <c r="H37" s="5" t="s">
        <v>208</v>
      </c>
      <c r="I37" s="9">
        <f ca="1">(TODAY()-Staff[[#This Row],[Date Joined]])/365</f>
        <v>3.4986301369863013</v>
      </c>
      <c r="J37" s="24">
        <f ca="1">ROUNDUP(IF(Staff[[#This Row],[Tenure]]&gt;2,3%,2%)*Staff[[#This Row],[Salary]],0)</f>
        <v>3144</v>
      </c>
      <c r="K37" s="29">
        <f>_xlfn.XLOOKUP(Staff[[#This Row],[Rating]],Mapping!$B$2:$B$6,Mapping!$C$2:$C$6)</f>
        <v>3</v>
      </c>
      <c r="O37" s="17" t="s">
        <v>3</v>
      </c>
      <c r="P37" s="19" t="e">
        <f ca="1"/>
        <v>#NAME?</v>
      </c>
    </row>
    <row r="38" spans="1:16" x14ac:dyDescent="0.25">
      <c r="A38" t="s">
        <v>82</v>
      </c>
      <c r="B38" s="5" t="s">
        <v>16</v>
      </c>
      <c r="C38">
        <v>28</v>
      </c>
      <c r="D38" s="5" t="s">
        <v>14</v>
      </c>
      <c r="E38" s="7">
        <v>44486</v>
      </c>
      <c r="F38" s="5" t="s">
        <v>13</v>
      </c>
      <c r="G38" s="24">
        <v>104770</v>
      </c>
      <c r="H38" s="5" t="s">
        <v>210</v>
      </c>
      <c r="I38" s="9">
        <f ca="1">(TODAY()-Staff[[#This Row],[Date Joined]])/365</f>
        <v>3.3315068493150686</v>
      </c>
      <c r="J38" s="24">
        <f ca="1">ROUNDUP(IF(Staff[[#This Row],[Tenure]]&gt;2,3%,2%)*Staff[[#This Row],[Salary]],0)</f>
        <v>3144</v>
      </c>
      <c r="K38" s="29">
        <f>_xlfn.XLOOKUP(Staff[[#This Row],[Rating]],Mapping!$B$2:$B$6,Mapping!$C$2:$C$6)</f>
        <v>3</v>
      </c>
      <c r="O38" s="17" t="s">
        <v>6</v>
      </c>
      <c r="P38" s="19" t="e">
        <f ca="1"/>
        <v>#NAME?</v>
      </c>
    </row>
    <row r="39" spans="1:16" x14ac:dyDescent="0.25">
      <c r="A39" t="s">
        <v>122</v>
      </c>
      <c r="B39" s="5" t="s">
        <v>16</v>
      </c>
      <c r="C39">
        <v>40</v>
      </c>
      <c r="D39" s="5" t="s">
        <v>14</v>
      </c>
      <c r="E39" s="7">
        <v>44320</v>
      </c>
      <c r="F39" s="5" t="s">
        <v>24</v>
      </c>
      <c r="G39" s="24">
        <v>104410</v>
      </c>
      <c r="H39" s="5" t="s">
        <v>208</v>
      </c>
      <c r="I39" s="9">
        <f ca="1">(TODAY()-Staff[[#This Row],[Date Joined]])/365</f>
        <v>3.7863013698630139</v>
      </c>
      <c r="J39" s="24">
        <f ca="1">ROUNDUP(IF(Staff[[#This Row],[Tenure]]&gt;2,3%,2%)*Staff[[#This Row],[Salary]],0)</f>
        <v>3133</v>
      </c>
      <c r="K39" s="29">
        <f>_xlfn.XLOOKUP(Staff[[#This Row],[Rating]],Mapping!$B$2:$B$6,Mapping!$C$2:$C$6)</f>
        <v>3</v>
      </c>
      <c r="O39" s="17" t="s">
        <v>204</v>
      </c>
      <c r="P39" s="19" t="e">
        <f ca="1"/>
        <v>#NAME?</v>
      </c>
    </row>
    <row r="40" spans="1:16" x14ac:dyDescent="0.25">
      <c r="A40" t="s">
        <v>99</v>
      </c>
      <c r="B40" s="5" t="s">
        <v>16</v>
      </c>
      <c r="C40">
        <v>40</v>
      </c>
      <c r="D40" s="5" t="s">
        <v>14</v>
      </c>
      <c r="E40" s="7">
        <v>44381</v>
      </c>
      <c r="F40" s="5" t="s">
        <v>24</v>
      </c>
      <c r="G40" s="24">
        <v>104410</v>
      </c>
      <c r="H40" s="5" t="s">
        <v>210</v>
      </c>
      <c r="I40" s="9">
        <f ca="1">(TODAY()-Staff[[#This Row],[Date Joined]])/365</f>
        <v>3.6191780821917807</v>
      </c>
      <c r="J40" s="24">
        <f ca="1">ROUNDUP(IF(Staff[[#This Row],[Tenure]]&gt;2,3%,2%)*Staff[[#This Row],[Salary]],0)</f>
        <v>3133</v>
      </c>
      <c r="K40" s="29">
        <f>_xlfn.XLOOKUP(Staff[[#This Row],[Rating]],Mapping!$B$2:$B$6,Mapping!$C$2:$C$6)</f>
        <v>3</v>
      </c>
      <c r="O40" s="17" t="s">
        <v>205</v>
      </c>
      <c r="P40" s="19" t="e">
        <f ca="1"/>
        <v>#NAME?</v>
      </c>
    </row>
    <row r="41" spans="1:16" x14ac:dyDescent="0.25">
      <c r="A41" t="s">
        <v>190</v>
      </c>
      <c r="B41" s="5" t="s">
        <v>16</v>
      </c>
      <c r="C41">
        <v>28</v>
      </c>
      <c r="D41" s="5" t="s">
        <v>14</v>
      </c>
      <c r="E41" s="7">
        <v>44590</v>
      </c>
      <c r="F41" s="5" t="s">
        <v>13</v>
      </c>
      <c r="G41" s="24">
        <v>104120</v>
      </c>
      <c r="H41" s="5" t="s">
        <v>208</v>
      </c>
      <c r="I41" s="9">
        <f ca="1">(TODAY()-Staff[[#This Row],[Date Joined]])/365</f>
        <v>3.0465753424657533</v>
      </c>
      <c r="J41" s="24">
        <f ca="1">ROUNDUP(IF(Staff[[#This Row],[Tenure]]&gt;2,3%,2%)*Staff[[#This Row],[Salary]],0)</f>
        <v>3124</v>
      </c>
      <c r="K41" s="29">
        <f>_xlfn.XLOOKUP(Staff[[#This Row],[Rating]],Mapping!$B$2:$B$6,Mapping!$C$2:$C$6)</f>
        <v>3</v>
      </c>
    </row>
    <row r="42" spans="1:16" x14ac:dyDescent="0.25">
      <c r="A42" t="s">
        <v>90</v>
      </c>
      <c r="B42" s="5" t="s">
        <v>16</v>
      </c>
      <c r="C42">
        <v>28</v>
      </c>
      <c r="D42" s="5" t="s">
        <v>14</v>
      </c>
      <c r="E42" s="7">
        <v>44649</v>
      </c>
      <c r="F42" s="5" t="s">
        <v>13</v>
      </c>
      <c r="G42" s="24">
        <v>104120</v>
      </c>
      <c r="H42" s="5" t="s">
        <v>210</v>
      </c>
      <c r="I42" s="9">
        <f ca="1">(TODAY()-Staff[[#This Row],[Date Joined]])/365</f>
        <v>2.8849315068493149</v>
      </c>
      <c r="J42" s="24">
        <f ca="1">ROUNDUP(IF(Staff[[#This Row],[Tenure]]&gt;2,3%,2%)*Staff[[#This Row],[Salary]],0)</f>
        <v>3124</v>
      </c>
      <c r="K42" s="29">
        <f>_xlfn.XLOOKUP(Staff[[#This Row],[Rating]],Mapping!$B$2:$B$6,Mapping!$C$2:$C$6)</f>
        <v>3</v>
      </c>
    </row>
    <row r="43" spans="1:16" x14ac:dyDescent="0.25">
      <c r="A43" t="s">
        <v>114</v>
      </c>
      <c r="B43" s="5" t="s">
        <v>9</v>
      </c>
      <c r="C43">
        <v>31</v>
      </c>
      <c r="D43" s="5" t="s">
        <v>14</v>
      </c>
      <c r="E43" s="7">
        <v>44663</v>
      </c>
      <c r="F43" s="5" t="s">
        <v>13</v>
      </c>
      <c r="G43" s="24">
        <v>103550</v>
      </c>
      <c r="H43" s="5" t="s">
        <v>208</v>
      </c>
      <c r="I43" s="9">
        <f ca="1">(TODAY()-Staff[[#This Row],[Date Joined]])/365</f>
        <v>2.8465753424657536</v>
      </c>
      <c r="J43" s="24">
        <f ca="1">ROUNDUP(IF(Staff[[#This Row],[Tenure]]&gt;2,3%,2%)*Staff[[#This Row],[Salary]],0)</f>
        <v>3107</v>
      </c>
      <c r="K43" s="29">
        <f>_xlfn.XLOOKUP(Staff[[#This Row],[Rating]],Mapping!$B$2:$B$6,Mapping!$C$2:$C$6)</f>
        <v>3</v>
      </c>
    </row>
    <row r="44" spans="1:16" x14ac:dyDescent="0.25">
      <c r="A44" t="s">
        <v>57</v>
      </c>
      <c r="B44" s="5" t="s">
        <v>9</v>
      </c>
      <c r="C44">
        <v>31</v>
      </c>
      <c r="D44" s="5" t="s">
        <v>14</v>
      </c>
      <c r="E44" s="7">
        <v>44724</v>
      </c>
      <c r="F44" s="5" t="s">
        <v>13</v>
      </c>
      <c r="G44" s="24">
        <v>103550</v>
      </c>
      <c r="H44" s="5" t="s">
        <v>210</v>
      </c>
      <c r="I44" s="9">
        <f ca="1">(TODAY()-Staff[[#This Row],[Date Joined]])/365</f>
        <v>2.6794520547945204</v>
      </c>
      <c r="J44" s="24">
        <f ca="1">ROUNDUP(IF(Staff[[#This Row],[Tenure]]&gt;2,3%,2%)*Staff[[#This Row],[Salary]],0)</f>
        <v>3107</v>
      </c>
      <c r="K44" s="29">
        <f>_xlfn.XLOOKUP(Staff[[#This Row],[Rating]],Mapping!$B$2:$B$6,Mapping!$C$2:$C$6)</f>
        <v>3</v>
      </c>
    </row>
    <row r="45" spans="1:16" x14ac:dyDescent="0.25">
      <c r="A45" t="s">
        <v>137</v>
      </c>
      <c r="B45" s="5" t="s">
        <v>9</v>
      </c>
      <c r="C45">
        <v>24</v>
      </c>
      <c r="D45" s="5" t="s">
        <v>14</v>
      </c>
      <c r="E45" s="7">
        <v>44625</v>
      </c>
      <c r="F45" s="5" t="s">
        <v>24</v>
      </c>
      <c r="G45" s="24">
        <v>100420</v>
      </c>
      <c r="H45" s="5" t="s">
        <v>208</v>
      </c>
      <c r="I45" s="9">
        <f ca="1">(TODAY()-Staff[[#This Row],[Date Joined]])/365</f>
        <v>2.9506849315068493</v>
      </c>
      <c r="J45" s="24">
        <f ca="1">ROUNDUP(IF(Staff[[#This Row],[Tenure]]&gt;2,3%,2%)*Staff[[#This Row],[Salary]],0)</f>
        <v>3013</v>
      </c>
      <c r="K45" s="29">
        <f>_xlfn.XLOOKUP(Staff[[#This Row],[Rating]],Mapping!$B$2:$B$6,Mapping!$C$2:$C$6)</f>
        <v>3</v>
      </c>
    </row>
    <row r="46" spans="1:16" x14ac:dyDescent="0.25">
      <c r="A46" t="s">
        <v>92</v>
      </c>
      <c r="B46" s="5" t="s">
        <v>9</v>
      </c>
      <c r="C46">
        <v>24</v>
      </c>
      <c r="D46" s="5" t="s">
        <v>14</v>
      </c>
      <c r="E46" s="7">
        <v>44686</v>
      </c>
      <c r="F46" s="5" t="s">
        <v>24</v>
      </c>
      <c r="G46" s="24">
        <v>100420</v>
      </c>
      <c r="H46" s="5" t="s">
        <v>210</v>
      </c>
      <c r="I46" s="9">
        <f ca="1">(TODAY()-Staff[[#This Row],[Date Joined]])/365</f>
        <v>2.7835616438356166</v>
      </c>
      <c r="J46" s="24">
        <f ca="1">ROUNDUP(IF(Staff[[#This Row],[Tenure]]&gt;2,3%,2%)*Staff[[#This Row],[Salary]],0)</f>
        <v>3013</v>
      </c>
      <c r="K46" s="29">
        <f>_xlfn.XLOOKUP(Staff[[#This Row],[Rating]],Mapping!$B$2:$B$6,Mapping!$C$2:$C$6)</f>
        <v>3</v>
      </c>
    </row>
    <row r="47" spans="1:16" x14ac:dyDescent="0.25">
      <c r="A47" t="s">
        <v>144</v>
      </c>
      <c r="B47" s="5" t="s">
        <v>16</v>
      </c>
      <c r="C47">
        <v>28</v>
      </c>
      <c r="D47" s="5" t="s">
        <v>14</v>
      </c>
      <c r="E47" s="7">
        <v>44571</v>
      </c>
      <c r="F47" s="5" t="s">
        <v>13</v>
      </c>
      <c r="G47" s="24">
        <v>99970</v>
      </c>
      <c r="H47" s="5" t="s">
        <v>208</v>
      </c>
      <c r="I47" s="9">
        <f ca="1">(TODAY()-Staff[[#This Row],[Date Joined]])/365</f>
        <v>3.0986301369863014</v>
      </c>
      <c r="J47" s="24">
        <f ca="1">ROUNDUP(IF(Staff[[#This Row],[Tenure]]&gt;2,3%,2%)*Staff[[#This Row],[Salary]],0)</f>
        <v>3000</v>
      </c>
      <c r="K47" s="29">
        <f>_xlfn.XLOOKUP(Staff[[#This Row],[Rating]],Mapping!$B$2:$B$6,Mapping!$C$2:$C$6)</f>
        <v>3</v>
      </c>
    </row>
    <row r="48" spans="1:16" x14ac:dyDescent="0.25">
      <c r="A48" t="s">
        <v>55</v>
      </c>
      <c r="B48" s="5" t="s">
        <v>16</v>
      </c>
      <c r="C48">
        <v>28</v>
      </c>
      <c r="D48" s="5" t="s">
        <v>14</v>
      </c>
      <c r="E48" s="7">
        <v>44630</v>
      </c>
      <c r="F48" s="5" t="s">
        <v>13</v>
      </c>
      <c r="G48" s="24">
        <v>99970</v>
      </c>
      <c r="H48" s="5" t="s">
        <v>210</v>
      </c>
      <c r="I48" s="9">
        <f ca="1">(TODAY()-Staff[[#This Row],[Date Joined]])/365</f>
        <v>2.9369863013698629</v>
      </c>
      <c r="J48" s="24">
        <f ca="1">ROUNDUP(IF(Staff[[#This Row],[Tenure]]&gt;2,3%,2%)*Staff[[#This Row],[Salary]],0)</f>
        <v>3000</v>
      </c>
      <c r="K48" s="29">
        <f>_xlfn.XLOOKUP(Staff[[#This Row],[Rating]],Mapping!$B$2:$B$6,Mapping!$C$2:$C$6)</f>
        <v>3</v>
      </c>
    </row>
    <row r="49" spans="1:11" x14ac:dyDescent="0.25">
      <c r="A49" t="s">
        <v>176</v>
      </c>
      <c r="B49" s="5" t="s">
        <v>9</v>
      </c>
      <c r="C49">
        <v>40</v>
      </c>
      <c r="D49" s="5" t="s">
        <v>14</v>
      </c>
      <c r="E49" s="7">
        <v>44204</v>
      </c>
      <c r="F49" s="5" t="s">
        <v>13</v>
      </c>
      <c r="G49" s="24">
        <v>99750</v>
      </c>
      <c r="H49" s="5" t="s">
        <v>208</v>
      </c>
      <c r="I49" s="9">
        <f ca="1">(TODAY()-Staff[[#This Row],[Date Joined]])/365</f>
        <v>4.1041095890410961</v>
      </c>
      <c r="J49" s="24">
        <f ca="1">ROUNDUP(IF(Staff[[#This Row],[Tenure]]&gt;2,3%,2%)*Staff[[#This Row],[Salary]],0)</f>
        <v>2993</v>
      </c>
      <c r="K49" s="29">
        <f>_xlfn.XLOOKUP(Staff[[#This Row],[Rating]],Mapping!$B$2:$B$6,Mapping!$C$2:$C$6)</f>
        <v>3</v>
      </c>
    </row>
    <row r="50" spans="1:11" x14ac:dyDescent="0.25">
      <c r="A50" t="s">
        <v>33</v>
      </c>
      <c r="B50" s="5" t="s">
        <v>9</v>
      </c>
      <c r="C50">
        <v>40</v>
      </c>
      <c r="D50" s="5" t="s">
        <v>14</v>
      </c>
      <c r="E50" s="7">
        <v>44263</v>
      </c>
      <c r="F50" s="5" t="s">
        <v>13</v>
      </c>
      <c r="G50" s="24">
        <v>99750</v>
      </c>
      <c r="H50" s="5" t="s">
        <v>210</v>
      </c>
      <c r="I50" s="9">
        <f ca="1">(TODAY()-Staff[[#This Row],[Date Joined]])/365</f>
        <v>3.9424657534246577</v>
      </c>
      <c r="J50" s="24">
        <f ca="1">ROUNDUP(IF(Staff[[#This Row],[Tenure]]&gt;2,3%,2%)*Staff[[#This Row],[Salary]],0)</f>
        <v>2993</v>
      </c>
      <c r="K50" s="29">
        <f>_xlfn.XLOOKUP(Staff[[#This Row],[Rating]],Mapping!$B$2:$B$6,Mapping!$C$2:$C$6)</f>
        <v>3</v>
      </c>
    </row>
    <row r="51" spans="1:11" x14ac:dyDescent="0.25">
      <c r="A51" t="s">
        <v>123</v>
      </c>
      <c r="B51" s="5" t="s">
        <v>9</v>
      </c>
      <c r="C51">
        <v>30</v>
      </c>
      <c r="D51" s="5" t="s">
        <v>14</v>
      </c>
      <c r="E51" s="7">
        <v>44544</v>
      </c>
      <c r="F51" s="5" t="s">
        <v>18</v>
      </c>
      <c r="G51" s="24">
        <v>96800</v>
      </c>
      <c r="H51" s="5" t="s">
        <v>208</v>
      </c>
      <c r="I51" s="9">
        <f ca="1">(TODAY()-Staff[[#This Row],[Date Joined]])/365</f>
        <v>3.1726027397260275</v>
      </c>
      <c r="J51" s="24">
        <f ca="1">ROUNDUP(IF(Staff[[#This Row],[Tenure]]&gt;2,3%,2%)*Staff[[#This Row],[Salary]],0)</f>
        <v>2904</v>
      </c>
      <c r="K51" s="29">
        <f>_xlfn.XLOOKUP(Staff[[#This Row],[Rating]],Mapping!$B$2:$B$6,Mapping!$C$2:$C$6)</f>
        <v>3</v>
      </c>
    </row>
    <row r="52" spans="1:11" x14ac:dyDescent="0.25">
      <c r="A52" t="s">
        <v>100</v>
      </c>
      <c r="B52" s="5" t="s">
        <v>9</v>
      </c>
      <c r="C52">
        <v>30</v>
      </c>
      <c r="D52" s="5" t="s">
        <v>14</v>
      </c>
      <c r="E52" s="7">
        <v>44606</v>
      </c>
      <c r="F52" s="5" t="s">
        <v>18</v>
      </c>
      <c r="G52" s="24">
        <v>96800</v>
      </c>
      <c r="H52" s="5" t="s">
        <v>210</v>
      </c>
      <c r="I52" s="9">
        <f ca="1">(TODAY()-Staff[[#This Row],[Date Joined]])/365</f>
        <v>3.0027397260273974</v>
      </c>
      <c r="J52" s="24">
        <f ca="1">ROUNDUP(IF(Staff[[#This Row],[Tenure]]&gt;2,3%,2%)*Staff[[#This Row],[Salary]],0)</f>
        <v>2904</v>
      </c>
      <c r="K52" s="29">
        <f>_xlfn.XLOOKUP(Staff[[#This Row],[Rating]],Mapping!$B$2:$B$6,Mapping!$C$2:$C$6)</f>
        <v>3</v>
      </c>
    </row>
    <row r="53" spans="1:11" x14ac:dyDescent="0.25">
      <c r="A53" t="s">
        <v>203</v>
      </c>
      <c r="B53" s="5" t="s">
        <v>16</v>
      </c>
      <c r="C53">
        <v>33</v>
      </c>
      <c r="D53" s="5" t="s">
        <v>14</v>
      </c>
      <c r="E53" s="7">
        <v>44129</v>
      </c>
      <c r="F53" s="5" t="s">
        <v>24</v>
      </c>
      <c r="G53" s="24">
        <v>96140</v>
      </c>
      <c r="H53" s="5" t="s">
        <v>208</v>
      </c>
      <c r="I53" s="9">
        <f ca="1">(TODAY()-Staff[[#This Row],[Date Joined]])/365</f>
        <v>4.3095890410958901</v>
      </c>
      <c r="J53" s="24">
        <f ca="1">ROUNDUP(IF(Staff[[#This Row],[Tenure]]&gt;2,3%,2%)*Staff[[#This Row],[Salary]],0)</f>
        <v>2885</v>
      </c>
      <c r="K53" s="29">
        <f>_xlfn.XLOOKUP(Staff[[#This Row],[Rating]],Mapping!$B$2:$B$6,Mapping!$C$2:$C$6)</f>
        <v>3</v>
      </c>
    </row>
    <row r="54" spans="1:11" x14ac:dyDescent="0.25">
      <c r="A54" t="s">
        <v>56</v>
      </c>
      <c r="B54" s="5" t="s">
        <v>16</v>
      </c>
      <c r="C54">
        <v>33</v>
      </c>
      <c r="D54" s="5" t="s">
        <v>14</v>
      </c>
      <c r="E54" s="7">
        <v>44190</v>
      </c>
      <c r="F54" s="5" t="s">
        <v>24</v>
      </c>
      <c r="G54" s="24">
        <v>96140</v>
      </c>
      <c r="H54" s="5" t="s">
        <v>210</v>
      </c>
      <c r="I54" s="9">
        <f ca="1">(TODAY()-Staff[[#This Row],[Date Joined]])/365</f>
        <v>4.1424657534246574</v>
      </c>
      <c r="J54" s="24">
        <f ca="1">ROUNDUP(IF(Staff[[#This Row],[Tenure]]&gt;2,3%,2%)*Staff[[#This Row],[Salary]],0)</f>
        <v>2885</v>
      </c>
      <c r="K54" s="29">
        <f>_xlfn.XLOOKUP(Staff[[#This Row],[Rating]],Mapping!$B$2:$B$6,Mapping!$C$2:$C$6)</f>
        <v>3</v>
      </c>
    </row>
    <row r="55" spans="1:11" x14ac:dyDescent="0.25">
      <c r="A55" t="s">
        <v>118</v>
      </c>
      <c r="B55" s="5" t="s">
        <v>16</v>
      </c>
      <c r="C55">
        <v>25</v>
      </c>
      <c r="D55" s="5" t="s">
        <v>14</v>
      </c>
      <c r="E55" s="7">
        <v>44144</v>
      </c>
      <c r="F55" s="5" t="s">
        <v>10</v>
      </c>
      <c r="G55" s="24">
        <v>92700</v>
      </c>
      <c r="H55" s="5" t="s">
        <v>208</v>
      </c>
      <c r="I55" s="9">
        <f ca="1">(TODAY()-Staff[[#This Row],[Date Joined]])/365</f>
        <v>4.2684931506849315</v>
      </c>
      <c r="J55" s="24">
        <f ca="1">ROUNDUP(IF(Staff[[#This Row],[Tenure]]&gt;2,3%,2%)*Staff[[#This Row],[Salary]],0)</f>
        <v>2781</v>
      </c>
      <c r="K55" s="29">
        <f>_xlfn.XLOOKUP(Staff[[#This Row],[Rating]],Mapping!$B$2:$B$6,Mapping!$C$2:$C$6)</f>
        <v>3</v>
      </c>
    </row>
    <row r="56" spans="1:11" x14ac:dyDescent="0.25">
      <c r="A56" t="s">
        <v>86</v>
      </c>
      <c r="B56" s="5" t="s">
        <v>16</v>
      </c>
      <c r="C56">
        <v>25</v>
      </c>
      <c r="D56" s="5" t="s">
        <v>14</v>
      </c>
      <c r="E56" s="7">
        <v>44205</v>
      </c>
      <c r="F56" s="5" t="s">
        <v>10</v>
      </c>
      <c r="G56" s="24">
        <v>92700</v>
      </c>
      <c r="H56" s="5" t="s">
        <v>210</v>
      </c>
      <c r="I56" s="9">
        <f ca="1">(TODAY()-Staff[[#This Row],[Date Joined]])/365</f>
        <v>4.1013698630136988</v>
      </c>
      <c r="J56" s="24">
        <f ca="1">ROUNDUP(IF(Staff[[#This Row],[Tenure]]&gt;2,3%,2%)*Staff[[#This Row],[Salary]],0)</f>
        <v>2781</v>
      </c>
      <c r="K56" s="29">
        <f>_xlfn.XLOOKUP(Staff[[#This Row],[Rating]],Mapping!$B$2:$B$6,Mapping!$C$2:$C$6)</f>
        <v>3</v>
      </c>
    </row>
    <row r="57" spans="1:11" x14ac:dyDescent="0.25">
      <c r="A57" t="s">
        <v>168</v>
      </c>
      <c r="B57" s="5" t="s">
        <v>16</v>
      </c>
      <c r="C57">
        <v>34</v>
      </c>
      <c r="D57" s="5" t="s">
        <v>14</v>
      </c>
      <c r="E57" s="7">
        <v>44383</v>
      </c>
      <c r="F57" s="5" t="s">
        <v>18</v>
      </c>
      <c r="G57" s="24">
        <v>92450</v>
      </c>
      <c r="H57" s="5" t="s">
        <v>208</v>
      </c>
      <c r="I57" s="9">
        <f ca="1">(TODAY()-Staff[[#This Row],[Date Joined]])/365</f>
        <v>3.6136986301369864</v>
      </c>
      <c r="J57" s="24">
        <f ca="1">ROUNDUP(IF(Staff[[#This Row],[Tenure]]&gt;2,3%,2%)*Staff[[#This Row],[Salary]],0)</f>
        <v>2774</v>
      </c>
      <c r="K57" s="29">
        <f>_xlfn.XLOOKUP(Staff[[#This Row],[Rating]],Mapping!$B$2:$B$6,Mapping!$C$2:$C$6)</f>
        <v>3</v>
      </c>
    </row>
    <row r="58" spans="1:11" x14ac:dyDescent="0.25">
      <c r="A58" t="s">
        <v>63</v>
      </c>
      <c r="B58" s="5" t="s">
        <v>16</v>
      </c>
      <c r="C58">
        <v>34</v>
      </c>
      <c r="D58" s="5" t="s">
        <v>14</v>
      </c>
      <c r="E58" s="7">
        <v>44445</v>
      </c>
      <c r="F58" s="5" t="s">
        <v>18</v>
      </c>
      <c r="G58" s="24">
        <v>92450</v>
      </c>
      <c r="H58" s="5" t="s">
        <v>210</v>
      </c>
      <c r="I58" s="9">
        <f ca="1">(TODAY()-Staff[[#This Row],[Date Joined]])/365</f>
        <v>3.4438356164383563</v>
      </c>
      <c r="J58" s="24">
        <f ca="1">ROUNDUP(IF(Staff[[#This Row],[Tenure]]&gt;2,3%,2%)*Staff[[#This Row],[Salary]],0)</f>
        <v>2774</v>
      </c>
      <c r="K58" s="29">
        <f>_xlfn.XLOOKUP(Staff[[#This Row],[Rating]],Mapping!$B$2:$B$6,Mapping!$C$2:$C$6)</f>
        <v>3</v>
      </c>
    </row>
    <row r="59" spans="1:11" x14ac:dyDescent="0.25">
      <c r="A59" t="s">
        <v>160</v>
      </c>
      <c r="B59" s="5" t="s">
        <v>9</v>
      </c>
      <c r="C59">
        <v>27</v>
      </c>
      <c r="D59" s="5" t="s">
        <v>11</v>
      </c>
      <c r="E59" s="7">
        <v>44174</v>
      </c>
      <c r="F59" s="5" t="s">
        <v>18</v>
      </c>
      <c r="G59" s="24">
        <v>91650</v>
      </c>
      <c r="H59" s="5" t="s">
        <v>208</v>
      </c>
      <c r="I59" s="9">
        <f ca="1">(TODAY()-Staff[[#This Row],[Date Joined]])/365</f>
        <v>4.1863013698630134</v>
      </c>
      <c r="J59" s="24">
        <f ca="1">ROUNDUP(IF(Staff[[#This Row],[Tenure]]&gt;2,3%,2%)*Staff[[#This Row],[Salary]],0)</f>
        <v>2750</v>
      </c>
      <c r="K59" s="29">
        <f>_xlfn.XLOOKUP(Staff[[#This Row],[Rating]],Mapping!$B$2:$B$6,Mapping!$C$2:$C$6)</f>
        <v>4</v>
      </c>
    </row>
    <row r="60" spans="1:11" x14ac:dyDescent="0.25">
      <c r="A60" t="s">
        <v>97</v>
      </c>
      <c r="B60" s="5" t="s">
        <v>9</v>
      </c>
      <c r="C60">
        <v>27</v>
      </c>
      <c r="D60" s="5" t="s">
        <v>11</v>
      </c>
      <c r="E60" s="7">
        <v>44236</v>
      </c>
      <c r="F60" s="5" t="s">
        <v>18</v>
      </c>
      <c r="G60" s="24">
        <v>91650</v>
      </c>
      <c r="H60" s="5" t="s">
        <v>210</v>
      </c>
      <c r="I60" s="9">
        <f ca="1">(TODAY()-Staff[[#This Row],[Date Joined]])/365</f>
        <v>4.0164383561643833</v>
      </c>
      <c r="J60" s="24">
        <f ca="1">ROUNDUP(IF(Staff[[#This Row],[Tenure]]&gt;2,3%,2%)*Staff[[#This Row],[Salary]],0)</f>
        <v>2750</v>
      </c>
      <c r="K60" s="29">
        <f>_xlfn.XLOOKUP(Staff[[#This Row],[Rating]],Mapping!$B$2:$B$6,Mapping!$C$2:$C$6)</f>
        <v>4</v>
      </c>
    </row>
    <row r="61" spans="1:11" x14ac:dyDescent="0.25">
      <c r="A61" t="s">
        <v>119</v>
      </c>
      <c r="B61" s="5" t="s">
        <v>217</v>
      </c>
      <c r="C61">
        <v>32</v>
      </c>
      <c r="D61" s="5" t="s">
        <v>14</v>
      </c>
      <c r="E61" s="7">
        <v>44713</v>
      </c>
      <c r="F61" s="5" t="s">
        <v>24</v>
      </c>
      <c r="G61" s="24">
        <v>91310</v>
      </c>
      <c r="H61" s="5" t="s">
        <v>208</v>
      </c>
      <c r="I61" s="9">
        <f ca="1">(TODAY()-Staff[[#This Row],[Date Joined]])/365</f>
        <v>2.7095890410958905</v>
      </c>
      <c r="J61" s="24">
        <f ca="1">ROUNDUP(IF(Staff[[#This Row],[Tenure]]&gt;2,3%,2%)*Staff[[#This Row],[Salary]],0)</f>
        <v>2740</v>
      </c>
      <c r="K61" s="29">
        <f>_xlfn.XLOOKUP(Staff[[#This Row],[Rating]],Mapping!$B$2:$B$6,Mapping!$C$2:$C$6)</f>
        <v>3</v>
      </c>
    </row>
    <row r="62" spans="1:11" x14ac:dyDescent="0.25">
      <c r="A62" t="s">
        <v>81</v>
      </c>
      <c r="B62" s="5" t="s">
        <v>217</v>
      </c>
      <c r="C62">
        <v>32</v>
      </c>
      <c r="D62" s="5" t="s">
        <v>14</v>
      </c>
      <c r="E62" s="7">
        <v>44774</v>
      </c>
      <c r="F62" s="5" t="s">
        <v>24</v>
      </c>
      <c r="G62" s="24">
        <v>91310</v>
      </c>
      <c r="H62" s="5" t="s">
        <v>210</v>
      </c>
      <c r="I62" s="9">
        <f ca="1">(TODAY()-Staff[[#This Row],[Date Joined]])/365</f>
        <v>2.5424657534246577</v>
      </c>
      <c r="J62" s="24">
        <f ca="1">ROUNDUP(IF(Staff[[#This Row],[Tenure]]&gt;2,3%,2%)*Staff[[#This Row],[Salary]],0)</f>
        <v>2740</v>
      </c>
      <c r="K62" s="29">
        <f>_xlfn.XLOOKUP(Staff[[#This Row],[Rating]],Mapping!$B$2:$B$6,Mapping!$C$2:$C$6)</f>
        <v>3</v>
      </c>
    </row>
    <row r="63" spans="1:11" x14ac:dyDescent="0.25">
      <c r="A63" t="s">
        <v>163</v>
      </c>
      <c r="B63" s="5" t="s">
        <v>217</v>
      </c>
      <c r="C63">
        <v>27</v>
      </c>
      <c r="D63" s="5" t="s">
        <v>11</v>
      </c>
      <c r="E63" s="7">
        <v>44212</v>
      </c>
      <c r="F63" s="5" t="s">
        <v>24</v>
      </c>
      <c r="G63" s="24">
        <v>90700</v>
      </c>
      <c r="H63" s="5" t="s">
        <v>208</v>
      </c>
      <c r="I63" s="9">
        <f ca="1">(TODAY()-Staff[[#This Row],[Date Joined]])/365</f>
        <v>4.0821917808219181</v>
      </c>
      <c r="J63" s="24">
        <f ca="1">ROUNDUP(IF(Staff[[#This Row],[Tenure]]&gt;2,3%,2%)*Staff[[#This Row],[Salary]],0)</f>
        <v>2721</v>
      </c>
      <c r="K63" s="29">
        <f>_xlfn.XLOOKUP(Staff[[#This Row],[Rating]],Mapping!$B$2:$B$6,Mapping!$C$2:$C$6)</f>
        <v>4</v>
      </c>
    </row>
    <row r="64" spans="1:11" x14ac:dyDescent="0.25">
      <c r="A64" t="s">
        <v>84</v>
      </c>
      <c r="B64" s="5" t="s">
        <v>217</v>
      </c>
      <c r="C64">
        <v>26</v>
      </c>
      <c r="D64" s="5" t="s">
        <v>11</v>
      </c>
      <c r="E64" s="7">
        <v>44271</v>
      </c>
      <c r="F64" s="5" t="s">
        <v>24</v>
      </c>
      <c r="G64" s="24">
        <v>90700</v>
      </c>
      <c r="H64" s="5" t="s">
        <v>210</v>
      </c>
      <c r="I64" s="9">
        <f ca="1">(TODAY()-Staff[[#This Row],[Date Joined]])/365</f>
        <v>3.9205479452054797</v>
      </c>
      <c r="J64" s="24">
        <f ca="1">ROUNDUP(IF(Staff[[#This Row],[Tenure]]&gt;2,3%,2%)*Staff[[#This Row],[Salary]],0)</f>
        <v>2721</v>
      </c>
      <c r="K64" s="29">
        <f>_xlfn.XLOOKUP(Staff[[#This Row],[Rating]],Mapping!$B$2:$B$6,Mapping!$C$2:$C$6)</f>
        <v>4</v>
      </c>
    </row>
    <row r="65" spans="1:11" x14ac:dyDescent="0.25">
      <c r="A65" t="s">
        <v>133</v>
      </c>
      <c r="B65" s="5" t="s">
        <v>9</v>
      </c>
      <c r="C65">
        <v>37</v>
      </c>
      <c r="D65" s="5" t="s">
        <v>19</v>
      </c>
      <c r="E65" s="7">
        <v>44277</v>
      </c>
      <c r="F65" s="5" t="s">
        <v>24</v>
      </c>
      <c r="G65" s="24">
        <v>88050</v>
      </c>
      <c r="H65" s="5" t="s">
        <v>208</v>
      </c>
      <c r="I65" s="9">
        <f ca="1">(TODAY()-Staff[[#This Row],[Date Joined]])/365</f>
        <v>3.904109589041096</v>
      </c>
      <c r="J65" s="24">
        <f ca="1">ROUNDUP(IF(Staff[[#This Row],[Tenure]]&gt;2,3%,2%)*Staff[[#This Row],[Salary]],0)</f>
        <v>2642</v>
      </c>
      <c r="K65" s="29">
        <f>_xlfn.XLOOKUP(Staff[[#This Row],[Rating]],Mapping!$B$2:$B$6,Mapping!$C$2:$C$6)</f>
        <v>2</v>
      </c>
    </row>
    <row r="66" spans="1:11" x14ac:dyDescent="0.25">
      <c r="A66" t="s">
        <v>91</v>
      </c>
      <c r="B66" s="5" t="s">
        <v>9</v>
      </c>
      <c r="C66">
        <v>37</v>
      </c>
      <c r="D66" s="5" t="s">
        <v>19</v>
      </c>
      <c r="E66" s="7">
        <v>44338</v>
      </c>
      <c r="F66" s="5" t="s">
        <v>24</v>
      </c>
      <c r="G66" s="24">
        <v>88050</v>
      </c>
      <c r="H66" s="5" t="s">
        <v>210</v>
      </c>
      <c r="I66" s="9">
        <f ca="1">(TODAY()-Staff[[#This Row],[Date Joined]])/365</f>
        <v>3.7369863013698632</v>
      </c>
      <c r="J66" s="24">
        <f ca="1">ROUNDUP(IF(Staff[[#This Row],[Tenure]]&gt;2,3%,2%)*Staff[[#This Row],[Salary]],0)</f>
        <v>2642</v>
      </c>
      <c r="K66" s="29">
        <f>_xlfn.XLOOKUP(Staff[[#This Row],[Rating]],Mapping!$B$2:$B$6,Mapping!$C$2:$C$6)</f>
        <v>2</v>
      </c>
    </row>
    <row r="67" spans="1:11" x14ac:dyDescent="0.25">
      <c r="A67" t="s">
        <v>171</v>
      </c>
      <c r="B67" s="5" t="s">
        <v>16</v>
      </c>
      <c r="C67">
        <v>40</v>
      </c>
      <c r="D67" s="5" t="s">
        <v>14</v>
      </c>
      <c r="E67" s="7">
        <v>44276</v>
      </c>
      <c r="F67" s="5" t="s">
        <v>24</v>
      </c>
      <c r="G67" s="24">
        <v>87620</v>
      </c>
      <c r="H67" s="5" t="s">
        <v>208</v>
      </c>
      <c r="I67" s="9">
        <f ca="1">(TODAY()-Staff[[#This Row],[Date Joined]])/365</f>
        <v>3.9068493150684933</v>
      </c>
      <c r="J67" s="24">
        <f ca="1">ROUNDUP(IF(Staff[[#This Row],[Tenure]]&gt;2,3%,2%)*Staff[[#This Row],[Salary]],0)</f>
        <v>2629</v>
      </c>
      <c r="K67" s="29">
        <f>_xlfn.XLOOKUP(Staff[[#This Row],[Rating]],Mapping!$B$2:$B$6,Mapping!$C$2:$C$6)</f>
        <v>3</v>
      </c>
    </row>
    <row r="68" spans="1:11" x14ac:dyDescent="0.25">
      <c r="A68" t="s">
        <v>45</v>
      </c>
      <c r="B68" s="5" t="s">
        <v>16</v>
      </c>
      <c r="C68">
        <v>40</v>
      </c>
      <c r="D68" s="5" t="s">
        <v>14</v>
      </c>
      <c r="E68" s="7">
        <v>44337</v>
      </c>
      <c r="F68" s="5" t="s">
        <v>24</v>
      </c>
      <c r="G68" s="24">
        <v>87620</v>
      </c>
      <c r="H68" s="5" t="s">
        <v>210</v>
      </c>
      <c r="I68" s="9">
        <f ca="1">(TODAY()-Staff[[#This Row],[Date Joined]])/365</f>
        <v>3.7397260273972601</v>
      </c>
      <c r="J68" s="24">
        <f ca="1">ROUNDUP(IF(Staff[[#This Row],[Tenure]]&gt;2,3%,2%)*Staff[[#This Row],[Salary]],0)</f>
        <v>2629</v>
      </c>
      <c r="K68" s="29">
        <f>_xlfn.XLOOKUP(Staff[[#This Row],[Rating]],Mapping!$B$2:$B$6,Mapping!$C$2:$C$6)</f>
        <v>3</v>
      </c>
    </row>
    <row r="69" spans="1:11" x14ac:dyDescent="0.25">
      <c r="A69" t="s">
        <v>180</v>
      </c>
      <c r="B69" s="5" t="s">
        <v>16</v>
      </c>
      <c r="C69">
        <v>33</v>
      </c>
      <c r="D69" s="5" t="s">
        <v>14</v>
      </c>
      <c r="E69" s="7">
        <v>44747</v>
      </c>
      <c r="F69" s="5" t="s">
        <v>18</v>
      </c>
      <c r="G69" s="24">
        <v>86570</v>
      </c>
      <c r="H69" s="5" t="s">
        <v>208</v>
      </c>
      <c r="I69" s="9">
        <f ca="1">(TODAY()-Staff[[#This Row],[Date Joined]])/365</f>
        <v>2.6164383561643834</v>
      </c>
      <c r="J69" s="24">
        <f ca="1">ROUNDUP(IF(Staff[[#This Row],[Tenure]]&gt;2,3%,2%)*Staff[[#This Row],[Salary]],0)</f>
        <v>2598</v>
      </c>
      <c r="K69" s="29">
        <f>_xlfn.XLOOKUP(Staff[[#This Row],[Rating]],Mapping!$B$2:$B$6,Mapping!$C$2:$C$6)</f>
        <v>3</v>
      </c>
    </row>
    <row r="70" spans="1:11" x14ac:dyDescent="0.25">
      <c r="A70" t="s">
        <v>61</v>
      </c>
      <c r="B70" s="5" t="s">
        <v>16</v>
      </c>
      <c r="C70">
        <v>33</v>
      </c>
      <c r="D70" s="5" t="s">
        <v>14</v>
      </c>
      <c r="E70" s="7">
        <v>44809</v>
      </c>
      <c r="F70" s="5" t="s">
        <v>18</v>
      </c>
      <c r="G70" s="24">
        <v>86570</v>
      </c>
      <c r="H70" s="5" t="s">
        <v>210</v>
      </c>
      <c r="I70" s="9">
        <f ca="1">(TODAY()-Staff[[#This Row],[Date Joined]])/365</f>
        <v>2.4465753424657533</v>
      </c>
      <c r="J70" s="24">
        <f ca="1">ROUNDUP(IF(Staff[[#This Row],[Tenure]]&gt;2,3%,2%)*Staff[[#This Row],[Salary]],0)</f>
        <v>2598</v>
      </c>
      <c r="K70" s="29">
        <f>_xlfn.XLOOKUP(Staff[[#This Row],[Rating]],Mapping!$B$2:$B$6,Mapping!$C$2:$C$6)</f>
        <v>3</v>
      </c>
    </row>
    <row r="71" spans="1:11" x14ac:dyDescent="0.25">
      <c r="A71" t="s">
        <v>154</v>
      </c>
      <c r="B71" s="5" t="s">
        <v>16</v>
      </c>
      <c r="C71">
        <v>34</v>
      </c>
      <c r="D71" s="5" t="s">
        <v>14</v>
      </c>
      <c r="E71" s="7">
        <v>44397</v>
      </c>
      <c r="F71" s="5" t="s">
        <v>18</v>
      </c>
      <c r="G71" s="24">
        <v>85000</v>
      </c>
      <c r="H71" s="5" t="s">
        <v>208</v>
      </c>
      <c r="I71" s="9">
        <f ca="1">(TODAY()-Staff[[#This Row],[Date Joined]])/365</f>
        <v>3.5753424657534247</v>
      </c>
      <c r="J71" s="24">
        <f ca="1">ROUNDUP(IF(Staff[[#This Row],[Tenure]]&gt;2,3%,2%)*Staff[[#This Row],[Salary]],0)</f>
        <v>2550</v>
      </c>
      <c r="K71" s="29">
        <f>_xlfn.XLOOKUP(Staff[[#This Row],[Rating]],Mapping!$B$2:$B$6,Mapping!$C$2:$C$6)</f>
        <v>3</v>
      </c>
    </row>
    <row r="72" spans="1:11" x14ac:dyDescent="0.25">
      <c r="A72" t="s">
        <v>101</v>
      </c>
      <c r="B72" s="5" t="s">
        <v>16</v>
      </c>
      <c r="C72">
        <v>34</v>
      </c>
      <c r="D72" s="5" t="s">
        <v>14</v>
      </c>
      <c r="E72" s="7">
        <v>44459</v>
      </c>
      <c r="F72" s="5" t="s">
        <v>18</v>
      </c>
      <c r="G72" s="24">
        <v>85000</v>
      </c>
      <c r="H72" s="5" t="s">
        <v>210</v>
      </c>
      <c r="I72" s="9">
        <f ca="1">(TODAY()-Staff[[#This Row],[Date Joined]])/365</f>
        <v>3.4054794520547946</v>
      </c>
      <c r="J72" s="24">
        <f ca="1">ROUNDUP(IF(Staff[[#This Row],[Tenure]]&gt;2,3%,2%)*Staff[[#This Row],[Salary]],0)</f>
        <v>2550</v>
      </c>
      <c r="K72" s="29">
        <f>_xlfn.XLOOKUP(Staff[[#This Row],[Rating]],Mapping!$B$2:$B$6,Mapping!$C$2:$C$6)</f>
        <v>3</v>
      </c>
    </row>
    <row r="73" spans="1:11" x14ac:dyDescent="0.25">
      <c r="A73" t="s">
        <v>170</v>
      </c>
      <c r="B73" s="5" t="s">
        <v>16</v>
      </c>
      <c r="C73">
        <v>27</v>
      </c>
      <c r="D73" s="5" t="s">
        <v>14</v>
      </c>
      <c r="E73" s="7">
        <v>44625</v>
      </c>
      <c r="F73" s="5" t="s">
        <v>24</v>
      </c>
      <c r="G73" s="24">
        <v>83750</v>
      </c>
      <c r="H73" s="5" t="s">
        <v>208</v>
      </c>
      <c r="I73" s="9">
        <f ca="1">(TODAY()-Staff[[#This Row],[Date Joined]])/365</f>
        <v>2.9506849315068493</v>
      </c>
      <c r="J73" s="24">
        <f ca="1">ROUNDUP(IF(Staff[[#This Row],[Tenure]]&gt;2,3%,2%)*Staff[[#This Row],[Salary]],0)</f>
        <v>2513</v>
      </c>
      <c r="K73" s="29">
        <f>_xlfn.XLOOKUP(Staff[[#This Row],[Rating]],Mapping!$B$2:$B$6,Mapping!$C$2:$C$6)</f>
        <v>3</v>
      </c>
    </row>
    <row r="74" spans="1:11" x14ac:dyDescent="0.25">
      <c r="A74" t="s">
        <v>62</v>
      </c>
      <c r="B74" s="5" t="s">
        <v>16</v>
      </c>
      <c r="C74">
        <v>27</v>
      </c>
      <c r="D74" s="5" t="s">
        <v>14</v>
      </c>
      <c r="E74" s="7">
        <v>44686</v>
      </c>
      <c r="F74" s="5" t="s">
        <v>24</v>
      </c>
      <c r="G74" s="24">
        <v>83750</v>
      </c>
      <c r="H74" s="5" t="s">
        <v>210</v>
      </c>
      <c r="I74" s="9">
        <f ca="1">(TODAY()-Staff[[#This Row],[Date Joined]])/365</f>
        <v>2.7835616438356166</v>
      </c>
      <c r="J74" s="24">
        <f ca="1">ROUNDUP(IF(Staff[[#This Row],[Tenure]]&gt;2,3%,2%)*Staff[[#This Row],[Salary]],0)</f>
        <v>2513</v>
      </c>
      <c r="K74" s="29">
        <f>_xlfn.XLOOKUP(Staff[[#This Row],[Rating]],Mapping!$B$2:$B$6,Mapping!$C$2:$C$6)</f>
        <v>3</v>
      </c>
    </row>
    <row r="75" spans="1:11" x14ac:dyDescent="0.25">
      <c r="A75" t="s">
        <v>145</v>
      </c>
      <c r="B75" s="5" t="s">
        <v>16</v>
      </c>
      <c r="C75">
        <v>25</v>
      </c>
      <c r="D75" s="5" t="s">
        <v>11</v>
      </c>
      <c r="E75" s="7">
        <v>44633</v>
      </c>
      <c r="F75" s="5" t="s">
        <v>24</v>
      </c>
      <c r="G75" s="24">
        <v>80700</v>
      </c>
      <c r="H75" s="5" t="s">
        <v>208</v>
      </c>
      <c r="I75" s="9">
        <f ca="1">(TODAY()-Staff[[#This Row],[Date Joined]])/365</f>
        <v>2.9287671232876713</v>
      </c>
      <c r="J75" s="24">
        <f ca="1">ROUNDUP(IF(Staff[[#This Row],[Tenure]]&gt;2,3%,2%)*Staff[[#This Row],[Salary]],0)</f>
        <v>2421</v>
      </c>
      <c r="K75" s="29">
        <f>_xlfn.XLOOKUP(Staff[[#This Row],[Rating]],Mapping!$B$2:$B$6,Mapping!$C$2:$C$6)</f>
        <v>4</v>
      </c>
    </row>
    <row r="76" spans="1:11" x14ac:dyDescent="0.25">
      <c r="A76" t="s">
        <v>67</v>
      </c>
      <c r="B76" s="5" t="s">
        <v>16</v>
      </c>
      <c r="C76">
        <v>25</v>
      </c>
      <c r="D76" s="5" t="s">
        <v>11</v>
      </c>
      <c r="E76" s="7">
        <v>44694</v>
      </c>
      <c r="F76" s="5" t="s">
        <v>24</v>
      </c>
      <c r="G76" s="24">
        <v>80700</v>
      </c>
      <c r="H76" s="5" t="s">
        <v>210</v>
      </c>
      <c r="I76" s="9">
        <f ca="1">(TODAY()-Staff[[#This Row],[Date Joined]])/365</f>
        <v>2.7616438356164386</v>
      </c>
      <c r="J76" s="24">
        <f ca="1">ROUNDUP(IF(Staff[[#This Row],[Tenure]]&gt;2,3%,2%)*Staff[[#This Row],[Salary]],0)</f>
        <v>2421</v>
      </c>
      <c r="K76" s="29">
        <f>_xlfn.XLOOKUP(Staff[[#This Row],[Rating]],Mapping!$B$2:$B$6,Mapping!$C$2:$C$6)</f>
        <v>4</v>
      </c>
    </row>
    <row r="77" spans="1:11" x14ac:dyDescent="0.25">
      <c r="A77" t="s">
        <v>130</v>
      </c>
      <c r="B77" s="5" t="s">
        <v>9</v>
      </c>
      <c r="C77">
        <v>20</v>
      </c>
      <c r="D77" s="5" t="s">
        <v>14</v>
      </c>
      <c r="E77" s="7">
        <v>44683</v>
      </c>
      <c r="F77" s="5" t="s">
        <v>13</v>
      </c>
      <c r="G77" s="24">
        <v>79570</v>
      </c>
      <c r="H77" s="5" t="s">
        <v>208</v>
      </c>
      <c r="I77" s="9">
        <f ca="1">(TODAY()-Staff[[#This Row],[Date Joined]])/365</f>
        <v>2.7917808219178082</v>
      </c>
      <c r="J77" s="24">
        <f ca="1">ROUNDUP(IF(Staff[[#This Row],[Tenure]]&gt;2,3%,2%)*Staff[[#This Row],[Salary]],0)</f>
        <v>2388</v>
      </c>
      <c r="K77" s="29">
        <f>_xlfn.XLOOKUP(Staff[[#This Row],[Rating]],Mapping!$B$2:$B$6,Mapping!$C$2:$C$6)</f>
        <v>3</v>
      </c>
    </row>
    <row r="78" spans="1:11" x14ac:dyDescent="0.25">
      <c r="A78" t="s">
        <v>65</v>
      </c>
      <c r="B78" s="5" t="s">
        <v>9</v>
      </c>
      <c r="C78">
        <v>20</v>
      </c>
      <c r="D78" s="5" t="s">
        <v>14</v>
      </c>
      <c r="E78" s="7">
        <v>44744</v>
      </c>
      <c r="F78" s="5" t="s">
        <v>13</v>
      </c>
      <c r="G78" s="24">
        <v>79570</v>
      </c>
      <c r="H78" s="5" t="s">
        <v>210</v>
      </c>
      <c r="I78" s="9">
        <f ca="1">(TODAY()-Staff[[#This Row],[Date Joined]])/365</f>
        <v>2.6246575342465754</v>
      </c>
      <c r="J78" s="24">
        <f ca="1">ROUNDUP(IF(Staff[[#This Row],[Tenure]]&gt;2,3%,2%)*Staff[[#This Row],[Salary]],0)</f>
        <v>2388</v>
      </c>
      <c r="K78" s="29">
        <f>_xlfn.XLOOKUP(Staff[[#This Row],[Rating]],Mapping!$B$2:$B$6,Mapping!$C$2:$C$6)</f>
        <v>3</v>
      </c>
    </row>
    <row r="79" spans="1:11" x14ac:dyDescent="0.25">
      <c r="A79" t="s">
        <v>198</v>
      </c>
      <c r="B79" s="5" t="s">
        <v>16</v>
      </c>
      <c r="C79">
        <v>36</v>
      </c>
      <c r="D79" s="5" t="s">
        <v>14</v>
      </c>
      <c r="E79" s="7">
        <v>44433</v>
      </c>
      <c r="F79" s="5" t="s">
        <v>10</v>
      </c>
      <c r="G79" s="24">
        <v>78540</v>
      </c>
      <c r="H79" s="5" t="s">
        <v>208</v>
      </c>
      <c r="I79" s="9">
        <f ca="1">(TODAY()-Staff[[#This Row],[Date Joined]])/365</f>
        <v>3.4767123287671233</v>
      </c>
      <c r="J79" s="24">
        <f ca="1">ROUNDUP(IF(Staff[[#This Row],[Tenure]]&gt;2,3%,2%)*Staff[[#This Row],[Salary]],0)</f>
        <v>2357</v>
      </c>
      <c r="K79" s="29">
        <f>_xlfn.XLOOKUP(Staff[[#This Row],[Rating]],Mapping!$B$2:$B$6,Mapping!$C$2:$C$6)</f>
        <v>3</v>
      </c>
    </row>
    <row r="80" spans="1:11" x14ac:dyDescent="0.25">
      <c r="A80" t="s">
        <v>52</v>
      </c>
      <c r="B80" s="5" t="s">
        <v>16</v>
      </c>
      <c r="C80">
        <v>36</v>
      </c>
      <c r="D80" s="5" t="s">
        <v>14</v>
      </c>
      <c r="E80" s="7">
        <v>44494</v>
      </c>
      <c r="F80" s="5" t="s">
        <v>10</v>
      </c>
      <c r="G80" s="24">
        <v>78540</v>
      </c>
      <c r="H80" s="5" t="s">
        <v>210</v>
      </c>
      <c r="I80" s="9">
        <f ca="1">(TODAY()-Staff[[#This Row],[Date Joined]])/365</f>
        <v>3.3095890410958906</v>
      </c>
      <c r="J80" s="24">
        <f ca="1">ROUNDUP(IF(Staff[[#This Row],[Tenure]]&gt;2,3%,2%)*Staff[[#This Row],[Salary]],0)</f>
        <v>2357</v>
      </c>
      <c r="K80" s="29">
        <f>_xlfn.XLOOKUP(Staff[[#This Row],[Rating]],Mapping!$B$2:$B$6,Mapping!$C$2:$C$6)</f>
        <v>3</v>
      </c>
    </row>
    <row r="81" spans="1:11" x14ac:dyDescent="0.25">
      <c r="A81" t="s">
        <v>188</v>
      </c>
      <c r="B81" s="5" t="s">
        <v>16</v>
      </c>
      <c r="C81">
        <v>36</v>
      </c>
      <c r="D81" s="5" t="s">
        <v>14</v>
      </c>
      <c r="E81" s="7">
        <v>44468</v>
      </c>
      <c r="F81" s="5" t="s">
        <v>13</v>
      </c>
      <c r="G81" s="24">
        <v>78390</v>
      </c>
      <c r="H81" s="5" t="s">
        <v>208</v>
      </c>
      <c r="I81" s="9">
        <f ca="1">(TODAY()-Staff[[#This Row],[Date Joined]])/365</f>
        <v>3.3808219178082193</v>
      </c>
      <c r="J81" s="24">
        <f ca="1">ROUNDUP(IF(Staff[[#This Row],[Tenure]]&gt;2,3%,2%)*Staff[[#This Row],[Salary]],0)</f>
        <v>2352</v>
      </c>
      <c r="K81" s="29">
        <f>_xlfn.XLOOKUP(Staff[[#This Row],[Rating]],Mapping!$B$2:$B$6,Mapping!$C$2:$C$6)</f>
        <v>3</v>
      </c>
    </row>
    <row r="82" spans="1:11" x14ac:dyDescent="0.25">
      <c r="A82" t="s">
        <v>60</v>
      </c>
      <c r="B82" s="5" t="s">
        <v>16</v>
      </c>
      <c r="C82">
        <v>36</v>
      </c>
      <c r="D82" s="5" t="s">
        <v>14</v>
      </c>
      <c r="E82" s="7">
        <v>44529</v>
      </c>
      <c r="F82" s="5" t="s">
        <v>13</v>
      </c>
      <c r="G82" s="24">
        <v>78390</v>
      </c>
      <c r="H82" s="5" t="s">
        <v>210</v>
      </c>
      <c r="I82" s="9">
        <f ca="1">(TODAY()-Staff[[#This Row],[Date Joined]])/365</f>
        <v>3.2136986301369861</v>
      </c>
      <c r="J82" s="24">
        <f ca="1">ROUNDUP(IF(Staff[[#This Row],[Tenure]]&gt;2,3%,2%)*Staff[[#This Row],[Salary]],0)</f>
        <v>2352</v>
      </c>
      <c r="K82" s="29">
        <f>_xlfn.XLOOKUP(Staff[[#This Row],[Rating]],Mapping!$B$2:$B$6,Mapping!$C$2:$C$6)</f>
        <v>3</v>
      </c>
    </row>
    <row r="83" spans="1:11" x14ac:dyDescent="0.25">
      <c r="A83" t="s">
        <v>131</v>
      </c>
      <c r="B83" s="5" t="s">
        <v>16</v>
      </c>
      <c r="C83">
        <v>22</v>
      </c>
      <c r="D83" s="5" t="s">
        <v>11</v>
      </c>
      <c r="E83" s="7">
        <v>44388</v>
      </c>
      <c r="F83" s="5" t="s">
        <v>13</v>
      </c>
      <c r="G83" s="24">
        <v>76900</v>
      </c>
      <c r="H83" s="5" t="s">
        <v>208</v>
      </c>
      <c r="I83" s="9">
        <f ca="1">(TODAY()-Staff[[#This Row],[Date Joined]])/365</f>
        <v>3.6</v>
      </c>
      <c r="J83" s="24">
        <f ca="1">ROUNDUP(IF(Staff[[#This Row],[Tenure]]&gt;2,3%,2%)*Staff[[#This Row],[Salary]],0)</f>
        <v>2307</v>
      </c>
      <c r="K83" s="29">
        <f>_xlfn.XLOOKUP(Staff[[#This Row],[Rating]],Mapping!$B$2:$B$6,Mapping!$C$2:$C$6)</f>
        <v>4</v>
      </c>
    </row>
    <row r="84" spans="1:11" x14ac:dyDescent="0.25">
      <c r="A84" t="s">
        <v>79</v>
      </c>
      <c r="B84" s="5" t="s">
        <v>16</v>
      </c>
      <c r="C84">
        <v>22</v>
      </c>
      <c r="D84" s="5" t="s">
        <v>11</v>
      </c>
      <c r="E84" s="7">
        <v>44450</v>
      </c>
      <c r="F84" s="5" t="s">
        <v>13</v>
      </c>
      <c r="G84" s="24">
        <v>76900</v>
      </c>
      <c r="H84" s="5" t="s">
        <v>210</v>
      </c>
      <c r="I84" s="9">
        <f ca="1">(TODAY()-Staff[[#This Row],[Date Joined]])/365</f>
        <v>3.43013698630137</v>
      </c>
      <c r="J84" s="24">
        <f ca="1">ROUNDUP(IF(Staff[[#This Row],[Tenure]]&gt;2,3%,2%)*Staff[[#This Row],[Salary]],0)</f>
        <v>2307</v>
      </c>
      <c r="K84" s="29">
        <f>_xlfn.XLOOKUP(Staff[[#This Row],[Rating]],Mapping!$B$2:$B$6,Mapping!$C$2:$C$6)</f>
        <v>4</v>
      </c>
    </row>
    <row r="85" spans="1:11" x14ac:dyDescent="0.25">
      <c r="A85" t="s">
        <v>162</v>
      </c>
      <c r="B85" s="5" t="s">
        <v>16</v>
      </c>
      <c r="C85">
        <v>28</v>
      </c>
      <c r="D85" s="5" t="s">
        <v>14</v>
      </c>
      <c r="E85" s="7">
        <v>44124</v>
      </c>
      <c r="F85" s="5" t="s">
        <v>18</v>
      </c>
      <c r="G85" s="24">
        <v>75970</v>
      </c>
      <c r="H85" s="5" t="s">
        <v>208</v>
      </c>
      <c r="I85" s="9">
        <f ca="1">(TODAY()-Staff[[#This Row],[Date Joined]])/365</f>
        <v>4.3232876712328769</v>
      </c>
      <c r="J85" s="24">
        <f ca="1">ROUNDUP(IF(Staff[[#This Row],[Tenure]]&gt;2,3%,2%)*Staff[[#This Row],[Salary]],0)</f>
        <v>2280</v>
      </c>
      <c r="K85" s="29">
        <f>_xlfn.XLOOKUP(Staff[[#This Row],[Rating]],Mapping!$B$2:$B$6,Mapping!$C$2:$C$6)</f>
        <v>3</v>
      </c>
    </row>
    <row r="86" spans="1:11" x14ac:dyDescent="0.25">
      <c r="A86" t="s">
        <v>47</v>
      </c>
      <c r="B86" s="5" t="s">
        <v>16</v>
      </c>
      <c r="C86">
        <v>28</v>
      </c>
      <c r="D86" s="5" t="s">
        <v>14</v>
      </c>
      <c r="E86" s="7">
        <v>44185</v>
      </c>
      <c r="F86" s="5" t="s">
        <v>18</v>
      </c>
      <c r="G86" s="24">
        <v>75970</v>
      </c>
      <c r="H86" s="5" t="s">
        <v>210</v>
      </c>
      <c r="I86" s="9">
        <f ca="1">(TODAY()-Staff[[#This Row],[Date Joined]])/365</f>
        <v>4.1561643835616442</v>
      </c>
      <c r="J86" s="24">
        <f ca="1">ROUNDUP(IF(Staff[[#This Row],[Tenure]]&gt;2,3%,2%)*Staff[[#This Row],[Salary]],0)</f>
        <v>2280</v>
      </c>
      <c r="K86" s="29">
        <f>_xlfn.XLOOKUP(Staff[[#This Row],[Rating]],Mapping!$B$2:$B$6,Mapping!$C$2:$C$6)</f>
        <v>3</v>
      </c>
    </row>
    <row r="87" spans="1:11" x14ac:dyDescent="0.25">
      <c r="A87" t="s">
        <v>152</v>
      </c>
      <c r="B87" s="5" t="s">
        <v>9</v>
      </c>
      <c r="C87">
        <v>21</v>
      </c>
      <c r="D87" s="5" t="s">
        <v>14</v>
      </c>
      <c r="E87" s="7">
        <v>44180</v>
      </c>
      <c r="F87" s="5" t="s">
        <v>27</v>
      </c>
      <c r="G87" s="24">
        <v>75880</v>
      </c>
      <c r="H87" s="5" t="s">
        <v>208</v>
      </c>
      <c r="I87" s="9">
        <f ca="1">(TODAY()-Staff[[#This Row],[Date Joined]])/365</f>
        <v>4.1698630136986301</v>
      </c>
      <c r="J87" s="24">
        <f ca="1">ROUNDUP(IF(Staff[[#This Row],[Tenure]]&gt;2,3%,2%)*Staff[[#This Row],[Salary]],0)</f>
        <v>2277</v>
      </c>
      <c r="K87" s="29">
        <f>_xlfn.XLOOKUP(Staff[[#This Row],[Rating]],Mapping!$B$2:$B$6,Mapping!$C$2:$C$6)</f>
        <v>3</v>
      </c>
    </row>
    <row r="88" spans="1:11" x14ac:dyDescent="0.25">
      <c r="A88" t="s">
        <v>37</v>
      </c>
      <c r="B88" s="5" t="s">
        <v>9</v>
      </c>
      <c r="C88">
        <v>21</v>
      </c>
      <c r="D88" s="5" t="s">
        <v>14</v>
      </c>
      <c r="E88" s="7">
        <v>44242</v>
      </c>
      <c r="F88" s="5" t="s">
        <v>27</v>
      </c>
      <c r="G88" s="24">
        <v>75880</v>
      </c>
      <c r="H88" s="5" t="s">
        <v>210</v>
      </c>
      <c r="I88" s="9">
        <f ca="1">(TODAY()-Staff[[#This Row],[Date Joined]])/365</f>
        <v>4</v>
      </c>
      <c r="J88" s="24">
        <f ca="1">ROUNDUP(IF(Staff[[#This Row],[Tenure]]&gt;2,3%,2%)*Staff[[#This Row],[Salary]],0)</f>
        <v>2277</v>
      </c>
      <c r="K88" s="29">
        <f>_xlfn.XLOOKUP(Staff[[#This Row],[Rating]],Mapping!$B$2:$B$6,Mapping!$C$2:$C$6)</f>
        <v>3</v>
      </c>
    </row>
    <row r="89" spans="1:11" x14ac:dyDescent="0.25">
      <c r="A89" t="s">
        <v>196</v>
      </c>
      <c r="B89" s="5" t="s">
        <v>16</v>
      </c>
      <c r="C89">
        <v>33</v>
      </c>
      <c r="D89" s="5" t="s">
        <v>50</v>
      </c>
      <c r="E89" s="7">
        <v>44313</v>
      </c>
      <c r="F89" s="5" t="s">
        <v>24</v>
      </c>
      <c r="G89" s="24">
        <v>75480</v>
      </c>
      <c r="H89" s="5" t="s">
        <v>208</v>
      </c>
      <c r="I89" s="9">
        <f ca="1">(TODAY()-Staff[[#This Row],[Date Joined]])/365</f>
        <v>3.8054794520547945</v>
      </c>
      <c r="J89" s="24">
        <f ca="1">ROUNDUP(IF(Staff[[#This Row],[Tenure]]&gt;2,3%,2%)*Staff[[#This Row],[Salary]],0)</f>
        <v>2265</v>
      </c>
      <c r="K89" s="29">
        <f>_xlfn.XLOOKUP(Staff[[#This Row],[Rating]],Mapping!$B$2:$B$6,Mapping!$C$2:$C$6)</f>
        <v>1</v>
      </c>
    </row>
    <row r="90" spans="1:11" x14ac:dyDescent="0.25">
      <c r="A90" t="s">
        <v>49</v>
      </c>
      <c r="B90" s="5" t="s">
        <v>16</v>
      </c>
      <c r="C90">
        <v>33</v>
      </c>
      <c r="D90" s="5" t="s">
        <v>50</v>
      </c>
      <c r="E90" s="7">
        <v>44374</v>
      </c>
      <c r="F90" s="5" t="s">
        <v>24</v>
      </c>
      <c r="G90" s="24">
        <v>75480</v>
      </c>
      <c r="H90" s="5" t="s">
        <v>210</v>
      </c>
      <c r="I90" s="9">
        <f ca="1">(TODAY()-Staff[[#This Row],[Date Joined]])/365</f>
        <v>3.6383561643835618</v>
      </c>
      <c r="J90" s="24">
        <f ca="1">ROUNDUP(IF(Staff[[#This Row],[Tenure]]&gt;2,3%,2%)*Staff[[#This Row],[Salary]],0)</f>
        <v>2265</v>
      </c>
      <c r="K90" s="29">
        <f>_xlfn.XLOOKUP(Staff[[#This Row],[Rating]],Mapping!$B$2:$B$6,Mapping!$C$2:$C$6)</f>
        <v>1</v>
      </c>
    </row>
    <row r="91" spans="1:11" x14ac:dyDescent="0.25">
      <c r="A91" t="s">
        <v>156</v>
      </c>
      <c r="B91" s="5" t="s">
        <v>16</v>
      </c>
      <c r="C91">
        <v>33</v>
      </c>
      <c r="D91" s="5" t="s">
        <v>14</v>
      </c>
      <c r="E91" s="7">
        <v>44253</v>
      </c>
      <c r="F91" s="5" t="s">
        <v>24</v>
      </c>
      <c r="G91" s="24">
        <v>75280</v>
      </c>
      <c r="H91" s="5" t="s">
        <v>208</v>
      </c>
      <c r="I91" s="9">
        <f ca="1">(TODAY()-Staff[[#This Row],[Date Joined]])/365</f>
        <v>3.9698630136986299</v>
      </c>
      <c r="J91" s="24">
        <f ca="1">ROUNDUP(IF(Staff[[#This Row],[Tenure]]&gt;2,3%,2%)*Staff[[#This Row],[Salary]],0)</f>
        <v>2259</v>
      </c>
      <c r="K91" s="29">
        <f>_xlfn.XLOOKUP(Staff[[#This Row],[Rating]],Mapping!$B$2:$B$6,Mapping!$C$2:$C$6)</f>
        <v>3</v>
      </c>
    </row>
    <row r="92" spans="1:11" x14ac:dyDescent="0.25">
      <c r="A92" t="s">
        <v>106</v>
      </c>
      <c r="B92" s="5" t="s">
        <v>16</v>
      </c>
      <c r="C92">
        <v>33</v>
      </c>
      <c r="D92" s="5" t="s">
        <v>14</v>
      </c>
      <c r="E92" s="7">
        <v>44312</v>
      </c>
      <c r="F92" s="5" t="s">
        <v>24</v>
      </c>
      <c r="G92" s="24">
        <v>75280</v>
      </c>
      <c r="H92" s="5" t="s">
        <v>210</v>
      </c>
      <c r="I92" s="9">
        <f ca="1">(TODAY()-Staff[[#This Row],[Date Joined]])/365</f>
        <v>3.8082191780821919</v>
      </c>
      <c r="J92" s="24">
        <f ca="1">ROUNDUP(IF(Staff[[#This Row],[Tenure]]&gt;2,3%,2%)*Staff[[#This Row],[Salary]],0)</f>
        <v>2259</v>
      </c>
      <c r="K92" s="29">
        <f>_xlfn.XLOOKUP(Staff[[#This Row],[Rating]],Mapping!$B$2:$B$6,Mapping!$C$2:$C$6)</f>
        <v>3</v>
      </c>
    </row>
    <row r="93" spans="1:11" x14ac:dyDescent="0.25">
      <c r="A93" t="s">
        <v>135</v>
      </c>
      <c r="B93" s="5" t="s">
        <v>16</v>
      </c>
      <c r="C93">
        <v>42</v>
      </c>
      <c r="D93" s="5" t="s">
        <v>44</v>
      </c>
      <c r="E93" s="7">
        <v>44718</v>
      </c>
      <c r="F93" s="5" t="s">
        <v>13</v>
      </c>
      <c r="G93" s="24">
        <v>75000</v>
      </c>
      <c r="H93" s="5" t="s">
        <v>208</v>
      </c>
      <c r="I93" s="9">
        <f ca="1">(TODAY()-Staff[[#This Row],[Date Joined]])/365</f>
        <v>2.6958904109589041</v>
      </c>
      <c r="J93" s="24">
        <f ca="1">ROUNDUP(IF(Staff[[#This Row],[Tenure]]&gt;2,3%,2%)*Staff[[#This Row],[Salary]],0)</f>
        <v>2250</v>
      </c>
      <c r="K93" s="29">
        <f>_xlfn.XLOOKUP(Staff[[#This Row],[Rating]],Mapping!$B$2:$B$6,Mapping!$C$2:$C$6)</f>
        <v>5</v>
      </c>
    </row>
    <row r="94" spans="1:11" x14ac:dyDescent="0.25">
      <c r="A94" t="s">
        <v>43</v>
      </c>
      <c r="B94" s="5" t="s">
        <v>16</v>
      </c>
      <c r="C94">
        <v>42</v>
      </c>
      <c r="D94" s="5" t="s">
        <v>44</v>
      </c>
      <c r="E94" s="7">
        <v>44779</v>
      </c>
      <c r="F94" s="5" t="s">
        <v>13</v>
      </c>
      <c r="G94" s="24">
        <v>75000</v>
      </c>
      <c r="H94" s="5" t="s">
        <v>210</v>
      </c>
      <c r="I94" s="9">
        <f ca="1">(TODAY()-Staff[[#This Row],[Date Joined]])/365</f>
        <v>2.5287671232876714</v>
      </c>
      <c r="J94" s="24">
        <f ca="1">ROUNDUP(IF(Staff[[#This Row],[Tenure]]&gt;2,3%,2%)*Staff[[#This Row],[Salary]],0)</f>
        <v>2250</v>
      </c>
      <c r="K94" s="29">
        <f>_xlfn.XLOOKUP(Staff[[#This Row],[Rating]],Mapping!$B$2:$B$6,Mapping!$C$2:$C$6)</f>
        <v>5</v>
      </c>
    </row>
    <row r="95" spans="1:11" x14ac:dyDescent="0.25">
      <c r="A95" t="s">
        <v>120</v>
      </c>
      <c r="B95" s="5" t="s">
        <v>9</v>
      </c>
      <c r="C95">
        <v>33</v>
      </c>
      <c r="D95" s="5" t="s">
        <v>14</v>
      </c>
      <c r="E95" s="7">
        <v>44324</v>
      </c>
      <c r="F95" s="5" t="s">
        <v>10</v>
      </c>
      <c r="G95" s="24">
        <v>74550</v>
      </c>
      <c r="H95" s="5" t="s">
        <v>208</v>
      </c>
      <c r="I95" s="9">
        <f ca="1">(TODAY()-Staff[[#This Row],[Date Joined]])/365</f>
        <v>3.7753424657534245</v>
      </c>
      <c r="J95" s="24">
        <f ca="1">ROUNDUP(IF(Staff[[#This Row],[Tenure]]&gt;2,3%,2%)*Staff[[#This Row],[Salary]],0)</f>
        <v>2237</v>
      </c>
      <c r="K95" s="29">
        <f>_xlfn.XLOOKUP(Staff[[#This Row],[Rating]],Mapping!$B$2:$B$6,Mapping!$C$2:$C$6)</f>
        <v>3</v>
      </c>
    </row>
    <row r="96" spans="1:11" x14ac:dyDescent="0.25">
      <c r="A96" t="s">
        <v>107</v>
      </c>
      <c r="B96" s="5" t="s">
        <v>9</v>
      </c>
      <c r="C96">
        <v>33</v>
      </c>
      <c r="D96" s="5" t="s">
        <v>14</v>
      </c>
      <c r="E96" s="7">
        <v>44385</v>
      </c>
      <c r="F96" s="5" t="s">
        <v>10</v>
      </c>
      <c r="G96" s="24">
        <v>74550</v>
      </c>
      <c r="H96" s="5" t="s">
        <v>210</v>
      </c>
      <c r="I96" s="9">
        <f ca="1">(TODAY()-Staff[[#This Row],[Date Joined]])/365</f>
        <v>3.6082191780821917</v>
      </c>
      <c r="J96" s="24">
        <f ca="1">ROUNDUP(IF(Staff[[#This Row],[Tenure]]&gt;2,3%,2%)*Staff[[#This Row],[Salary]],0)</f>
        <v>2237</v>
      </c>
      <c r="K96" s="29">
        <f>_xlfn.XLOOKUP(Staff[[#This Row],[Rating]],Mapping!$B$2:$B$6,Mapping!$C$2:$C$6)</f>
        <v>3</v>
      </c>
    </row>
    <row r="97" spans="1:11" x14ac:dyDescent="0.25">
      <c r="A97" t="s">
        <v>178</v>
      </c>
      <c r="B97" s="5" t="s">
        <v>9</v>
      </c>
      <c r="C97">
        <v>36</v>
      </c>
      <c r="D97" s="5" t="s">
        <v>14</v>
      </c>
      <c r="E97" s="7">
        <v>44272</v>
      </c>
      <c r="F97" s="5" t="s">
        <v>18</v>
      </c>
      <c r="G97" s="24">
        <v>71380</v>
      </c>
      <c r="H97" s="5" t="s">
        <v>208</v>
      </c>
      <c r="I97" s="9">
        <f ca="1">(TODAY()-Staff[[#This Row],[Date Joined]])/365</f>
        <v>3.9178082191780823</v>
      </c>
      <c r="J97" s="24">
        <f ca="1">ROUNDUP(IF(Staff[[#This Row],[Tenure]]&gt;2,3%,2%)*Staff[[#This Row],[Salary]],0)</f>
        <v>2142</v>
      </c>
      <c r="K97" s="29">
        <f>_xlfn.XLOOKUP(Staff[[#This Row],[Rating]],Mapping!$B$2:$B$6,Mapping!$C$2:$C$6)</f>
        <v>3</v>
      </c>
    </row>
    <row r="98" spans="1:11" x14ac:dyDescent="0.25">
      <c r="A98" t="s">
        <v>74</v>
      </c>
      <c r="B98" s="5" t="s">
        <v>9</v>
      </c>
      <c r="C98">
        <v>36</v>
      </c>
      <c r="D98" s="5" t="s">
        <v>14</v>
      </c>
      <c r="E98" s="7">
        <v>44333</v>
      </c>
      <c r="F98" s="5" t="s">
        <v>18</v>
      </c>
      <c r="G98" s="24">
        <v>71380</v>
      </c>
      <c r="H98" s="5" t="s">
        <v>210</v>
      </c>
      <c r="I98" s="9">
        <f ca="1">(TODAY()-Staff[[#This Row],[Date Joined]])/365</f>
        <v>3.7506849315068491</v>
      </c>
      <c r="J98" s="24">
        <f ca="1">ROUNDUP(IF(Staff[[#This Row],[Tenure]]&gt;2,3%,2%)*Staff[[#This Row],[Salary]],0)</f>
        <v>2142</v>
      </c>
      <c r="K98" s="29">
        <f>_xlfn.XLOOKUP(Staff[[#This Row],[Rating]],Mapping!$B$2:$B$6,Mapping!$C$2:$C$6)</f>
        <v>3</v>
      </c>
    </row>
    <row r="99" spans="1:11" x14ac:dyDescent="0.25">
      <c r="A99" t="s">
        <v>200</v>
      </c>
      <c r="B99" s="5" t="s">
        <v>9</v>
      </c>
      <c r="C99">
        <v>46</v>
      </c>
      <c r="D99" s="5" t="s">
        <v>14</v>
      </c>
      <c r="E99" s="7">
        <v>44697</v>
      </c>
      <c r="F99" s="5" t="s">
        <v>13</v>
      </c>
      <c r="G99" s="24">
        <v>70610</v>
      </c>
      <c r="H99" s="5" t="s">
        <v>208</v>
      </c>
      <c r="I99" s="9">
        <f ca="1">(TODAY()-Staff[[#This Row],[Date Joined]])/365</f>
        <v>2.7534246575342465</v>
      </c>
      <c r="J99" s="24">
        <f ca="1">ROUNDUP(IF(Staff[[#This Row],[Tenure]]&gt;2,3%,2%)*Staff[[#This Row],[Salary]],0)</f>
        <v>2119</v>
      </c>
      <c r="K99" s="29">
        <f>_xlfn.XLOOKUP(Staff[[#This Row],[Rating]],Mapping!$B$2:$B$6,Mapping!$C$2:$C$6)</f>
        <v>3</v>
      </c>
    </row>
    <row r="100" spans="1:11" x14ac:dyDescent="0.25">
      <c r="A100" t="s">
        <v>12</v>
      </c>
      <c r="B100" s="5" t="s">
        <v>9</v>
      </c>
      <c r="C100">
        <v>46</v>
      </c>
      <c r="D100" s="5" t="s">
        <v>14</v>
      </c>
      <c r="E100" s="7">
        <v>44758</v>
      </c>
      <c r="F100" s="5" t="s">
        <v>13</v>
      </c>
      <c r="G100" s="24">
        <v>70610</v>
      </c>
      <c r="H100" s="5" t="s">
        <v>210</v>
      </c>
      <c r="I100" s="9">
        <f ca="1">(TODAY()-Staff[[#This Row],[Date Joined]])/365</f>
        <v>2.5863013698630137</v>
      </c>
      <c r="J100" s="24">
        <f ca="1">ROUNDUP(IF(Staff[[#This Row],[Tenure]]&gt;2,3%,2%)*Staff[[#This Row],[Salary]],0)</f>
        <v>2119</v>
      </c>
      <c r="K100" s="29">
        <f>_xlfn.XLOOKUP(Staff[[#This Row],[Rating]],Mapping!$B$2:$B$6,Mapping!$C$2:$C$6)</f>
        <v>3</v>
      </c>
    </row>
    <row r="101" spans="1:11" x14ac:dyDescent="0.25">
      <c r="A101" t="s">
        <v>161</v>
      </c>
      <c r="B101" s="5" t="s">
        <v>9</v>
      </c>
      <c r="C101">
        <v>42</v>
      </c>
      <c r="D101" s="5" t="s">
        <v>19</v>
      </c>
      <c r="E101" s="7">
        <v>44670</v>
      </c>
      <c r="F101" s="5" t="s">
        <v>18</v>
      </c>
      <c r="G101" s="24">
        <v>70270</v>
      </c>
      <c r="H101" s="5" t="s">
        <v>208</v>
      </c>
      <c r="I101" s="9">
        <f ca="1">(TODAY()-Staff[[#This Row],[Date Joined]])/365</f>
        <v>2.8273972602739725</v>
      </c>
      <c r="J101" s="24">
        <f ca="1">ROUNDUP(IF(Staff[[#This Row],[Tenure]]&gt;2,3%,2%)*Staff[[#This Row],[Salary]],0)</f>
        <v>2109</v>
      </c>
      <c r="K101" s="29">
        <f>_xlfn.XLOOKUP(Staff[[#This Row],[Rating]],Mapping!$B$2:$B$6,Mapping!$C$2:$C$6)</f>
        <v>2</v>
      </c>
    </row>
    <row r="102" spans="1:11" x14ac:dyDescent="0.25">
      <c r="A102" t="s">
        <v>109</v>
      </c>
      <c r="B102" s="5" t="s">
        <v>9</v>
      </c>
      <c r="C102">
        <v>42</v>
      </c>
      <c r="D102" s="5" t="s">
        <v>19</v>
      </c>
      <c r="E102" s="7">
        <v>44731</v>
      </c>
      <c r="F102" s="5" t="s">
        <v>18</v>
      </c>
      <c r="G102" s="24">
        <v>70270</v>
      </c>
      <c r="H102" s="5" t="s">
        <v>210</v>
      </c>
      <c r="I102" s="9">
        <f ca="1">(TODAY()-Staff[[#This Row],[Date Joined]])/365</f>
        <v>2.6602739726027398</v>
      </c>
      <c r="J102" s="24">
        <f ca="1">ROUNDUP(IF(Staff[[#This Row],[Tenure]]&gt;2,3%,2%)*Staff[[#This Row],[Salary]],0)</f>
        <v>2109</v>
      </c>
      <c r="K102" s="29">
        <f>_xlfn.XLOOKUP(Staff[[#This Row],[Rating]],Mapping!$B$2:$B$6,Mapping!$C$2:$C$6)</f>
        <v>2</v>
      </c>
    </row>
    <row r="103" spans="1:11" x14ac:dyDescent="0.25">
      <c r="A103" t="s">
        <v>129</v>
      </c>
      <c r="B103" s="5" t="s">
        <v>9</v>
      </c>
      <c r="C103">
        <v>30</v>
      </c>
      <c r="D103" s="5" t="s">
        <v>14</v>
      </c>
      <c r="E103" s="7">
        <v>44789</v>
      </c>
      <c r="F103" s="5" t="s">
        <v>24</v>
      </c>
      <c r="G103" s="24">
        <v>69710</v>
      </c>
      <c r="H103" s="5" t="s">
        <v>208</v>
      </c>
      <c r="I103" s="9">
        <f ca="1">(TODAY()-Staff[[#This Row],[Date Joined]])/365</f>
        <v>2.5013698630136987</v>
      </c>
      <c r="J103" s="24">
        <f ca="1">ROUNDUP(IF(Staff[[#This Row],[Tenure]]&gt;2,3%,2%)*Staff[[#This Row],[Salary]],0)</f>
        <v>2092</v>
      </c>
      <c r="K103" s="29">
        <f>_xlfn.XLOOKUP(Staff[[#This Row],[Rating]],Mapping!$B$2:$B$6,Mapping!$C$2:$C$6)</f>
        <v>3</v>
      </c>
    </row>
    <row r="104" spans="1:11" x14ac:dyDescent="0.25">
      <c r="A104" t="s">
        <v>73</v>
      </c>
      <c r="B104" s="5" t="s">
        <v>9</v>
      </c>
      <c r="C104">
        <v>30</v>
      </c>
      <c r="D104" s="5" t="s">
        <v>14</v>
      </c>
      <c r="E104" s="7">
        <v>44850</v>
      </c>
      <c r="F104" s="5" t="s">
        <v>24</v>
      </c>
      <c r="G104" s="24">
        <v>69710</v>
      </c>
      <c r="H104" s="5" t="s">
        <v>210</v>
      </c>
      <c r="I104" s="9">
        <f ca="1">(TODAY()-Staff[[#This Row],[Date Joined]])/365</f>
        <v>2.3342465753424659</v>
      </c>
      <c r="J104" s="24">
        <f ca="1">ROUNDUP(IF(Staff[[#This Row],[Tenure]]&gt;2,3%,2%)*Staff[[#This Row],[Salary]],0)</f>
        <v>2092</v>
      </c>
      <c r="K104" s="29">
        <f>_xlfn.XLOOKUP(Staff[[#This Row],[Rating]],Mapping!$B$2:$B$6,Mapping!$C$2:$C$6)</f>
        <v>3</v>
      </c>
    </row>
    <row r="105" spans="1:11" x14ac:dyDescent="0.25">
      <c r="A105" t="s">
        <v>184</v>
      </c>
      <c r="B105" s="5" t="s">
        <v>9</v>
      </c>
      <c r="C105">
        <v>30</v>
      </c>
      <c r="D105" s="5" t="s">
        <v>14</v>
      </c>
      <c r="E105" s="7">
        <v>44214</v>
      </c>
      <c r="F105" s="5" t="s">
        <v>24</v>
      </c>
      <c r="G105" s="24">
        <v>69120</v>
      </c>
      <c r="H105" s="5" t="s">
        <v>208</v>
      </c>
      <c r="I105" s="9">
        <f ca="1">(TODAY()-Staff[[#This Row],[Date Joined]])/365</f>
        <v>4.0767123287671234</v>
      </c>
      <c r="J105" s="24">
        <f ca="1">ROUNDUP(IF(Staff[[#This Row],[Tenure]]&gt;2,3%,2%)*Staff[[#This Row],[Salary]],0)</f>
        <v>2074</v>
      </c>
      <c r="K105" s="29">
        <f>_xlfn.XLOOKUP(Staff[[#This Row],[Rating]],Mapping!$B$2:$B$6,Mapping!$C$2:$C$6)</f>
        <v>3</v>
      </c>
    </row>
    <row r="106" spans="1:11" x14ac:dyDescent="0.25">
      <c r="A106" t="s">
        <v>77</v>
      </c>
      <c r="B106" s="5" t="s">
        <v>9</v>
      </c>
      <c r="C106">
        <v>30</v>
      </c>
      <c r="D106" s="5" t="s">
        <v>14</v>
      </c>
      <c r="E106" s="7">
        <v>44273</v>
      </c>
      <c r="F106" s="5" t="s">
        <v>24</v>
      </c>
      <c r="G106" s="24">
        <v>69120</v>
      </c>
      <c r="H106" s="5" t="s">
        <v>210</v>
      </c>
      <c r="I106" s="9">
        <f ca="1">(TODAY()-Staff[[#This Row],[Date Joined]])/365</f>
        <v>3.9150684931506849</v>
      </c>
      <c r="J106" s="24">
        <f ca="1">ROUNDUP(IF(Staff[[#This Row],[Tenure]]&gt;2,3%,2%)*Staff[[#This Row],[Salary]],0)</f>
        <v>2074</v>
      </c>
      <c r="K106" s="29">
        <f>_xlfn.XLOOKUP(Staff[[#This Row],[Rating]],Mapping!$B$2:$B$6,Mapping!$C$2:$C$6)</f>
        <v>3</v>
      </c>
    </row>
    <row r="107" spans="1:11" x14ac:dyDescent="0.25">
      <c r="A107" t="s">
        <v>182</v>
      </c>
      <c r="B107" s="5" t="s">
        <v>9</v>
      </c>
      <c r="C107">
        <v>37</v>
      </c>
      <c r="D107" s="5" t="s">
        <v>14</v>
      </c>
      <c r="E107" s="7">
        <v>44640</v>
      </c>
      <c r="F107" s="5" t="s">
        <v>24</v>
      </c>
      <c r="G107" s="24">
        <v>69070</v>
      </c>
      <c r="H107" s="5" t="s">
        <v>208</v>
      </c>
      <c r="I107" s="9">
        <f ca="1">(TODAY()-Staff[[#This Row],[Date Joined]])/365</f>
        <v>2.9095890410958902</v>
      </c>
      <c r="J107" s="24">
        <f ca="1">ROUNDUP(IF(Staff[[#This Row],[Tenure]]&gt;2,3%,2%)*Staff[[#This Row],[Salary]],0)</f>
        <v>2073</v>
      </c>
      <c r="K107" s="29">
        <f>_xlfn.XLOOKUP(Staff[[#This Row],[Rating]],Mapping!$B$2:$B$6,Mapping!$C$2:$C$6)</f>
        <v>3</v>
      </c>
    </row>
    <row r="108" spans="1:11" x14ac:dyDescent="0.25">
      <c r="A108" t="s">
        <v>30</v>
      </c>
      <c r="B108" s="5" t="s">
        <v>9</v>
      </c>
      <c r="C108">
        <v>37</v>
      </c>
      <c r="D108" s="5" t="s">
        <v>14</v>
      </c>
      <c r="E108" s="7">
        <v>44701</v>
      </c>
      <c r="F108" s="5" t="s">
        <v>24</v>
      </c>
      <c r="G108" s="24">
        <v>69070</v>
      </c>
      <c r="H108" s="5" t="s">
        <v>210</v>
      </c>
      <c r="I108" s="9">
        <f ca="1">(TODAY()-Staff[[#This Row],[Date Joined]])/365</f>
        <v>2.7424657534246575</v>
      </c>
      <c r="J108" s="24">
        <f ca="1">ROUNDUP(IF(Staff[[#This Row],[Tenure]]&gt;2,3%,2%)*Staff[[#This Row],[Salary]],0)</f>
        <v>2073</v>
      </c>
      <c r="K108" s="29">
        <f>_xlfn.XLOOKUP(Staff[[#This Row],[Rating]],Mapping!$B$2:$B$6,Mapping!$C$2:$C$6)</f>
        <v>3</v>
      </c>
    </row>
    <row r="109" spans="1:11" x14ac:dyDescent="0.25">
      <c r="A109" t="s">
        <v>172</v>
      </c>
      <c r="B109" s="5" t="s">
        <v>16</v>
      </c>
      <c r="C109">
        <v>20</v>
      </c>
      <c r="D109" s="5" t="s">
        <v>19</v>
      </c>
      <c r="E109" s="7">
        <v>44476</v>
      </c>
      <c r="F109" s="5" t="s">
        <v>10</v>
      </c>
      <c r="G109" s="24">
        <v>68900</v>
      </c>
      <c r="H109" s="5" t="s">
        <v>208</v>
      </c>
      <c r="I109" s="9">
        <f ca="1">(TODAY()-Staff[[#This Row],[Date Joined]])/365</f>
        <v>3.3589041095890413</v>
      </c>
      <c r="J109" s="24">
        <f ca="1">ROUNDUP(IF(Staff[[#This Row],[Tenure]]&gt;2,3%,2%)*Staff[[#This Row],[Salary]],0)</f>
        <v>2067</v>
      </c>
      <c r="K109" s="29">
        <f>_xlfn.XLOOKUP(Staff[[#This Row],[Rating]],Mapping!$B$2:$B$6,Mapping!$C$2:$C$6)</f>
        <v>2</v>
      </c>
    </row>
    <row r="110" spans="1:11" x14ac:dyDescent="0.25">
      <c r="A110" t="s">
        <v>66</v>
      </c>
      <c r="B110" s="5" t="s">
        <v>16</v>
      </c>
      <c r="C110">
        <v>20</v>
      </c>
      <c r="D110" s="5" t="s">
        <v>19</v>
      </c>
      <c r="E110" s="7">
        <v>44537</v>
      </c>
      <c r="F110" s="5" t="s">
        <v>10</v>
      </c>
      <c r="G110" s="24">
        <v>68900</v>
      </c>
      <c r="H110" s="5" t="s">
        <v>210</v>
      </c>
      <c r="I110" s="9">
        <f ca="1">(TODAY()-Staff[[#This Row],[Date Joined]])/365</f>
        <v>3.1917808219178081</v>
      </c>
      <c r="J110" s="24">
        <f ca="1">ROUNDUP(IF(Staff[[#This Row],[Tenure]]&gt;2,3%,2%)*Staff[[#This Row],[Salary]],0)</f>
        <v>2067</v>
      </c>
      <c r="K110" s="29">
        <f>_xlfn.XLOOKUP(Staff[[#This Row],[Rating]],Mapping!$B$2:$B$6,Mapping!$C$2:$C$6)</f>
        <v>2</v>
      </c>
    </row>
    <row r="111" spans="1:11" x14ac:dyDescent="0.25">
      <c r="A111" t="s">
        <v>191</v>
      </c>
      <c r="B111" s="5" t="s">
        <v>9</v>
      </c>
      <c r="C111">
        <v>30</v>
      </c>
      <c r="D111" s="5" t="s">
        <v>14</v>
      </c>
      <c r="E111" s="7">
        <v>44640</v>
      </c>
      <c r="F111" s="5" t="s">
        <v>13</v>
      </c>
      <c r="G111" s="24">
        <v>67950</v>
      </c>
      <c r="H111" s="5" t="s">
        <v>208</v>
      </c>
      <c r="I111" s="9">
        <f ca="1">(TODAY()-Staff[[#This Row],[Date Joined]])/365</f>
        <v>2.9095890410958902</v>
      </c>
      <c r="J111" s="24">
        <f ca="1">ROUNDUP(IF(Staff[[#This Row],[Tenure]]&gt;2,3%,2%)*Staff[[#This Row],[Salary]],0)</f>
        <v>2039</v>
      </c>
      <c r="K111" s="29">
        <f>_xlfn.XLOOKUP(Staff[[#This Row],[Rating]],Mapping!$B$2:$B$6,Mapping!$C$2:$C$6)</f>
        <v>3</v>
      </c>
    </row>
    <row r="112" spans="1:11" x14ac:dyDescent="0.25">
      <c r="A112" t="s">
        <v>108</v>
      </c>
      <c r="B112" s="5" t="s">
        <v>9</v>
      </c>
      <c r="C112">
        <v>30</v>
      </c>
      <c r="D112" s="5" t="s">
        <v>14</v>
      </c>
      <c r="E112" s="7">
        <v>44701</v>
      </c>
      <c r="F112" s="5" t="s">
        <v>13</v>
      </c>
      <c r="G112" s="24">
        <v>67950</v>
      </c>
      <c r="H112" s="5" t="s">
        <v>210</v>
      </c>
      <c r="I112" s="9">
        <f ca="1">(TODAY()-Staff[[#This Row],[Date Joined]])/365</f>
        <v>2.7424657534246575</v>
      </c>
      <c r="J112" s="24">
        <f ca="1">ROUNDUP(IF(Staff[[#This Row],[Tenure]]&gt;2,3%,2%)*Staff[[#This Row],[Salary]],0)</f>
        <v>2039</v>
      </c>
      <c r="K112" s="29">
        <f>_xlfn.XLOOKUP(Staff[[#This Row],[Rating]],Mapping!$B$2:$B$6,Mapping!$C$2:$C$6)</f>
        <v>3</v>
      </c>
    </row>
    <row r="113" spans="1:11" x14ac:dyDescent="0.25">
      <c r="A113" t="s">
        <v>183</v>
      </c>
      <c r="B113" s="5" t="s">
        <v>16</v>
      </c>
      <c r="C113">
        <v>30</v>
      </c>
      <c r="D113" s="5" t="s">
        <v>19</v>
      </c>
      <c r="E113" s="7">
        <v>44328</v>
      </c>
      <c r="F113" s="5" t="s">
        <v>18</v>
      </c>
      <c r="G113" s="24">
        <v>67910</v>
      </c>
      <c r="H113" s="5" t="s">
        <v>208</v>
      </c>
      <c r="I113" s="9">
        <f ca="1">(TODAY()-Staff[[#This Row],[Date Joined]])/365</f>
        <v>3.7643835616438355</v>
      </c>
      <c r="J113" s="24">
        <f ca="1">ROUNDUP(IF(Staff[[#This Row],[Tenure]]&gt;2,3%,2%)*Staff[[#This Row],[Salary]],0)</f>
        <v>2038</v>
      </c>
      <c r="K113" s="29">
        <f>_xlfn.XLOOKUP(Staff[[#This Row],[Rating]],Mapping!$B$2:$B$6,Mapping!$C$2:$C$6)</f>
        <v>2</v>
      </c>
    </row>
    <row r="114" spans="1:11" x14ac:dyDescent="0.25">
      <c r="A114" t="s">
        <v>39</v>
      </c>
      <c r="B114" s="5" t="s">
        <v>16</v>
      </c>
      <c r="C114">
        <v>30</v>
      </c>
      <c r="D114" s="5" t="s">
        <v>19</v>
      </c>
      <c r="E114" s="7">
        <v>44389</v>
      </c>
      <c r="F114" s="5" t="s">
        <v>18</v>
      </c>
      <c r="G114" s="24">
        <v>67910</v>
      </c>
      <c r="H114" s="5" t="s">
        <v>210</v>
      </c>
      <c r="I114" s="9">
        <f ca="1">(TODAY()-Staff[[#This Row],[Date Joined]])/365</f>
        <v>3.5972602739726027</v>
      </c>
      <c r="J114" s="24">
        <f ca="1">ROUNDUP(IF(Staff[[#This Row],[Tenure]]&gt;2,3%,2%)*Staff[[#This Row],[Salary]],0)</f>
        <v>2038</v>
      </c>
      <c r="K114" s="29">
        <f>_xlfn.XLOOKUP(Staff[[#This Row],[Rating]],Mapping!$B$2:$B$6,Mapping!$C$2:$C$6)</f>
        <v>2</v>
      </c>
    </row>
    <row r="115" spans="1:11" x14ac:dyDescent="0.25">
      <c r="A115" t="s">
        <v>143</v>
      </c>
      <c r="B115" s="5" t="s">
        <v>16</v>
      </c>
      <c r="C115">
        <v>21</v>
      </c>
      <c r="D115" s="5" t="s">
        <v>14</v>
      </c>
      <c r="E115" s="7">
        <v>44256</v>
      </c>
      <c r="F115" s="5" t="s">
        <v>18</v>
      </c>
      <c r="G115" s="24">
        <v>65920</v>
      </c>
      <c r="H115" s="5" t="s">
        <v>208</v>
      </c>
      <c r="I115" s="9">
        <f ca="1">(TODAY()-Staff[[#This Row],[Date Joined]])/365</f>
        <v>3.9616438356164383</v>
      </c>
      <c r="J115" s="24">
        <f ca="1">ROUNDUP(IF(Staff[[#This Row],[Tenure]]&gt;2,3%,2%)*Staff[[#This Row],[Salary]],0)</f>
        <v>1978</v>
      </c>
      <c r="K115" s="29">
        <f>_xlfn.XLOOKUP(Staff[[#This Row],[Rating]],Mapping!$B$2:$B$6,Mapping!$C$2:$C$6)</f>
        <v>3</v>
      </c>
    </row>
    <row r="116" spans="1:11" x14ac:dyDescent="0.25">
      <c r="A116" t="s">
        <v>87</v>
      </c>
      <c r="B116" s="5" t="s">
        <v>16</v>
      </c>
      <c r="C116">
        <v>21</v>
      </c>
      <c r="D116" s="5" t="s">
        <v>14</v>
      </c>
      <c r="E116" s="7">
        <v>44317</v>
      </c>
      <c r="F116" s="5" t="s">
        <v>18</v>
      </c>
      <c r="G116" s="24">
        <v>65920</v>
      </c>
      <c r="H116" s="5" t="s">
        <v>210</v>
      </c>
      <c r="I116" s="9">
        <f ca="1">(TODAY()-Staff[[#This Row],[Date Joined]])/365</f>
        <v>3.7945205479452055</v>
      </c>
      <c r="J116" s="24">
        <f ca="1">ROUNDUP(IF(Staff[[#This Row],[Tenure]]&gt;2,3%,2%)*Staff[[#This Row],[Salary]],0)</f>
        <v>1978</v>
      </c>
      <c r="K116" s="29">
        <f>_xlfn.XLOOKUP(Staff[[#This Row],[Rating]],Mapping!$B$2:$B$6,Mapping!$C$2:$C$6)</f>
        <v>3</v>
      </c>
    </row>
    <row r="117" spans="1:11" x14ac:dyDescent="0.25">
      <c r="A117" t="s">
        <v>195</v>
      </c>
      <c r="B117" s="5" t="s">
        <v>9</v>
      </c>
      <c r="C117">
        <v>25</v>
      </c>
      <c r="D117" s="5" t="s">
        <v>14</v>
      </c>
      <c r="E117" s="7">
        <v>44322</v>
      </c>
      <c r="F117" s="5" t="s">
        <v>10</v>
      </c>
      <c r="G117" s="24">
        <v>65700</v>
      </c>
      <c r="H117" s="5" t="s">
        <v>208</v>
      </c>
      <c r="I117" s="9">
        <f ca="1">(TODAY()-Staff[[#This Row],[Date Joined]])/365</f>
        <v>3.7808219178082192</v>
      </c>
      <c r="J117" s="24">
        <f ca="1">ROUNDUP(IF(Staff[[#This Row],[Tenure]]&gt;2,3%,2%)*Staff[[#This Row],[Salary]],0)</f>
        <v>1971</v>
      </c>
      <c r="K117" s="29">
        <f>_xlfn.XLOOKUP(Staff[[#This Row],[Rating]],Mapping!$B$2:$B$6,Mapping!$C$2:$C$6)</f>
        <v>3</v>
      </c>
    </row>
    <row r="118" spans="1:11" x14ac:dyDescent="0.25">
      <c r="A118" t="s">
        <v>29</v>
      </c>
      <c r="B118" s="5" t="s">
        <v>9</v>
      </c>
      <c r="C118">
        <v>25</v>
      </c>
      <c r="D118" s="5" t="s">
        <v>14</v>
      </c>
      <c r="E118" s="7">
        <v>44383</v>
      </c>
      <c r="F118" s="5" t="s">
        <v>10</v>
      </c>
      <c r="G118" s="24">
        <v>65700</v>
      </c>
      <c r="H118" s="5" t="s">
        <v>210</v>
      </c>
      <c r="I118" s="9">
        <f ca="1">(TODAY()-Staff[[#This Row],[Date Joined]])/365</f>
        <v>3.6136986301369864</v>
      </c>
      <c r="J118" s="24">
        <f ca="1">ROUNDUP(IF(Staff[[#This Row],[Tenure]]&gt;2,3%,2%)*Staff[[#This Row],[Salary]],0)</f>
        <v>1971</v>
      </c>
      <c r="K118" s="29">
        <f>_xlfn.XLOOKUP(Staff[[#This Row],[Rating]],Mapping!$B$2:$B$6,Mapping!$C$2:$C$6)</f>
        <v>3</v>
      </c>
    </row>
    <row r="119" spans="1:11" x14ac:dyDescent="0.25">
      <c r="A119" t="s">
        <v>166</v>
      </c>
      <c r="B119" s="5" t="s">
        <v>16</v>
      </c>
      <c r="C119">
        <v>33</v>
      </c>
      <c r="D119" s="5" t="s">
        <v>14</v>
      </c>
      <c r="E119" s="7">
        <v>44006</v>
      </c>
      <c r="F119" s="5" t="s">
        <v>18</v>
      </c>
      <c r="G119" s="24">
        <v>65360</v>
      </c>
      <c r="H119" s="5" t="s">
        <v>208</v>
      </c>
      <c r="I119" s="9">
        <f ca="1">(TODAY()-Staff[[#This Row],[Date Joined]])/365</f>
        <v>4.646575342465753</v>
      </c>
      <c r="J119" s="24">
        <f ca="1">ROUNDUP(IF(Staff[[#This Row],[Tenure]]&gt;2,3%,2%)*Staff[[#This Row],[Salary]],0)</f>
        <v>1961</v>
      </c>
      <c r="K119" s="29">
        <f>_xlfn.XLOOKUP(Staff[[#This Row],[Rating]],Mapping!$B$2:$B$6,Mapping!$C$2:$C$6)</f>
        <v>3</v>
      </c>
    </row>
    <row r="120" spans="1:11" x14ac:dyDescent="0.25">
      <c r="A120" t="s">
        <v>104</v>
      </c>
      <c r="B120" s="5" t="s">
        <v>16</v>
      </c>
      <c r="C120">
        <v>33</v>
      </c>
      <c r="D120" s="5" t="s">
        <v>14</v>
      </c>
      <c r="E120" s="7">
        <v>44067</v>
      </c>
      <c r="F120" s="5" t="s">
        <v>18</v>
      </c>
      <c r="G120" s="24">
        <v>65360</v>
      </c>
      <c r="H120" s="5" t="s">
        <v>210</v>
      </c>
      <c r="I120" s="9">
        <f ca="1">(TODAY()-Staff[[#This Row],[Date Joined]])/365</f>
        <v>4.4794520547945202</v>
      </c>
      <c r="J120" s="24">
        <f ca="1">ROUNDUP(IF(Staff[[#This Row],[Tenure]]&gt;2,3%,2%)*Staff[[#This Row],[Salary]],0)</f>
        <v>1961</v>
      </c>
      <c r="K120" s="29">
        <f>_xlfn.XLOOKUP(Staff[[#This Row],[Rating]],Mapping!$B$2:$B$6,Mapping!$C$2:$C$6)</f>
        <v>3</v>
      </c>
    </row>
    <row r="121" spans="1:11" x14ac:dyDescent="0.25">
      <c r="A121" t="s">
        <v>167</v>
      </c>
      <c r="B121" s="5" t="s">
        <v>217</v>
      </c>
      <c r="C121">
        <v>30</v>
      </c>
      <c r="D121" s="5" t="s">
        <v>14</v>
      </c>
      <c r="E121" s="7">
        <v>44535</v>
      </c>
      <c r="F121" s="5" t="s">
        <v>18</v>
      </c>
      <c r="G121" s="24">
        <v>64000</v>
      </c>
      <c r="H121" s="5" t="s">
        <v>208</v>
      </c>
      <c r="I121" s="9">
        <f ca="1">(TODAY()-Staff[[#This Row],[Date Joined]])/365</f>
        <v>3.1972602739726028</v>
      </c>
      <c r="J121" s="24">
        <f ca="1">ROUNDUP(IF(Staff[[#This Row],[Tenure]]&gt;2,3%,2%)*Staff[[#This Row],[Salary]],0)</f>
        <v>1920</v>
      </c>
      <c r="K121" s="29">
        <f>_xlfn.XLOOKUP(Staff[[#This Row],[Rating]],Mapping!$B$2:$B$6,Mapping!$C$2:$C$6)</f>
        <v>3</v>
      </c>
    </row>
    <row r="122" spans="1:11" x14ac:dyDescent="0.25">
      <c r="A122" t="s">
        <v>42</v>
      </c>
      <c r="B122" s="5" t="s">
        <v>217</v>
      </c>
      <c r="C122">
        <v>30</v>
      </c>
      <c r="D122" s="5" t="s">
        <v>14</v>
      </c>
      <c r="E122" s="7">
        <v>44597</v>
      </c>
      <c r="F122" s="5" t="s">
        <v>18</v>
      </c>
      <c r="G122" s="24">
        <v>64000</v>
      </c>
      <c r="H122" s="5" t="s">
        <v>210</v>
      </c>
      <c r="I122" s="9">
        <f ca="1">(TODAY()-Staff[[#This Row],[Date Joined]])/365</f>
        <v>3.0273972602739727</v>
      </c>
      <c r="J122" s="24">
        <f ca="1">ROUNDUP(IF(Staff[[#This Row],[Tenure]]&gt;2,3%,2%)*Staff[[#This Row],[Salary]],0)</f>
        <v>1920</v>
      </c>
      <c r="K122" s="29">
        <f>_xlfn.XLOOKUP(Staff[[#This Row],[Rating]],Mapping!$B$2:$B$6,Mapping!$C$2:$C$6)</f>
        <v>3</v>
      </c>
    </row>
    <row r="123" spans="1:11" x14ac:dyDescent="0.25">
      <c r="A123" t="s">
        <v>193</v>
      </c>
      <c r="B123" s="5" t="s">
        <v>16</v>
      </c>
      <c r="C123">
        <v>24</v>
      </c>
      <c r="D123" s="5" t="s">
        <v>14</v>
      </c>
      <c r="E123" s="7">
        <v>44087</v>
      </c>
      <c r="F123" s="5" t="s">
        <v>24</v>
      </c>
      <c r="G123" s="24">
        <v>62780</v>
      </c>
      <c r="H123" s="5" t="s">
        <v>208</v>
      </c>
      <c r="I123" s="9">
        <f ca="1">(TODAY()-Staff[[#This Row],[Date Joined]])/365</f>
        <v>4.4246575342465757</v>
      </c>
      <c r="J123" s="24">
        <f ca="1">ROUNDUP(IF(Staff[[#This Row],[Tenure]]&gt;2,3%,2%)*Staff[[#This Row],[Salary]],0)</f>
        <v>1884</v>
      </c>
      <c r="K123" s="29">
        <f>_xlfn.XLOOKUP(Staff[[#This Row],[Rating]],Mapping!$B$2:$B$6,Mapping!$C$2:$C$6)</f>
        <v>3</v>
      </c>
    </row>
    <row r="124" spans="1:11" x14ac:dyDescent="0.25">
      <c r="A124" t="s">
        <v>23</v>
      </c>
      <c r="B124" s="5" t="s">
        <v>16</v>
      </c>
      <c r="C124">
        <v>24</v>
      </c>
      <c r="D124" s="5" t="s">
        <v>14</v>
      </c>
      <c r="E124" s="7">
        <v>44148</v>
      </c>
      <c r="F124" s="5" t="s">
        <v>24</v>
      </c>
      <c r="G124" s="24">
        <v>62780</v>
      </c>
      <c r="H124" s="5" t="s">
        <v>210</v>
      </c>
      <c r="I124" s="9">
        <f ca="1">(TODAY()-Staff[[#This Row],[Date Joined]])/365</f>
        <v>4.2575342465753421</v>
      </c>
      <c r="J124" s="24">
        <f ca="1">ROUNDUP(IF(Staff[[#This Row],[Tenure]]&gt;2,3%,2%)*Staff[[#This Row],[Salary]],0)</f>
        <v>1884</v>
      </c>
      <c r="K124" s="29">
        <f>_xlfn.XLOOKUP(Staff[[#This Row],[Rating]],Mapping!$B$2:$B$6,Mapping!$C$2:$C$6)</f>
        <v>3</v>
      </c>
    </row>
    <row r="125" spans="1:11" x14ac:dyDescent="0.25">
      <c r="A125" t="s">
        <v>164</v>
      </c>
      <c r="B125" s="5" t="s">
        <v>9</v>
      </c>
      <c r="C125">
        <v>30</v>
      </c>
      <c r="D125" s="5" t="s">
        <v>14</v>
      </c>
      <c r="E125" s="7">
        <v>44607</v>
      </c>
      <c r="F125" s="5" t="s">
        <v>13</v>
      </c>
      <c r="G125" s="24">
        <v>60570</v>
      </c>
      <c r="H125" s="5" t="s">
        <v>208</v>
      </c>
      <c r="I125" s="9">
        <f ca="1">(TODAY()-Staff[[#This Row],[Date Joined]])/365</f>
        <v>3</v>
      </c>
      <c r="J125" s="24">
        <f ca="1">ROUNDUP(IF(Staff[[#This Row],[Tenure]]&gt;2,3%,2%)*Staff[[#This Row],[Salary]],0)</f>
        <v>1818</v>
      </c>
      <c r="K125" s="29">
        <f>_xlfn.XLOOKUP(Staff[[#This Row],[Rating]],Mapping!$B$2:$B$6,Mapping!$C$2:$C$6)</f>
        <v>3</v>
      </c>
    </row>
    <row r="126" spans="1:11" x14ac:dyDescent="0.25">
      <c r="A126" t="s">
        <v>89</v>
      </c>
      <c r="B126" s="5" t="s">
        <v>9</v>
      </c>
      <c r="C126">
        <v>30</v>
      </c>
      <c r="D126" s="5" t="s">
        <v>14</v>
      </c>
      <c r="E126" s="7">
        <v>44666</v>
      </c>
      <c r="F126" s="5" t="s">
        <v>13</v>
      </c>
      <c r="G126" s="24">
        <v>60570</v>
      </c>
      <c r="H126" s="5" t="s">
        <v>210</v>
      </c>
      <c r="I126" s="9">
        <f ca="1">(TODAY()-Staff[[#This Row],[Date Joined]])/365</f>
        <v>2.8383561643835615</v>
      </c>
      <c r="J126" s="24">
        <f ca="1">ROUNDUP(IF(Staff[[#This Row],[Tenure]]&gt;2,3%,2%)*Staff[[#This Row],[Salary]],0)</f>
        <v>1818</v>
      </c>
      <c r="K126" s="29">
        <f>_xlfn.XLOOKUP(Staff[[#This Row],[Rating]],Mapping!$B$2:$B$6,Mapping!$C$2:$C$6)</f>
        <v>3</v>
      </c>
    </row>
    <row r="127" spans="1:11" x14ac:dyDescent="0.25">
      <c r="A127" t="s">
        <v>185</v>
      </c>
      <c r="B127" s="5" t="s">
        <v>16</v>
      </c>
      <c r="C127">
        <v>34</v>
      </c>
      <c r="D127" s="5" t="s">
        <v>14</v>
      </c>
      <c r="E127" s="7">
        <v>44550</v>
      </c>
      <c r="F127" s="5" t="s">
        <v>18</v>
      </c>
      <c r="G127" s="24">
        <v>60130</v>
      </c>
      <c r="H127" s="5" t="s">
        <v>208</v>
      </c>
      <c r="I127" s="9">
        <f ca="1">(TODAY()-Staff[[#This Row],[Date Joined]])/365</f>
        <v>3.1561643835616437</v>
      </c>
      <c r="J127" s="24">
        <f ca="1">ROUNDUP(IF(Staff[[#This Row],[Tenure]]&gt;2,3%,2%)*Staff[[#This Row],[Salary]],0)</f>
        <v>1804</v>
      </c>
      <c r="K127" s="29">
        <f>_xlfn.XLOOKUP(Staff[[#This Row],[Rating]],Mapping!$B$2:$B$6,Mapping!$C$2:$C$6)</f>
        <v>3</v>
      </c>
    </row>
    <row r="128" spans="1:11" x14ac:dyDescent="0.25">
      <c r="A128" t="s">
        <v>48</v>
      </c>
      <c r="B128" s="5" t="s">
        <v>16</v>
      </c>
      <c r="C128">
        <v>34</v>
      </c>
      <c r="D128" s="5" t="s">
        <v>14</v>
      </c>
      <c r="E128" s="7">
        <v>44612</v>
      </c>
      <c r="F128" s="5" t="s">
        <v>18</v>
      </c>
      <c r="G128" s="24">
        <v>60130</v>
      </c>
      <c r="H128" s="5" t="s">
        <v>210</v>
      </c>
      <c r="I128" s="9">
        <f ca="1">(TODAY()-Staff[[#This Row],[Date Joined]])/365</f>
        <v>2.9863013698630136</v>
      </c>
      <c r="J128" s="24">
        <f ca="1">ROUNDUP(IF(Staff[[#This Row],[Tenure]]&gt;2,3%,2%)*Staff[[#This Row],[Salary]],0)</f>
        <v>1804</v>
      </c>
      <c r="K128" s="29">
        <f>_xlfn.XLOOKUP(Staff[[#This Row],[Rating]],Mapping!$B$2:$B$6,Mapping!$C$2:$C$6)</f>
        <v>3</v>
      </c>
    </row>
    <row r="129" spans="1:11" x14ac:dyDescent="0.25">
      <c r="A129" t="s">
        <v>201</v>
      </c>
      <c r="B129" s="5" t="s">
        <v>9</v>
      </c>
      <c r="C129">
        <v>33</v>
      </c>
      <c r="D129" s="5" t="s">
        <v>14</v>
      </c>
      <c r="E129" s="7">
        <v>44181</v>
      </c>
      <c r="F129" s="5" t="s">
        <v>18</v>
      </c>
      <c r="G129" s="24">
        <v>59430</v>
      </c>
      <c r="H129" s="5" t="s">
        <v>208</v>
      </c>
      <c r="I129" s="9">
        <f ca="1">(TODAY()-Staff[[#This Row],[Date Joined]])/365</f>
        <v>4.1671232876712327</v>
      </c>
      <c r="J129" s="24">
        <f ca="1">ROUNDUP(IF(Staff[[#This Row],[Tenure]]&gt;2,3%,2%)*Staff[[#This Row],[Salary]],0)</f>
        <v>1783</v>
      </c>
      <c r="K129" s="29">
        <f>_xlfn.XLOOKUP(Staff[[#This Row],[Rating]],Mapping!$B$2:$B$6,Mapping!$C$2:$C$6)</f>
        <v>3</v>
      </c>
    </row>
    <row r="130" spans="1:11" x14ac:dyDescent="0.25">
      <c r="A130" t="s">
        <v>103</v>
      </c>
      <c r="B130" s="5" t="s">
        <v>9</v>
      </c>
      <c r="C130">
        <v>33</v>
      </c>
      <c r="D130" s="5" t="s">
        <v>14</v>
      </c>
      <c r="E130" s="7">
        <v>44243</v>
      </c>
      <c r="F130" s="5" t="s">
        <v>18</v>
      </c>
      <c r="G130" s="24">
        <v>59430</v>
      </c>
      <c r="H130" s="5" t="s">
        <v>210</v>
      </c>
      <c r="I130" s="9">
        <f ca="1">(TODAY()-Staff[[#This Row],[Date Joined]])/365</f>
        <v>3.9972602739726026</v>
      </c>
      <c r="J130" s="24">
        <f ca="1">ROUNDUP(IF(Staff[[#This Row],[Tenure]]&gt;2,3%,2%)*Staff[[#This Row],[Salary]],0)</f>
        <v>1783</v>
      </c>
      <c r="K130" s="29">
        <f>_xlfn.XLOOKUP(Staff[[#This Row],[Rating]],Mapping!$B$2:$B$6,Mapping!$C$2:$C$6)</f>
        <v>3</v>
      </c>
    </row>
    <row r="131" spans="1:11" x14ac:dyDescent="0.25">
      <c r="A131" t="s">
        <v>199</v>
      </c>
      <c r="B131" s="5" t="s">
        <v>9</v>
      </c>
      <c r="C131">
        <v>19</v>
      </c>
      <c r="D131" s="5" t="s">
        <v>14</v>
      </c>
      <c r="E131" s="7">
        <v>44218</v>
      </c>
      <c r="F131" s="5" t="s">
        <v>13</v>
      </c>
      <c r="G131" s="24">
        <v>58960</v>
      </c>
      <c r="H131" s="5" t="s">
        <v>208</v>
      </c>
      <c r="I131" s="9">
        <f ca="1">(TODAY()-Staff[[#This Row],[Date Joined]])/365</f>
        <v>4.065753424657534</v>
      </c>
      <c r="J131" s="24">
        <f ca="1">ROUNDUP(IF(Staff[[#This Row],[Tenure]]&gt;2,3%,2%)*Staff[[#This Row],[Salary]],0)</f>
        <v>1769</v>
      </c>
      <c r="K131" s="29">
        <f>_xlfn.XLOOKUP(Staff[[#This Row],[Rating]],Mapping!$B$2:$B$6,Mapping!$C$2:$C$6)</f>
        <v>3</v>
      </c>
    </row>
    <row r="132" spans="1:11" x14ac:dyDescent="0.25">
      <c r="A132" t="s">
        <v>68</v>
      </c>
      <c r="B132" s="5" t="s">
        <v>9</v>
      </c>
      <c r="C132">
        <v>19</v>
      </c>
      <c r="D132" s="5" t="s">
        <v>14</v>
      </c>
      <c r="E132" s="7">
        <v>44277</v>
      </c>
      <c r="F132" s="5" t="s">
        <v>13</v>
      </c>
      <c r="G132" s="24">
        <v>58960</v>
      </c>
      <c r="H132" s="5" t="s">
        <v>210</v>
      </c>
      <c r="I132" s="9">
        <f ca="1">(TODAY()-Staff[[#This Row],[Date Joined]])/365</f>
        <v>3.904109589041096</v>
      </c>
      <c r="J132" s="24">
        <f ca="1">ROUNDUP(IF(Staff[[#This Row],[Tenure]]&gt;2,3%,2%)*Staff[[#This Row],[Salary]],0)</f>
        <v>1769</v>
      </c>
      <c r="K132" s="29">
        <f>_xlfn.XLOOKUP(Staff[[#This Row],[Rating]],Mapping!$B$2:$B$6,Mapping!$C$2:$C$6)</f>
        <v>3</v>
      </c>
    </row>
    <row r="133" spans="1:11" x14ac:dyDescent="0.25">
      <c r="A133" t="s">
        <v>157</v>
      </c>
      <c r="B133" s="5" t="s">
        <v>16</v>
      </c>
      <c r="C133">
        <v>34</v>
      </c>
      <c r="D133" s="5" t="s">
        <v>14</v>
      </c>
      <c r="E133" s="7">
        <v>44594</v>
      </c>
      <c r="F133" s="5" t="s">
        <v>18</v>
      </c>
      <c r="G133" s="24">
        <v>58940</v>
      </c>
      <c r="H133" s="5" t="s">
        <v>208</v>
      </c>
      <c r="I133" s="9">
        <f ca="1">(TODAY()-Staff[[#This Row],[Date Joined]])/365</f>
        <v>3.0356164383561643</v>
      </c>
      <c r="J133" s="24">
        <f ca="1">ROUNDUP(IF(Staff[[#This Row],[Tenure]]&gt;2,3%,2%)*Staff[[#This Row],[Salary]],0)</f>
        <v>1769</v>
      </c>
      <c r="K133" s="29">
        <f>_xlfn.XLOOKUP(Staff[[#This Row],[Rating]],Mapping!$B$2:$B$6,Mapping!$C$2:$C$6)</f>
        <v>3</v>
      </c>
    </row>
    <row r="134" spans="1:11" x14ac:dyDescent="0.25">
      <c r="A134" t="s">
        <v>38</v>
      </c>
      <c r="B134" s="5" t="s">
        <v>16</v>
      </c>
      <c r="C134">
        <v>34</v>
      </c>
      <c r="D134" s="5" t="s">
        <v>14</v>
      </c>
      <c r="E134" s="7">
        <v>44653</v>
      </c>
      <c r="F134" s="5" t="s">
        <v>18</v>
      </c>
      <c r="G134" s="24">
        <v>58940</v>
      </c>
      <c r="H134" s="5" t="s">
        <v>210</v>
      </c>
      <c r="I134" s="9">
        <f ca="1">(TODAY()-Staff[[#This Row],[Date Joined]])/365</f>
        <v>2.8739726027397259</v>
      </c>
      <c r="J134" s="24">
        <f ca="1">ROUNDUP(IF(Staff[[#This Row],[Tenure]]&gt;2,3%,2%)*Staff[[#This Row],[Salary]],0)</f>
        <v>1769</v>
      </c>
      <c r="K134" s="29">
        <f>_xlfn.XLOOKUP(Staff[[#This Row],[Rating]],Mapping!$B$2:$B$6,Mapping!$C$2:$C$6)</f>
        <v>3</v>
      </c>
    </row>
    <row r="135" spans="1:11" x14ac:dyDescent="0.25">
      <c r="A135" t="s">
        <v>138</v>
      </c>
      <c r="B135" s="5" t="s">
        <v>16</v>
      </c>
      <c r="C135">
        <v>31</v>
      </c>
      <c r="D135" s="5" t="s">
        <v>14</v>
      </c>
      <c r="E135" s="7">
        <v>44604</v>
      </c>
      <c r="F135" s="5" t="s">
        <v>24</v>
      </c>
      <c r="G135" s="24">
        <v>58100</v>
      </c>
      <c r="H135" s="5" t="s">
        <v>208</v>
      </c>
      <c r="I135" s="9">
        <f ca="1">(TODAY()-Staff[[#This Row],[Date Joined]])/365</f>
        <v>3.0082191780821916</v>
      </c>
      <c r="J135" s="24">
        <f ca="1">ROUNDUP(IF(Staff[[#This Row],[Tenure]]&gt;2,3%,2%)*Staff[[#This Row],[Salary]],0)</f>
        <v>1743</v>
      </c>
      <c r="K135" s="29">
        <f>_xlfn.XLOOKUP(Staff[[#This Row],[Rating]],Mapping!$B$2:$B$6,Mapping!$C$2:$C$6)</f>
        <v>3</v>
      </c>
    </row>
    <row r="136" spans="1:11" x14ac:dyDescent="0.25">
      <c r="A136" t="s">
        <v>40</v>
      </c>
      <c r="B136" s="5" t="s">
        <v>16</v>
      </c>
      <c r="C136">
        <v>31</v>
      </c>
      <c r="D136" s="5" t="s">
        <v>14</v>
      </c>
      <c r="E136" s="7">
        <v>44663</v>
      </c>
      <c r="F136" s="5" t="s">
        <v>24</v>
      </c>
      <c r="G136" s="24">
        <v>58100</v>
      </c>
      <c r="H136" s="5" t="s">
        <v>210</v>
      </c>
      <c r="I136" s="9">
        <f ca="1">(TODAY()-Staff[[#This Row],[Date Joined]])/365</f>
        <v>2.8465753424657536</v>
      </c>
      <c r="J136" s="24">
        <f ca="1">ROUNDUP(IF(Staff[[#This Row],[Tenure]]&gt;2,3%,2%)*Staff[[#This Row],[Salary]],0)</f>
        <v>1743</v>
      </c>
      <c r="K136" s="29">
        <f>_xlfn.XLOOKUP(Staff[[#This Row],[Rating]],Mapping!$B$2:$B$6,Mapping!$C$2:$C$6)</f>
        <v>3</v>
      </c>
    </row>
    <row r="137" spans="1:11" x14ac:dyDescent="0.25">
      <c r="A137" t="s">
        <v>159</v>
      </c>
      <c r="B137" s="5" t="s">
        <v>9</v>
      </c>
      <c r="C137">
        <v>21</v>
      </c>
      <c r="D137" s="5" t="s">
        <v>14</v>
      </c>
      <c r="E137" s="7">
        <v>44701</v>
      </c>
      <c r="F137" s="5" t="s">
        <v>13</v>
      </c>
      <c r="G137" s="24">
        <v>57090</v>
      </c>
      <c r="H137" s="5" t="s">
        <v>208</v>
      </c>
      <c r="I137" s="9">
        <f ca="1">(TODAY()-Staff[[#This Row],[Date Joined]])/365</f>
        <v>2.7424657534246575</v>
      </c>
      <c r="J137" s="24">
        <f ca="1">ROUNDUP(IF(Staff[[#This Row],[Tenure]]&gt;2,3%,2%)*Staff[[#This Row],[Salary]],0)</f>
        <v>1713</v>
      </c>
      <c r="K137" s="29">
        <f>_xlfn.XLOOKUP(Staff[[#This Row],[Rating]],Mapping!$B$2:$B$6,Mapping!$C$2:$C$6)</f>
        <v>3</v>
      </c>
    </row>
    <row r="138" spans="1:11" x14ac:dyDescent="0.25">
      <c r="A138" t="s">
        <v>35</v>
      </c>
      <c r="B138" s="5" t="s">
        <v>9</v>
      </c>
      <c r="C138">
        <v>21</v>
      </c>
      <c r="D138" s="5" t="s">
        <v>14</v>
      </c>
      <c r="E138" s="7">
        <v>44762</v>
      </c>
      <c r="F138" s="5" t="s">
        <v>13</v>
      </c>
      <c r="G138" s="24">
        <v>57090</v>
      </c>
      <c r="H138" s="5" t="s">
        <v>210</v>
      </c>
      <c r="I138" s="9">
        <f ca="1">(TODAY()-Staff[[#This Row],[Date Joined]])/365</f>
        <v>2.5753424657534247</v>
      </c>
      <c r="J138" s="24">
        <f ca="1">ROUNDUP(IF(Staff[[#This Row],[Tenure]]&gt;2,3%,2%)*Staff[[#This Row],[Salary]],0)</f>
        <v>1713</v>
      </c>
      <c r="K138" s="29">
        <f>_xlfn.XLOOKUP(Staff[[#This Row],[Rating]],Mapping!$B$2:$B$6,Mapping!$C$2:$C$6)</f>
        <v>3</v>
      </c>
    </row>
    <row r="139" spans="1:11" x14ac:dyDescent="0.25">
      <c r="A139" t="s">
        <v>117</v>
      </c>
      <c r="B139" s="5" t="s">
        <v>16</v>
      </c>
      <c r="C139">
        <v>38</v>
      </c>
      <c r="D139" s="5" t="s">
        <v>11</v>
      </c>
      <c r="E139" s="7">
        <v>44268</v>
      </c>
      <c r="F139" s="5" t="s">
        <v>10</v>
      </c>
      <c r="G139" s="24">
        <v>56870</v>
      </c>
      <c r="H139" s="5" t="s">
        <v>208</v>
      </c>
      <c r="I139" s="9">
        <f ca="1">(TODAY()-Staff[[#This Row],[Date Joined]])/365</f>
        <v>3.9287671232876713</v>
      </c>
      <c r="J139" s="24">
        <f ca="1">ROUNDUP(IF(Staff[[#This Row],[Tenure]]&gt;2,3%,2%)*Staff[[#This Row],[Salary]],0)</f>
        <v>1707</v>
      </c>
      <c r="K139" s="29">
        <f>_xlfn.XLOOKUP(Staff[[#This Row],[Rating]],Mapping!$B$2:$B$6,Mapping!$C$2:$C$6)</f>
        <v>4</v>
      </c>
    </row>
    <row r="140" spans="1:11" x14ac:dyDescent="0.25">
      <c r="A140" t="s">
        <v>85</v>
      </c>
      <c r="B140" s="5" t="s">
        <v>16</v>
      </c>
      <c r="C140">
        <v>38</v>
      </c>
      <c r="D140" s="5" t="s">
        <v>11</v>
      </c>
      <c r="E140" s="7">
        <v>44329</v>
      </c>
      <c r="F140" s="5" t="s">
        <v>10</v>
      </c>
      <c r="G140" s="24">
        <v>56870</v>
      </c>
      <c r="H140" s="5" t="s">
        <v>210</v>
      </c>
      <c r="I140" s="9">
        <f ca="1">(TODAY()-Staff[[#This Row],[Date Joined]])/365</f>
        <v>3.7616438356164386</v>
      </c>
      <c r="J140" s="24">
        <f ca="1">ROUNDUP(IF(Staff[[#This Row],[Tenure]]&gt;2,3%,2%)*Staff[[#This Row],[Salary]],0)</f>
        <v>1707</v>
      </c>
      <c r="K140" s="29">
        <f>_xlfn.XLOOKUP(Staff[[#This Row],[Rating]],Mapping!$B$2:$B$6,Mapping!$C$2:$C$6)</f>
        <v>4</v>
      </c>
    </row>
    <row r="141" spans="1:11" x14ac:dyDescent="0.25">
      <c r="A141" t="s">
        <v>132</v>
      </c>
      <c r="B141" s="5" t="s">
        <v>9</v>
      </c>
      <c r="C141">
        <v>27</v>
      </c>
      <c r="D141" s="5" t="s">
        <v>14</v>
      </c>
      <c r="E141" s="7">
        <v>44073</v>
      </c>
      <c r="F141" s="5" t="s">
        <v>10</v>
      </c>
      <c r="G141" s="24">
        <v>54970</v>
      </c>
      <c r="H141" s="5" t="s">
        <v>208</v>
      </c>
      <c r="I141" s="9">
        <f ca="1">(TODAY()-Staff[[#This Row],[Date Joined]])/365</f>
        <v>4.463013698630137</v>
      </c>
      <c r="J141" s="24">
        <f ca="1">ROUNDUP(IF(Staff[[#This Row],[Tenure]]&gt;2,3%,2%)*Staff[[#This Row],[Salary]],0)</f>
        <v>1650</v>
      </c>
      <c r="K141" s="29">
        <f>_xlfn.XLOOKUP(Staff[[#This Row],[Rating]],Mapping!$B$2:$B$6,Mapping!$C$2:$C$6)</f>
        <v>3</v>
      </c>
    </row>
    <row r="142" spans="1:11" x14ac:dyDescent="0.25">
      <c r="A142" t="s">
        <v>83</v>
      </c>
      <c r="B142" s="5" t="s">
        <v>9</v>
      </c>
      <c r="C142">
        <v>27</v>
      </c>
      <c r="D142" s="5" t="s">
        <v>14</v>
      </c>
      <c r="E142" s="7">
        <v>44134</v>
      </c>
      <c r="F142" s="5" t="s">
        <v>10</v>
      </c>
      <c r="G142" s="24">
        <v>54970</v>
      </c>
      <c r="H142" s="5" t="s">
        <v>210</v>
      </c>
      <c r="I142" s="9">
        <f ca="1">(TODAY()-Staff[[#This Row],[Date Joined]])/365</f>
        <v>4.2958904109589042</v>
      </c>
      <c r="J142" s="24">
        <f ca="1">ROUNDUP(IF(Staff[[#This Row],[Tenure]]&gt;2,3%,2%)*Staff[[#This Row],[Salary]],0)</f>
        <v>1650</v>
      </c>
      <c r="K142" s="29">
        <f>_xlfn.XLOOKUP(Staff[[#This Row],[Rating]],Mapping!$B$2:$B$6,Mapping!$C$2:$C$6)</f>
        <v>3</v>
      </c>
    </row>
    <row r="143" spans="1:11" x14ac:dyDescent="0.25">
      <c r="A143" t="s">
        <v>197</v>
      </c>
      <c r="B143" s="5" t="s">
        <v>9</v>
      </c>
      <c r="C143">
        <v>33</v>
      </c>
      <c r="D143" s="5" t="s">
        <v>14</v>
      </c>
      <c r="E143" s="7">
        <v>44448</v>
      </c>
      <c r="F143" s="5" t="s">
        <v>24</v>
      </c>
      <c r="G143" s="24">
        <v>53870</v>
      </c>
      <c r="H143" s="5" t="s">
        <v>208</v>
      </c>
      <c r="I143" s="9">
        <f ca="1">(TODAY()-Staff[[#This Row],[Date Joined]])/365</f>
        <v>3.4356164383561643</v>
      </c>
      <c r="J143" s="24">
        <f ca="1">ROUNDUP(IF(Staff[[#This Row],[Tenure]]&gt;2,3%,2%)*Staff[[#This Row],[Salary]],0)</f>
        <v>1617</v>
      </c>
      <c r="K143" s="29">
        <f>_xlfn.XLOOKUP(Staff[[#This Row],[Rating]],Mapping!$B$2:$B$6,Mapping!$C$2:$C$6)</f>
        <v>3</v>
      </c>
    </row>
    <row r="144" spans="1:11" x14ac:dyDescent="0.25">
      <c r="A144" t="s">
        <v>25</v>
      </c>
      <c r="B144" s="5" t="s">
        <v>9</v>
      </c>
      <c r="C144">
        <v>33</v>
      </c>
      <c r="D144" s="5" t="s">
        <v>14</v>
      </c>
      <c r="E144" s="7">
        <v>44509</v>
      </c>
      <c r="F144" s="5" t="s">
        <v>24</v>
      </c>
      <c r="G144" s="24">
        <v>53870</v>
      </c>
      <c r="H144" s="5" t="s">
        <v>210</v>
      </c>
      <c r="I144" s="9">
        <f ca="1">(TODAY()-Staff[[#This Row],[Date Joined]])/365</f>
        <v>3.2684931506849315</v>
      </c>
      <c r="J144" s="24">
        <f ca="1">ROUNDUP(IF(Staff[[#This Row],[Tenure]]&gt;2,3%,2%)*Staff[[#This Row],[Salary]],0)</f>
        <v>1617</v>
      </c>
      <c r="K144" s="29">
        <f>_xlfn.XLOOKUP(Staff[[#This Row],[Rating]],Mapping!$B$2:$B$6,Mapping!$C$2:$C$6)</f>
        <v>3</v>
      </c>
    </row>
    <row r="145" spans="1:11" x14ac:dyDescent="0.25">
      <c r="A145" t="s">
        <v>173</v>
      </c>
      <c r="B145" s="5" t="s">
        <v>9</v>
      </c>
      <c r="C145">
        <v>32</v>
      </c>
      <c r="D145" s="5" t="s">
        <v>14</v>
      </c>
      <c r="E145" s="7">
        <v>44403</v>
      </c>
      <c r="F145" s="5" t="s">
        <v>10</v>
      </c>
      <c r="G145" s="24">
        <v>53540</v>
      </c>
      <c r="H145" s="5" t="s">
        <v>208</v>
      </c>
      <c r="I145" s="9">
        <f ca="1">(TODAY()-Staff[[#This Row],[Date Joined]])/365</f>
        <v>3.558904109589041</v>
      </c>
      <c r="J145" s="24">
        <f ca="1">ROUNDUP(IF(Staff[[#This Row],[Tenure]]&gt;2,3%,2%)*Staff[[#This Row],[Salary]],0)</f>
        <v>1607</v>
      </c>
      <c r="K145" s="29">
        <f>_xlfn.XLOOKUP(Staff[[#This Row],[Rating]],Mapping!$B$2:$B$6,Mapping!$C$2:$C$6)</f>
        <v>3</v>
      </c>
    </row>
    <row r="146" spans="1:11" x14ac:dyDescent="0.25">
      <c r="A146" t="s">
        <v>181</v>
      </c>
      <c r="B146" s="5" t="s">
        <v>9</v>
      </c>
      <c r="C146">
        <v>26</v>
      </c>
      <c r="D146" s="5" t="s">
        <v>14</v>
      </c>
      <c r="E146" s="7">
        <v>44350</v>
      </c>
      <c r="F146" s="5" t="s">
        <v>13</v>
      </c>
      <c r="G146" s="24">
        <v>53540</v>
      </c>
      <c r="H146" s="5" t="s">
        <v>208</v>
      </c>
      <c r="I146" s="9">
        <f ca="1">(TODAY()-Staff[[#This Row],[Date Joined]])/365</f>
        <v>3.7041095890410958</v>
      </c>
      <c r="J146" s="24">
        <f ca="1">ROUNDUP(IF(Staff[[#This Row],[Tenure]]&gt;2,3%,2%)*Staff[[#This Row],[Salary]],0)</f>
        <v>1607</v>
      </c>
      <c r="K146" s="29">
        <f>_xlfn.XLOOKUP(Staff[[#This Row],[Rating]],Mapping!$B$2:$B$6,Mapping!$C$2:$C$6)</f>
        <v>3</v>
      </c>
    </row>
    <row r="147" spans="1:11" x14ac:dyDescent="0.25">
      <c r="A147" t="s">
        <v>20</v>
      </c>
      <c r="B147" s="5" t="s">
        <v>9</v>
      </c>
      <c r="C147">
        <v>32</v>
      </c>
      <c r="D147" s="5" t="s">
        <v>14</v>
      </c>
      <c r="E147" s="7">
        <v>44465</v>
      </c>
      <c r="F147" s="5" t="s">
        <v>10</v>
      </c>
      <c r="G147" s="24">
        <v>53540</v>
      </c>
      <c r="H147" s="5" t="s">
        <v>210</v>
      </c>
      <c r="I147" s="9">
        <f ca="1">(TODAY()-Staff[[#This Row],[Date Joined]])/365</f>
        <v>3.3890410958904109</v>
      </c>
      <c r="J147" s="24">
        <f ca="1">ROUNDUP(IF(Staff[[#This Row],[Tenure]]&gt;2,3%,2%)*Staff[[#This Row],[Salary]],0)</f>
        <v>1607</v>
      </c>
      <c r="K147" s="29">
        <f>_xlfn.XLOOKUP(Staff[[#This Row],[Rating]],Mapping!$B$2:$B$6,Mapping!$C$2:$C$6)</f>
        <v>3</v>
      </c>
    </row>
    <row r="148" spans="1:11" x14ac:dyDescent="0.25">
      <c r="A148" t="s">
        <v>110</v>
      </c>
      <c r="B148" s="5" t="s">
        <v>9</v>
      </c>
      <c r="C148">
        <v>26</v>
      </c>
      <c r="D148" s="5" t="s">
        <v>14</v>
      </c>
      <c r="E148" s="7">
        <v>44411</v>
      </c>
      <c r="F148" s="5" t="s">
        <v>13</v>
      </c>
      <c r="G148" s="24">
        <v>53540</v>
      </c>
      <c r="H148" s="5" t="s">
        <v>210</v>
      </c>
      <c r="I148" s="9">
        <f ca="1">(TODAY()-Staff[[#This Row],[Date Joined]])/365</f>
        <v>3.536986301369863</v>
      </c>
      <c r="J148" s="24">
        <f ca="1">ROUNDUP(IF(Staff[[#This Row],[Tenure]]&gt;2,3%,2%)*Staff[[#This Row],[Salary]],0)</f>
        <v>1607</v>
      </c>
      <c r="K148" s="29">
        <f>_xlfn.XLOOKUP(Staff[[#This Row],[Rating]],Mapping!$B$2:$B$6,Mapping!$C$2:$C$6)</f>
        <v>3</v>
      </c>
    </row>
    <row r="149" spans="1:11" x14ac:dyDescent="0.25">
      <c r="A149" t="s">
        <v>153</v>
      </c>
      <c r="B149" s="5" t="s">
        <v>16</v>
      </c>
      <c r="C149">
        <v>28</v>
      </c>
      <c r="D149" s="5" t="s">
        <v>14</v>
      </c>
      <c r="E149" s="7">
        <v>44296</v>
      </c>
      <c r="F149" s="5" t="s">
        <v>10</v>
      </c>
      <c r="G149" s="24">
        <v>53240</v>
      </c>
      <c r="H149" s="5" t="s">
        <v>208</v>
      </c>
      <c r="I149" s="9">
        <f ca="1">(TODAY()-Staff[[#This Row],[Date Joined]])/365</f>
        <v>3.8520547945205479</v>
      </c>
      <c r="J149" s="24">
        <f ca="1">ROUNDUP(IF(Staff[[#This Row],[Tenure]]&gt;2,3%,2%)*Staff[[#This Row],[Salary]],0)</f>
        <v>1598</v>
      </c>
      <c r="K149" s="29">
        <f>_xlfn.XLOOKUP(Staff[[#This Row],[Rating]],Mapping!$B$2:$B$6,Mapping!$C$2:$C$6)</f>
        <v>3</v>
      </c>
    </row>
    <row r="150" spans="1:11" x14ac:dyDescent="0.25">
      <c r="A150" t="s">
        <v>15</v>
      </c>
      <c r="B150" s="5" t="s">
        <v>16</v>
      </c>
      <c r="C150">
        <v>28</v>
      </c>
      <c r="D150" s="5" t="s">
        <v>14</v>
      </c>
      <c r="E150" s="7">
        <v>44357</v>
      </c>
      <c r="F150" s="5" t="s">
        <v>10</v>
      </c>
      <c r="G150" s="24">
        <v>53240</v>
      </c>
      <c r="H150" s="5" t="s">
        <v>210</v>
      </c>
      <c r="I150" s="9">
        <f ca="1">(TODAY()-Staff[[#This Row],[Date Joined]])/365</f>
        <v>3.6849315068493151</v>
      </c>
      <c r="J150" s="24">
        <f ca="1">ROUNDUP(IF(Staff[[#This Row],[Tenure]]&gt;2,3%,2%)*Staff[[#This Row],[Salary]],0)</f>
        <v>1598</v>
      </c>
      <c r="K150" s="29">
        <f>_xlfn.XLOOKUP(Staff[[#This Row],[Rating]],Mapping!$B$2:$B$6,Mapping!$C$2:$C$6)</f>
        <v>3</v>
      </c>
    </row>
    <row r="151" spans="1:11" x14ac:dyDescent="0.25">
      <c r="A151" t="s">
        <v>146</v>
      </c>
      <c r="B151" s="5" t="s">
        <v>9</v>
      </c>
      <c r="C151">
        <v>24</v>
      </c>
      <c r="D151" s="5" t="s">
        <v>19</v>
      </c>
      <c r="E151" s="7">
        <v>44375</v>
      </c>
      <c r="F151" s="5" t="s">
        <v>18</v>
      </c>
      <c r="G151" s="24">
        <v>52610</v>
      </c>
      <c r="H151" s="5" t="s">
        <v>208</v>
      </c>
      <c r="I151" s="9">
        <f ca="1">(TODAY()-Staff[[#This Row],[Date Joined]])/365</f>
        <v>3.6356164383561644</v>
      </c>
      <c r="J151" s="24">
        <f ca="1">ROUNDUP(IF(Staff[[#This Row],[Tenure]]&gt;2,3%,2%)*Staff[[#This Row],[Salary]],0)</f>
        <v>1579</v>
      </c>
      <c r="K151" s="29">
        <f>_xlfn.XLOOKUP(Staff[[#This Row],[Rating]],Mapping!$B$2:$B$6,Mapping!$C$2:$C$6)</f>
        <v>2</v>
      </c>
    </row>
    <row r="152" spans="1:11" x14ac:dyDescent="0.25">
      <c r="A152" t="s">
        <v>59</v>
      </c>
      <c r="B152" s="5" t="s">
        <v>9</v>
      </c>
      <c r="C152">
        <v>24</v>
      </c>
      <c r="D152" s="5" t="s">
        <v>19</v>
      </c>
      <c r="E152" s="7">
        <v>44436</v>
      </c>
      <c r="F152" s="5" t="s">
        <v>18</v>
      </c>
      <c r="G152" s="24">
        <v>52610</v>
      </c>
      <c r="H152" s="5" t="s">
        <v>210</v>
      </c>
      <c r="I152" s="9">
        <f ca="1">(TODAY()-Staff[[#This Row],[Date Joined]])/365</f>
        <v>3.4684931506849317</v>
      </c>
      <c r="J152" s="24">
        <f ca="1">ROUNDUP(IF(Staff[[#This Row],[Tenure]]&gt;2,3%,2%)*Staff[[#This Row],[Salary]],0)</f>
        <v>1579</v>
      </c>
      <c r="K152" s="29">
        <f>_xlfn.XLOOKUP(Staff[[#This Row],[Rating]],Mapping!$B$2:$B$6,Mapping!$C$2:$C$6)</f>
        <v>2</v>
      </c>
    </row>
    <row r="153" spans="1:11" x14ac:dyDescent="0.25">
      <c r="A153" t="s">
        <v>127</v>
      </c>
      <c r="B153" s="5" t="s">
        <v>16</v>
      </c>
      <c r="C153">
        <v>34</v>
      </c>
      <c r="D153" s="5" t="s">
        <v>19</v>
      </c>
      <c r="E153" s="7">
        <v>44660</v>
      </c>
      <c r="F153" s="5" t="s">
        <v>10</v>
      </c>
      <c r="G153" s="24">
        <v>49630</v>
      </c>
      <c r="H153" s="5" t="s">
        <v>208</v>
      </c>
      <c r="I153" s="9">
        <f ca="1">(TODAY()-Staff[[#This Row],[Date Joined]])/365</f>
        <v>2.8547945205479452</v>
      </c>
      <c r="J153" s="24">
        <f ca="1">ROUNDUP(IF(Staff[[#This Row],[Tenure]]&gt;2,3%,2%)*Staff[[#This Row],[Salary]],0)</f>
        <v>1489</v>
      </c>
      <c r="K153" s="29">
        <f>_xlfn.XLOOKUP(Staff[[#This Row],[Rating]],Mapping!$B$2:$B$6,Mapping!$C$2:$C$6)</f>
        <v>2</v>
      </c>
    </row>
    <row r="154" spans="1:11" x14ac:dyDescent="0.25">
      <c r="A154" t="s">
        <v>54</v>
      </c>
      <c r="B154" s="5" t="s">
        <v>16</v>
      </c>
      <c r="C154">
        <v>34</v>
      </c>
      <c r="D154" s="5" t="s">
        <v>19</v>
      </c>
      <c r="E154" s="7">
        <v>44721</v>
      </c>
      <c r="F154" s="5" t="s">
        <v>10</v>
      </c>
      <c r="G154" s="24">
        <v>49630</v>
      </c>
      <c r="H154" s="5" t="s">
        <v>210</v>
      </c>
      <c r="I154" s="9">
        <f ca="1">(TODAY()-Staff[[#This Row],[Date Joined]])/365</f>
        <v>2.6876712328767125</v>
      </c>
      <c r="J154" s="24">
        <f ca="1">ROUNDUP(IF(Staff[[#This Row],[Tenure]]&gt;2,3%,2%)*Staff[[#This Row],[Salary]],0)</f>
        <v>1489</v>
      </c>
      <c r="K154" s="29">
        <f>_xlfn.XLOOKUP(Staff[[#This Row],[Rating]],Mapping!$B$2:$B$6,Mapping!$C$2:$C$6)</f>
        <v>2</v>
      </c>
    </row>
    <row r="155" spans="1:11" x14ac:dyDescent="0.25">
      <c r="A155" t="s">
        <v>151</v>
      </c>
      <c r="B155" s="5" t="s">
        <v>9</v>
      </c>
      <c r="C155">
        <v>27</v>
      </c>
      <c r="D155" s="5" t="s">
        <v>14</v>
      </c>
      <c r="E155" s="7">
        <v>44506</v>
      </c>
      <c r="F155" s="5" t="s">
        <v>18</v>
      </c>
      <c r="G155" s="24">
        <v>48980</v>
      </c>
      <c r="H155" s="5" t="s">
        <v>208</v>
      </c>
      <c r="I155" s="9">
        <f ca="1">(TODAY()-Staff[[#This Row],[Date Joined]])/365</f>
        <v>3.2767123287671232</v>
      </c>
      <c r="J155" s="24">
        <f ca="1">ROUNDUP(IF(Staff[[#This Row],[Tenure]]&gt;2,3%,2%)*Staff[[#This Row],[Salary]],0)</f>
        <v>1470</v>
      </c>
      <c r="K155" s="29">
        <f>_xlfn.XLOOKUP(Staff[[#This Row],[Rating]],Mapping!$B$2:$B$6,Mapping!$C$2:$C$6)</f>
        <v>3</v>
      </c>
    </row>
    <row r="156" spans="1:11" x14ac:dyDescent="0.25">
      <c r="A156" t="s">
        <v>41</v>
      </c>
      <c r="B156" s="5" t="s">
        <v>9</v>
      </c>
      <c r="C156">
        <v>27</v>
      </c>
      <c r="D156" s="5" t="s">
        <v>14</v>
      </c>
      <c r="E156" s="7">
        <v>44567</v>
      </c>
      <c r="F156" s="5" t="s">
        <v>18</v>
      </c>
      <c r="G156" s="24">
        <v>48980</v>
      </c>
      <c r="H156" s="5" t="s">
        <v>210</v>
      </c>
      <c r="I156" s="9">
        <f ca="1">(TODAY()-Staff[[#This Row],[Date Joined]])/365</f>
        <v>3.1095890410958904</v>
      </c>
      <c r="J156" s="24">
        <f ca="1">ROUNDUP(IF(Staff[[#This Row],[Tenure]]&gt;2,3%,2%)*Staff[[#This Row],[Salary]],0)</f>
        <v>1470</v>
      </c>
      <c r="K156" s="29">
        <f>_xlfn.XLOOKUP(Staff[[#This Row],[Rating]],Mapping!$B$2:$B$6,Mapping!$C$2:$C$6)</f>
        <v>3</v>
      </c>
    </row>
    <row r="157" spans="1:11" x14ac:dyDescent="0.25">
      <c r="A157" t="s">
        <v>169</v>
      </c>
      <c r="B157" s="5" t="s">
        <v>9</v>
      </c>
      <c r="C157">
        <v>31</v>
      </c>
      <c r="D157" s="5" t="s">
        <v>14</v>
      </c>
      <c r="E157" s="7">
        <v>44450</v>
      </c>
      <c r="F157" s="5" t="s">
        <v>24</v>
      </c>
      <c r="G157" s="24">
        <v>48950</v>
      </c>
      <c r="H157" s="5" t="s">
        <v>208</v>
      </c>
      <c r="I157" s="9">
        <f ca="1">(TODAY()-Staff[[#This Row],[Date Joined]])/365</f>
        <v>3.43013698630137</v>
      </c>
      <c r="J157" s="24">
        <f ca="1">ROUNDUP(IF(Staff[[#This Row],[Tenure]]&gt;2,3%,2%)*Staff[[#This Row],[Salary]],0)</f>
        <v>1469</v>
      </c>
      <c r="K157" s="29">
        <f>_xlfn.XLOOKUP(Staff[[#This Row],[Rating]],Mapping!$B$2:$B$6,Mapping!$C$2:$C$6)</f>
        <v>3</v>
      </c>
    </row>
    <row r="158" spans="1:11" x14ac:dyDescent="0.25">
      <c r="A158" t="s">
        <v>58</v>
      </c>
      <c r="B158" s="5" t="s">
        <v>9</v>
      </c>
      <c r="C158">
        <v>31</v>
      </c>
      <c r="D158" s="5" t="s">
        <v>14</v>
      </c>
      <c r="E158" s="7">
        <v>44511</v>
      </c>
      <c r="F158" s="5" t="s">
        <v>24</v>
      </c>
      <c r="G158" s="24">
        <v>48950</v>
      </c>
      <c r="H158" s="5" t="s">
        <v>210</v>
      </c>
      <c r="I158" s="9">
        <f ca="1">(TODAY()-Staff[[#This Row],[Date Joined]])/365</f>
        <v>3.2630136986301368</v>
      </c>
      <c r="J158" s="24">
        <f ca="1">ROUNDUP(IF(Staff[[#This Row],[Tenure]]&gt;2,3%,2%)*Staff[[#This Row],[Salary]],0)</f>
        <v>1469</v>
      </c>
      <c r="K158" s="29">
        <f>_xlfn.XLOOKUP(Staff[[#This Row],[Rating]],Mapping!$B$2:$B$6,Mapping!$C$2:$C$6)</f>
        <v>3</v>
      </c>
    </row>
    <row r="159" spans="1:11" x14ac:dyDescent="0.25">
      <c r="A159" t="s">
        <v>202</v>
      </c>
      <c r="B159" s="5" t="s">
        <v>9</v>
      </c>
      <c r="C159">
        <v>33</v>
      </c>
      <c r="D159" s="5" t="s">
        <v>11</v>
      </c>
      <c r="E159" s="7">
        <v>44640</v>
      </c>
      <c r="F159" s="5" t="s">
        <v>13</v>
      </c>
      <c r="G159" s="24">
        <v>48530</v>
      </c>
      <c r="H159" s="5" t="s">
        <v>208</v>
      </c>
      <c r="I159" s="9">
        <f ca="1">(TODAY()-Staff[[#This Row],[Date Joined]])/365</f>
        <v>2.9095890410958902</v>
      </c>
      <c r="J159" s="24">
        <f ca="1">ROUNDUP(IF(Staff[[#This Row],[Tenure]]&gt;2,3%,2%)*Staff[[#This Row],[Salary]],0)</f>
        <v>1456</v>
      </c>
      <c r="K159" s="29">
        <f>_xlfn.XLOOKUP(Staff[[#This Row],[Rating]],Mapping!$B$2:$B$6,Mapping!$C$2:$C$6)</f>
        <v>4</v>
      </c>
    </row>
    <row r="160" spans="1:11" x14ac:dyDescent="0.25">
      <c r="A160" t="s">
        <v>22</v>
      </c>
      <c r="B160" s="5" t="s">
        <v>9</v>
      </c>
      <c r="C160">
        <v>33</v>
      </c>
      <c r="D160" s="5" t="s">
        <v>11</v>
      </c>
      <c r="E160" s="7">
        <v>44701</v>
      </c>
      <c r="F160" s="5" t="s">
        <v>13</v>
      </c>
      <c r="G160" s="24">
        <v>48530</v>
      </c>
      <c r="H160" s="5" t="s">
        <v>210</v>
      </c>
      <c r="I160" s="9">
        <f ca="1">(TODAY()-Staff[[#This Row],[Date Joined]])/365</f>
        <v>2.7424657534246575</v>
      </c>
      <c r="J160" s="24">
        <f ca="1">ROUNDUP(IF(Staff[[#This Row],[Tenure]]&gt;2,3%,2%)*Staff[[#This Row],[Salary]],0)</f>
        <v>1456</v>
      </c>
      <c r="K160" s="29">
        <f>_xlfn.XLOOKUP(Staff[[#This Row],[Rating]],Mapping!$B$2:$B$6,Mapping!$C$2:$C$6)</f>
        <v>4</v>
      </c>
    </row>
    <row r="161" spans="1:11" x14ac:dyDescent="0.25">
      <c r="A161" t="s">
        <v>124</v>
      </c>
      <c r="B161" s="5" t="s">
        <v>9</v>
      </c>
      <c r="C161">
        <v>28</v>
      </c>
      <c r="D161" s="5" t="s">
        <v>11</v>
      </c>
      <c r="E161" s="7">
        <v>43980</v>
      </c>
      <c r="F161" s="5" t="s">
        <v>18</v>
      </c>
      <c r="G161" s="24">
        <v>48170</v>
      </c>
      <c r="H161" s="5" t="s">
        <v>208</v>
      </c>
      <c r="I161" s="9">
        <f ca="1">(TODAY()-Staff[[#This Row],[Date Joined]])/365</f>
        <v>4.7178082191780826</v>
      </c>
      <c r="J161" s="24">
        <f ca="1">ROUNDUP(IF(Staff[[#This Row],[Tenure]]&gt;2,3%,2%)*Staff[[#This Row],[Salary]],0)</f>
        <v>1446</v>
      </c>
      <c r="K161" s="29">
        <f>_xlfn.XLOOKUP(Staff[[#This Row],[Rating]],Mapping!$B$2:$B$6,Mapping!$C$2:$C$6)</f>
        <v>4</v>
      </c>
    </row>
    <row r="162" spans="1:11" x14ac:dyDescent="0.25">
      <c r="A162" t="s">
        <v>70</v>
      </c>
      <c r="B162" s="5" t="s">
        <v>9</v>
      </c>
      <c r="C162">
        <v>28</v>
      </c>
      <c r="D162" s="5" t="s">
        <v>11</v>
      </c>
      <c r="E162" s="7">
        <v>44041</v>
      </c>
      <c r="F162" s="5" t="s">
        <v>18</v>
      </c>
      <c r="G162" s="24">
        <v>48170</v>
      </c>
      <c r="H162" s="5" t="s">
        <v>210</v>
      </c>
      <c r="I162" s="9">
        <f ca="1">(TODAY()-Staff[[#This Row],[Date Joined]])/365</f>
        <v>4.5506849315068489</v>
      </c>
      <c r="J162" s="24">
        <f ca="1">ROUNDUP(IF(Staff[[#This Row],[Tenure]]&gt;2,3%,2%)*Staff[[#This Row],[Salary]],0)</f>
        <v>1446</v>
      </c>
      <c r="K162" s="29">
        <f>_xlfn.XLOOKUP(Staff[[#This Row],[Rating]],Mapping!$B$2:$B$6,Mapping!$C$2:$C$6)</f>
        <v>4</v>
      </c>
    </row>
    <row r="163" spans="1:11" x14ac:dyDescent="0.25">
      <c r="A163" t="s">
        <v>142</v>
      </c>
      <c r="B163" s="5" t="s">
        <v>9</v>
      </c>
      <c r="C163">
        <v>26</v>
      </c>
      <c r="D163" s="5" t="s">
        <v>14</v>
      </c>
      <c r="E163" s="7">
        <v>44164</v>
      </c>
      <c r="F163" s="5" t="s">
        <v>13</v>
      </c>
      <c r="G163" s="24">
        <v>47360</v>
      </c>
      <c r="H163" s="5" t="s">
        <v>208</v>
      </c>
      <c r="I163" s="9">
        <f ca="1">(TODAY()-Staff[[#This Row],[Date Joined]])/365</f>
        <v>4.2136986301369861</v>
      </c>
      <c r="J163" s="24">
        <f ca="1">ROUNDUP(IF(Staff[[#This Row],[Tenure]]&gt;2,3%,2%)*Staff[[#This Row],[Salary]],0)</f>
        <v>1421</v>
      </c>
      <c r="K163" s="29">
        <f>_xlfn.XLOOKUP(Staff[[#This Row],[Rating]],Mapping!$B$2:$B$6,Mapping!$C$2:$C$6)</f>
        <v>3</v>
      </c>
    </row>
    <row r="164" spans="1:11" x14ac:dyDescent="0.25">
      <c r="A164" t="s">
        <v>88</v>
      </c>
      <c r="B164" s="5" t="s">
        <v>9</v>
      </c>
      <c r="C164">
        <v>26</v>
      </c>
      <c r="D164" s="5" t="s">
        <v>14</v>
      </c>
      <c r="E164" s="7">
        <v>44225</v>
      </c>
      <c r="F164" s="5" t="s">
        <v>13</v>
      </c>
      <c r="G164" s="24">
        <v>47360</v>
      </c>
      <c r="H164" s="5" t="s">
        <v>210</v>
      </c>
      <c r="I164" s="9">
        <f ca="1">(TODAY()-Staff[[#This Row],[Date Joined]])/365</f>
        <v>4.0465753424657533</v>
      </c>
      <c r="J164" s="24">
        <f ca="1">ROUNDUP(IF(Staff[[#This Row],[Tenure]]&gt;2,3%,2%)*Staff[[#This Row],[Salary]],0)</f>
        <v>1421</v>
      </c>
      <c r="K164" s="29">
        <f>_xlfn.XLOOKUP(Staff[[#This Row],[Rating]],Mapping!$B$2:$B$6,Mapping!$C$2:$C$6)</f>
        <v>3</v>
      </c>
    </row>
    <row r="165" spans="1:11" x14ac:dyDescent="0.25">
      <c r="A165" t="s">
        <v>115</v>
      </c>
      <c r="B165" s="5" t="s">
        <v>16</v>
      </c>
      <c r="C165">
        <v>32</v>
      </c>
      <c r="D165" s="5" t="s">
        <v>14</v>
      </c>
      <c r="E165" s="7">
        <v>44339</v>
      </c>
      <c r="F165" s="5" t="s">
        <v>27</v>
      </c>
      <c r="G165" s="24">
        <v>45510</v>
      </c>
      <c r="H165" s="5" t="s">
        <v>208</v>
      </c>
      <c r="I165" s="9">
        <f ca="1">(TODAY()-Staff[[#This Row],[Date Joined]])/365</f>
        <v>3.7342465753424658</v>
      </c>
      <c r="J165" s="24">
        <f ca="1">ROUNDUP(IF(Staff[[#This Row],[Tenure]]&gt;2,3%,2%)*Staff[[#This Row],[Salary]],0)</f>
        <v>1366</v>
      </c>
      <c r="K165" s="29">
        <f>_xlfn.XLOOKUP(Staff[[#This Row],[Rating]],Mapping!$B$2:$B$6,Mapping!$C$2:$C$6)</f>
        <v>3</v>
      </c>
    </row>
    <row r="166" spans="1:11" x14ac:dyDescent="0.25">
      <c r="A166" t="s">
        <v>71</v>
      </c>
      <c r="B166" s="5" t="s">
        <v>16</v>
      </c>
      <c r="C166">
        <v>32</v>
      </c>
      <c r="D166" s="5" t="s">
        <v>14</v>
      </c>
      <c r="E166" s="7">
        <v>44400</v>
      </c>
      <c r="F166" s="5" t="s">
        <v>27</v>
      </c>
      <c r="G166" s="24">
        <v>45510</v>
      </c>
      <c r="H166" s="5" t="s">
        <v>210</v>
      </c>
      <c r="I166" s="9">
        <f ca="1">(TODAY()-Staff[[#This Row],[Date Joined]])/365</f>
        <v>3.5671232876712327</v>
      </c>
      <c r="J166" s="24">
        <f ca="1">ROUNDUP(IF(Staff[[#This Row],[Tenure]]&gt;2,3%,2%)*Staff[[#This Row],[Salary]],0)</f>
        <v>1366</v>
      </c>
      <c r="K166" s="29">
        <f>_xlfn.XLOOKUP(Staff[[#This Row],[Rating]],Mapping!$B$2:$B$6,Mapping!$C$2:$C$6)</f>
        <v>3</v>
      </c>
    </row>
    <row r="167" spans="1:11" x14ac:dyDescent="0.25">
      <c r="A167" t="s">
        <v>113</v>
      </c>
      <c r="B167" s="5" t="s">
        <v>16</v>
      </c>
      <c r="C167">
        <v>32</v>
      </c>
      <c r="D167" s="5" t="s">
        <v>11</v>
      </c>
      <c r="E167" s="7">
        <v>44293</v>
      </c>
      <c r="F167" s="5" t="s">
        <v>24</v>
      </c>
      <c r="G167" s="24">
        <v>43840</v>
      </c>
      <c r="H167" s="5" t="s">
        <v>208</v>
      </c>
      <c r="I167" s="9">
        <f ca="1">(TODAY()-Staff[[#This Row],[Date Joined]])/365</f>
        <v>3.8602739726027395</v>
      </c>
      <c r="J167" s="24">
        <f ca="1">ROUNDUP(IF(Staff[[#This Row],[Tenure]]&gt;2,3%,2%)*Staff[[#This Row],[Salary]],0)</f>
        <v>1316</v>
      </c>
      <c r="K167" s="29">
        <f>_xlfn.XLOOKUP(Staff[[#This Row],[Rating]],Mapping!$B$2:$B$6,Mapping!$C$2:$C$6)</f>
        <v>4</v>
      </c>
    </row>
    <row r="168" spans="1:11" x14ac:dyDescent="0.25">
      <c r="A168" t="s">
        <v>32</v>
      </c>
      <c r="B168" s="5" t="s">
        <v>16</v>
      </c>
      <c r="C168">
        <v>32</v>
      </c>
      <c r="D168" s="5" t="s">
        <v>11</v>
      </c>
      <c r="E168" s="7">
        <v>44354</v>
      </c>
      <c r="F168" s="5" t="s">
        <v>24</v>
      </c>
      <c r="G168" s="24">
        <v>43840</v>
      </c>
      <c r="H168" s="5" t="s">
        <v>210</v>
      </c>
      <c r="I168" s="9">
        <f ca="1">(TODAY()-Staff[[#This Row],[Date Joined]])/365</f>
        <v>3.6931506849315068</v>
      </c>
      <c r="J168" s="24">
        <f ca="1">ROUNDUP(IF(Staff[[#This Row],[Tenure]]&gt;2,3%,2%)*Staff[[#This Row],[Salary]],0)</f>
        <v>1316</v>
      </c>
      <c r="K168" s="29">
        <f>_xlfn.XLOOKUP(Staff[[#This Row],[Rating]],Mapping!$B$2:$B$6,Mapping!$C$2:$C$6)</f>
        <v>4</v>
      </c>
    </row>
    <row r="169" spans="1:11" x14ac:dyDescent="0.25">
      <c r="A169" t="s">
        <v>174</v>
      </c>
      <c r="B169" s="5" t="s">
        <v>9</v>
      </c>
      <c r="C169">
        <v>28</v>
      </c>
      <c r="D169" s="5" t="s">
        <v>50</v>
      </c>
      <c r="E169" s="7">
        <v>44758</v>
      </c>
      <c r="F169" s="5" t="s">
        <v>10</v>
      </c>
      <c r="G169" s="24">
        <v>43510</v>
      </c>
      <c r="H169" s="5" t="s">
        <v>208</v>
      </c>
      <c r="I169" s="9">
        <f ca="1">(TODAY()-Staff[[#This Row],[Date Joined]])/365</f>
        <v>2.5863013698630137</v>
      </c>
      <c r="J169" s="24">
        <f ca="1">ROUNDUP(IF(Staff[[#This Row],[Tenure]]&gt;2,3%,2%)*Staff[[#This Row],[Salary]],0)</f>
        <v>1306</v>
      </c>
      <c r="K169" s="29">
        <f>_xlfn.XLOOKUP(Staff[[#This Row],[Rating]],Mapping!$B$2:$B$6,Mapping!$C$2:$C$6)</f>
        <v>1</v>
      </c>
    </row>
    <row r="170" spans="1:11" x14ac:dyDescent="0.25">
      <c r="A170" t="s">
        <v>102</v>
      </c>
      <c r="B170" s="5" t="s">
        <v>9</v>
      </c>
      <c r="C170">
        <v>28</v>
      </c>
      <c r="D170" s="5" t="s">
        <v>50</v>
      </c>
      <c r="E170" s="7">
        <v>44820</v>
      </c>
      <c r="F170" s="5" t="s">
        <v>10</v>
      </c>
      <c r="G170" s="24">
        <v>43510</v>
      </c>
      <c r="H170" s="5" t="s">
        <v>210</v>
      </c>
      <c r="I170" s="9">
        <f ca="1">(TODAY()-Staff[[#This Row],[Date Joined]])/365</f>
        <v>2.4164383561643836</v>
      </c>
      <c r="J170" s="24">
        <f ca="1">ROUNDUP(IF(Staff[[#This Row],[Tenure]]&gt;2,3%,2%)*Staff[[#This Row],[Salary]],0)</f>
        <v>1306</v>
      </c>
      <c r="K170" s="29">
        <f>_xlfn.XLOOKUP(Staff[[#This Row],[Rating]],Mapping!$B$2:$B$6,Mapping!$C$2:$C$6)</f>
        <v>1</v>
      </c>
    </row>
    <row r="171" spans="1:11" x14ac:dyDescent="0.25">
      <c r="A171" t="s">
        <v>177</v>
      </c>
      <c r="B171" s="5" t="s">
        <v>16</v>
      </c>
      <c r="C171">
        <v>31</v>
      </c>
      <c r="D171" s="5" t="s">
        <v>14</v>
      </c>
      <c r="E171" s="7">
        <v>44084</v>
      </c>
      <c r="F171" s="5" t="s">
        <v>24</v>
      </c>
      <c r="G171" s="24">
        <v>41980</v>
      </c>
      <c r="H171" s="5" t="s">
        <v>208</v>
      </c>
      <c r="I171" s="9">
        <f ca="1">(TODAY()-Staff[[#This Row],[Date Joined]])/365</f>
        <v>4.4328767123287669</v>
      </c>
      <c r="J171" s="24">
        <f ca="1">ROUNDUP(IF(Staff[[#This Row],[Tenure]]&gt;2,3%,2%)*Staff[[#This Row],[Salary]],0)</f>
        <v>1260</v>
      </c>
      <c r="K171" s="29">
        <f>_xlfn.XLOOKUP(Staff[[#This Row],[Rating]],Mapping!$B$2:$B$6,Mapping!$C$2:$C$6)</f>
        <v>3</v>
      </c>
    </row>
    <row r="172" spans="1:11" x14ac:dyDescent="0.25">
      <c r="A172" t="s">
        <v>36</v>
      </c>
      <c r="B172" s="5" t="s">
        <v>16</v>
      </c>
      <c r="C172">
        <v>31</v>
      </c>
      <c r="D172" s="5" t="s">
        <v>14</v>
      </c>
      <c r="E172" s="7">
        <v>44145</v>
      </c>
      <c r="F172" s="5" t="s">
        <v>24</v>
      </c>
      <c r="G172" s="24">
        <v>41980</v>
      </c>
      <c r="H172" s="5" t="s">
        <v>210</v>
      </c>
      <c r="I172" s="9">
        <f ca="1">(TODAY()-Staff[[#This Row],[Date Joined]])/365</f>
        <v>4.2657534246575342</v>
      </c>
      <c r="J172" s="24">
        <f ca="1">ROUNDUP(IF(Staff[[#This Row],[Tenure]]&gt;2,3%,2%)*Staff[[#This Row],[Salary]],0)</f>
        <v>1260</v>
      </c>
      <c r="K172" s="29">
        <f>_xlfn.XLOOKUP(Staff[[#This Row],[Rating]],Mapping!$B$2:$B$6,Mapping!$C$2:$C$6)</f>
        <v>3</v>
      </c>
    </row>
    <row r="173" spans="1:11" x14ac:dyDescent="0.25">
      <c r="A173" t="s">
        <v>140</v>
      </c>
      <c r="B173" s="5" t="s">
        <v>16</v>
      </c>
      <c r="C173">
        <v>32</v>
      </c>
      <c r="D173" s="5" t="s">
        <v>14</v>
      </c>
      <c r="E173" s="7">
        <v>44549</v>
      </c>
      <c r="F173" s="5" t="s">
        <v>13</v>
      </c>
      <c r="G173" s="24">
        <v>41570</v>
      </c>
      <c r="H173" s="5" t="s">
        <v>208</v>
      </c>
      <c r="I173" s="9">
        <f ca="1">(TODAY()-Staff[[#This Row],[Date Joined]])/365</f>
        <v>3.1589041095890411</v>
      </c>
      <c r="J173" s="24">
        <f ca="1">ROUNDUP(IF(Staff[[#This Row],[Tenure]]&gt;2,3%,2%)*Staff[[#This Row],[Salary]],0)</f>
        <v>1248</v>
      </c>
      <c r="K173" s="29">
        <f>_xlfn.XLOOKUP(Staff[[#This Row],[Rating]],Mapping!$B$2:$B$6,Mapping!$C$2:$C$6)</f>
        <v>3</v>
      </c>
    </row>
    <row r="174" spans="1:11" x14ac:dyDescent="0.25">
      <c r="A174" t="s">
        <v>105</v>
      </c>
      <c r="B174" s="5" t="s">
        <v>16</v>
      </c>
      <c r="C174">
        <v>32</v>
      </c>
      <c r="D174" s="5" t="s">
        <v>14</v>
      </c>
      <c r="E174" s="7">
        <v>44611</v>
      </c>
      <c r="F174" s="5" t="s">
        <v>13</v>
      </c>
      <c r="G174" s="24">
        <v>41570</v>
      </c>
      <c r="H174" s="5" t="s">
        <v>210</v>
      </c>
      <c r="I174" s="9">
        <f ca="1">(TODAY()-Staff[[#This Row],[Date Joined]])/365</f>
        <v>2.989041095890411</v>
      </c>
      <c r="J174" s="24">
        <f ca="1">ROUNDUP(IF(Staff[[#This Row],[Tenure]]&gt;2,3%,2%)*Staff[[#This Row],[Salary]],0)</f>
        <v>1248</v>
      </c>
      <c r="K174" s="29">
        <f>_xlfn.XLOOKUP(Staff[[#This Row],[Rating]],Mapping!$B$2:$B$6,Mapping!$C$2:$C$6)</f>
        <v>3</v>
      </c>
    </row>
    <row r="175" spans="1:11" x14ac:dyDescent="0.25">
      <c r="A175" t="s">
        <v>136</v>
      </c>
      <c r="B175" s="5" t="s">
        <v>9</v>
      </c>
      <c r="C175">
        <v>35</v>
      </c>
      <c r="D175" s="5" t="s">
        <v>14</v>
      </c>
      <c r="E175" s="7">
        <v>44666</v>
      </c>
      <c r="F175" s="5" t="s">
        <v>13</v>
      </c>
      <c r="G175" s="24">
        <v>40400</v>
      </c>
      <c r="H175" s="5" t="s">
        <v>208</v>
      </c>
      <c r="I175" s="9">
        <f ca="1">(TODAY()-Staff[[#This Row],[Date Joined]])/365</f>
        <v>2.8383561643835615</v>
      </c>
      <c r="J175" s="24">
        <f ca="1">ROUNDUP(IF(Staff[[#This Row],[Tenure]]&gt;2,3%,2%)*Staff[[#This Row],[Salary]],0)</f>
        <v>1212</v>
      </c>
      <c r="K175" s="29">
        <f>_xlfn.XLOOKUP(Staff[[#This Row],[Rating]],Mapping!$B$2:$B$6,Mapping!$C$2:$C$6)</f>
        <v>3</v>
      </c>
    </row>
    <row r="176" spans="1:11" x14ac:dyDescent="0.25">
      <c r="A176" t="s">
        <v>96</v>
      </c>
      <c r="B176" s="5" t="s">
        <v>9</v>
      </c>
      <c r="C176">
        <v>35</v>
      </c>
      <c r="D176" s="5" t="s">
        <v>14</v>
      </c>
      <c r="E176" s="7">
        <v>44727</v>
      </c>
      <c r="F176" s="5" t="s">
        <v>13</v>
      </c>
      <c r="G176" s="24">
        <v>40400</v>
      </c>
      <c r="H176" s="5" t="s">
        <v>210</v>
      </c>
      <c r="I176" s="9">
        <f ca="1">(TODAY()-Staff[[#This Row],[Date Joined]])/365</f>
        <v>2.6712328767123288</v>
      </c>
      <c r="J176" s="24">
        <f ca="1">ROUNDUP(IF(Staff[[#This Row],[Tenure]]&gt;2,3%,2%)*Staff[[#This Row],[Salary]],0)</f>
        <v>1212</v>
      </c>
      <c r="K176" s="29">
        <f>_xlfn.XLOOKUP(Staff[[#This Row],[Rating]],Mapping!$B$2:$B$6,Mapping!$C$2:$C$6)</f>
        <v>3</v>
      </c>
    </row>
    <row r="177" spans="1:11" x14ac:dyDescent="0.25">
      <c r="A177" t="s">
        <v>125</v>
      </c>
      <c r="B177" s="5" t="s">
        <v>9</v>
      </c>
      <c r="C177">
        <v>21</v>
      </c>
      <c r="D177" s="5" t="s">
        <v>14</v>
      </c>
      <c r="E177" s="7">
        <v>44042</v>
      </c>
      <c r="F177" s="5" t="s">
        <v>13</v>
      </c>
      <c r="G177" s="24">
        <v>37920</v>
      </c>
      <c r="H177" s="5" t="s">
        <v>208</v>
      </c>
      <c r="I177" s="9">
        <f ca="1">(TODAY()-Staff[[#This Row],[Date Joined]])/365</f>
        <v>4.5479452054794525</v>
      </c>
      <c r="J177" s="24">
        <f ca="1">ROUNDUP(IF(Staff[[#This Row],[Tenure]]&gt;2,3%,2%)*Staff[[#This Row],[Salary]],0)</f>
        <v>1138</v>
      </c>
      <c r="K177" s="29">
        <f>_xlfn.XLOOKUP(Staff[[#This Row],[Rating]],Mapping!$B$2:$B$6,Mapping!$C$2:$C$6)</f>
        <v>3</v>
      </c>
    </row>
    <row r="178" spans="1:11" x14ac:dyDescent="0.25">
      <c r="A178" t="s">
        <v>34</v>
      </c>
      <c r="B178" s="5" t="s">
        <v>9</v>
      </c>
      <c r="C178">
        <v>21</v>
      </c>
      <c r="D178" s="5" t="s">
        <v>14</v>
      </c>
      <c r="E178" s="7">
        <v>44104</v>
      </c>
      <c r="F178" s="5" t="s">
        <v>13</v>
      </c>
      <c r="G178" s="24">
        <v>37920</v>
      </c>
      <c r="H178" s="5" t="s">
        <v>210</v>
      </c>
      <c r="I178" s="9">
        <f ca="1">(TODAY()-Staff[[#This Row],[Date Joined]])/365</f>
        <v>4.3780821917808215</v>
      </c>
      <c r="J178" s="24">
        <f ca="1">ROUNDUP(IF(Staff[[#This Row],[Tenure]]&gt;2,3%,2%)*Staff[[#This Row],[Salary]],0)</f>
        <v>1138</v>
      </c>
      <c r="K178" s="29">
        <f>_xlfn.XLOOKUP(Staff[[#This Row],[Rating]],Mapping!$B$2:$B$6,Mapping!$C$2:$C$6)</f>
        <v>3</v>
      </c>
    </row>
    <row r="179" spans="1:11" x14ac:dyDescent="0.25">
      <c r="A179" t="s">
        <v>134</v>
      </c>
      <c r="B179" s="5" t="s">
        <v>9</v>
      </c>
      <c r="C179">
        <v>43</v>
      </c>
      <c r="D179" s="5" t="s">
        <v>14</v>
      </c>
      <c r="E179" s="7">
        <v>44558</v>
      </c>
      <c r="F179" s="5" t="s">
        <v>10</v>
      </c>
      <c r="G179" s="24">
        <v>36040</v>
      </c>
      <c r="H179" s="5" t="s">
        <v>208</v>
      </c>
      <c r="I179" s="9">
        <f ca="1">(TODAY()-Staff[[#This Row],[Date Joined]])/365</f>
        <v>3.1342465753424658</v>
      </c>
      <c r="J179" s="24">
        <f ca="1">ROUNDUP(IF(Staff[[#This Row],[Tenure]]&gt;2,3%,2%)*Staff[[#This Row],[Salary]],0)</f>
        <v>1082</v>
      </c>
      <c r="K179" s="29">
        <f>_xlfn.XLOOKUP(Staff[[#This Row],[Rating]],Mapping!$B$2:$B$6,Mapping!$C$2:$C$6)</f>
        <v>3</v>
      </c>
    </row>
    <row r="180" spans="1:11" x14ac:dyDescent="0.25">
      <c r="A180" t="s">
        <v>98</v>
      </c>
      <c r="B180" s="5" t="s">
        <v>9</v>
      </c>
      <c r="C180">
        <v>43</v>
      </c>
      <c r="D180" s="5" t="s">
        <v>14</v>
      </c>
      <c r="E180" s="7">
        <v>44620</v>
      </c>
      <c r="F180" s="5" t="s">
        <v>10</v>
      </c>
      <c r="G180" s="24">
        <v>36040</v>
      </c>
      <c r="H180" s="5" t="s">
        <v>210</v>
      </c>
      <c r="I180" s="9">
        <f ca="1">(TODAY()-Staff[[#This Row],[Date Joined]])/365</f>
        <v>2.9643835616438357</v>
      </c>
      <c r="J180" s="24">
        <f ca="1">ROUNDUP(IF(Staff[[#This Row],[Tenure]]&gt;2,3%,2%)*Staff[[#This Row],[Salary]],0)</f>
        <v>1082</v>
      </c>
      <c r="K180" s="29">
        <f>_xlfn.XLOOKUP(Staff[[#This Row],[Rating]],Mapping!$B$2:$B$6,Mapping!$C$2:$C$6)</f>
        <v>3</v>
      </c>
    </row>
    <row r="181" spans="1:11" x14ac:dyDescent="0.25">
      <c r="A181" t="s">
        <v>192</v>
      </c>
      <c r="B181" s="5" t="s">
        <v>16</v>
      </c>
      <c r="C181">
        <v>29</v>
      </c>
      <c r="D181" s="5" t="s">
        <v>14</v>
      </c>
      <c r="E181" s="7">
        <v>43962</v>
      </c>
      <c r="F181" s="5" t="s">
        <v>24</v>
      </c>
      <c r="G181" s="24">
        <v>34980</v>
      </c>
      <c r="H181" s="5" t="s">
        <v>208</v>
      </c>
      <c r="I181" s="9">
        <f ca="1">(TODAY()-Staff[[#This Row],[Date Joined]])/365</f>
        <v>4.7671232876712333</v>
      </c>
      <c r="J181" s="24">
        <f ca="1">ROUNDUP(IF(Staff[[#This Row],[Tenure]]&gt;2,3%,2%)*Staff[[#This Row],[Salary]],0)</f>
        <v>1050</v>
      </c>
      <c r="K181" s="29">
        <f>_xlfn.XLOOKUP(Staff[[#This Row],[Rating]],Mapping!$B$2:$B$6,Mapping!$C$2:$C$6)</f>
        <v>3</v>
      </c>
    </row>
    <row r="182" spans="1:11" x14ac:dyDescent="0.25">
      <c r="A182" t="s">
        <v>46</v>
      </c>
      <c r="B182" s="5" t="s">
        <v>16</v>
      </c>
      <c r="C182">
        <v>29</v>
      </c>
      <c r="D182" s="5" t="s">
        <v>14</v>
      </c>
      <c r="E182" s="7">
        <v>44023</v>
      </c>
      <c r="F182" s="5" t="s">
        <v>24</v>
      </c>
      <c r="G182" s="24">
        <v>34980</v>
      </c>
      <c r="H182" s="5" t="s">
        <v>210</v>
      </c>
      <c r="I182" s="9">
        <f ca="1">(TODAY()-Staff[[#This Row],[Date Joined]])/365</f>
        <v>4.5999999999999996</v>
      </c>
      <c r="J182" s="24">
        <f ca="1">ROUNDUP(IF(Staff[[#This Row],[Tenure]]&gt;2,3%,2%)*Staff[[#This Row],[Salary]],0)</f>
        <v>1050</v>
      </c>
      <c r="K182" s="29">
        <f>_xlfn.XLOOKUP(Staff[[#This Row],[Rating]],Mapping!$B$2:$B$6,Mapping!$C$2:$C$6)</f>
        <v>3</v>
      </c>
    </row>
    <row r="183" spans="1:11" x14ac:dyDescent="0.25">
      <c r="A183" t="s">
        <v>155</v>
      </c>
      <c r="B183" s="5" t="s">
        <v>16</v>
      </c>
      <c r="C183">
        <v>21</v>
      </c>
      <c r="D183" s="5" t="s">
        <v>14</v>
      </c>
      <c r="E183" s="7">
        <v>44619</v>
      </c>
      <c r="F183" s="5" t="s">
        <v>24</v>
      </c>
      <c r="G183" s="24">
        <v>33920</v>
      </c>
      <c r="H183" s="5" t="s">
        <v>208</v>
      </c>
      <c r="I183" s="9">
        <f ca="1">(TODAY()-Staff[[#This Row],[Date Joined]])/365</f>
        <v>2.967123287671233</v>
      </c>
      <c r="J183" s="24">
        <f ca="1">ROUNDUP(IF(Staff[[#This Row],[Tenure]]&gt;2,3%,2%)*Staff[[#This Row],[Salary]],0)</f>
        <v>1018</v>
      </c>
      <c r="K183" s="29">
        <f>_xlfn.XLOOKUP(Staff[[#This Row],[Rating]],Mapping!$B$2:$B$6,Mapping!$C$2:$C$6)</f>
        <v>3</v>
      </c>
    </row>
    <row r="184" spans="1:11" x14ac:dyDescent="0.25">
      <c r="A184" t="s">
        <v>94</v>
      </c>
      <c r="B184" s="5" t="s">
        <v>16</v>
      </c>
      <c r="C184">
        <v>21</v>
      </c>
      <c r="D184" s="5" t="s">
        <v>14</v>
      </c>
      <c r="E184" s="7">
        <v>44678</v>
      </c>
      <c r="F184" s="5" t="s">
        <v>24</v>
      </c>
      <c r="G184" s="24">
        <v>33920</v>
      </c>
      <c r="H184" s="5" t="s">
        <v>210</v>
      </c>
      <c r="I184" s="9">
        <f ca="1">(TODAY()-Staff[[#This Row],[Date Joined]])/365</f>
        <v>2.8054794520547945</v>
      </c>
      <c r="J184" s="24">
        <f ca="1">ROUNDUP(IF(Staff[[#This Row],[Tenure]]&gt;2,3%,2%)*Staff[[#This Row],[Salary]],0)</f>
        <v>1018</v>
      </c>
      <c r="K184" s="29">
        <f>_xlfn.XLOOKUP(Staff[[#This Row],[Rating]],Mapping!$B$2:$B$6,Mapping!$C$2:$C$6)</f>
        <v>3</v>
      </c>
    </row>
  </sheetData>
  <conditionalFormatting sqref="G1:G1048576">
    <cfRule type="colorScale" priority="1">
      <colorScale>
        <cfvo type="min"/>
        <cfvo type="percentile" val="50"/>
        <cfvo type="max"/>
        <color rgb="FF5A8AC6"/>
        <color rgb="FFFCFCFF"/>
        <color rgb="FFF8696B"/>
      </colorScale>
    </cfRule>
    <cfRule type="colorScale" priority="2">
      <colorScale>
        <cfvo type="min"/>
        <cfvo type="percentile" val="50"/>
        <cfvo type="max"/>
        <color rgb="FF63BE7B"/>
        <color rgb="FFFFEB84"/>
        <color rgb="FFF8696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156FB-83A7-4900-B33C-2776B294B359}">
  <sheetPr>
    <tabColor rgb="FF92D050"/>
  </sheetPr>
  <dimension ref="B4:D10"/>
  <sheetViews>
    <sheetView workbookViewId="0">
      <selection activeCell="D7" sqref="D7"/>
    </sheetView>
  </sheetViews>
  <sheetFormatPr defaultRowHeight="15" x14ac:dyDescent="0.25"/>
  <cols>
    <col min="2" max="2" width="14.28515625" bestFit="1" customWidth="1"/>
    <col min="3" max="3" width="14.42578125" bestFit="1" customWidth="1"/>
    <col min="4" max="4" width="16.42578125" bestFit="1" customWidth="1"/>
    <col min="5" max="70" width="6" bestFit="1" customWidth="1"/>
    <col min="71" max="92" width="7" bestFit="1" customWidth="1"/>
    <col min="93" max="93" width="11.28515625" bestFit="1" customWidth="1"/>
  </cols>
  <sheetData>
    <row r="4" spans="2:4" x14ac:dyDescent="0.25">
      <c r="B4" s="22" t="s">
        <v>223</v>
      </c>
      <c r="C4" t="s">
        <v>224</v>
      </c>
      <c r="D4" t="s">
        <v>225</v>
      </c>
    </row>
    <row r="5" spans="2:4" x14ac:dyDescent="0.25">
      <c r="B5" s="27" t="s">
        <v>44</v>
      </c>
      <c r="C5">
        <v>4</v>
      </c>
      <c r="D5" s="24">
        <v>92080</v>
      </c>
    </row>
    <row r="6" spans="2:4" x14ac:dyDescent="0.25">
      <c r="B6" s="27" t="s">
        <v>11</v>
      </c>
      <c r="C6">
        <v>20</v>
      </c>
      <c r="D6" s="24">
        <v>75933</v>
      </c>
    </row>
    <row r="7" spans="2:4" x14ac:dyDescent="0.25">
      <c r="B7" s="27" t="s">
        <v>14</v>
      </c>
      <c r="C7">
        <v>137</v>
      </c>
      <c r="D7" s="24">
        <v>76798.759124087592</v>
      </c>
    </row>
    <row r="8" spans="2:4" x14ac:dyDescent="0.25">
      <c r="B8" s="27" t="s">
        <v>19</v>
      </c>
      <c r="C8">
        <v>16</v>
      </c>
      <c r="D8" s="24">
        <v>78115</v>
      </c>
    </row>
    <row r="9" spans="2:4" x14ac:dyDescent="0.25">
      <c r="B9" s="27" t="s">
        <v>50</v>
      </c>
      <c r="C9">
        <v>6</v>
      </c>
      <c r="D9" s="24">
        <v>77423.333333333328</v>
      </c>
    </row>
    <row r="10" spans="2:4" x14ac:dyDescent="0.25">
      <c r="B10" s="27" t="s">
        <v>226</v>
      </c>
      <c r="C10">
        <v>183</v>
      </c>
      <c r="D10" s="24">
        <v>77173.715846994543</v>
      </c>
    </row>
  </sheetData>
  <conditionalFormatting pivot="1" sqref="D5">
    <cfRule type="dataBar" priority="2">
      <dataBar>
        <cfvo type="min"/>
        <cfvo type="max"/>
        <color rgb="FF638EC6"/>
      </dataBar>
      <extLst>
        <ext xmlns:x14="http://schemas.microsoft.com/office/spreadsheetml/2009/9/main" uri="{B025F937-C7B1-47D3-B67F-A62EFF666E3E}">
          <x14:id>{7757246B-DF37-4B91-8953-377E7CEA096A}</x14:id>
        </ext>
      </extLst>
    </cfRule>
  </conditionalFormatting>
  <conditionalFormatting pivot="1" sqref="D5:D9">
    <cfRule type="dataBar" priority="1">
      <dataBar>
        <cfvo type="min"/>
        <cfvo type="max"/>
        <color rgb="FF638EC6"/>
      </dataBar>
      <extLst>
        <ext xmlns:x14="http://schemas.microsoft.com/office/spreadsheetml/2009/9/main" uri="{B025F937-C7B1-47D3-B67F-A62EFF666E3E}">
          <x14:id>{77E6A74A-E7CD-4C42-856B-9D555E28A66E}</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7757246B-DF37-4B91-8953-377E7CEA096A}">
            <x14:dataBar minLength="0" maxLength="100" gradient="0">
              <x14:cfvo type="autoMin"/>
              <x14:cfvo type="autoMax"/>
              <x14:negativeFillColor rgb="FFFF0000"/>
              <x14:axisColor rgb="FF000000"/>
            </x14:dataBar>
          </x14:cfRule>
          <xm:sqref>D5</xm:sqref>
        </x14:conditionalFormatting>
        <x14:conditionalFormatting xmlns:xm="http://schemas.microsoft.com/office/excel/2006/main" pivot="1">
          <x14:cfRule type="dataBar" id="{77E6A74A-E7CD-4C42-856B-9D555E28A66E}">
            <x14:dataBar minLength="0" maxLength="100" gradient="0">
              <x14:cfvo type="autoMin"/>
              <x14:cfvo type="autoMax"/>
              <x14:negativeFillColor rgb="FFFF0000"/>
              <x14:axisColor rgb="FF000000"/>
            </x14:dataBar>
          </x14:cfRule>
          <xm:sqref>D5:D9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654E1-3F29-46FB-9E5D-4CF1326CBBBA}">
  <sheetPr>
    <tabColor theme="2" tint="-0.499984740745262"/>
  </sheetPr>
  <dimension ref="B2:C6"/>
  <sheetViews>
    <sheetView workbookViewId="0">
      <selection activeCell="C2" sqref="C2"/>
    </sheetView>
  </sheetViews>
  <sheetFormatPr defaultRowHeight="15" x14ac:dyDescent="0.25"/>
  <cols>
    <col min="2" max="2" width="14.85546875" customWidth="1"/>
  </cols>
  <sheetData>
    <row r="2" spans="2:3" x14ac:dyDescent="0.25">
      <c r="B2" s="27" t="s">
        <v>44</v>
      </c>
      <c r="C2">
        <v>5</v>
      </c>
    </row>
    <row r="3" spans="2:3" x14ac:dyDescent="0.25">
      <c r="B3" s="27" t="s">
        <v>11</v>
      </c>
      <c r="C3">
        <v>4</v>
      </c>
    </row>
    <row r="4" spans="2:3" x14ac:dyDescent="0.25">
      <c r="B4" s="27" t="s">
        <v>14</v>
      </c>
      <c r="C4">
        <v>3</v>
      </c>
    </row>
    <row r="5" spans="2:3" x14ac:dyDescent="0.25">
      <c r="B5" s="27" t="s">
        <v>19</v>
      </c>
      <c r="C5">
        <v>2</v>
      </c>
    </row>
    <row r="6" spans="2:3" x14ac:dyDescent="0.25">
      <c r="B6" s="27" t="s">
        <v>50</v>
      </c>
      <c r="C6">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40B94-45F7-4B4E-9272-A16575D07150}">
  <sheetPr>
    <tabColor rgb="FF0070C0"/>
  </sheetPr>
  <dimension ref="B2:D38"/>
  <sheetViews>
    <sheetView topLeftCell="A16" workbookViewId="0">
      <selection activeCell="C4" sqref="C4"/>
    </sheetView>
  </sheetViews>
  <sheetFormatPr defaultRowHeight="15" x14ac:dyDescent="0.25"/>
  <cols>
    <col min="2" max="2" width="29" bestFit="1" customWidth="1"/>
    <col min="3" max="3" width="17.7109375" bestFit="1" customWidth="1"/>
    <col min="4" max="4" width="13.7109375" bestFit="1" customWidth="1"/>
  </cols>
  <sheetData>
    <row r="2" spans="2:4" x14ac:dyDescent="0.25">
      <c r="B2" s="11">
        <v>3</v>
      </c>
      <c r="C2" t="s">
        <v>227</v>
      </c>
    </row>
    <row r="4" spans="2:4" x14ac:dyDescent="0.25">
      <c r="B4" s="20" t="s">
        <v>228</v>
      </c>
      <c r="C4" s="21" t="s">
        <v>10</v>
      </c>
    </row>
    <row r="8" spans="2:4" x14ac:dyDescent="0.25">
      <c r="B8" t="s">
        <v>229</v>
      </c>
      <c r="C8">
        <f>COUNTIFS(Staff[Department],C4)</f>
        <v>28</v>
      </c>
    </row>
    <row r="11" spans="2:4" x14ac:dyDescent="0.25">
      <c r="B11" t="e" cm="1">
        <f t="array" aca="1" ref="B11:D38" ca="1">_xlfn._xlws.SORT(_xlfn.CHOOSECOLS(_xlfn._xlws.FILTER(Staff[],Staff[Department]=C4),1,7,4),2,-1)</f>
        <v>#NAME?</v>
      </c>
      <c r="C11" t="e">
        <f ca="1"/>
        <v>#NAME?</v>
      </c>
      <c r="D11" t="e">
        <f ca="1"/>
        <v>#NAME?</v>
      </c>
    </row>
    <row r="12" spans="2:4" x14ac:dyDescent="0.25">
      <c r="B12" t="e">
        <f ca="1"/>
        <v>#NAME?</v>
      </c>
      <c r="C12" t="e">
        <f ca="1"/>
        <v>#NAME?</v>
      </c>
      <c r="D12" t="e">
        <f ca="1"/>
        <v>#NAME?</v>
      </c>
    </row>
    <row r="13" spans="2:4" x14ac:dyDescent="0.25">
      <c r="B13" t="e">
        <f ca="1"/>
        <v>#NAME?</v>
      </c>
      <c r="C13" t="e">
        <f ca="1"/>
        <v>#NAME?</v>
      </c>
      <c r="D13" t="e">
        <f ca="1"/>
        <v>#NAME?</v>
      </c>
    </row>
    <row r="14" spans="2:4" x14ac:dyDescent="0.25">
      <c r="B14" t="e">
        <f ca="1"/>
        <v>#NAME?</v>
      </c>
      <c r="C14" t="e">
        <f ca="1"/>
        <v>#NAME?</v>
      </c>
      <c r="D14" t="e">
        <f ca="1"/>
        <v>#NAME?</v>
      </c>
    </row>
    <row r="15" spans="2:4" x14ac:dyDescent="0.25">
      <c r="B15" t="e">
        <f ca="1"/>
        <v>#NAME?</v>
      </c>
      <c r="C15" t="e">
        <f ca="1"/>
        <v>#NAME?</v>
      </c>
      <c r="D15" t="e">
        <f ca="1"/>
        <v>#NAME?</v>
      </c>
    </row>
    <row r="16" spans="2:4" x14ac:dyDescent="0.25">
      <c r="B16" t="e">
        <f ca="1"/>
        <v>#NAME?</v>
      </c>
      <c r="C16" t="e">
        <f ca="1"/>
        <v>#NAME?</v>
      </c>
      <c r="D16" t="e">
        <f ca="1"/>
        <v>#NAME?</v>
      </c>
    </row>
    <row r="17" spans="2:4" x14ac:dyDescent="0.25">
      <c r="B17" t="e">
        <f ca="1"/>
        <v>#NAME?</v>
      </c>
      <c r="C17" t="e">
        <f ca="1"/>
        <v>#NAME?</v>
      </c>
      <c r="D17" t="e">
        <f ca="1"/>
        <v>#NAME?</v>
      </c>
    </row>
    <row r="18" spans="2:4" x14ac:dyDescent="0.25">
      <c r="B18" t="e">
        <f ca="1"/>
        <v>#NAME?</v>
      </c>
      <c r="C18" t="e">
        <f ca="1"/>
        <v>#NAME?</v>
      </c>
      <c r="D18" t="e">
        <f ca="1"/>
        <v>#NAME?</v>
      </c>
    </row>
    <row r="19" spans="2:4" x14ac:dyDescent="0.25">
      <c r="B19" t="e">
        <f ca="1"/>
        <v>#NAME?</v>
      </c>
      <c r="C19" t="e">
        <f ca="1"/>
        <v>#NAME?</v>
      </c>
      <c r="D19" t="e">
        <f ca="1"/>
        <v>#NAME?</v>
      </c>
    </row>
    <row r="20" spans="2:4" x14ac:dyDescent="0.25">
      <c r="B20" t="e">
        <f ca="1"/>
        <v>#NAME?</v>
      </c>
      <c r="C20" t="e">
        <f ca="1"/>
        <v>#NAME?</v>
      </c>
      <c r="D20" t="e">
        <f ca="1"/>
        <v>#NAME?</v>
      </c>
    </row>
    <row r="21" spans="2:4" x14ac:dyDescent="0.25">
      <c r="B21" t="e">
        <f ca="1"/>
        <v>#NAME?</v>
      </c>
      <c r="C21" t="e">
        <f ca="1"/>
        <v>#NAME?</v>
      </c>
      <c r="D21" t="e">
        <f ca="1"/>
        <v>#NAME?</v>
      </c>
    </row>
    <row r="22" spans="2:4" x14ac:dyDescent="0.25">
      <c r="B22" t="e">
        <f ca="1"/>
        <v>#NAME?</v>
      </c>
      <c r="C22" t="e">
        <f ca="1"/>
        <v>#NAME?</v>
      </c>
      <c r="D22" t="e">
        <f ca="1"/>
        <v>#NAME?</v>
      </c>
    </row>
    <row r="23" spans="2:4" x14ac:dyDescent="0.25">
      <c r="B23" t="e">
        <f ca="1"/>
        <v>#NAME?</v>
      </c>
      <c r="C23" t="e">
        <f ca="1"/>
        <v>#NAME?</v>
      </c>
      <c r="D23" t="e">
        <f ca="1"/>
        <v>#NAME?</v>
      </c>
    </row>
    <row r="24" spans="2:4" x14ac:dyDescent="0.25">
      <c r="B24" t="e">
        <f ca="1"/>
        <v>#NAME?</v>
      </c>
      <c r="C24" t="e">
        <f ca="1"/>
        <v>#NAME?</v>
      </c>
      <c r="D24" t="e">
        <f ca="1"/>
        <v>#NAME?</v>
      </c>
    </row>
    <row r="25" spans="2:4" x14ac:dyDescent="0.25">
      <c r="B25" t="e">
        <f ca="1"/>
        <v>#NAME?</v>
      </c>
      <c r="C25" t="e">
        <f ca="1"/>
        <v>#NAME?</v>
      </c>
      <c r="D25" t="e">
        <f ca="1"/>
        <v>#NAME?</v>
      </c>
    </row>
    <row r="26" spans="2:4" x14ac:dyDescent="0.25">
      <c r="B26" t="e">
        <f ca="1"/>
        <v>#NAME?</v>
      </c>
      <c r="C26" t="e">
        <f ca="1"/>
        <v>#NAME?</v>
      </c>
      <c r="D26" t="e">
        <f ca="1"/>
        <v>#NAME?</v>
      </c>
    </row>
    <row r="27" spans="2:4" x14ac:dyDescent="0.25">
      <c r="B27" t="e">
        <f ca="1"/>
        <v>#NAME?</v>
      </c>
      <c r="C27" t="e">
        <f ca="1"/>
        <v>#NAME?</v>
      </c>
      <c r="D27" t="e">
        <f ca="1"/>
        <v>#NAME?</v>
      </c>
    </row>
    <row r="28" spans="2:4" x14ac:dyDescent="0.25">
      <c r="B28" t="e">
        <f ca="1"/>
        <v>#NAME?</v>
      </c>
      <c r="C28" t="e">
        <f ca="1"/>
        <v>#NAME?</v>
      </c>
      <c r="D28" t="e">
        <f ca="1"/>
        <v>#NAME?</v>
      </c>
    </row>
    <row r="29" spans="2:4" x14ac:dyDescent="0.25">
      <c r="B29" t="e">
        <f ca="1"/>
        <v>#NAME?</v>
      </c>
      <c r="C29" t="e">
        <f ca="1"/>
        <v>#NAME?</v>
      </c>
      <c r="D29" t="e">
        <f ca="1"/>
        <v>#NAME?</v>
      </c>
    </row>
    <row r="30" spans="2:4" x14ac:dyDescent="0.25">
      <c r="B30" t="e">
        <f ca="1"/>
        <v>#NAME?</v>
      </c>
      <c r="C30" t="e">
        <f ca="1"/>
        <v>#NAME?</v>
      </c>
      <c r="D30" t="e">
        <f ca="1"/>
        <v>#NAME?</v>
      </c>
    </row>
    <row r="31" spans="2:4" x14ac:dyDescent="0.25">
      <c r="B31" t="e">
        <f ca="1"/>
        <v>#NAME?</v>
      </c>
      <c r="C31" t="e">
        <f ca="1"/>
        <v>#NAME?</v>
      </c>
      <c r="D31" t="e">
        <f ca="1"/>
        <v>#NAME?</v>
      </c>
    </row>
    <row r="32" spans="2:4" x14ac:dyDescent="0.25">
      <c r="B32" t="e">
        <f ca="1"/>
        <v>#NAME?</v>
      </c>
      <c r="C32" t="e">
        <f ca="1"/>
        <v>#NAME?</v>
      </c>
      <c r="D32" t="e">
        <f ca="1"/>
        <v>#NAME?</v>
      </c>
    </row>
    <row r="33" spans="2:4" x14ac:dyDescent="0.25">
      <c r="B33" t="e">
        <f ca="1"/>
        <v>#NAME?</v>
      </c>
      <c r="C33" t="e">
        <f ca="1"/>
        <v>#NAME?</v>
      </c>
      <c r="D33" t="e">
        <f ca="1"/>
        <v>#NAME?</v>
      </c>
    </row>
    <row r="34" spans="2:4" x14ac:dyDescent="0.25">
      <c r="B34" t="e">
        <f ca="1"/>
        <v>#NAME?</v>
      </c>
      <c r="C34" t="e">
        <f ca="1"/>
        <v>#NAME?</v>
      </c>
      <c r="D34" t="e">
        <f ca="1"/>
        <v>#NAME?</v>
      </c>
    </row>
    <row r="35" spans="2:4" x14ac:dyDescent="0.25">
      <c r="B35" t="e">
        <f ca="1"/>
        <v>#NAME?</v>
      </c>
      <c r="C35" t="e">
        <f ca="1"/>
        <v>#NAME?</v>
      </c>
      <c r="D35" t="e">
        <f ca="1"/>
        <v>#NAME?</v>
      </c>
    </row>
    <row r="36" spans="2:4" x14ac:dyDescent="0.25">
      <c r="B36" t="e">
        <f ca="1"/>
        <v>#NAME?</v>
      </c>
      <c r="C36" t="e">
        <f ca="1"/>
        <v>#NAME?</v>
      </c>
      <c r="D36" t="e">
        <f ca="1"/>
        <v>#NAME?</v>
      </c>
    </row>
    <row r="37" spans="2:4" x14ac:dyDescent="0.25">
      <c r="B37" t="e">
        <f ca="1"/>
        <v>#NAME?</v>
      </c>
      <c r="C37" t="e">
        <f ca="1"/>
        <v>#NAME?</v>
      </c>
      <c r="D37" t="e">
        <f ca="1"/>
        <v>#NAME?</v>
      </c>
    </row>
    <row r="38" spans="2:4" x14ac:dyDescent="0.25">
      <c r="B38" t="e">
        <f ca="1"/>
        <v>#NAME?</v>
      </c>
      <c r="C38" t="e">
        <f ca="1"/>
        <v>#NAME?</v>
      </c>
      <c r="D38" t="e">
        <f ca="1"/>
        <v>#NAME?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E71F5-26DA-4C50-A653-75CBB028BBF7}">
  <sheetPr>
    <tabColor rgb="FF92D050"/>
  </sheetPr>
  <dimension ref="B2:S211"/>
  <sheetViews>
    <sheetView workbookViewId="0">
      <selection activeCell="F2" sqref="F2"/>
    </sheetView>
  </sheetViews>
  <sheetFormatPr defaultRowHeight="15" x14ac:dyDescent="0.25"/>
  <cols>
    <col min="2" max="2" width="14" bestFit="1" customWidth="1"/>
    <col min="3" max="3" width="14.28515625" bestFit="1" customWidth="1"/>
    <col min="18" max="18" width="11.42578125" bestFit="1" customWidth="1"/>
    <col min="19" max="19" width="13.28515625" bestFit="1" customWidth="1"/>
  </cols>
  <sheetData>
    <row r="2" spans="2:19" x14ac:dyDescent="0.25">
      <c r="B2" s="22" t="s">
        <v>223</v>
      </c>
      <c r="C2" t="s">
        <v>224</v>
      </c>
      <c r="Q2" t="s">
        <v>230</v>
      </c>
      <c r="R2" t="s">
        <v>231</v>
      </c>
      <c r="S2" t="s">
        <v>232</v>
      </c>
    </row>
    <row r="3" spans="2:19" x14ac:dyDescent="0.25">
      <c r="B3" s="27" t="s">
        <v>233</v>
      </c>
      <c r="P3" cm="1">
        <f t="array" ref="P3:P38">_xlfn.SEQUENCE(36)</f>
        <v>1</v>
      </c>
      <c r="Q3" s="31" cm="1">
        <f t="array" ref="Q3:Q38">EDATE(DATE(2020,4,1),_xlfn.ANCHORARRAY(P3)+0)</f>
        <v>43952</v>
      </c>
      <c r="R3">
        <f>COUNTIFS(Staff[Date Joined],"&gt;="&amp;Q3,Staff[Date Joined],"&lt;="&amp;EOMONTH(Q3,0))</f>
        <v>3</v>
      </c>
      <c r="S3">
        <f>SUM($R$3:R3)</f>
        <v>3</v>
      </c>
    </row>
    <row r="4" spans="2:19" x14ac:dyDescent="0.25">
      <c r="B4" s="30" t="s">
        <v>234</v>
      </c>
      <c r="C4">
        <v>3</v>
      </c>
      <c r="P4">
        <v>2</v>
      </c>
      <c r="Q4" s="31">
        <v>43983</v>
      </c>
      <c r="R4">
        <f>COUNTIFS(Staff[Date Joined],"&gt;="&amp;Q4,Staff[Date Joined],"&lt;="&amp;EOMONTH(Q4,0))</f>
        <v>1</v>
      </c>
      <c r="S4">
        <f>SUM($R$3:R4)</f>
        <v>4</v>
      </c>
    </row>
    <row r="5" spans="2:19" x14ac:dyDescent="0.25">
      <c r="B5" s="30" t="s">
        <v>235</v>
      </c>
      <c r="C5">
        <v>4</v>
      </c>
      <c r="P5">
        <v>3</v>
      </c>
      <c r="Q5" s="31">
        <v>44013</v>
      </c>
      <c r="R5">
        <f>COUNTIFS(Staff[Date Joined],"&gt;="&amp;Q5,Staff[Date Joined],"&lt;="&amp;EOMONTH(Q5,0))</f>
        <v>5</v>
      </c>
      <c r="S5">
        <f>SUM($R$3:R5)</f>
        <v>9</v>
      </c>
    </row>
    <row r="6" spans="2:19" x14ac:dyDescent="0.25">
      <c r="B6" s="30" t="s">
        <v>236</v>
      </c>
      <c r="C6">
        <v>9</v>
      </c>
      <c r="P6">
        <v>4</v>
      </c>
      <c r="Q6" s="31">
        <v>44044</v>
      </c>
      <c r="R6">
        <f>COUNTIFS(Staff[Date Joined],"&gt;="&amp;Q6,Staff[Date Joined],"&lt;="&amp;EOMONTH(Q6,0))</f>
        <v>3</v>
      </c>
      <c r="S6">
        <f>SUM($R$3:R6)</f>
        <v>12</v>
      </c>
    </row>
    <row r="7" spans="2:19" x14ac:dyDescent="0.25">
      <c r="B7" s="30" t="s">
        <v>237</v>
      </c>
      <c r="C7">
        <v>12</v>
      </c>
      <c r="P7">
        <v>5</v>
      </c>
      <c r="Q7" s="31">
        <v>44075</v>
      </c>
      <c r="R7">
        <f>COUNTIFS(Staff[Date Joined],"&gt;="&amp;Q7,Staff[Date Joined],"&lt;="&amp;EOMONTH(Q7,0))</f>
        <v>6</v>
      </c>
      <c r="S7">
        <f>SUM($R$3:R7)</f>
        <v>18</v>
      </c>
    </row>
    <row r="8" spans="2:19" x14ac:dyDescent="0.25">
      <c r="B8" s="30" t="s">
        <v>238</v>
      </c>
      <c r="C8">
        <v>18</v>
      </c>
      <c r="P8">
        <v>6</v>
      </c>
      <c r="Q8" s="31">
        <v>44105</v>
      </c>
      <c r="R8">
        <f>COUNTIFS(Staff[Date Joined],"&gt;="&amp;Q8,Staff[Date Joined],"&lt;="&amp;EOMONTH(Q8,0))</f>
        <v>6</v>
      </c>
      <c r="S8">
        <f>SUM($R$3:R8)</f>
        <v>24</v>
      </c>
    </row>
    <row r="9" spans="2:19" x14ac:dyDescent="0.25">
      <c r="B9" s="30" t="s">
        <v>239</v>
      </c>
      <c r="C9">
        <v>24</v>
      </c>
      <c r="P9">
        <v>7</v>
      </c>
      <c r="Q9" s="31">
        <v>44136</v>
      </c>
      <c r="R9">
        <f>COUNTIFS(Staff[Date Joined],"&gt;="&amp;Q9,Staff[Date Joined],"&lt;="&amp;EOMONTH(Q9,0))</f>
        <v>6</v>
      </c>
      <c r="S9">
        <f>SUM($R$3:R9)</f>
        <v>30</v>
      </c>
    </row>
    <row r="10" spans="2:19" x14ac:dyDescent="0.25">
      <c r="B10" s="30" t="s">
        <v>240</v>
      </c>
      <c r="C10">
        <v>30</v>
      </c>
      <c r="P10">
        <v>8</v>
      </c>
      <c r="Q10" s="31">
        <v>44166</v>
      </c>
      <c r="R10">
        <f>COUNTIFS(Staff[Date Joined],"&gt;="&amp;Q10,Staff[Date Joined],"&lt;="&amp;EOMONTH(Q10,0))</f>
        <v>7</v>
      </c>
      <c r="S10">
        <f>SUM($R$3:R10)</f>
        <v>37</v>
      </c>
    </row>
    <row r="11" spans="2:19" x14ac:dyDescent="0.25">
      <c r="B11" s="30" t="s">
        <v>241</v>
      </c>
      <c r="C11">
        <v>37</v>
      </c>
      <c r="P11">
        <v>9</v>
      </c>
      <c r="Q11" s="31">
        <v>44197</v>
      </c>
      <c r="R11">
        <f>COUNTIFS(Staff[Date Joined],"&gt;="&amp;Q11,Staff[Date Joined],"&lt;="&amp;EOMONTH(Q11,0))</f>
        <v>6</v>
      </c>
      <c r="S11">
        <f>SUM($R$3:R11)</f>
        <v>43</v>
      </c>
    </row>
    <row r="12" spans="2:19" x14ac:dyDescent="0.25">
      <c r="B12" s="27" t="s">
        <v>242</v>
      </c>
      <c r="P12">
        <v>10</v>
      </c>
      <c r="Q12" s="31">
        <v>44228</v>
      </c>
      <c r="R12">
        <f>COUNTIFS(Staff[Date Joined],"&gt;="&amp;Q12,Staff[Date Joined],"&lt;="&amp;EOMONTH(Q12,0))</f>
        <v>4</v>
      </c>
      <c r="S12">
        <f>SUM($R$3:R12)</f>
        <v>47</v>
      </c>
    </row>
    <row r="13" spans="2:19" x14ac:dyDescent="0.25">
      <c r="B13" s="30" t="s">
        <v>243</v>
      </c>
      <c r="C13">
        <v>6</v>
      </c>
      <c r="P13">
        <v>11</v>
      </c>
      <c r="Q13" s="31">
        <v>44256</v>
      </c>
      <c r="R13">
        <f>COUNTIFS(Staff[Date Joined],"&gt;="&amp;Q13,Staff[Date Joined],"&lt;="&amp;EOMONTH(Q13,0))</f>
        <v>9</v>
      </c>
      <c r="S13">
        <f>SUM($R$3:R13)</f>
        <v>56</v>
      </c>
    </row>
    <row r="14" spans="2:19" x14ac:dyDescent="0.25">
      <c r="B14" s="30" t="s">
        <v>244</v>
      </c>
      <c r="C14">
        <v>10</v>
      </c>
      <c r="P14">
        <v>12</v>
      </c>
      <c r="Q14" s="31">
        <v>44287</v>
      </c>
      <c r="R14">
        <f>COUNTIFS(Staff[Date Joined],"&gt;="&amp;Q14,Staff[Date Joined],"&lt;="&amp;EOMONTH(Q14,0))</f>
        <v>5</v>
      </c>
      <c r="S14">
        <f>SUM($R$3:R14)</f>
        <v>61</v>
      </c>
    </row>
    <row r="15" spans="2:19" x14ac:dyDescent="0.25">
      <c r="B15" s="30" t="s">
        <v>245</v>
      </c>
      <c r="C15">
        <v>19</v>
      </c>
      <c r="P15">
        <v>13</v>
      </c>
      <c r="Q15" s="31">
        <v>44317</v>
      </c>
      <c r="R15">
        <f>COUNTIFS(Staff[Date Joined],"&gt;="&amp;Q15,Staff[Date Joined],"&lt;="&amp;EOMONTH(Q15,0))</f>
        <v>10</v>
      </c>
      <c r="S15">
        <f>SUM($R$3:R15)</f>
        <v>71</v>
      </c>
    </row>
    <row r="16" spans="2:19" x14ac:dyDescent="0.25">
      <c r="B16" s="30" t="s">
        <v>246</v>
      </c>
      <c r="C16">
        <v>24</v>
      </c>
      <c r="P16">
        <v>14</v>
      </c>
      <c r="Q16" s="31">
        <v>44348</v>
      </c>
      <c r="R16">
        <f>COUNTIFS(Staff[Date Joined],"&gt;="&amp;Q16,Staff[Date Joined],"&lt;="&amp;EOMONTH(Q16,0))</f>
        <v>6</v>
      </c>
      <c r="S16">
        <f>SUM($R$3:R16)</f>
        <v>77</v>
      </c>
    </row>
    <row r="17" spans="2:19" x14ac:dyDescent="0.25">
      <c r="B17" s="30" t="s">
        <v>234</v>
      </c>
      <c r="C17">
        <v>34</v>
      </c>
      <c r="P17">
        <v>15</v>
      </c>
      <c r="Q17" s="31">
        <v>44378</v>
      </c>
      <c r="R17">
        <f>COUNTIFS(Staff[Date Joined],"&gt;="&amp;Q17,Staff[Date Joined],"&lt;="&amp;EOMONTH(Q17,0))</f>
        <v>13</v>
      </c>
      <c r="S17">
        <f>SUM($R$3:R17)</f>
        <v>90</v>
      </c>
    </row>
    <row r="18" spans="2:19" x14ac:dyDescent="0.25">
      <c r="B18" s="30" t="s">
        <v>235</v>
      </c>
      <c r="C18">
        <v>40</v>
      </c>
      <c r="P18">
        <v>16</v>
      </c>
      <c r="Q18" s="31">
        <v>44409</v>
      </c>
      <c r="R18">
        <f>COUNTIFS(Staff[Date Joined],"&gt;="&amp;Q18,Staff[Date Joined],"&lt;="&amp;EOMONTH(Q18,0))</f>
        <v>4</v>
      </c>
      <c r="S18">
        <f>SUM($R$3:R18)</f>
        <v>94</v>
      </c>
    </row>
    <row r="19" spans="2:19" x14ac:dyDescent="0.25">
      <c r="B19" s="30" t="s">
        <v>236</v>
      </c>
      <c r="C19">
        <v>53</v>
      </c>
      <c r="P19">
        <v>17</v>
      </c>
      <c r="Q19" s="31">
        <v>44440</v>
      </c>
      <c r="R19">
        <f>COUNTIFS(Staff[Date Joined],"&gt;="&amp;Q19,Staff[Date Joined],"&lt;="&amp;EOMONTH(Q19,0))</f>
        <v>11</v>
      </c>
      <c r="S19">
        <f>SUM($R$3:R19)</f>
        <v>105</v>
      </c>
    </row>
    <row r="20" spans="2:19" x14ac:dyDescent="0.25">
      <c r="B20" s="30" t="s">
        <v>237</v>
      </c>
      <c r="C20">
        <v>57</v>
      </c>
      <c r="P20">
        <v>18</v>
      </c>
      <c r="Q20" s="31">
        <v>44470</v>
      </c>
      <c r="R20">
        <f>COUNTIFS(Staff[Date Joined],"&gt;="&amp;Q20,Staff[Date Joined],"&lt;="&amp;EOMONTH(Q20,0))</f>
        <v>3</v>
      </c>
      <c r="S20">
        <f>SUM($R$3:R20)</f>
        <v>108</v>
      </c>
    </row>
    <row r="21" spans="2:19" x14ac:dyDescent="0.25">
      <c r="B21" s="30" t="s">
        <v>238</v>
      </c>
      <c r="C21">
        <v>68</v>
      </c>
      <c r="P21">
        <v>19</v>
      </c>
      <c r="Q21" s="31">
        <v>44501</v>
      </c>
      <c r="R21">
        <f>COUNTIFS(Staff[Date Joined],"&gt;="&amp;Q21,Staff[Date Joined],"&lt;="&amp;EOMONTH(Q21,0))</f>
        <v>4</v>
      </c>
      <c r="S21">
        <f>SUM($R$3:R21)</f>
        <v>112</v>
      </c>
    </row>
    <row r="22" spans="2:19" x14ac:dyDescent="0.25">
      <c r="B22" s="30" t="s">
        <v>239</v>
      </c>
      <c r="C22">
        <v>71</v>
      </c>
      <c r="P22">
        <v>20</v>
      </c>
      <c r="Q22" s="31">
        <v>44531</v>
      </c>
      <c r="R22">
        <f>COUNTIFS(Staff[Date Joined],"&gt;="&amp;Q22,Staff[Date Joined],"&lt;="&amp;EOMONTH(Q22,0))</f>
        <v>7</v>
      </c>
      <c r="S22">
        <f>SUM($R$3:R22)</f>
        <v>119</v>
      </c>
    </row>
    <row r="23" spans="2:19" x14ac:dyDescent="0.25">
      <c r="B23" s="30" t="s">
        <v>240</v>
      </c>
      <c r="C23">
        <v>75</v>
      </c>
      <c r="P23">
        <v>21</v>
      </c>
      <c r="Q23" s="31">
        <v>44562</v>
      </c>
      <c r="R23">
        <f>COUNTIFS(Staff[Date Joined],"&gt;="&amp;Q23,Staff[Date Joined],"&lt;="&amp;EOMONTH(Q23,0))</f>
        <v>3</v>
      </c>
      <c r="S23">
        <f>SUM($R$3:R23)</f>
        <v>122</v>
      </c>
    </row>
    <row r="24" spans="2:19" x14ac:dyDescent="0.25">
      <c r="B24" s="30" t="s">
        <v>241</v>
      </c>
      <c r="C24">
        <v>82</v>
      </c>
      <c r="P24">
        <v>22</v>
      </c>
      <c r="Q24" s="31">
        <v>44593</v>
      </c>
      <c r="R24">
        <f>COUNTIFS(Staff[Date Joined],"&gt;="&amp;Q24,Staff[Date Joined],"&lt;="&amp;EOMONTH(Q24,0))</f>
        <v>10</v>
      </c>
      <c r="S24">
        <f>SUM($R$3:R24)</f>
        <v>132</v>
      </c>
    </row>
    <row r="25" spans="2:19" x14ac:dyDescent="0.25">
      <c r="B25" s="27" t="s">
        <v>247</v>
      </c>
      <c r="P25">
        <v>23</v>
      </c>
      <c r="Q25" s="31">
        <v>44621</v>
      </c>
      <c r="R25">
        <f>COUNTIFS(Staff[Date Joined],"&gt;="&amp;Q25,Staff[Date Joined],"&lt;="&amp;EOMONTH(Q25,0))</f>
        <v>9</v>
      </c>
      <c r="S25">
        <f>SUM($R$3:R25)</f>
        <v>141</v>
      </c>
    </row>
    <row r="26" spans="2:19" x14ac:dyDescent="0.25">
      <c r="B26" s="30" t="s">
        <v>243</v>
      </c>
      <c r="C26">
        <v>3</v>
      </c>
      <c r="P26">
        <v>24</v>
      </c>
      <c r="Q26" s="31">
        <v>44652</v>
      </c>
      <c r="R26">
        <f>COUNTIFS(Staff[Date Joined],"&gt;="&amp;Q26,Staff[Date Joined],"&lt;="&amp;EOMONTH(Q26,0))</f>
        <v>9</v>
      </c>
      <c r="S26">
        <f>SUM($R$3:R26)</f>
        <v>150</v>
      </c>
    </row>
    <row r="27" spans="2:19" x14ac:dyDescent="0.25">
      <c r="B27" s="30" t="s">
        <v>244</v>
      </c>
      <c r="C27">
        <v>13</v>
      </c>
      <c r="P27">
        <v>25</v>
      </c>
      <c r="Q27" s="31">
        <v>44682</v>
      </c>
      <c r="R27">
        <f>COUNTIFS(Staff[Date Joined],"&gt;="&amp;Q27,Staff[Date Joined],"&lt;="&amp;EOMONTH(Q27,0))</f>
        <v>9</v>
      </c>
      <c r="S27">
        <f>SUM($R$3:R27)</f>
        <v>159</v>
      </c>
    </row>
    <row r="28" spans="2:19" x14ac:dyDescent="0.25">
      <c r="B28" s="30" t="s">
        <v>245</v>
      </c>
      <c r="C28">
        <v>22</v>
      </c>
      <c r="P28">
        <v>26</v>
      </c>
      <c r="Q28" s="31">
        <v>44713</v>
      </c>
      <c r="R28">
        <f>COUNTIFS(Staff[Date Joined],"&gt;="&amp;Q28,Staff[Date Joined],"&lt;="&amp;EOMONTH(Q28,0))</f>
        <v>7</v>
      </c>
      <c r="S28">
        <f>SUM($R$3:R28)</f>
        <v>166</v>
      </c>
    </row>
    <row r="29" spans="2:19" x14ac:dyDescent="0.25">
      <c r="B29" s="30" t="s">
        <v>246</v>
      </c>
      <c r="C29">
        <v>31</v>
      </c>
      <c r="P29">
        <v>27</v>
      </c>
      <c r="Q29" s="31">
        <v>44743</v>
      </c>
      <c r="R29">
        <f>COUNTIFS(Staff[Date Joined],"&gt;="&amp;Q29,Staff[Date Joined],"&lt;="&amp;EOMONTH(Q29,0))</f>
        <v>5</v>
      </c>
      <c r="S29">
        <f>SUM($R$3:R29)</f>
        <v>171</v>
      </c>
    </row>
    <row r="30" spans="2:19" x14ac:dyDescent="0.25">
      <c r="B30" s="30" t="s">
        <v>234</v>
      </c>
      <c r="C30">
        <v>40</v>
      </c>
      <c r="P30">
        <v>28</v>
      </c>
      <c r="Q30" s="31">
        <v>44774</v>
      </c>
      <c r="R30">
        <f>COUNTIFS(Staff[Date Joined],"&gt;="&amp;Q30,Staff[Date Joined],"&lt;="&amp;EOMONTH(Q30,0))</f>
        <v>5</v>
      </c>
      <c r="S30">
        <f>SUM($R$3:R30)</f>
        <v>176</v>
      </c>
    </row>
    <row r="31" spans="2:19" x14ac:dyDescent="0.25">
      <c r="B31" s="30" t="s">
        <v>235</v>
      </c>
      <c r="C31">
        <v>47</v>
      </c>
      <c r="P31">
        <v>29</v>
      </c>
      <c r="Q31" s="31">
        <v>44805</v>
      </c>
      <c r="R31">
        <f>COUNTIFS(Staff[Date Joined],"&gt;="&amp;Q31,Staff[Date Joined],"&lt;="&amp;EOMONTH(Q31,0))</f>
        <v>2</v>
      </c>
      <c r="S31">
        <f>SUM($R$3:R31)</f>
        <v>178</v>
      </c>
    </row>
    <row r="32" spans="2:19" x14ac:dyDescent="0.25">
      <c r="B32" s="30" t="s">
        <v>236</v>
      </c>
      <c r="C32">
        <v>52</v>
      </c>
      <c r="P32">
        <v>30</v>
      </c>
      <c r="Q32" s="31">
        <v>44835</v>
      </c>
      <c r="R32">
        <f>COUNTIFS(Staff[Date Joined],"&gt;="&amp;Q32,Staff[Date Joined],"&lt;="&amp;EOMONTH(Q32,0))</f>
        <v>3</v>
      </c>
      <c r="S32">
        <f>SUM($R$3:R32)</f>
        <v>181</v>
      </c>
    </row>
    <row r="33" spans="2:19" x14ac:dyDescent="0.25">
      <c r="B33" s="30" t="s">
        <v>237</v>
      </c>
      <c r="C33">
        <v>57</v>
      </c>
      <c r="P33">
        <v>31</v>
      </c>
      <c r="Q33" s="31">
        <v>44866</v>
      </c>
      <c r="R33">
        <f>COUNTIFS(Staff[Date Joined],"&gt;="&amp;Q33,Staff[Date Joined],"&lt;="&amp;EOMONTH(Q33,0))</f>
        <v>0</v>
      </c>
      <c r="S33">
        <f>SUM($R$3:R33)</f>
        <v>181</v>
      </c>
    </row>
    <row r="34" spans="2:19" x14ac:dyDescent="0.25">
      <c r="B34" s="30" t="s">
        <v>238</v>
      </c>
      <c r="C34">
        <v>59</v>
      </c>
      <c r="P34">
        <v>32</v>
      </c>
      <c r="Q34" s="31">
        <v>44896</v>
      </c>
      <c r="R34">
        <f>COUNTIFS(Staff[Date Joined],"&gt;="&amp;Q34,Staff[Date Joined],"&lt;="&amp;EOMONTH(Q34,0))</f>
        <v>0</v>
      </c>
      <c r="S34">
        <f>SUM($R$3:R34)</f>
        <v>181</v>
      </c>
    </row>
    <row r="35" spans="2:19" x14ac:dyDescent="0.25">
      <c r="B35" s="30" t="s">
        <v>239</v>
      </c>
      <c r="C35">
        <v>62</v>
      </c>
      <c r="P35">
        <v>33</v>
      </c>
      <c r="Q35" s="31">
        <v>44927</v>
      </c>
      <c r="R35">
        <f>COUNTIFS(Staff[Date Joined],"&gt;="&amp;Q35,Staff[Date Joined],"&lt;="&amp;EOMONTH(Q35,0))</f>
        <v>0</v>
      </c>
      <c r="S35">
        <f>SUM($R$3:R35)</f>
        <v>181</v>
      </c>
    </row>
    <row r="36" spans="2:19" x14ac:dyDescent="0.25">
      <c r="B36" s="27" t="s">
        <v>248</v>
      </c>
      <c r="P36">
        <v>34</v>
      </c>
      <c r="Q36" s="31">
        <v>44958</v>
      </c>
      <c r="R36">
        <f>COUNTIFS(Staff[Date Joined],"&gt;="&amp;Q36,Staff[Date Joined],"&lt;="&amp;EOMONTH(Q36,0))</f>
        <v>1</v>
      </c>
      <c r="S36">
        <f>SUM($R$3:R36)</f>
        <v>182</v>
      </c>
    </row>
    <row r="37" spans="2:19" x14ac:dyDescent="0.25">
      <c r="B37" s="30" t="s">
        <v>244</v>
      </c>
      <c r="C37">
        <v>1</v>
      </c>
      <c r="P37">
        <v>35</v>
      </c>
      <c r="Q37" s="31">
        <v>44986</v>
      </c>
      <c r="R37">
        <f>COUNTIFS(Staff[Date Joined],"&gt;="&amp;Q37,Staff[Date Joined],"&lt;="&amp;EOMONTH(Q37,0))</f>
        <v>0</v>
      </c>
      <c r="S37">
        <f>SUM($R$3:R37)</f>
        <v>182</v>
      </c>
    </row>
    <row r="38" spans="2:19" x14ac:dyDescent="0.25">
      <c r="B38" s="30" t="s">
        <v>246</v>
      </c>
      <c r="C38">
        <v>2</v>
      </c>
      <c r="P38">
        <v>36</v>
      </c>
      <c r="Q38" s="31">
        <v>45017</v>
      </c>
      <c r="R38">
        <f>COUNTIFS(Staff[Date Joined],"&gt;="&amp;Q38,Staff[Date Joined],"&lt;="&amp;EOMONTH(Q38,0))</f>
        <v>1</v>
      </c>
      <c r="S38">
        <f>SUM($R$3:R38)</f>
        <v>183</v>
      </c>
    </row>
    <row r="39" spans="2:19" x14ac:dyDescent="0.25">
      <c r="B39" s="27" t="s">
        <v>226</v>
      </c>
      <c r="Q39" s="31"/>
    </row>
    <row r="40" spans="2:19" x14ac:dyDescent="0.25">
      <c r="Q40" s="31"/>
    </row>
    <row r="41" spans="2:19" x14ac:dyDescent="0.25">
      <c r="Q41" s="31"/>
    </row>
    <row r="42" spans="2:19" x14ac:dyDescent="0.25">
      <c r="Q42" s="31"/>
    </row>
    <row r="43" spans="2:19" x14ac:dyDescent="0.25">
      <c r="Q43" s="31"/>
    </row>
    <row r="44" spans="2:19" x14ac:dyDescent="0.25">
      <c r="Q44" s="31"/>
    </row>
    <row r="45" spans="2:19" x14ac:dyDescent="0.25">
      <c r="Q45" s="31"/>
    </row>
    <row r="46" spans="2:19" x14ac:dyDescent="0.25">
      <c r="Q46" s="31"/>
    </row>
    <row r="47" spans="2:19" x14ac:dyDescent="0.25">
      <c r="Q47" s="31"/>
    </row>
    <row r="48" spans="2:19" x14ac:dyDescent="0.25">
      <c r="Q48" s="31"/>
    </row>
    <row r="49" spans="17:17" x14ac:dyDescent="0.25">
      <c r="Q49" s="31"/>
    </row>
    <row r="50" spans="17:17" x14ac:dyDescent="0.25">
      <c r="Q50" s="31"/>
    </row>
    <row r="51" spans="17:17" x14ac:dyDescent="0.25">
      <c r="Q51" s="31"/>
    </row>
    <row r="52" spans="17:17" x14ac:dyDescent="0.25">
      <c r="Q52" s="31"/>
    </row>
    <row r="53" spans="17:17" x14ac:dyDescent="0.25">
      <c r="Q53" s="31"/>
    </row>
    <row r="54" spans="17:17" x14ac:dyDescent="0.25">
      <c r="Q54" s="31"/>
    </row>
    <row r="55" spans="17:17" x14ac:dyDescent="0.25">
      <c r="Q55" s="31"/>
    </row>
    <row r="56" spans="17:17" x14ac:dyDescent="0.25">
      <c r="Q56" s="31"/>
    </row>
    <row r="57" spans="17:17" x14ac:dyDescent="0.25">
      <c r="Q57" s="31"/>
    </row>
    <row r="58" spans="17:17" x14ac:dyDescent="0.25">
      <c r="Q58" s="31"/>
    </row>
    <row r="59" spans="17:17" x14ac:dyDescent="0.25">
      <c r="Q59" s="31"/>
    </row>
    <row r="60" spans="17:17" x14ac:dyDescent="0.25">
      <c r="Q60" s="31"/>
    </row>
    <row r="61" spans="17:17" x14ac:dyDescent="0.25">
      <c r="Q61" s="31"/>
    </row>
    <row r="62" spans="17:17" x14ac:dyDescent="0.25">
      <c r="Q62" s="31"/>
    </row>
    <row r="63" spans="17:17" x14ac:dyDescent="0.25">
      <c r="Q63" s="31"/>
    </row>
    <row r="64" spans="17:17" x14ac:dyDescent="0.25">
      <c r="Q64" s="31"/>
    </row>
    <row r="65" spans="17:17" x14ac:dyDescent="0.25">
      <c r="Q65" s="31"/>
    </row>
    <row r="66" spans="17:17" x14ac:dyDescent="0.25">
      <c r="Q66" s="31"/>
    </row>
    <row r="67" spans="17:17" x14ac:dyDescent="0.25">
      <c r="Q67" s="31"/>
    </row>
    <row r="68" spans="17:17" x14ac:dyDescent="0.25">
      <c r="Q68" s="31"/>
    </row>
    <row r="69" spans="17:17" x14ac:dyDescent="0.25">
      <c r="Q69" s="31"/>
    </row>
    <row r="70" spans="17:17" x14ac:dyDescent="0.25">
      <c r="Q70" s="31"/>
    </row>
    <row r="71" spans="17:17" x14ac:dyDescent="0.25">
      <c r="Q71" s="31"/>
    </row>
    <row r="72" spans="17:17" x14ac:dyDescent="0.25">
      <c r="Q72" s="31"/>
    </row>
    <row r="73" spans="17:17" x14ac:dyDescent="0.25">
      <c r="Q73" s="31"/>
    </row>
    <row r="74" spans="17:17" x14ac:dyDescent="0.25">
      <c r="Q74" s="31"/>
    </row>
    <row r="75" spans="17:17" x14ac:dyDescent="0.25">
      <c r="Q75" s="31"/>
    </row>
    <row r="76" spans="17:17" x14ac:dyDescent="0.25">
      <c r="Q76" s="31"/>
    </row>
    <row r="77" spans="17:17" x14ac:dyDescent="0.25">
      <c r="Q77" s="31"/>
    </row>
    <row r="78" spans="17:17" x14ac:dyDescent="0.25">
      <c r="Q78" s="31"/>
    </row>
    <row r="79" spans="17:17" x14ac:dyDescent="0.25">
      <c r="Q79" s="31"/>
    </row>
    <row r="80" spans="17:17" x14ac:dyDescent="0.25">
      <c r="Q80" s="31"/>
    </row>
    <row r="81" spans="17:17" x14ac:dyDescent="0.25">
      <c r="Q81" s="31"/>
    </row>
    <row r="82" spans="17:17" x14ac:dyDescent="0.25">
      <c r="Q82" s="31"/>
    </row>
    <row r="83" spans="17:17" x14ac:dyDescent="0.25">
      <c r="Q83" s="31"/>
    </row>
    <row r="84" spans="17:17" x14ac:dyDescent="0.25">
      <c r="Q84" s="31"/>
    </row>
    <row r="85" spans="17:17" x14ac:dyDescent="0.25">
      <c r="Q85" s="31"/>
    </row>
    <row r="86" spans="17:17" x14ac:dyDescent="0.25">
      <c r="Q86" s="31"/>
    </row>
    <row r="87" spans="17:17" x14ac:dyDescent="0.25">
      <c r="Q87" s="31"/>
    </row>
    <row r="88" spans="17:17" x14ac:dyDescent="0.25">
      <c r="Q88" s="31"/>
    </row>
    <row r="89" spans="17:17" x14ac:dyDescent="0.25">
      <c r="Q89" s="31"/>
    </row>
    <row r="90" spans="17:17" x14ac:dyDescent="0.25">
      <c r="Q90" s="31"/>
    </row>
    <row r="91" spans="17:17" x14ac:dyDescent="0.25">
      <c r="Q91" s="31"/>
    </row>
    <row r="92" spans="17:17" x14ac:dyDescent="0.25">
      <c r="Q92" s="31"/>
    </row>
    <row r="93" spans="17:17" x14ac:dyDescent="0.25">
      <c r="Q93" s="31"/>
    </row>
    <row r="94" spans="17:17" x14ac:dyDescent="0.25">
      <c r="Q94" s="31"/>
    </row>
    <row r="95" spans="17:17" x14ac:dyDescent="0.25">
      <c r="Q95" s="31"/>
    </row>
    <row r="96" spans="17:17" x14ac:dyDescent="0.25">
      <c r="Q96" s="31"/>
    </row>
    <row r="97" spans="17:17" x14ac:dyDescent="0.25">
      <c r="Q97" s="31"/>
    </row>
    <row r="98" spans="17:17" x14ac:dyDescent="0.25">
      <c r="Q98" s="31"/>
    </row>
    <row r="99" spans="17:17" x14ac:dyDescent="0.25">
      <c r="Q99" s="31"/>
    </row>
    <row r="100" spans="17:17" x14ac:dyDescent="0.25">
      <c r="Q100" s="31"/>
    </row>
    <row r="101" spans="17:17" x14ac:dyDescent="0.25">
      <c r="Q101" s="31"/>
    </row>
    <row r="102" spans="17:17" x14ac:dyDescent="0.25">
      <c r="Q102" s="31"/>
    </row>
    <row r="103" spans="17:17" x14ac:dyDescent="0.25">
      <c r="Q103" s="31"/>
    </row>
    <row r="104" spans="17:17" x14ac:dyDescent="0.25">
      <c r="Q104" s="31"/>
    </row>
    <row r="105" spans="17:17" x14ac:dyDescent="0.25">
      <c r="Q105" s="31"/>
    </row>
    <row r="106" spans="17:17" x14ac:dyDescent="0.25">
      <c r="Q106" s="31"/>
    </row>
    <row r="107" spans="17:17" x14ac:dyDescent="0.25">
      <c r="Q107" s="31"/>
    </row>
    <row r="108" spans="17:17" x14ac:dyDescent="0.25">
      <c r="Q108" s="31"/>
    </row>
    <row r="109" spans="17:17" x14ac:dyDescent="0.25">
      <c r="Q109" s="31"/>
    </row>
    <row r="110" spans="17:17" x14ac:dyDescent="0.25">
      <c r="Q110" s="31"/>
    </row>
    <row r="111" spans="17:17" x14ac:dyDescent="0.25">
      <c r="Q111" s="31"/>
    </row>
    <row r="112" spans="17:17" x14ac:dyDescent="0.25">
      <c r="Q112" s="31"/>
    </row>
    <row r="113" spans="17:17" x14ac:dyDescent="0.25">
      <c r="Q113" s="31"/>
    </row>
    <row r="114" spans="17:17" x14ac:dyDescent="0.25">
      <c r="Q114" s="31"/>
    </row>
    <row r="115" spans="17:17" x14ac:dyDescent="0.25">
      <c r="Q115" s="31"/>
    </row>
    <row r="116" spans="17:17" x14ac:dyDescent="0.25">
      <c r="Q116" s="31"/>
    </row>
    <row r="117" spans="17:17" x14ac:dyDescent="0.25">
      <c r="Q117" s="31"/>
    </row>
    <row r="118" spans="17:17" x14ac:dyDescent="0.25">
      <c r="Q118" s="31"/>
    </row>
    <row r="119" spans="17:17" x14ac:dyDescent="0.25">
      <c r="Q119" s="31"/>
    </row>
    <row r="120" spans="17:17" x14ac:dyDescent="0.25">
      <c r="Q120" s="31"/>
    </row>
    <row r="121" spans="17:17" x14ac:dyDescent="0.25">
      <c r="Q121" s="31"/>
    </row>
    <row r="122" spans="17:17" x14ac:dyDescent="0.25">
      <c r="Q122" s="31"/>
    </row>
    <row r="123" spans="17:17" x14ac:dyDescent="0.25">
      <c r="Q123" s="31"/>
    </row>
    <row r="124" spans="17:17" x14ac:dyDescent="0.25">
      <c r="Q124" s="31"/>
    </row>
    <row r="125" spans="17:17" x14ac:dyDescent="0.25">
      <c r="Q125" s="31"/>
    </row>
    <row r="126" spans="17:17" x14ac:dyDescent="0.25">
      <c r="Q126" s="31"/>
    </row>
    <row r="127" spans="17:17" x14ac:dyDescent="0.25">
      <c r="Q127" s="31"/>
    </row>
    <row r="128" spans="17:17" x14ac:dyDescent="0.25">
      <c r="Q128" s="31"/>
    </row>
    <row r="129" spans="17:17" x14ac:dyDescent="0.25">
      <c r="Q129" s="31"/>
    </row>
    <row r="130" spans="17:17" x14ac:dyDescent="0.25">
      <c r="Q130" s="31"/>
    </row>
    <row r="131" spans="17:17" x14ac:dyDescent="0.25">
      <c r="Q131" s="31"/>
    </row>
    <row r="132" spans="17:17" x14ac:dyDescent="0.25">
      <c r="Q132" s="31"/>
    </row>
    <row r="133" spans="17:17" x14ac:dyDescent="0.25">
      <c r="Q133" s="31"/>
    </row>
    <row r="134" spans="17:17" x14ac:dyDescent="0.25">
      <c r="Q134" s="31"/>
    </row>
    <row r="135" spans="17:17" x14ac:dyDescent="0.25">
      <c r="Q135" s="31"/>
    </row>
    <row r="136" spans="17:17" x14ac:dyDescent="0.25">
      <c r="Q136" s="31"/>
    </row>
    <row r="137" spans="17:17" x14ac:dyDescent="0.25">
      <c r="Q137" s="31"/>
    </row>
    <row r="138" spans="17:17" x14ac:dyDescent="0.25">
      <c r="Q138" s="31"/>
    </row>
    <row r="139" spans="17:17" x14ac:dyDescent="0.25">
      <c r="Q139" s="31"/>
    </row>
    <row r="140" spans="17:17" x14ac:dyDescent="0.25">
      <c r="Q140" s="31"/>
    </row>
    <row r="141" spans="17:17" x14ac:dyDescent="0.25">
      <c r="Q141" s="31"/>
    </row>
    <row r="142" spans="17:17" x14ac:dyDescent="0.25">
      <c r="Q142" s="31"/>
    </row>
    <row r="143" spans="17:17" x14ac:dyDescent="0.25">
      <c r="Q143" s="31"/>
    </row>
    <row r="144" spans="17:17" x14ac:dyDescent="0.25">
      <c r="Q144" s="31"/>
    </row>
    <row r="145" spans="17:17" x14ac:dyDescent="0.25">
      <c r="Q145" s="31"/>
    </row>
    <row r="146" spans="17:17" x14ac:dyDescent="0.25">
      <c r="Q146" s="31"/>
    </row>
    <row r="147" spans="17:17" x14ac:dyDescent="0.25">
      <c r="Q147" s="31"/>
    </row>
    <row r="148" spans="17:17" x14ac:dyDescent="0.25">
      <c r="Q148" s="31"/>
    </row>
    <row r="149" spans="17:17" x14ac:dyDescent="0.25">
      <c r="Q149" s="31"/>
    </row>
    <row r="150" spans="17:17" x14ac:dyDescent="0.25">
      <c r="Q150" s="31"/>
    </row>
    <row r="151" spans="17:17" x14ac:dyDescent="0.25">
      <c r="Q151" s="31"/>
    </row>
    <row r="152" spans="17:17" x14ac:dyDescent="0.25">
      <c r="Q152" s="31"/>
    </row>
    <row r="153" spans="17:17" x14ac:dyDescent="0.25">
      <c r="Q153" s="31"/>
    </row>
    <row r="154" spans="17:17" x14ac:dyDescent="0.25">
      <c r="Q154" s="31"/>
    </row>
    <row r="155" spans="17:17" x14ac:dyDescent="0.25">
      <c r="Q155" s="31"/>
    </row>
    <row r="156" spans="17:17" x14ac:dyDescent="0.25">
      <c r="Q156" s="31"/>
    </row>
    <row r="157" spans="17:17" x14ac:dyDescent="0.25">
      <c r="Q157" s="31"/>
    </row>
    <row r="158" spans="17:17" x14ac:dyDescent="0.25">
      <c r="Q158" s="31"/>
    </row>
    <row r="159" spans="17:17" x14ac:dyDescent="0.25">
      <c r="Q159" s="31"/>
    </row>
    <row r="160" spans="17:17" x14ac:dyDescent="0.25">
      <c r="Q160" s="31"/>
    </row>
    <row r="161" spans="17:17" x14ac:dyDescent="0.25">
      <c r="Q161" s="31"/>
    </row>
    <row r="162" spans="17:17" x14ac:dyDescent="0.25">
      <c r="Q162" s="31"/>
    </row>
    <row r="163" spans="17:17" x14ac:dyDescent="0.25">
      <c r="Q163" s="31"/>
    </row>
    <row r="164" spans="17:17" x14ac:dyDescent="0.25">
      <c r="Q164" s="31"/>
    </row>
    <row r="165" spans="17:17" x14ac:dyDescent="0.25">
      <c r="Q165" s="31"/>
    </row>
    <row r="166" spans="17:17" x14ac:dyDescent="0.25">
      <c r="Q166" s="31"/>
    </row>
    <row r="167" spans="17:17" x14ac:dyDescent="0.25">
      <c r="Q167" s="31"/>
    </row>
    <row r="168" spans="17:17" x14ac:dyDescent="0.25">
      <c r="Q168" s="31"/>
    </row>
    <row r="169" spans="17:17" x14ac:dyDescent="0.25">
      <c r="Q169" s="31"/>
    </row>
    <row r="170" spans="17:17" x14ac:dyDescent="0.25">
      <c r="Q170" s="31"/>
    </row>
    <row r="171" spans="17:17" x14ac:dyDescent="0.25">
      <c r="Q171" s="31"/>
    </row>
    <row r="172" spans="17:17" x14ac:dyDescent="0.25">
      <c r="Q172" s="31"/>
    </row>
    <row r="173" spans="17:17" x14ac:dyDescent="0.25">
      <c r="Q173" s="31"/>
    </row>
    <row r="174" spans="17:17" x14ac:dyDescent="0.25">
      <c r="Q174" s="31"/>
    </row>
    <row r="175" spans="17:17" x14ac:dyDescent="0.25">
      <c r="Q175" s="31"/>
    </row>
    <row r="176" spans="17:17" x14ac:dyDescent="0.25">
      <c r="Q176" s="31"/>
    </row>
    <row r="177" spans="17:17" x14ac:dyDescent="0.25">
      <c r="Q177" s="31"/>
    </row>
    <row r="178" spans="17:17" x14ac:dyDescent="0.25">
      <c r="Q178" s="31"/>
    </row>
    <row r="179" spans="17:17" x14ac:dyDescent="0.25">
      <c r="Q179" s="31"/>
    </row>
    <row r="180" spans="17:17" x14ac:dyDescent="0.25">
      <c r="Q180" s="31"/>
    </row>
    <row r="181" spans="17:17" x14ac:dyDescent="0.25">
      <c r="Q181" s="31"/>
    </row>
    <row r="182" spans="17:17" x14ac:dyDescent="0.25">
      <c r="Q182" s="31"/>
    </row>
    <row r="183" spans="17:17" x14ac:dyDescent="0.25">
      <c r="Q183" s="31"/>
    </row>
    <row r="184" spans="17:17" x14ac:dyDescent="0.25">
      <c r="Q184" s="31"/>
    </row>
    <row r="185" spans="17:17" x14ac:dyDescent="0.25">
      <c r="Q185" s="31"/>
    </row>
    <row r="186" spans="17:17" x14ac:dyDescent="0.25">
      <c r="Q186" s="31"/>
    </row>
    <row r="187" spans="17:17" x14ac:dyDescent="0.25">
      <c r="Q187" s="31"/>
    </row>
    <row r="188" spans="17:17" x14ac:dyDescent="0.25">
      <c r="Q188" s="31"/>
    </row>
    <row r="189" spans="17:17" x14ac:dyDescent="0.25">
      <c r="Q189" s="31"/>
    </row>
    <row r="190" spans="17:17" x14ac:dyDescent="0.25">
      <c r="Q190" s="31"/>
    </row>
    <row r="191" spans="17:17" x14ac:dyDescent="0.25">
      <c r="Q191" s="31"/>
    </row>
    <row r="192" spans="17:17" x14ac:dyDescent="0.25">
      <c r="Q192" s="31"/>
    </row>
    <row r="193" spans="17:17" x14ac:dyDescent="0.25">
      <c r="Q193" s="31"/>
    </row>
    <row r="194" spans="17:17" x14ac:dyDescent="0.25">
      <c r="Q194" s="31"/>
    </row>
    <row r="195" spans="17:17" x14ac:dyDescent="0.25">
      <c r="Q195" s="31"/>
    </row>
    <row r="196" spans="17:17" x14ac:dyDescent="0.25">
      <c r="Q196" s="31"/>
    </row>
    <row r="197" spans="17:17" x14ac:dyDescent="0.25">
      <c r="Q197" s="31"/>
    </row>
    <row r="198" spans="17:17" x14ac:dyDescent="0.25">
      <c r="Q198" s="31"/>
    </row>
    <row r="199" spans="17:17" x14ac:dyDescent="0.25">
      <c r="Q199" s="31"/>
    </row>
    <row r="200" spans="17:17" x14ac:dyDescent="0.25">
      <c r="Q200" s="31"/>
    </row>
    <row r="201" spans="17:17" x14ac:dyDescent="0.25">
      <c r="Q201" s="31"/>
    </row>
    <row r="202" spans="17:17" x14ac:dyDescent="0.25">
      <c r="Q202" s="31"/>
    </row>
    <row r="203" spans="17:17" x14ac:dyDescent="0.25">
      <c r="Q203" s="31"/>
    </row>
    <row r="204" spans="17:17" x14ac:dyDescent="0.25">
      <c r="Q204" s="31"/>
    </row>
    <row r="205" spans="17:17" x14ac:dyDescent="0.25">
      <c r="Q205" s="31"/>
    </row>
    <row r="206" spans="17:17" x14ac:dyDescent="0.25">
      <c r="Q206" s="31"/>
    </row>
    <row r="207" spans="17:17" x14ac:dyDescent="0.25">
      <c r="Q207" s="31"/>
    </row>
    <row r="208" spans="17:17" x14ac:dyDescent="0.25">
      <c r="Q208" s="31"/>
    </row>
    <row r="209" spans="17:17" x14ac:dyDescent="0.25">
      <c r="Q209" s="31"/>
    </row>
    <row r="210" spans="17:17" x14ac:dyDescent="0.25">
      <c r="Q210" s="31"/>
    </row>
    <row r="211" spans="17:17" x14ac:dyDescent="0.25">
      <c r="Q211" s="31"/>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EA12-BB50-455E-A31B-AC6132E46016}">
  <sheetPr>
    <tabColor rgb="FF0070C0"/>
  </sheetPr>
  <dimension ref="B2:E12"/>
  <sheetViews>
    <sheetView workbookViewId="0">
      <selection activeCell="G15" sqref="G15"/>
    </sheetView>
  </sheetViews>
  <sheetFormatPr defaultRowHeight="15" x14ac:dyDescent="0.25"/>
  <cols>
    <col min="2" max="2" width="16.85546875" bestFit="1" customWidth="1"/>
    <col min="3" max="3" width="10.5703125" bestFit="1" customWidth="1"/>
    <col min="4" max="4" width="7.85546875" bestFit="1" customWidth="1"/>
    <col min="5" max="5" width="11.42578125" bestFit="1" customWidth="1"/>
    <col min="6" max="6" width="12" bestFit="1" customWidth="1"/>
    <col min="7" max="7" width="14.5703125" bestFit="1" customWidth="1"/>
    <col min="8" max="8" width="19.42578125" bestFit="1" customWidth="1"/>
    <col min="9" max="9" width="19.5703125" bestFit="1" customWidth="1"/>
  </cols>
  <sheetData>
    <row r="2" spans="2:5" x14ac:dyDescent="0.25">
      <c r="B2" s="11">
        <v>4</v>
      </c>
      <c r="C2" t="s">
        <v>249</v>
      </c>
    </row>
    <row r="7" spans="2:5" x14ac:dyDescent="0.25">
      <c r="C7" s="22" t="s">
        <v>2</v>
      </c>
    </row>
    <row r="8" spans="2:5" x14ac:dyDescent="0.25">
      <c r="B8" s="22" t="s">
        <v>250</v>
      </c>
      <c r="C8" t="s">
        <v>16</v>
      </c>
      <c r="D8" t="s">
        <v>9</v>
      </c>
      <c r="E8" t="s">
        <v>226</v>
      </c>
    </row>
    <row r="9" spans="2:5" x14ac:dyDescent="0.25">
      <c r="B9" t="s">
        <v>224</v>
      </c>
      <c r="C9">
        <v>86</v>
      </c>
      <c r="D9">
        <v>89</v>
      </c>
      <c r="E9">
        <v>175</v>
      </c>
    </row>
    <row r="10" spans="2:5" x14ac:dyDescent="0.25">
      <c r="B10" t="s">
        <v>251</v>
      </c>
      <c r="C10" s="23">
        <v>31.406976744186046</v>
      </c>
      <c r="D10" s="23">
        <v>29.393258426966291</v>
      </c>
      <c r="E10" s="23">
        <v>30.382857142857144</v>
      </c>
    </row>
    <row r="11" spans="2:5" x14ac:dyDescent="0.25">
      <c r="B11" t="s">
        <v>225</v>
      </c>
      <c r="C11" s="24">
        <v>78284.186046511633</v>
      </c>
      <c r="D11" s="24">
        <v>74915.168539325838</v>
      </c>
      <c r="E11" s="24">
        <v>76570.8</v>
      </c>
    </row>
    <row r="12" spans="2:5" x14ac:dyDescent="0.25">
      <c r="B12" t="s">
        <v>252</v>
      </c>
      <c r="C12" s="23">
        <v>3.4545396623128379</v>
      </c>
      <c r="D12" s="23">
        <v>3.4454363552408798</v>
      </c>
      <c r="E12" s="23">
        <v>3.4499099804305278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5ABA-E4B8-4C7A-B71A-2029C6AC25A7}">
  <sheetPr>
    <tabColor rgb="FF92D050"/>
  </sheetPr>
  <dimension ref="A1"/>
  <sheetViews>
    <sheetView topLeftCell="A11" workbookViewId="0">
      <selection activeCell="F24" sqref="F24"/>
    </sheetView>
  </sheetViews>
  <sheetFormatPr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3528C-3844-4467-B18B-7E54BB9C961E}">
  <sheetPr>
    <tabColor rgb="FF7030A0"/>
  </sheetPr>
  <dimension ref="B2:F10"/>
  <sheetViews>
    <sheetView workbookViewId="0">
      <selection activeCell="C7" sqref="C7"/>
    </sheetView>
  </sheetViews>
  <sheetFormatPr defaultRowHeight="15" x14ac:dyDescent="0.25"/>
  <cols>
    <col min="2" max="2" width="14" bestFit="1" customWidth="1"/>
    <col min="3" max="3" width="14.28515625" bestFit="1" customWidth="1"/>
    <col min="5" max="5" width="14" bestFit="1" customWidth="1"/>
    <col min="6" max="6" width="14.28515625" bestFit="1" customWidth="1"/>
  </cols>
  <sheetData>
    <row r="2" spans="2:6" x14ac:dyDescent="0.25">
      <c r="B2" s="22" t="s">
        <v>204</v>
      </c>
      <c r="C2" t="s" vm="1">
        <v>210</v>
      </c>
      <c r="E2" s="22" t="s">
        <v>204</v>
      </c>
      <c r="F2" t="s" vm="2">
        <v>208</v>
      </c>
    </row>
    <row r="4" spans="2:6" x14ac:dyDescent="0.25">
      <c r="B4" s="22" t="s">
        <v>223</v>
      </c>
      <c r="C4" t="s">
        <v>224</v>
      </c>
      <c r="E4" s="22" t="s">
        <v>223</v>
      </c>
      <c r="F4" t="s">
        <v>224</v>
      </c>
    </row>
    <row r="5" spans="2:6" x14ac:dyDescent="0.25">
      <c r="B5" s="27" t="s">
        <v>24</v>
      </c>
      <c r="C5">
        <v>27</v>
      </c>
      <c r="E5" s="27" t="s">
        <v>13</v>
      </c>
      <c r="F5">
        <v>28</v>
      </c>
    </row>
    <row r="6" spans="2:6" x14ac:dyDescent="0.25">
      <c r="B6" s="27" t="s">
        <v>13</v>
      </c>
      <c r="C6">
        <v>27</v>
      </c>
      <c r="E6" s="27" t="s">
        <v>24</v>
      </c>
      <c r="F6">
        <v>27</v>
      </c>
    </row>
    <row r="7" spans="2:6" x14ac:dyDescent="0.25">
      <c r="B7" s="27" t="s">
        <v>18</v>
      </c>
      <c r="C7">
        <v>19</v>
      </c>
      <c r="E7" s="27" t="s">
        <v>18</v>
      </c>
      <c r="F7">
        <v>19</v>
      </c>
    </row>
    <row r="8" spans="2:6" x14ac:dyDescent="0.25">
      <c r="B8" s="27" t="s">
        <v>10</v>
      </c>
      <c r="C8">
        <v>14</v>
      </c>
      <c r="E8" s="27" t="s">
        <v>10</v>
      </c>
      <c r="F8">
        <v>14</v>
      </c>
    </row>
    <row r="9" spans="2:6" x14ac:dyDescent="0.25">
      <c r="B9" s="27" t="s">
        <v>27</v>
      </c>
      <c r="C9">
        <v>4</v>
      </c>
      <c r="E9" s="27" t="s">
        <v>27</v>
      </c>
      <c r="F9">
        <v>4</v>
      </c>
    </row>
    <row r="10" spans="2:6" x14ac:dyDescent="0.25">
      <c r="B10" s="27" t="s">
        <v>226</v>
      </c>
      <c r="C10">
        <v>91</v>
      </c>
      <c r="E10" s="27" t="s">
        <v>226</v>
      </c>
      <c r="F10">
        <v>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27AED-BDA4-4A90-9198-A12985209BF1}">
  <sheetPr>
    <tabColor rgb="FFFFFF00"/>
  </sheetPr>
  <dimension ref="C2:N7"/>
  <sheetViews>
    <sheetView workbookViewId="0">
      <selection activeCell="A3" sqref="A3"/>
    </sheetView>
  </sheetViews>
  <sheetFormatPr defaultRowHeight="15" x14ac:dyDescent="0.25"/>
  <cols>
    <col min="1" max="2" width="9.140625" style="32"/>
    <col min="3" max="3" width="20" style="32" customWidth="1"/>
    <col min="4" max="4" width="2.5703125" style="32" customWidth="1"/>
    <col min="5" max="5" width="19.28515625" style="32" customWidth="1"/>
    <col min="6" max="6" width="1.85546875" style="32" customWidth="1"/>
    <col min="7" max="7" width="19.85546875" style="32" customWidth="1"/>
    <col min="8" max="8" width="10.140625" style="32" customWidth="1"/>
    <col min="9" max="9" width="9.140625" style="32"/>
    <col min="10" max="10" width="20" style="32" customWidth="1"/>
    <col min="11" max="11" width="2.5703125" style="32" customWidth="1"/>
    <col min="12" max="12" width="19.28515625" style="32" customWidth="1"/>
    <col min="13" max="13" width="1.85546875" style="32" customWidth="1"/>
    <col min="14" max="14" width="19.85546875" style="32" customWidth="1"/>
    <col min="15" max="16384" width="9.140625" style="32"/>
  </cols>
  <sheetData>
    <row r="2" spans="3:14" ht="37.5" customHeight="1" x14ac:dyDescent="0.25">
      <c r="C2" s="41" t="s">
        <v>253</v>
      </c>
      <c r="D2" s="42"/>
      <c r="E2" s="42"/>
      <c r="F2" s="42"/>
      <c r="G2" s="42"/>
      <c r="J2" s="41" t="s">
        <v>254</v>
      </c>
      <c r="K2" s="41"/>
      <c r="L2" s="41"/>
      <c r="M2" s="41"/>
      <c r="N2" s="41"/>
    </row>
    <row r="3" spans="3:14" ht="90.75" customHeight="1" x14ac:dyDescent="0.25">
      <c r="C3" s="33">
        <f>COUNTIFS(Staff[Country],"NZ")</f>
        <v>91</v>
      </c>
      <c r="E3" s="34">
        <f>COUNTIFS(Staff[Country],"NZ",Staff[Gender],"Female")/C3</f>
        <v>0.47252747252747251</v>
      </c>
      <c r="G3" s="35">
        <f>AVERAGEIFS(Staff[Salary],Staff[Country],"NZ")</f>
        <v>76978.791208791212</v>
      </c>
      <c r="J3" s="36">
        <f>COUNTIFS(Staff[Country],"IND")</f>
        <v>92</v>
      </c>
      <c r="L3" s="37">
        <f>COUNTIFS(Staff[Country],"IND",Staff[Gender],"Female")/J3</f>
        <v>0.46739130434782611</v>
      </c>
      <c r="N3" s="38">
        <f>AVERAGEIFS(Staff[Salary],Staff[Country],"IND")</f>
        <v>77366.521739130432</v>
      </c>
    </row>
    <row r="4" spans="3:14" x14ac:dyDescent="0.25">
      <c r="C4" s="39"/>
    </row>
    <row r="7" spans="3:14" ht="27.75" customHeight="1" x14ac:dyDescent="0.25">
      <c r="C7" s="40" t="s">
        <v>255</v>
      </c>
      <c r="D7" s="40"/>
      <c r="E7" s="40"/>
      <c r="F7" s="40"/>
      <c r="G7" s="40"/>
      <c r="H7" s="40"/>
      <c r="I7" s="40"/>
      <c r="J7" s="40"/>
      <c r="K7" s="40"/>
      <c r="L7" s="40"/>
      <c r="M7" s="40"/>
      <c r="N7" s="40"/>
    </row>
  </sheetData>
  <mergeCells count="3">
    <mergeCell ref="C7:N7"/>
    <mergeCell ref="C2:G2"/>
    <mergeCell ref="J2:N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07E9B04-EC7D-48AC-8C9C-3E06932F2C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India Staff</vt:lpstr>
      <vt:lpstr>All staff</vt:lpstr>
      <vt:lpstr>Salary vs. Rating</vt:lpstr>
      <vt:lpstr>Mapping</vt:lpstr>
      <vt:lpstr>Info Finder V2.0</vt:lpstr>
      <vt:lpstr>Employee Trend</vt:lpstr>
      <vt:lpstr>Male vs. Female</vt:lpstr>
      <vt:lpstr>Salary Spread</vt:lpstr>
      <vt:lpstr>Calc Pivot</vt:lpstr>
      <vt:lpstr>India vs. NZ</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Derry Hill</dc:creator>
  <cp:keywords/>
  <dc:description/>
  <cp:lastModifiedBy>Prema R</cp:lastModifiedBy>
  <cp:revision/>
  <dcterms:created xsi:type="dcterms:W3CDTF">2021-03-14T20:21:32Z</dcterms:created>
  <dcterms:modified xsi:type="dcterms:W3CDTF">2025-02-14T04:13:49Z</dcterms:modified>
  <cp:category/>
  <cp:contentStatus/>
</cp:coreProperties>
</file>