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prem/Downloads/"/>
    </mc:Choice>
  </mc:AlternateContent>
  <xr:revisionPtr revIDLastSave="0" documentId="8_{499C40C6-3F11-F248-B114-B5DBCCF62587}" xr6:coauthVersionLast="47" xr6:coauthVersionMax="47" xr10:uidLastSave="{00000000-0000-0000-0000-000000000000}"/>
  <bookViews>
    <workbookView xWindow="2160" yWindow="760" windowWidth="27240" windowHeight="16980" activeTab="1" xr2:uid="{9904CCC5-74A8-3C45-A008-EAC37083722C}"/>
  </bookViews>
  <sheets>
    <sheet name="Assumptions" sheetId="1" r:id="rId1"/>
    <sheet name="Project Timeline" sheetId="2" r:id="rId2"/>
    <sheet name="Construction costs" sheetId="3" r:id="rId3"/>
    <sheet name="Sales Projections" sheetId="4" r:id="rId4"/>
    <sheet name="Leasing Projections" sheetId="5" r:id="rId5"/>
    <sheet name="Financing" sheetId="6" r:id="rId6"/>
    <sheet name="Loan Amortization" sheetId="11" r:id="rId7"/>
    <sheet name="Operating Costs &amp; Cash Flow" sheetId="7" r:id="rId8"/>
    <sheet name="Cash Flow Statement" sheetId="8" r:id="rId9"/>
    <sheet name="Profitability Analysis" sheetId="9" r:id="rId10"/>
    <sheet name="Sensitivity Analysis" sheetId="10" r:id="rId11"/>
    <sheet name="Dashboard" sheetId="12" r:id="rId12"/>
  </sheet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0" l="1"/>
  <c r="G2" i="10"/>
  <c r="F2" i="10"/>
  <c r="E2" i="10"/>
  <c r="E3" i="10" s="1"/>
  <c r="D2" i="10"/>
  <c r="D3" i="10" s="1"/>
  <c r="C2" i="10"/>
  <c r="C4" i="10" s="1"/>
  <c r="B2" i="10"/>
  <c r="B4" i="10" s="1"/>
  <c r="C2" i="9"/>
  <c r="C3" i="9"/>
  <c r="B3" i="9"/>
  <c r="J91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32" i="8"/>
  <c r="J92" i="8"/>
  <c r="C4" i="9"/>
  <c r="B5" i="9" a="1"/>
  <c r="B5" i="9" s="1"/>
  <c r="B4" i="9"/>
  <c r="B2" i="9"/>
  <c r="L4" i="8"/>
  <c r="L5" i="8"/>
  <c r="L6" i="8"/>
  <c r="L7" i="8"/>
  <c r="L8" i="8"/>
  <c r="L9" i="8"/>
  <c r="L10" i="8"/>
  <c r="L11" i="8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" i="8"/>
  <c r="L2" i="8"/>
  <c r="K4" i="8"/>
  <c r="K5" i="8"/>
  <c r="K6" i="8"/>
  <c r="K7" i="8"/>
  <c r="K8" i="8"/>
  <c r="K9" i="8"/>
  <c r="K10" i="8"/>
  <c r="K11" i="8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2" i="8"/>
  <c r="J7" i="8"/>
  <c r="J8" i="8"/>
  <c r="J23" i="8"/>
  <c r="J24" i="8"/>
  <c r="I7" i="8"/>
  <c r="I8" i="8"/>
  <c r="I15" i="8"/>
  <c r="I16" i="8"/>
  <c r="I23" i="8"/>
  <c r="I24" i="8"/>
  <c r="I31" i="8"/>
  <c r="E33" i="8"/>
  <c r="E34" i="8"/>
  <c r="E35" i="8"/>
  <c r="E36" i="8"/>
  <c r="I36" i="8" s="1"/>
  <c r="E37" i="8"/>
  <c r="E38" i="8"/>
  <c r="E39" i="8"/>
  <c r="E40" i="8"/>
  <c r="E41" i="8"/>
  <c r="E42" i="8"/>
  <c r="E43" i="8"/>
  <c r="E32" i="8"/>
  <c r="I32" i="8" s="1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32" i="8"/>
  <c r="H3" i="8"/>
  <c r="H4" i="8"/>
  <c r="H5" i="8"/>
  <c r="H6" i="8"/>
  <c r="H7" i="8"/>
  <c r="H8" i="8"/>
  <c r="H9" i="8"/>
  <c r="H10" i="8"/>
  <c r="H11" i="8"/>
  <c r="H12" i="8"/>
  <c r="H13" i="8"/>
  <c r="I13" i="8" s="1"/>
  <c r="H14" i="8"/>
  <c r="I14" i="8" s="1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I29" i="8" s="1"/>
  <c r="H30" i="8"/>
  <c r="I30" i="8" s="1"/>
  <c r="H31" i="8"/>
  <c r="H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2" i="8"/>
  <c r="O7" i="8"/>
  <c r="P7" i="8" s="1"/>
  <c r="O6" i="8"/>
  <c r="P6" i="8" s="1"/>
  <c r="O2" i="8"/>
  <c r="O3" i="8"/>
  <c r="O4" i="8"/>
  <c r="D5" i="8"/>
  <c r="J5" i="8" s="1"/>
  <c r="D6" i="8"/>
  <c r="I6" i="8" s="1"/>
  <c r="D7" i="8"/>
  <c r="D8" i="8"/>
  <c r="D13" i="8"/>
  <c r="J13" i="8" s="1"/>
  <c r="D14" i="8"/>
  <c r="J14" i="8" s="1"/>
  <c r="D15" i="8"/>
  <c r="J15" i="8" s="1"/>
  <c r="D16" i="8"/>
  <c r="J16" i="8" s="1"/>
  <c r="D21" i="8"/>
  <c r="J21" i="8" s="1"/>
  <c r="D22" i="8"/>
  <c r="I22" i="8" s="1"/>
  <c r="D23" i="8"/>
  <c r="D24" i="8"/>
  <c r="D29" i="8"/>
  <c r="J29" i="8" s="1"/>
  <c r="D30" i="8"/>
  <c r="J30" i="8" s="1"/>
  <c r="D31" i="8"/>
  <c r="J31" i="8" s="1"/>
  <c r="D2" i="8"/>
  <c r="J2" i="8" s="1"/>
  <c r="B33" i="8"/>
  <c r="I33" i="8" s="1"/>
  <c r="B34" i="8"/>
  <c r="I34" i="8" s="1"/>
  <c r="B35" i="8"/>
  <c r="I35" i="8" s="1"/>
  <c r="B36" i="8"/>
  <c r="B41" i="8"/>
  <c r="I41" i="8" s="1"/>
  <c r="B42" i="8"/>
  <c r="I42" i="8" s="1"/>
  <c r="B43" i="8"/>
  <c r="I43" i="8" s="1"/>
  <c r="B3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2" i="8"/>
  <c r="E3" i="7"/>
  <c r="E4" i="7"/>
  <c r="E5" i="7"/>
  <c r="E6" i="7"/>
  <c r="E2" i="7"/>
  <c r="F3" i="7"/>
  <c r="F4" i="7"/>
  <c r="F5" i="7"/>
  <c r="F6" i="7"/>
  <c r="F2" i="7"/>
  <c r="C3" i="7"/>
  <c r="C4" i="7"/>
  <c r="C5" i="7"/>
  <c r="C6" i="7"/>
  <c r="C2" i="7"/>
  <c r="D37" i="6"/>
  <c r="C7" i="11" s="1"/>
  <c r="D38" i="6"/>
  <c r="C8" i="11" s="1"/>
  <c r="D39" i="6"/>
  <c r="C9" i="11" s="1"/>
  <c r="D40" i="6"/>
  <c r="C10" i="11" s="1"/>
  <c r="D45" i="6"/>
  <c r="C15" i="11" s="1"/>
  <c r="D46" i="6"/>
  <c r="C16" i="11" s="1"/>
  <c r="D53" i="6"/>
  <c r="C23" i="11" s="1"/>
  <c r="D54" i="6"/>
  <c r="C24" i="11" s="1"/>
  <c r="D55" i="6"/>
  <c r="C25" i="11" s="1"/>
  <c r="D56" i="6"/>
  <c r="C26" i="11" s="1"/>
  <c r="D61" i="6"/>
  <c r="C31" i="11" s="1"/>
  <c r="D62" i="6"/>
  <c r="C32" i="11" s="1"/>
  <c r="D69" i="6"/>
  <c r="C39" i="11" s="1"/>
  <c r="D70" i="6"/>
  <c r="C40" i="11" s="1"/>
  <c r="D71" i="6"/>
  <c r="C41" i="11" s="1"/>
  <c r="D72" i="6"/>
  <c r="C42" i="11" s="1"/>
  <c r="D77" i="6"/>
  <c r="C47" i="11" s="1"/>
  <c r="D78" i="6"/>
  <c r="C48" i="11" s="1"/>
  <c r="D85" i="6"/>
  <c r="C55" i="11" s="1"/>
  <c r="D86" i="6"/>
  <c r="C56" i="11" s="1"/>
  <c r="D87" i="6"/>
  <c r="C57" i="11" s="1"/>
  <c r="D88" i="6"/>
  <c r="C58" i="11" s="1"/>
  <c r="D92" i="6"/>
  <c r="C62" i="11" s="1"/>
  <c r="D93" i="6"/>
  <c r="C63" i="11" s="1"/>
  <c r="D96" i="6"/>
  <c r="C66" i="11" s="1"/>
  <c r="D100" i="6"/>
  <c r="C70" i="11" s="1"/>
  <c r="D101" i="6"/>
  <c r="C71" i="11" s="1"/>
  <c r="D102" i="6"/>
  <c r="C72" i="11" s="1"/>
  <c r="D103" i="6"/>
  <c r="C73" i="11" s="1"/>
  <c r="D104" i="6"/>
  <c r="C74" i="11" s="1"/>
  <c r="D110" i="6"/>
  <c r="C80" i="11" s="1"/>
  <c r="D111" i="6"/>
  <c r="C81" i="11" s="1"/>
  <c r="D112" i="6"/>
  <c r="C82" i="11" s="1"/>
  <c r="D32" i="6"/>
  <c r="C2" i="11" s="1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E3" i="6"/>
  <c r="E4" i="6"/>
  <c r="E8" i="6"/>
  <c r="E9" i="6"/>
  <c r="E11" i="6"/>
  <c r="E12" i="6"/>
  <c r="E16" i="6"/>
  <c r="E17" i="6"/>
  <c r="E18" i="6"/>
  <c r="E19" i="6"/>
  <c r="E20" i="6"/>
  <c r="E25" i="6"/>
  <c r="E26" i="6"/>
  <c r="E27" i="6"/>
  <c r="E28" i="6"/>
  <c r="E2" i="6"/>
  <c r="B3" i="6"/>
  <c r="B4" i="6"/>
  <c r="B10" i="6"/>
  <c r="B11" i="6"/>
  <c r="B12" i="6"/>
  <c r="B13" i="6"/>
  <c r="B14" i="6"/>
  <c r="B18" i="6"/>
  <c r="B21" i="6"/>
  <c r="B22" i="6"/>
  <c r="B26" i="6"/>
  <c r="B27" i="6"/>
  <c r="B28" i="6"/>
  <c r="B29" i="6"/>
  <c r="J3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2" i="6"/>
  <c r="J2" i="6"/>
  <c r="J4" i="6" s="1"/>
  <c r="C4" i="5"/>
  <c r="C5" i="5"/>
  <c r="C6" i="5"/>
  <c r="C11" i="5"/>
  <c r="B3" i="5"/>
  <c r="B4" i="5"/>
  <c r="B5" i="5"/>
  <c r="B6" i="5"/>
  <c r="B7" i="5"/>
  <c r="B8" i="5"/>
  <c r="B9" i="5"/>
  <c r="B10" i="5"/>
  <c r="B11" i="5"/>
  <c r="B12" i="5"/>
  <c r="B13" i="5"/>
  <c r="B2" i="5"/>
  <c r="D10" i="4"/>
  <c r="D11" i="4"/>
  <c r="C4" i="4"/>
  <c r="D4" i="4" s="1"/>
  <c r="C5" i="4"/>
  <c r="D5" i="4" s="1"/>
  <c r="C6" i="4"/>
  <c r="D6" i="4" s="1"/>
  <c r="C11" i="4"/>
  <c r="C12" i="4"/>
  <c r="D12" i="4" s="1"/>
  <c r="C13" i="4"/>
  <c r="D13" i="4" s="1"/>
  <c r="C2" i="4"/>
  <c r="D2" i="4" s="1"/>
  <c r="B3" i="4"/>
  <c r="C3" i="4" s="1"/>
  <c r="D3" i="4" s="1"/>
  <c r="B4" i="4"/>
  <c r="B5" i="4"/>
  <c r="B6" i="4"/>
  <c r="B7" i="4"/>
  <c r="C7" i="4" s="1"/>
  <c r="D7" i="4" s="1"/>
  <c r="B8" i="4"/>
  <c r="C8" i="4" s="1"/>
  <c r="D8" i="4" s="1"/>
  <c r="B9" i="4"/>
  <c r="C9" i="4" s="1"/>
  <c r="D9" i="4" s="1"/>
  <c r="B10" i="4"/>
  <c r="C10" i="4" s="1"/>
  <c r="B11" i="4"/>
  <c r="B12" i="4"/>
  <c r="B13" i="4"/>
  <c r="B2" i="4"/>
  <c r="B37" i="8" s="1"/>
  <c r="I37" i="8" s="1"/>
  <c r="A3" i="5"/>
  <c r="A4" i="5"/>
  <c r="A5" i="5"/>
  <c r="A6" i="5"/>
  <c r="A7" i="5"/>
  <c r="A8" i="5"/>
  <c r="A9" i="5"/>
  <c r="A10" i="5"/>
  <c r="A11" i="5"/>
  <c r="A12" i="5"/>
  <c r="A13" i="5"/>
  <c r="A2" i="5"/>
  <c r="A2" i="4"/>
  <c r="A3" i="4"/>
  <c r="A4" i="4"/>
  <c r="A5" i="4"/>
  <c r="A6" i="4"/>
  <c r="A7" i="4"/>
  <c r="A8" i="4"/>
  <c r="A9" i="4"/>
  <c r="A10" i="4"/>
  <c r="A11" i="4"/>
  <c r="A12" i="4"/>
  <c r="A13" i="4"/>
  <c r="A32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2" i="3"/>
  <c r="D9" i="8" s="1"/>
  <c r="I9" i="8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3" i="2"/>
  <c r="A34" i="2"/>
  <c r="A35" i="2"/>
  <c r="A36" i="2"/>
  <c r="A37" i="2"/>
  <c r="A38" i="2"/>
  <c r="A39" i="2"/>
  <c r="A40" i="2"/>
  <c r="A41" i="2"/>
  <c r="A42" i="2"/>
  <c r="A43" i="2"/>
  <c r="A2" i="2"/>
  <c r="B3" i="10" l="1"/>
  <c r="E4" i="10"/>
  <c r="D4" i="10"/>
  <c r="C3" i="10"/>
  <c r="L36" i="8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K93" i="8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J9" i="8"/>
  <c r="I5" i="8"/>
  <c r="I21" i="8"/>
  <c r="I2" i="8"/>
  <c r="J22" i="8"/>
  <c r="J6" i="8"/>
  <c r="F63" i="8"/>
  <c r="F61" i="8"/>
  <c r="F56" i="8"/>
  <c r="F77" i="8"/>
  <c r="F88" i="8"/>
  <c r="F87" i="8"/>
  <c r="F72" i="8"/>
  <c r="F48" i="8"/>
  <c r="F47" i="8"/>
  <c r="F50" i="8"/>
  <c r="F73" i="8"/>
  <c r="F86" i="8"/>
  <c r="F71" i="8"/>
  <c r="F55" i="8"/>
  <c r="F79" i="8"/>
  <c r="F78" i="8"/>
  <c r="F89" i="8"/>
  <c r="F57" i="8"/>
  <c r="F81" i="8"/>
  <c r="F70" i="8"/>
  <c r="F54" i="8"/>
  <c r="F64" i="8"/>
  <c r="F62" i="8"/>
  <c r="F80" i="8"/>
  <c r="F65" i="8"/>
  <c r="F49" i="8"/>
  <c r="F46" i="8"/>
  <c r="F53" i="8"/>
  <c r="F84" i="8"/>
  <c r="F76" i="8"/>
  <c r="F68" i="8"/>
  <c r="F60" i="8"/>
  <c r="F52" i="8"/>
  <c r="F44" i="8"/>
  <c r="F85" i="8"/>
  <c r="F69" i="8"/>
  <c r="F45" i="8"/>
  <c r="F91" i="8"/>
  <c r="F83" i="8"/>
  <c r="F75" i="8"/>
  <c r="F67" i="8"/>
  <c r="F59" i="8"/>
  <c r="F51" i="8"/>
  <c r="F90" i="8"/>
  <c r="F82" i="8"/>
  <c r="F74" i="8"/>
  <c r="F66" i="8"/>
  <c r="F58" i="8"/>
  <c r="C7" i="5"/>
  <c r="C12" i="5"/>
  <c r="C13" i="5"/>
  <c r="C2" i="5"/>
  <c r="C3" i="5"/>
  <c r="D33" i="6"/>
  <c r="C3" i="11" s="1"/>
  <c r="D41" i="6"/>
  <c r="C11" i="11" s="1"/>
  <c r="D49" i="6"/>
  <c r="C19" i="11" s="1"/>
  <c r="D57" i="6"/>
  <c r="C27" i="11" s="1"/>
  <c r="D65" i="6"/>
  <c r="C35" i="11" s="1"/>
  <c r="D73" i="6"/>
  <c r="C43" i="11" s="1"/>
  <c r="D81" i="6"/>
  <c r="C51" i="11" s="1"/>
  <c r="D89" i="6"/>
  <c r="C59" i="11" s="1"/>
  <c r="D97" i="6"/>
  <c r="C67" i="11" s="1"/>
  <c r="D105" i="6"/>
  <c r="C75" i="11" s="1"/>
  <c r="D113" i="6"/>
  <c r="C83" i="11" s="1"/>
  <c r="B7" i="6"/>
  <c r="B15" i="6"/>
  <c r="B23" i="6"/>
  <c r="B31" i="6"/>
  <c r="D34" i="6"/>
  <c r="C4" i="11" s="1"/>
  <c r="D42" i="6"/>
  <c r="C12" i="11" s="1"/>
  <c r="D50" i="6"/>
  <c r="C20" i="11" s="1"/>
  <c r="D58" i="6"/>
  <c r="C28" i="11" s="1"/>
  <c r="D66" i="6"/>
  <c r="C36" i="11" s="1"/>
  <c r="D74" i="6"/>
  <c r="C44" i="11" s="1"/>
  <c r="D82" i="6"/>
  <c r="C52" i="11" s="1"/>
  <c r="D90" i="6"/>
  <c r="C60" i="11" s="1"/>
  <c r="D98" i="6"/>
  <c r="C68" i="11" s="1"/>
  <c r="D106" i="6"/>
  <c r="C76" i="11" s="1"/>
  <c r="D114" i="6"/>
  <c r="C84" i="11" s="1"/>
  <c r="B8" i="6"/>
  <c r="B16" i="6"/>
  <c r="B24" i="6"/>
  <c r="B2" i="6"/>
  <c r="B2" i="11"/>
  <c r="D35" i="6"/>
  <c r="C5" i="11" s="1"/>
  <c r="D43" i="6"/>
  <c r="C13" i="11" s="1"/>
  <c r="D51" i="6"/>
  <c r="C21" i="11" s="1"/>
  <c r="D59" i="6"/>
  <c r="C29" i="11" s="1"/>
  <c r="D67" i="6"/>
  <c r="C37" i="11" s="1"/>
  <c r="D75" i="6"/>
  <c r="C45" i="11" s="1"/>
  <c r="D83" i="6"/>
  <c r="C53" i="11" s="1"/>
  <c r="D91" i="6"/>
  <c r="C61" i="11" s="1"/>
  <c r="D99" i="6"/>
  <c r="C69" i="11" s="1"/>
  <c r="D107" i="6"/>
  <c r="C77" i="11" s="1"/>
  <c r="D115" i="6"/>
  <c r="C85" i="11" s="1"/>
  <c r="B9" i="6"/>
  <c r="B17" i="6"/>
  <c r="B25" i="6"/>
  <c r="D36" i="6"/>
  <c r="C6" i="11" s="1"/>
  <c r="D44" i="6"/>
  <c r="C14" i="11" s="1"/>
  <c r="D52" i="6"/>
  <c r="C22" i="11" s="1"/>
  <c r="D60" i="6"/>
  <c r="C30" i="11" s="1"/>
  <c r="D68" i="6"/>
  <c r="C38" i="11" s="1"/>
  <c r="D76" i="6"/>
  <c r="C46" i="11" s="1"/>
  <c r="D84" i="6"/>
  <c r="C54" i="11" s="1"/>
  <c r="B20" i="6"/>
  <c r="B6" i="6"/>
  <c r="D109" i="6"/>
  <c r="C79" i="11" s="1"/>
  <c r="D95" i="6"/>
  <c r="C65" i="11" s="1"/>
  <c r="D80" i="6"/>
  <c r="C50" i="11" s="1"/>
  <c r="D64" i="6"/>
  <c r="C34" i="11" s="1"/>
  <c r="D48" i="6"/>
  <c r="C18" i="11" s="1"/>
  <c r="E5" i="6"/>
  <c r="E13" i="6"/>
  <c r="E21" i="6"/>
  <c r="E29" i="6"/>
  <c r="E6" i="6"/>
  <c r="E14" i="6"/>
  <c r="E22" i="6"/>
  <c r="E30" i="6"/>
  <c r="E7" i="6"/>
  <c r="E15" i="6"/>
  <c r="E23" i="6"/>
  <c r="E31" i="6"/>
  <c r="B30" i="6"/>
  <c r="B19" i="6"/>
  <c r="B5" i="6"/>
  <c r="E24" i="6"/>
  <c r="E10" i="6"/>
  <c r="D108" i="6"/>
  <c r="C78" i="11" s="1"/>
  <c r="D94" i="6"/>
  <c r="C64" i="11" s="1"/>
  <c r="D79" i="6"/>
  <c r="C49" i="11" s="1"/>
  <c r="D63" i="6"/>
  <c r="C33" i="11" s="1"/>
  <c r="D47" i="6"/>
  <c r="C17" i="11" s="1"/>
  <c r="B40" i="8"/>
  <c r="I40" i="8" s="1"/>
  <c r="D28" i="8"/>
  <c r="D20" i="8"/>
  <c r="D12" i="8"/>
  <c r="D4" i="8"/>
  <c r="B39" i="8"/>
  <c r="I39" i="8" s="1"/>
  <c r="D27" i="8"/>
  <c r="D19" i="8"/>
  <c r="D11" i="8"/>
  <c r="D3" i="8"/>
  <c r="B38" i="8"/>
  <c r="I38" i="8" s="1"/>
  <c r="D26" i="8"/>
  <c r="D18" i="8"/>
  <c r="D10" i="8"/>
  <c r="D25" i="8"/>
  <c r="D17" i="8"/>
  <c r="C9" i="5"/>
  <c r="D13" i="5"/>
  <c r="D5" i="5"/>
  <c r="C10" i="5"/>
  <c r="D6" i="5"/>
  <c r="C8" i="5"/>
  <c r="D9" i="5"/>
  <c r="D2" i="5"/>
  <c r="D11" i="5"/>
  <c r="L101" i="8" l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C5" i="9" a="1"/>
  <c r="C5" i="9" s="1"/>
  <c r="J28" i="8"/>
  <c r="I28" i="8"/>
  <c r="J11" i="8"/>
  <c r="I11" i="8"/>
  <c r="I17" i="8"/>
  <c r="J17" i="8"/>
  <c r="J27" i="8"/>
  <c r="I27" i="8"/>
  <c r="I18" i="8"/>
  <c r="J18" i="8"/>
  <c r="J4" i="8"/>
  <c r="I4" i="8"/>
  <c r="J3" i="8"/>
  <c r="I3" i="8"/>
  <c r="I25" i="8"/>
  <c r="J25" i="8"/>
  <c r="I26" i="8"/>
  <c r="J26" i="8"/>
  <c r="J19" i="8"/>
  <c r="I19" i="8"/>
  <c r="I10" i="8"/>
  <c r="J10" i="8"/>
  <c r="J12" i="8"/>
  <c r="I12" i="8"/>
  <c r="J20" i="8"/>
  <c r="I20" i="8"/>
  <c r="D3" i="5"/>
  <c r="C33" i="8"/>
  <c r="C41" i="8"/>
  <c r="C49" i="8"/>
  <c r="C57" i="8"/>
  <c r="C65" i="8"/>
  <c r="C73" i="8"/>
  <c r="C81" i="8"/>
  <c r="C89" i="8"/>
  <c r="C34" i="8"/>
  <c r="C42" i="8"/>
  <c r="C50" i="8"/>
  <c r="C58" i="8"/>
  <c r="C66" i="8"/>
  <c r="C74" i="8"/>
  <c r="C82" i="8"/>
  <c r="C90" i="8"/>
  <c r="C35" i="8"/>
  <c r="C43" i="8"/>
  <c r="C51" i="8"/>
  <c r="C59" i="8"/>
  <c r="C67" i="8"/>
  <c r="C75" i="8"/>
  <c r="C83" i="8"/>
  <c r="C91" i="8"/>
  <c r="B3" i="7"/>
  <c r="C36" i="8"/>
  <c r="C44" i="8"/>
  <c r="C52" i="8"/>
  <c r="C60" i="8"/>
  <c r="C68" i="8"/>
  <c r="C76" i="8"/>
  <c r="C84" i="8"/>
  <c r="C32" i="8"/>
  <c r="C46" i="8"/>
  <c r="C62" i="8"/>
  <c r="C78" i="8"/>
  <c r="B5" i="7"/>
  <c r="C47" i="8"/>
  <c r="C63" i="8"/>
  <c r="C79" i="8"/>
  <c r="B6" i="7"/>
  <c r="C48" i="8"/>
  <c r="C64" i="8"/>
  <c r="C80" i="8"/>
  <c r="B2" i="7"/>
  <c r="C37" i="8"/>
  <c r="C53" i="8"/>
  <c r="C69" i="8"/>
  <c r="C85" i="8"/>
  <c r="C38" i="8"/>
  <c r="C54" i="8"/>
  <c r="C70" i="8"/>
  <c r="C86" i="8"/>
  <c r="C39" i="8"/>
  <c r="C55" i="8"/>
  <c r="C71" i="8"/>
  <c r="C87" i="8"/>
  <c r="C40" i="8"/>
  <c r="C56" i="8"/>
  <c r="C72" i="8"/>
  <c r="C88" i="8"/>
  <c r="C45" i="8"/>
  <c r="C61" i="8"/>
  <c r="C77" i="8"/>
  <c r="B4" i="7"/>
  <c r="D10" i="5"/>
  <c r="C3" i="6"/>
  <c r="C11" i="6"/>
  <c r="C19" i="6"/>
  <c r="C27" i="6"/>
  <c r="C4" i="6"/>
  <c r="C12" i="6"/>
  <c r="C20" i="6"/>
  <c r="C28" i="6"/>
  <c r="C5" i="6"/>
  <c r="C13" i="6"/>
  <c r="C21" i="6"/>
  <c r="C29" i="6"/>
  <c r="C15" i="6"/>
  <c r="C26" i="6"/>
  <c r="C6" i="6"/>
  <c r="C17" i="6"/>
  <c r="C31" i="6"/>
  <c r="C16" i="6"/>
  <c r="C30" i="6"/>
  <c r="C7" i="6"/>
  <c r="C18" i="6"/>
  <c r="C2" i="6"/>
  <c r="C14" i="6"/>
  <c r="C25" i="6"/>
  <c r="C8" i="6"/>
  <c r="C22" i="6"/>
  <c r="C9" i="6"/>
  <c r="C23" i="6"/>
  <c r="C10" i="6"/>
  <c r="C24" i="6"/>
  <c r="D4" i="5"/>
  <c r="D7" i="5"/>
  <c r="F34" i="8"/>
  <c r="F42" i="8"/>
  <c r="F35" i="8"/>
  <c r="F43" i="8"/>
  <c r="F36" i="8"/>
  <c r="F32" i="8"/>
  <c r="F37" i="8"/>
  <c r="F40" i="8"/>
  <c r="F41" i="8"/>
  <c r="F33" i="8"/>
  <c r="F38" i="8"/>
  <c r="F39" i="8"/>
  <c r="D12" i="5"/>
  <c r="D8" i="5"/>
  <c r="K3" i="8" l="1"/>
  <c r="D2" i="7"/>
  <c r="G2" i="7" s="1"/>
  <c r="D3" i="7"/>
  <c r="G3" i="7" s="1"/>
  <c r="D4" i="7"/>
  <c r="G4" i="7" s="1"/>
  <c r="D5" i="7"/>
  <c r="D6" i="7"/>
  <c r="G6" i="7" s="1"/>
  <c r="G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<sst xmlns="http://schemas.openxmlformats.org/spreadsheetml/2006/main" count="317" uniqueCount="224">
  <si>
    <t>Category</t>
  </si>
  <si>
    <t>Item</t>
  </si>
  <si>
    <t>Value</t>
  </si>
  <si>
    <t>Formula/Note</t>
  </si>
  <si>
    <t>Project Details</t>
  </si>
  <si>
    <t>Project Type</t>
  </si>
  <si>
    <t>Multi-story residential building (12 stories)</t>
  </si>
  <si>
    <t>Total Units</t>
  </si>
  <si>
    <t>Building Size (sqft)</t>
  </si>
  <si>
    <t>1,200 sqft/unit × 100 units</t>
  </si>
  <si>
    <t>Construction Period (months)</t>
  </si>
  <si>
    <t>Sales/Leasing Period (months)</t>
  </si>
  <si>
    <t>Target Occupants</t>
  </si>
  <si>
    <t>Middle-income renters or buyers</t>
  </si>
  <si>
    <t>Land Acquisition</t>
  </si>
  <si>
    <t>Cost of Land</t>
  </si>
  <si>
    <t>Paid Year 0</t>
  </si>
  <si>
    <t>Construction</t>
  </si>
  <si>
    <t>Construction Cost/sqft</t>
  </si>
  <si>
    <t>Total Construction Cost</t>
  </si>
  <si>
    <t>Foundation &amp; Infrastructure</t>
  </si>
  <si>
    <t>Contingency Reserve</t>
  </si>
  <si>
    <t>10% of construction cost</t>
  </si>
  <si>
    <t>Construction Duration</t>
  </si>
  <si>
    <t>Months</t>
  </si>
  <si>
    <t>Sales</t>
  </si>
  <si>
    <t>Sales Price per Unit</t>
  </si>
  <si>
    <t>Total Sales Revenue</t>
  </si>
  <si>
    <t>100 units * $350,000</t>
  </si>
  <si>
    <t>Leasing</t>
  </si>
  <si>
    <t>Monthly Rent per Unit</t>
  </si>
  <si>
    <t>Occupancy Year 1</t>
  </si>
  <si>
    <t>Stabilized Occupancy</t>
  </si>
  <si>
    <t>Sales/Leasing Duration</t>
  </si>
  <si>
    <t>Sales Commission %</t>
  </si>
  <si>
    <t>Leasing Fee %</t>
  </si>
  <si>
    <t>Financing</t>
  </si>
  <si>
    <t>Debt Financing %</t>
  </si>
  <si>
    <t>Equity Financing %</t>
  </si>
  <si>
    <t>Loan Interest Rate</t>
  </si>
  <si>
    <t>Loan Term</t>
  </si>
  <si>
    <t>Years</t>
  </si>
  <si>
    <t>Expected Equity IRR</t>
  </si>
  <si>
    <t>Operating</t>
  </si>
  <si>
    <t>Annual Maintenance Cost</t>
  </si>
  <si>
    <t>Property Management Fee %</t>
  </si>
  <si>
    <t>Property Tax Rate</t>
  </si>
  <si>
    <t>Insurance Cost</t>
  </si>
  <si>
    <t>Marketing</t>
  </si>
  <si>
    <t>Marketing Cost</t>
  </si>
  <si>
    <t>Legal/Admin Fees</t>
  </si>
  <si>
    <t>Tax</t>
  </si>
  <si>
    <t>Corporate Tax Rate</t>
  </si>
  <si>
    <t>Depreciation Years</t>
  </si>
  <si>
    <t>Straight-Line</t>
  </si>
  <si>
    <t>Exit</t>
  </si>
  <si>
    <t>Time Horizon</t>
  </si>
  <si>
    <t>Unsold Units Sale %</t>
  </si>
  <si>
    <t>of original sales price</t>
  </si>
  <si>
    <t>Building Sale Value</t>
  </si>
  <si>
    <t>Rental scenario</t>
  </si>
  <si>
    <t>Month</t>
  </si>
  <si>
    <t>Phase</t>
  </si>
  <si>
    <t>Sales/Leasing</t>
  </si>
  <si>
    <t>Construction Cost</t>
  </si>
  <si>
    <t>Units Sold</t>
  </si>
  <si>
    <t>Revenue</t>
  </si>
  <si>
    <t>Commission</t>
  </si>
  <si>
    <t>Occupied Units</t>
  </si>
  <si>
    <t>Gross Rent</t>
  </si>
  <si>
    <t>Mgmt Fee</t>
  </si>
  <si>
    <t>Principal Payment</t>
  </si>
  <si>
    <t>Total Debt</t>
  </si>
  <si>
    <t>Total Project Cost</t>
  </si>
  <si>
    <t>Total Equity</t>
  </si>
  <si>
    <t>Debt Drawdown/Month</t>
  </si>
  <si>
    <t>Equity Contribution/Month</t>
  </si>
  <si>
    <t>Interest/Month</t>
  </si>
  <si>
    <t>Maintenance</t>
  </si>
  <si>
    <t>Insurance</t>
  </si>
  <si>
    <t>Net Income</t>
  </si>
  <si>
    <t>Taxes(Property Tax)</t>
  </si>
  <si>
    <t>Property Tax</t>
  </si>
  <si>
    <t>Mgmt fee(95%)</t>
  </si>
  <si>
    <t>Mgmt fee(85%)</t>
  </si>
  <si>
    <t>Month 114</t>
  </si>
  <si>
    <t>Month 113</t>
  </si>
  <si>
    <t>Month 112</t>
  </si>
  <si>
    <t>Month 111</t>
  </si>
  <si>
    <t>Month 110</t>
  </si>
  <si>
    <t>Month 109</t>
  </si>
  <si>
    <t>Month 108</t>
  </si>
  <si>
    <t>Month 107</t>
  </si>
  <si>
    <t>Month 106</t>
  </si>
  <si>
    <t>Month 105</t>
  </si>
  <si>
    <t>Month 104</t>
  </si>
  <si>
    <t>Month 103</t>
  </si>
  <si>
    <t>Month 102</t>
  </si>
  <si>
    <t>Month 101</t>
  </si>
  <si>
    <t>Month 100</t>
  </si>
  <si>
    <t>Month 99</t>
  </si>
  <si>
    <t>Month 98</t>
  </si>
  <si>
    <t>Month 97</t>
  </si>
  <si>
    <t>Month 96</t>
  </si>
  <si>
    <t>Month 95</t>
  </si>
  <si>
    <t>Month 94</t>
  </si>
  <si>
    <t>Month 93</t>
  </si>
  <si>
    <t>Month 92</t>
  </si>
  <si>
    <t>Month 91</t>
  </si>
  <si>
    <t>Month 90</t>
  </si>
  <si>
    <t>Month 89</t>
  </si>
  <si>
    <t>Month 88</t>
  </si>
  <si>
    <t>Month 87</t>
  </si>
  <si>
    <t>Month 86</t>
  </si>
  <si>
    <t>Month 85</t>
  </si>
  <si>
    <t>Month 84</t>
  </si>
  <si>
    <t>Month 83</t>
  </si>
  <si>
    <t>Month 82</t>
  </si>
  <si>
    <t>Month 81</t>
  </si>
  <si>
    <t>Month 80</t>
  </si>
  <si>
    <t>Month 79</t>
  </si>
  <si>
    <t>Month 78</t>
  </si>
  <si>
    <t>Month 77</t>
  </si>
  <si>
    <t>Month 76</t>
  </si>
  <si>
    <t>Month 75</t>
  </si>
  <si>
    <t>Month 74</t>
  </si>
  <si>
    <t>Month 73</t>
  </si>
  <si>
    <t>Month 72</t>
  </si>
  <si>
    <t>Month 71</t>
  </si>
  <si>
    <t>Month 70</t>
  </si>
  <si>
    <t>Month 69</t>
  </si>
  <si>
    <t>Month 68</t>
  </si>
  <si>
    <t>Month 67</t>
  </si>
  <si>
    <t>Month 66</t>
  </si>
  <si>
    <t>Month 65</t>
  </si>
  <si>
    <t>Month 64</t>
  </si>
  <si>
    <t>Month 63</t>
  </si>
  <si>
    <t>Month 62</t>
  </si>
  <si>
    <t>Month 61</t>
  </si>
  <si>
    <t>Month 60</t>
  </si>
  <si>
    <t>Month 59</t>
  </si>
  <si>
    <t>Month 58</t>
  </si>
  <si>
    <t>Month 57</t>
  </si>
  <si>
    <t>Month 56</t>
  </si>
  <si>
    <t>Month 55</t>
  </si>
  <si>
    <t>Month 54</t>
  </si>
  <si>
    <t>Month 53</t>
  </si>
  <si>
    <t>Month 52</t>
  </si>
  <si>
    <t>Month 51</t>
  </si>
  <si>
    <t>Month 50</t>
  </si>
  <si>
    <t>Month 49</t>
  </si>
  <si>
    <t>Month 48</t>
  </si>
  <si>
    <t>Month 47</t>
  </si>
  <si>
    <t>Month 46</t>
  </si>
  <si>
    <t>Month 45</t>
  </si>
  <si>
    <t>Month 44</t>
  </si>
  <si>
    <t>Month 43</t>
  </si>
  <si>
    <t>Month 42</t>
  </si>
  <si>
    <t>Month 41</t>
  </si>
  <si>
    <t>Month 40</t>
  </si>
  <si>
    <t>Month 39</t>
  </si>
  <si>
    <t>Month 38</t>
  </si>
  <si>
    <t>Month 37</t>
  </si>
  <si>
    <t>Month 36</t>
  </si>
  <si>
    <t>Month 35</t>
  </si>
  <si>
    <t>Month 34</t>
  </si>
  <si>
    <t>Month 33</t>
  </si>
  <si>
    <t>Month 32</t>
  </si>
  <si>
    <t>Month 31</t>
  </si>
  <si>
    <t>Closing Balance</t>
  </si>
  <si>
    <t>Total Payment</t>
  </si>
  <si>
    <t>Interest Payment</t>
  </si>
  <si>
    <t>Opening Balance</t>
  </si>
  <si>
    <t>Metric</t>
  </si>
  <si>
    <t>Formula</t>
  </si>
  <si>
    <t>NPV</t>
  </si>
  <si>
    <t>IRR</t>
  </si>
  <si>
    <t>ROI</t>
  </si>
  <si>
    <t>Break-Even Month</t>
  </si>
  <si>
    <t>Prinicipal Repayment</t>
  </si>
  <si>
    <t>Sales Inflow</t>
  </si>
  <si>
    <t>Rental Inflow</t>
  </si>
  <si>
    <t>Construction Outflow</t>
  </si>
  <si>
    <t>Rental Operating Cost</t>
  </si>
  <si>
    <t>Net Cash Flow (Sales)</t>
  </si>
  <si>
    <t>Net Cash Flow (Rental)</t>
  </si>
  <si>
    <t>Sales Commission</t>
  </si>
  <si>
    <t>Cumulative (Sales)</t>
  </si>
  <si>
    <t>Cumulative (Rental)</t>
  </si>
  <si>
    <t>Value(Sales Scenario)</t>
  </si>
  <si>
    <t>Value(Rental Scenario)</t>
  </si>
  <si>
    <t>=NPV(12%, [Net Cash Flow Range])</t>
  </si>
  <si>
    <t>=IRR([Net Cash Flow Range])</t>
  </si>
  <si>
    <t>=MATCH(TRUE, [Cumulative CF Range] &gt;= 0, 0)</t>
  </si>
  <si>
    <t>(SUM(Positive CFs) - ABS(SUM(Negative CFs))) / ABS(SUM(Negative CFs))</t>
  </si>
  <si>
    <t>Variable</t>
  </si>
  <si>
    <t>Base Case</t>
  </si>
  <si>
    <t>Best Case</t>
  </si>
  <si>
    <t>Worst Case</t>
  </si>
  <si>
    <t>Sales Price/Unit</t>
  </si>
  <si>
    <t>Occupancy Rate</t>
  </si>
  <si>
    <t>Best Case (↑10–15%)</t>
  </si>
  <si>
    <t>Worst Case (↓10–15%)</t>
  </si>
  <si>
    <t>=Base_Construction_Cost * (1 ± 10%)</t>
  </si>
  <si>
    <t>₹200 * 0.9 = ₹180</t>
  </si>
  <si>
    <t>Best Case = ₹3,75,000/unit (approx +7%)</t>
  </si>
  <si>
    <t>= ₹3,50,000 × 1.07 = ₹3,74,500</t>
  </si>
  <si>
    <t>Break Even</t>
  </si>
  <si>
    <t>Scenario</t>
  </si>
  <si>
    <t>What Changed</t>
  </si>
  <si>
    <t>Net Result</t>
  </si>
  <si>
    <t>+10% occupancy, –10% cost, –1% interest</t>
  </si>
  <si>
    <t>Net Cash Flow ↑ → IRR = 5.3%, NPV = ₹12L</t>
  </si>
  <si>
    <t>–10% occupancy, +10% cost, +1% interest</t>
  </si>
  <si>
    <t>Net Cash Flow ↓ → IRR = –3.2%, NPV = –₹1.2Cr</t>
  </si>
  <si>
    <t>REAL ESTATE PROJECT DASHBOARD</t>
  </si>
  <si>
    <t>Row Labels</t>
  </si>
  <si>
    <t>Sum of Construction Cost/sqft</t>
  </si>
  <si>
    <t>Sum of Sales Price/Unit</t>
  </si>
  <si>
    <t>Sum of Occupancy Rate</t>
  </si>
  <si>
    <t>Sum of Loan Interest Rate</t>
  </si>
  <si>
    <t>Sum of NPV</t>
  </si>
  <si>
    <t>IRR.</t>
  </si>
  <si>
    <t>Sum of Break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</si>
</sst>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₹&quot;#,##0_);[Red]\(&quot;₹&quot;#,##0\)"/>
    <numFmt numFmtId="165" formatCode="_([$$-409]* #,##0.00_);_([$$-409]* \(#,##0.00\);_([$$-409]* &quot;-&quot;??_);_(@_)"/>
    <numFmt numFmtId="166" formatCode="_([$$-409]* #,##0_);_([$$-409]* \(#,##0\);_([$$-409]* &quot;-&quot;??_);_(@_)"/>
    <numFmt numFmtId="167" formatCode="_([$$-409]* #,##0_);_([$$-409]* \(#,##0\);_([$$-409]* &quot;-&quot;_);_(@_)"/>
    <numFmt numFmtId="168" formatCode="0.0%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color theme="1"/>
      <name val="Aptos Narrow"/>
      <scheme val="minor"/>
    </font>
    <font>
      <sz val="10"/>
      <color theme="1"/>
      <name val="Arial Unicode MS"/>
      <family val="2"/>
    </font>
    <font>
      <sz val="11"/>
      <color theme="1"/>
      <name val="Aptos Narrow"/>
      <family val="2"/>
      <scheme val="minor"/>
    </font>
    <font>
      <b/>
      <sz val="16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4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2" fontId="0" fillId="0" borderId="0" xfId="0" applyNumberFormat="1"/>
    <xf numFmtId="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5" fillId="0" borderId="1" xfId="0" applyFont="1" applyBorder="1"/>
    <xf numFmtId="166" fontId="0" fillId="0" borderId="1" xfId="0" applyNumberFormat="1" applyBorder="1"/>
    <xf numFmtId="0" fontId="5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165" fontId="0" fillId="0" borderId="1" xfId="0" applyNumberFormat="1" applyBorder="1"/>
    <xf numFmtId="164" fontId="0" fillId="0" borderId="0" xfId="0" applyNumberFormat="1"/>
    <xf numFmtId="0" fontId="2" fillId="0" borderId="1" xfId="0" applyFont="1" applyBorder="1"/>
    <xf numFmtId="1" fontId="7" fillId="0" borderId="1" xfId="0" applyNumberFormat="1" applyFont="1" applyBorder="1"/>
    <xf numFmtId="0" fontId="2" fillId="0" borderId="0" xfId="0" applyFont="1"/>
    <xf numFmtId="0" fontId="8" fillId="0" borderId="0" xfId="2"/>
    <xf numFmtId="0" fontId="3" fillId="0" borderId="0" xfId="2" applyFont="1"/>
    <xf numFmtId="1" fontId="8" fillId="0" borderId="0" xfId="2" applyNumberFormat="1"/>
    <xf numFmtId="4" fontId="0" fillId="0" borderId="1" xfId="0" applyNumberFormat="1" applyBorder="1"/>
    <xf numFmtId="167" fontId="0" fillId="0" borderId="1" xfId="0" applyNumberFormat="1" applyBorder="1"/>
    <xf numFmtId="1" fontId="0" fillId="0" borderId="1" xfId="0" applyNumberFormat="1" applyBorder="1"/>
    <xf numFmtId="0" fontId="6" fillId="0" borderId="0" xfId="0" applyFont="1"/>
    <xf numFmtId="3" fontId="0" fillId="0" borderId="1" xfId="0" applyNumberFormat="1" applyBorder="1"/>
    <xf numFmtId="165" fontId="0" fillId="0" borderId="2" xfId="0" applyNumberFormat="1" applyBorder="1"/>
    <xf numFmtId="9" fontId="0" fillId="0" borderId="0" xfId="1" applyFont="1"/>
    <xf numFmtId="166" fontId="0" fillId="0" borderId="2" xfId="0" applyNumberFormat="1" applyBorder="1"/>
    <xf numFmtId="9" fontId="0" fillId="0" borderId="0" xfId="0" applyNumberFormat="1"/>
    <xf numFmtId="10" fontId="0" fillId="0" borderId="0" xfId="0" applyNumberFormat="1"/>
    <xf numFmtId="9" fontId="0" fillId="0" borderId="1" xfId="1" applyFont="1" applyBorder="1"/>
    <xf numFmtId="9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68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9" fillId="2" borderId="0" xfId="0" applyFont="1" applyFill="1" applyAlignment="1">
      <alignment horizontal="center"/>
    </xf>
  </cellXfs>
  <cellStyles count="3">
    <cellStyle name="Normal" xfId="0" builtinId="0"/>
    <cellStyle name="Normal 2" xfId="2" xr:uid="{08330F8E-3D86-5140-B5EE-3D4C4D17940D}"/>
    <cellStyle name="Percent" xfId="1" builtinId="5"/>
  </cellStyles>
  <dxfs count="2"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IRR Comparison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'Sensitivity Analysis'!$G$1</c:f>
              <c:strCache>
                <c:ptCount val="1"/>
                <c:pt idx="0">
                  <c:v>IRR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'Sensitivity Analysis'!$A$2:$A$4</c:f>
              <c:strCache>
                <c:ptCount val="3"/>
                <c:pt idx="0">
                  <c:v>Base Case</c:v>
                </c:pt>
                <c:pt idx="1">
                  <c:v>Best Case (↑10–15%)</c:v>
                </c:pt>
                <c:pt idx="2">
                  <c:v>Worst Case (↓10–15%)</c:v>
                </c:pt>
              </c:strCache>
            </c:strRef>
          </c:cat>
          <c:val>
            <c:numRef>
              <c:f>'Sensitivity Analysis'!$G$2:$G$4</c:f>
              <c:numCache>
                <c:formatCode>0.0%</c:formatCode>
                <c:ptCount val="3"/>
                <c:pt idx="0" formatCode="0.00">
                  <c:v>2.2595221966752455E-3</c:v>
                </c:pt>
                <c:pt idx="1">
                  <c:v>5.2999999999999999E-2</c:v>
                </c:pt>
                <c:pt idx="2">
                  <c:v>-3.2000000000000001E-2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7-3F49-A283-34C54498E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72272"/>
        <c:axId val="164963376"/>
      </c:barChart>
      <c:catAx>
        <c:axId val="16487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3376"/>
        <c:crosses val="autoZero"/>
        <c:auto val="1"/>
        <c:lblAlgn val="ctr"/>
        <c:lblOffset val="100"/>
        <c:noMultiLvlLbl val="0"/>
      </c:catAx>
      <c:valAx>
        <c:axId val="16496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7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Comparison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'Sensitivity Analysis'!$F$1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'Sensitivity Analysis'!$A$2:$A$4</c:f>
              <c:strCache>
                <c:ptCount val="3"/>
                <c:pt idx="0">
                  <c:v>Base Case</c:v>
                </c:pt>
                <c:pt idx="1">
                  <c:v>Best Case (↑10–15%)</c:v>
                </c:pt>
                <c:pt idx="2">
                  <c:v>Worst Case (↓10–15%)</c:v>
                </c:pt>
              </c:strCache>
            </c:strRef>
          </c:cat>
          <c:val>
            <c:numRef>
              <c:f>'Sensitivity Analysis'!$F$2:$F$4</c:f>
              <c:numCache>
                <c:formatCode>"₹"#,##0_);[Red]\("₹"#,##0\)</c:formatCode>
                <c:ptCount val="3"/>
                <c:pt idx="0">
                  <c:v>-6527324.6881376533</c:v>
                </c:pt>
                <c:pt idx="1">
                  <c:v>1200000</c:v>
                </c:pt>
                <c:pt idx="2" formatCode="#,##0">
                  <c:v>-12000000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E-CE40-84CD-52383B5EC0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5502512"/>
        <c:axId val="165504224"/>
      </c:barChart>
      <c:catAx>
        <c:axId val="165502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4224"/>
        <c:crosses val="autoZero"/>
        <c:auto val="1"/>
        <c:lblAlgn val="ctr"/>
        <c:lblOffset val="100"/>
        <c:noMultiLvlLbl val="0"/>
      </c:catAx>
      <c:valAx>
        <c:axId val="165504224"/>
        <c:scaling>
          <c:orientation val="minMax"/>
          <c:max val="2500000"/>
          <c:min val="-1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#,##0_);[Red]\(&quot;₹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Even Comaprison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'Sensitivity Analysis'!$H$1</c:f>
              <c:strCache>
                <c:ptCount val="1"/>
                <c:pt idx="0">
                  <c:v>Break Even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'Sensitivity Analysis'!$A$2:$A$4</c:f>
              <c:strCache>
                <c:ptCount val="3"/>
                <c:pt idx="0">
                  <c:v>Base Case</c:v>
                </c:pt>
                <c:pt idx="1">
                  <c:v>Best Case (↑10–15%)</c:v>
                </c:pt>
                <c:pt idx="2">
                  <c:v>Worst Case (↓10–15%)</c:v>
                </c:pt>
              </c:strCache>
            </c:strRef>
          </c:cat>
          <c:val>
            <c:numRef>
              <c:f>'Sensitivity Analysis'!$H$2:$H$4</c:f>
              <c:numCache>
                <c:formatCode>General</c:formatCode>
                <c:ptCount val="3"/>
                <c:pt idx="0">
                  <c:v>91</c:v>
                </c:pt>
                <c:pt idx="1">
                  <c:v>75</c:v>
                </c:pt>
                <c:pt idx="2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E-E94A-9248-C2879E8D73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7384463"/>
        <c:axId val="417391567"/>
      </c:barChart>
      <c:catAx>
        <c:axId val="41738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91567"/>
        <c:crosses val="autoZero"/>
        <c:auto val="1"/>
        <c:lblAlgn val="ctr"/>
        <c:lblOffset val="100"/>
        <c:noMultiLvlLbl val="0"/>
      </c:catAx>
      <c:valAx>
        <c:axId val="4173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8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(Rental Scenario)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'Profitability Analysis'!$C$1</c:f>
              <c:strCache>
                <c:ptCount val="1"/>
                <c:pt idx="0">
                  <c:v>Value(Rental Scenario)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84-6148-80AC-D19D854227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84-6148-80AC-D19D854227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84-6148-80AC-D19D854227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84-6148-80AC-D19D854227E6}"/>
              </c:ext>
            </c:extLst>
          </c:dPt>
          <c:dLbls>
            <c:dLbl>
              <c:idx val="2"/>
              <c:layout>
                <c:manualLayout>
                  <c:x val="-0.1111111111111111"/>
                  <c:y val="9.259259259259258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484-6148-80AC-D19D854227E6}"/>
                </c:ext>
              </c:extLst>
            </c:dLbl>
            <c:dLbl>
              <c:idx val="3"/>
              <c:layout>
                <c:manualLayout>
                  <c:x val="8.6111111111111013E-2"/>
                  <c:y val="9.259259259259258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484-6148-80AC-D19D854227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'Profitability Analysis'!$A$2:$A$5</c:f>
              <c:strCache>
                <c:ptCount val="4"/>
                <c:pt idx="0">
                  <c:v>NPV</c:v>
                </c:pt>
                <c:pt idx="1">
                  <c:v>IRR</c:v>
                </c:pt>
                <c:pt idx="2">
                  <c:v>ROI</c:v>
                </c:pt>
                <c:pt idx="3">
                  <c:v>Break-Even Month</c:v>
                </c:pt>
              </c:strCache>
            </c:strRef>
          </c:cat>
          <c:val>
            <c:numRef>
              <c:f>'Profitability Analysis'!$C$2:$C$5</c:f>
              <c:numCache>
                <c:formatCode>0.00</c:formatCode>
                <c:ptCount val="4"/>
                <c:pt idx="0" formatCode="&quot;₹&quot;#,##0_);[Red]\(&quot;₹&quot;#,##0\)">
                  <c:v>-6527324.6881376533</c:v>
                </c:pt>
                <c:pt idx="1">
                  <c:v>2.2595221966752455E-3</c:v>
                </c:pt>
                <c:pt idx="2" formatCode="0%">
                  <c:v>0.15278692001848945</c:v>
                </c:pt>
                <c:pt idx="3" formatCode="General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84-6148-80AC-D19D854227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(Sales Scenario)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'Profitability Analysis'!$B$1</c:f>
              <c:strCache>
                <c:ptCount val="1"/>
                <c:pt idx="0">
                  <c:v>Value(Sales Scenario)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B3-0B47-BFC6-339A299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B3-0B47-BFC6-339A299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B3-0B47-BFC6-339A299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B3-0B47-BFC6-339A299B22F3}"/>
              </c:ext>
            </c:extLst>
          </c:dPt>
          <c:dLbls>
            <c:dLbl>
              <c:idx val="2"/>
              <c:layout>
                <c:manualLayout>
                  <c:x val="-7.7777777777777779E-2"/>
                  <c:y val="1.851851851851851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3B3-0B47-BFC6-339A299B22F3}"/>
                </c:ext>
              </c:extLst>
            </c:dLbl>
            <c:dLbl>
              <c:idx val="3"/>
              <c:layout>
                <c:manualLayout>
                  <c:x val="8.3333333333333329E-2"/>
                  <c:y val="2.314814814814816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3B3-0B47-BFC6-339A299B22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'Profitability Analysis'!$A$2:$A$5</c:f>
              <c:strCache>
                <c:ptCount val="4"/>
                <c:pt idx="0">
                  <c:v>NPV</c:v>
                </c:pt>
                <c:pt idx="1">
                  <c:v>IRR</c:v>
                </c:pt>
                <c:pt idx="2">
                  <c:v>ROI</c:v>
                </c:pt>
                <c:pt idx="3">
                  <c:v>Break-Even Month</c:v>
                </c:pt>
              </c:strCache>
            </c:strRef>
          </c:cat>
          <c:val>
            <c:numRef>
              <c:f>'Profitability Analysis'!$B$2:$B$5</c:f>
              <c:numCache>
                <c:formatCode>0.00</c:formatCode>
                <c:ptCount val="4"/>
                <c:pt idx="0" formatCode="&quot;₹&quot;#,##0_);[Red]\(&quot;₹&quot;#,##0\)">
                  <c:v>-5971436.0077714585</c:v>
                </c:pt>
                <c:pt idx="1">
                  <c:v>8.8657495738502234E-3</c:v>
                </c:pt>
                <c:pt idx="2" formatCode="0%">
                  <c:v>0.20667282038942777</c:v>
                </c:pt>
                <c:pt idx="3" formatCode="General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B3-0B47-BFC6-339A299B22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114300</xdr:rowOff>
    </xdr:from>
    <xdr:to>
      <xdr:col>4</xdr:col>
      <xdr:colOff>368300</xdr:colOff>
      <xdr:row>25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A06E1-55A7-3E43-9FEB-A8FF88339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635000</xdr:colOff>
      <xdr:row>7</xdr:row>
      <xdr:rowOff>63500</xdr:rowOff>
    </xdr:from>
    <xdr:to>
      <xdr:col>12</xdr:col>
      <xdr:colOff>444500</xdr:colOff>
      <xdr:row>25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A016A6-8D78-6E4B-96C9-5C03FB5F2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3</xdr:col>
      <xdr:colOff>1104900</xdr:colOff>
      <xdr:row>43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BDC323-9662-0546-8023-B9FDD00E4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1524000</xdr:colOff>
      <xdr:row>27</xdr:row>
      <xdr:rowOff>0</xdr:rowOff>
    </xdr:from>
    <xdr:to>
      <xdr:col>7</xdr:col>
      <xdr:colOff>546100</xdr:colOff>
      <xdr:row>43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45711-96CD-C449-A601-F199D454D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876300</xdr:colOff>
      <xdr:row>27</xdr:row>
      <xdr:rowOff>12700</xdr:rowOff>
    </xdr:from>
    <xdr:to>
      <xdr:col>12</xdr:col>
      <xdr:colOff>558800</xdr:colOff>
      <xdr:row>43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8A7AC2-0D3B-204A-802B-C8CFD0A9B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ini" refreshedDate="45768.672244791669" createdVersion="8" refreshedVersion="8" minRefreshableVersion="3" recordCount="3" xr:uid="{C5BC56D3-C66F-5C48-919D-C6B8BBA16AFD}">
  <cacheSource type="worksheet">
    <worksheetSource ref="A1:H4" sheet="Sensitivity Analysis"/>
  </cacheSource>
  <cacheFields count="8">
    <cacheField name="Variable" numFmtId="0">
      <sharedItems count="3">
        <s v="Base Case"/>
        <s v="Best Case (↑10–15%)"/>
        <s v="Worst Case (↓10–15%)"/>
      </sharedItems>
    </cacheField>
    <cacheField name="Construction Cost/sqft" numFmtId="0">
      <sharedItems containsSemiMixedTypes="0" containsString="0" containsNumber="1" minValue="180" maxValue="220.00000000000003"/>
    </cacheField>
    <cacheField name="Sales Price/Unit" numFmtId="0">
      <sharedItems containsSemiMixedTypes="0" containsString="0" containsNumber="1" containsInteger="1" minValue="325500" maxValue="374500"/>
    </cacheField>
    <cacheField name="Occupancy Rate" numFmtId="9">
      <sharedItems containsSemiMixedTypes="0" containsString="0" containsNumber="1" minValue="0.74544999999999995" maxValue="0.95200000000000007"/>
    </cacheField>
    <cacheField name="Loan Interest Rate" numFmtId="9">
      <sharedItems containsSemiMixedTypes="0" containsString="0" containsNumber="1" minValue="4.9999999999999996E-2" maxValue="6.9999999999999993E-2"/>
    </cacheField>
    <cacheField name="NPV" numFmtId="0">
      <sharedItems containsSemiMixedTypes="0" containsString="0" containsNumber="1" minValue="-12000000" maxValue="1200000"/>
    </cacheField>
    <cacheField name="IRR" numFmtId="0">
      <sharedItems containsSemiMixedTypes="0" containsString="0" containsNumber="1" minValue="-3.2000000000000001E-2" maxValue="5.2999999999999999E-2"/>
    </cacheField>
    <cacheField name="Break Even" numFmtId="0">
      <sharedItems containsSemiMixedTypes="0" containsString="0" containsNumber="1" containsInteger="1" minValue="75" maxValue="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00"/>
    <n v="350000"/>
    <n v="0.85"/>
    <n v="0.06"/>
    <n v="-6527324.6881376533"/>
    <n v="2.2595221966752455E-3"/>
    <n v="91"/>
  </r>
  <r>
    <x v="1"/>
    <n v="180"/>
    <n v="374500"/>
    <n v="0.95200000000000007"/>
    <n v="4.9999999999999996E-2"/>
    <n v="1200000"/>
    <n v="5.2999999999999999E-2"/>
    <n v="75"/>
  </r>
  <r>
    <x v="2"/>
    <n v="220.00000000000003"/>
    <n v="325500"/>
    <n v="0.74544999999999995"/>
    <n v="6.9999999999999993E-2"/>
    <n v="-12000000"/>
    <n v="-3.2000000000000001E-2"/>
    <n v="1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1C114-6C6D-B641-A0DB-D61C4C414D92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E6" firstHeaderRow="0" firstDataRow="1" firstDataCol="1"/>
  <pivotFields count="8"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numFmtId="9" showAll="0"/>
    <pivotField dataField="1" numFmtId="9" showAll="0"/>
    <pivotField showAll="0"/>
    <pivotField showAll="0"/>
    <pivotField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nstruction Cost/sqft" fld="1" baseField="0" baseItem="0"/>
    <dataField name="Sum of Sales Price/Unit" fld="2" baseField="0" baseItem="0"/>
    <dataField name="Sum of Occupancy Rate" fld="3" baseField="0" baseItem="0" numFmtId="9"/>
    <dataField name="Sum of Loan Interest Rate" fld="4" baseField="0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94B58E-5EFD-9F41-A7EC-13D91D7E16B3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G3:J6" firstHeaderRow="0" firstDataRow="1" firstDataCol="1"/>
  <pivotFields count="8">
    <pivotField axis="axisRow" showAll="0">
      <items count="4">
        <item x="0"/>
        <item x="1"/>
        <item x="2"/>
        <item t="default"/>
      </items>
    </pivotField>
    <pivotField showAll="0"/>
    <pivotField showAll="0"/>
    <pivotField numFmtId="9" showAll="0"/>
    <pivotField numFmtId="9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PV" fld="5" baseField="0" baseItem="0"/>
    <dataField name="IRR." fld="6" baseField="0" baseItem="0" numFmtId="10"/>
    <dataField name="Sum of Break Even" fld="7" baseField="0" baseItem="0" numFmtId="2"/>
  </dataFields>
  <formats count="2">
    <format dxfId="1">
      <pivotArea outline="0" fieldPosition="0">
        <references count="1">
          <reference field="4294967294" count="1">
            <x v="2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2"/>
          </reference>
          <reference field="0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1707-59D6-3041-B519-1B02735705F8}">
  <dimension ref="A1:F37"/>
  <sheetViews>
    <sheetView workbookViewId="0">
      <selection activeCell="C9" sqref="C9"/>
    </sheetView>
  </sheetViews>
  <sheetFormatPr baseColWidth="10" defaultRowHeight="16" x14ac:dyDescent="0.2"/>
  <cols>
    <col min="1" max="1" width="23" style="2" customWidth="1"/>
    <col min="2" max="2" width="28" style="2" customWidth="1"/>
    <col min="3" max="3" width="42.83203125" style="2" customWidth="1"/>
    <col min="4" max="4" width="30.83203125" style="2" customWidth="1"/>
    <col min="5" max="5" width="14.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5"/>
      <c r="F1" s="5"/>
    </row>
    <row r="2" spans="1:6" x14ac:dyDescent="0.2">
      <c r="A2" s="4" t="s">
        <v>4</v>
      </c>
      <c r="B2" s="4" t="s">
        <v>5</v>
      </c>
      <c r="C2" s="4" t="s">
        <v>6</v>
      </c>
      <c r="D2" s="4"/>
      <c r="E2" s="5"/>
      <c r="F2" s="5"/>
    </row>
    <row r="3" spans="1:6" x14ac:dyDescent="0.2">
      <c r="A3" s="4" t="s">
        <v>4</v>
      </c>
      <c r="B3" s="4" t="s">
        <v>7</v>
      </c>
      <c r="C3" s="4">
        <v>100</v>
      </c>
      <c r="D3" s="4"/>
      <c r="E3" s="5"/>
      <c r="F3" s="5"/>
    </row>
    <row r="4" spans="1:6" x14ac:dyDescent="0.2">
      <c r="A4" s="4" t="s">
        <v>4</v>
      </c>
      <c r="B4" s="4" t="s">
        <v>8</v>
      </c>
      <c r="C4" s="4">
        <v>120000</v>
      </c>
      <c r="D4" s="4" t="s">
        <v>9</v>
      </c>
      <c r="E4" s="5"/>
      <c r="F4" s="5"/>
    </row>
    <row r="5" spans="1:6" x14ac:dyDescent="0.2">
      <c r="A5" s="4" t="s">
        <v>4</v>
      </c>
      <c r="B5" s="4" t="s">
        <v>10</v>
      </c>
      <c r="C5" s="4">
        <v>30</v>
      </c>
      <c r="D5" s="4"/>
      <c r="E5" s="5"/>
      <c r="F5" s="5"/>
    </row>
    <row r="6" spans="1:6" x14ac:dyDescent="0.2">
      <c r="A6" s="4" t="s">
        <v>4</v>
      </c>
      <c r="B6" s="4" t="s">
        <v>11</v>
      </c>
      <c r="C6" s="4">
        <v>12</v>
      </c>
      <c r="D6" s="4"/>
      <c r="E6" s="5"/>
      <c r="F6" s="5"/>
    </row>
    <row r="7" spans="1:6" x14ac:dyDescent="0.2">
      <c r="A7" s="4" t="s">
        <v>4</v>
      </c>
      <c r="B7" s="4" t="s">
        <v>12</v>
      </c>
      <c r="C7" s="4" t="s">
        <v>13</v>
      </c>
      <c r="D7" s="4"/>
      <c r="E7" s="5"/>
      <c r="F7" s="5"/>
    </row>
    <row r="8" spans="1:6" x14ac:dyDescent="0.2">
      <c r="A8" s="4" t="s">
        <v>14</v>
      </c>
      <c r="B8" s="4" t="s">
        <v>15</v>
      </c>
      <c r="C8" s="4">
        <v>2000000</v>
      </c>
      <c r="D8" s="4" t="s">
        <v>16</v>
      </c>
      <c r="E8" s="5"/>
      <c r="F8" s="5"/>
    </row>
    <row r="9" spans="1:6" x14ac:dyDescent="0.2">
      <c r="A9" s="4" t="s">
        <v>17</v>
      </c>
      <c r="B9" s="4" t="s">
        <v>18</v>
      </c>
      <c r="C9" s="4">
        <v>200</v>
      </c>
      <c r="D9" s="4"/>
      <c r="E9" s="5"/>
      <c r="F9" s="5"/>
    </row>
    <row r="10" spans="1:6" x14ac:dyDescent="0.2">
      <c r="A10" s="4" t="s">
        <v>17</v>
      </c>
      <c r="B10" s="4" t="s">
        <v>19</v>
      </c>
      <c r="C10" s="16">
        <v>24000000</v>
      </c>
      <c r="D10" s="4"/>
      <c r="E10" s="5"/>
      <c r="F10" s="5"/>
    </row>
    <row r="11" spans="1:6" x14ac:dyDescent="0.2">
      <c r="A11" s="4" t="s">
        <v>17</v>
      </c>
      <c r="B11" s="4" t="s">
        <v>20</v>
      </c>
      <c r="C11" s="16">
        <v>1500000</v>
      </c>
      <c r="D11" s="4"/>
      <c r="E11" s="5"/>
      <c r="F11" s="5"/>
    </row>
    <row r="12" spans="1:6" x14ac:dyDescent="0.2">
      <c r="A12" s="4" t="s">
        <v>17</v>
      </c>
      <c r="B12" s="4" t="s">
        <v>21</v>
      </c>
      <c r="C12" s="16">
        <v>2400000</v>
      </c>
      <c r="D12" s="4" t="s">
        <v>22</v>
      </c>
      <c r="E12" s="5"/>
      <c r="F12" s="5"/>
    </row>
    <row r="13" spans="1:6" x14ac:dyDescent="0.2">
      <c r="A13" s="4" t="s">
        <v>17</v>
      </c>
      <c r="B13" s="4" t="s">
        <v>23</v>
      </c>
      <c r="C13" s="4">
        <v>30</v>
      </c>
      <c r="D13" s="4" t="s">
        <v>24</v>
      </c>
      <c r="E13" s="5"/>
      <c r="F13" s="5"/>
    </row>
    <row r="14" spans="1:6" x14ac:dyDescent="0.2">
      <c r="A14" s="4" t="s">
        <v>25</v>
      </c>
      <c r="B14" s="4" t="s">
        <v>26</v>
      </c>
      <c r="C14" s="4">
        <v>350000</v>
      </c>
      <c r="D14" s="4"/>
      <c r="E14" s="5"/>
      <c r="F14" s="5"/>
    </row>
    <row r="15" spans="1:6" x14ac:dyDescent="0.2">
      <c r="A15" s="4" t="s">
        <v>25</v>
      </c>
      <c r="B15" s="4" t="s">
        <v>27</v>
      </c>
      <c r="C15" s="4">
        <v>35000000</v>
      </c>
      <c r="D15" s="4" t="s">
        <v>28</v>
      </c>
      <c r="E15" s="5"/>
      <c r="F15" s="5"/>
    </row>
    <row r="16" spans="1:6" x14ac:dyDescent="0.2">
      <c r="A16" s="4" t="s">
        <v>29</v>
      </c>
      <c r="B16" s="4" t="s">
        <v>30</v>
      </c>
      <c r="C16" s="4">
        <v>2500</v>
      </c>
      <c r="D16" s="4"/>
      <c r="E16" s="5"/>
      <c r="F16" s="5"/>
    </row>
    <row r="17" spans="1:6" x14ac:dyDescent="0.2">
      <c r="A17" s="4" t="s">
        <v>29</v>
      </c>
      <c r="B17" s="4" t="s">
        <v>31</v>
      </c>
      <c r="C17" s="4">
        <v>0.85</v>
      </c>
      <c r="D17" s="4"/>
      <c r="E17" s="5"/>
      <c r="F17" s="5"/>
    </row>
    <row r="18" spans="1:6" x14ac:dyDescent="0.2">
      <c r="A18" s="4" t="s">
        <v>29</v>
      </c>
      <c r="B18" s="4" t="s">
        <v>32</v>
      </c>
      <c r="C18" s="4">
        <v>0.95</v>
      </c>
      <c r="D18" s="4"/>
      <c r="E18" s="5"/>
      <c r="F18" s="5"/>
    </row>
    <row r="19" spans="1:6" x14ac:dyDescent="0.2">
      <c r="A19" s="4" t="s">
        <v>29</v>
      </c>
      <c r="B19" s="4" t="s">
        <v>33</v>
      </c>
      <c r="C19" s="4">
        <v>12</v>
      </c>
      <c r="D19" s="4" t="s">
        <v>24</v>
      </c>
      <c r="E19" s="5"/>
      <c r="F19" s="5"/>
    </row>
    <row r="20" spans="1:6" x14ac:dyDescent="0.2">
      <c r="A20" s="4" t="s">
        <v>25</v>
      </c>
      <c r="B20" s="4" t="s">
        <v>34</v>
      </c>
      <c r="C20" s="8">
        <v>0.05</v>
      </c>
      <c r="D20" s="4"/>
      <c r="E20" s="5"/>
      <c r="F20" s="5"/>
    </row>
    <row r="21" spans="1:6" x14ac:dyDescent="0.2">
      <c r="A21" s="4" t="s">
        <v>29</v>
      </c>
      <c r="B21" s="4" t="s">
        <v>35</v>
      </c>
      <c r="C21" s="10">
        <v>0.08</v>
      </c>
      <c r="D21" s="4"/>
      <c r="E21" s="5"/>
      <c r="F21" s="5"/>
    </row>
    <row r="22" spans="1:6" x14ac:dyDescent="0.2">
      <c r="A22" s="4" t="s">
        <v>36</v>
      </c>
      <c r="B22" s="4" t="s">
        <v>37</v>
      </c>
      <c r="C22" s="10">
        <v>0.7</v>
      </c>
      <c r="D22" s="4"/>
      <c r="E22" s="5"/>
      <c r="F22" s="5"/>
    </row>
    <row r="23" spans="1:6" x14ac:dyDescent="0.2">
      <c r="A23" s="4" t="s">
        <v>36</v>
      </c>
      <c r="B23" s="4" t="s">
        <v>38</v>
      </c>
      <c r="C23" s="10">
        <v>0.3</v>
      </c>
      <c r="D23" s="4"/>
      <c r="E23" s="5"/>
      <c r="F23" s="5"/>
    </row>
    <row r="24" spans="1:6" x14ac:dyDescent="0.2">
      <c r="A24" s="4" t="s">
        <v>36</v>
      </c>
      <c r="B24" s="4" t="s">
        <v>39</v>
      </c>
      <c r="C24" s="10">
        <v>0.06</v>
      </c>
      <c r="D24" s="4"/>
      <c r="E24" s="5"/>
      <c r="F24" s="5"/>
    </row>
    <row r="25" spans="1:6" x14ac:dyDescent="0.2">
      <c r="A25" s="4" t="s">
        <v>36</v>
      </c>
      <c r="B25" s="4" t="s">
        <v>40</v>
      </c>
      <c r="C25" s="4">
        <v>7</v>
      </c>
      <c r="D25" s="4" t="s">
        <v>41</v>
      </c>
      <c r="E25" s="5">
        <v>84</v>
      </c>
      <c r="F25" s="4" t="s">
        <v>24</v>
      </c>
    </row>
    <row r="26" spans="1:6" x14ac:dyDescent="0.2">
      <c r="A26" s="4" t="s">
        <v>36</v>
      </c>
      <c r="B26" s="4" t="s">
        <v>42</v>
      </c>
      <c r="C26" s="10">
        <v>0.12</v>
      </c>
      <c r="D26" s="4"/>
      <c r="E26" s="5"/>
      <c r="F26" s="5"/>
    </row>
    <row r="27" spans="1:6" x14ac:dyDescent="0.2">
      <c r="A27" s="4" t="s">
        <v>43</v>
      </c>
      <c r="B27" s="4" t="s">
        <v>44</v>
      </c>
      <c r="C27" s="4">
        <v>200000</v>
      </c>
      <c r="D27" s="4"/>
      <c r="E27" s="5"/>
      <c r="F27" s="5"/>
    </row>
    <row r="28" spans="1:6" x14ac:dyDescent="0.2">
      <c r="A28" s="4" t="s">
        <v>43</v>
      </c>
      <c r="B28" s="4" t="s">
        <v>45</v>
      </c>
      <c r="C28" s="4">
        <v>0.08</v>
      </c>
      <c r="D28" s="4"/>
      <c r="E28" s="5"/>
      <c r="F28" s="5"/>
    </row>
    <row r="29" spans="1:6" x14ac:dyDescent="0.2">
      <c r="A29" s="4" t="s">
        <v>43</v>
      </c>
      <c r="B29" s="4" t="s">
        <v>46</v>
      </c>
      <c r="C29" s="4">
        <v>1.4999999999999999E-2</v>
      </c>
      <c r="D29" s="4"/>
      <c r="E29" s="5"/>
      <c r="F29" s="5"/>
    </row>
    <row r="30" spans="1:6" x14ac:dyDescent="0.2">
      <c r="A30" s="4" t="s">
        <v>43</v>
      </c>
      <c r="B30" s="4" t="s">
        <v>47</v>
      </c>
      <c r="C30" s="4">
        <v>100000</v>
      </c>
      <c r="D30" s="4"/>
      <c r="E30" s="5"/>
      <c r="F30" s="5"/>
    </row>
    <row r="31" spans="1:6" x14ac:dyDescent="0.2">
      <c r="A31" s="4" t="s">
        <v>48</v>
      </c>
      <c r="B31" s="4" t="s">
        <v>49</v>
      </c>
      <c r="C31" s="4">
        <v>500000</v>
      </c>
      <c r="D31" s="4"/>
      <c r="E31" s="5"/>
      <c r="F31" s="5"/>
    </row>
    <row r="32" spans="1:6" x14ac:dyDescent="0.2">
      <c r="A32" s="4" t="s">
        <v>48</v>
      </c>
      <c r="B32" s="4" t="s">
        <v>50</v>
      </c>
      <c r="C32" s="4">
        <v>250000</v>
      </c>
      <c r="D32" s="4"/>
      <c r="E32" s="5"/>
      <c r="F32" s="5"/>
    </row>
    <row r="33" spans="1:6" x14ac:dyDescent="0.2">
      <c r="A33" s="4" t="s">
        <v>51</v>
      </c>
      <c r="B33" s="4" t="s">
        <v>52</v>
      </c>
      <c r="C33" s="4">
        <v>0.21</v>
      </c>
      <c r="D33" s="4"/>
      <c r="E33" s="5"/>
      <c r="F33" s="5"/>
    </row>
    <row r="34" spans="1:6" x14ac:dyDescent="0.2">
      <c r="A34" s="4" t="s">
        <v>51</v>
      </c>
      <c r="B34" s="4" t="s">
        <v>53</v>
      </c>
      <c r="C34" s="4">
        <v>39</v>
      </c>
      <c r="D34" s="4" t="s">
        <v>54</v>
      </c>
      <c r="E34" s="5"/>
      <c r="F34" s="5"/>
    </row>
    <row r="35" spans="1:6" x14ac:dyDescent="0.2">
      <c r="A35" s="4" t="s">
        <v>55</v>
      </c>
      <c r="B35" s="4" t="s">
        <v>56</v>
      </c>
      <c r="C35" s="4">
        <v>5</v>
      </c>
      <c r="D35" s="4" t="s">
        <v>41</v>
      </c>
      <c r="E35" s="5"/>
      <c r="F35" s="5"/>
    </row>
    <row r="36" spans="1:6" x14ac:dyDescent="0.2">
      <c r="A36" s="4" t="s">
        <v>55</v>
      </c>
      <c r="B36" s="4" t="s">
        <v>57</v>
      </c>
      <c r="C36" s="4">
        <v>0.9</v>
      </c>
      <c r="D36" s="4" t="s">
        <v>58</v>
      </c>
      <c r="E36" s="5"/>
      <c r="F36" s="5"/>
    </row>
    <row r="37" spans="1:6" x14ac:dyDescent="0.2">
      <c r="A37" s="4" t="s">
        <v>55</v>
      </c>
      <c r="B37" s="4" t="s">
        <v>59</v>
      </c>
      <c r="C37" s="4">
        <v>40000000</v>
      </c>
      <c r="D37" s="4" t="s">
        <v>60</v>
      </c>
      <c r="E37" s="5"/>
      <c r="F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9244-6E67-EA43-AA50-7E81D88BCD88}">
  <dimension ref="A1:B43"/>
  <sheetViews>
    <sheetView tabSelected="1" workbookViewId="0">
      <selection activeCell="A2" sqref="A2"/>
    </sheetView>
  </sheetViews>
  <sheetFormatPr baseColWidth="10" defaultRowHeight="16" x14ac:dyDescent="0.2"/>
  <cols>
    <col min="2" max="2" width="21.83203125" customWidth="1"/>
  </cols>
  <sheetData>
    <row r="1" spans="1:2" ht="19" x14ac:dyDescent="0.25">
      <c r="A1" s="6" t="s">
        <v>61</v>
      </c>
      <c r="B1" s="6" t="s">
        <v>62</v>
      </c>
    </row>
    <row r="2" spans="1:2" x14ac:dyDescent="0.2">
      <c r="A2" s="4" t="str">
        <f>"Month "&amp;ROW()-1</f>
        <v>Month 1</v>
      </c>
      <c r="B2" s="4" t="s">
        <v>17</v>
      </c>
    </row>
    <row r="3" spans="1:2" x14ac:dyDescent="0.2">
      <c r="A3" s="4" t="str">
        <f t="shared" ref="A3:A43" si="0">"Month "&amp;ROW()-1</f>
        <v>Month 2</v>
      </c>
      <c r="B3" s="4" t="s">
        <v>17</v>
      </c>
    </row>
    <row r="4" spans="1:2" x14ac:dyDescent="0.2">
      <c r="A4" s="4" t="str">
        <f t="shared" si="0"/>
        <v>Month 3</v>
      </c>
      <c r="B4" s="4" t="s">
        <v>17</v>
      </c>
    </row>
    <row r="5" spans="1:2" x14ac:dyDescent="0.2">
      <c r="A5" s="4" t="str">
        <f t="shared" si="0"/>
        <v>Month 4</v>
      </c>
      <c r="B5" s="4" t="s">
        <v>17</v>
      </c>
    </row>
    <row r="6" spans="1:2" x14ac:dyDescent="0.2">
      <c r="A6" s="4" t="str">
        <f t="shared" si="0"/>
        <v>Month 5</v>
      </c>
      <c r="B6" s="4" t="s">
        <v>17</v>
      </c>
    </row>
    <row r="7" spans="1:2" x14ac:dyDescent="0.2">
      <c r="A7" s="4" t="str">
        <f t="shared" si="0"/>
        <v>Month 6</v>
      </c>
      <c r="B7" s="4" t="s">
        <v>17</v>
      </c>
    </row>
    <row r="8" spans="1:2" x14ac:dyDescent="0.2">
      <c r="A8" s="4" t="str">
        <f t="shared" si="0"/>
        <v>Month 7</v>
      </c>
      <c r="B8" s="4" t="s">
        <v>17</v>
      </c>
    </row>
    <row r="9" spans="1:2" x14ac:dyDescent="0.2">
      <c r="A9" s="4" t="str">
        <f t="shared" si="0"/>
        <v>Month 8</v>
      </c>
      <c r="B9" s="4" t="s">
        <v>17</v>
      </c>
    </row>
    <row r="10" spans="1:2" x14ac:dyDescent="0.2">
      <c r="A10" s="4" t="str">
        <f t="shared" si="0"/>
        <v>Month 9</v>
      </c>
      <c r="B10" s="4" t="s">
        <v>17</v>
      </c>
    </row>
    <row r="11" spans="1:2" x14ac:dyDescent="0.2">
      <c r="A11" s="4" t="str">
        <f t="shared" si="0"/>
        <v>Month 10</v>
      </c>
      <c r="B11" s="4" t="s">
        <v>17</v>
      </c>
    </row>
    <row r="12" spans="1:2" x14ac:dyDescent="0.2">
      <c r="A12" s="4" t="str">
        <f t="shared" si="0"/>
        <v>Month 11</v>
      </c>
      <c r="B12" s="4" t="s">
        <v>17</v>
      </c>
    </row>
    <row r="13" spans="1:2" x14ac:dyDescent="0.2">
      <c r="A13" s="4" t="str">
        <f t="shared" si="0"/>
        <v>Month 12</v>
      </c>
      <c r="B13" s="4" t="s">
        <v>17</v>
      </c>
    </row>
    <row r="14" spans="1:2" x14ac:dyDescent="0.2">
      <c r="A14" s="4" t="str">
        <f t="shared" si="0"/>
        <v>Month 13</v>
      </c>
      <c r="B14" s="4" t="s">
        <v>17</v>
      </c>
    </row>
    <row r="15" spans="1:2" x14ac:dyDescent="0.2">
      <c r="A15" s="4" t="str">
        <f t="shared" si="0"/>
        <v>Month 14</v>
      </c>
      <c r="B15" s="4" t="s">
        <v>17</v>
      </c>
    </row>
    <row r="16" spans="1:2" x14ac:dyDescent="0.2">
      <c r="A16" s="4" t="str">
        <f t="shared" si="0"/>
        <v>Month 15</v>
      </c>
      <c r="B16" s="4" t="s">
        <v>17</v>
      </c>
    </row>
    <row r="17" spans="1:2" x14ac:dyDescent="0.2">
      <c r="A17" s="4" t="str">
        <f t="shared" si="0"/>
        <v>Month 16</v>
      </c>
      <c r="B17" s="4" t="s">
        <v>17</v>
      </c>
    </row>
    <row r="18" spans="1:2" x14ac:dyDescent="0.2">
      <c r="A18" s="4" t="str">
        <f t="shared" si="0"/>
        <v>Month 17</v>
      </c>
      <c r="B18" s="4" t="s">
        <v>17</v>
      </c>
    </row>
    <row r="19" spans="1:2" x14ac:dyDescent="0.2">
      <c r="A19" s="4" t="str">
        <f t="shared" si="0"/>
        <v>Month 18</v>
      </c>
      <c r="B19" s="4" t="s">
        <v>17</v>
      </c>
    </row>
    <row r="20" spans="1:2" x14ac:dyDescent="0.2">
      <c r="A20" s="4" t="str">
        <f t="shared" si="0"/>
        <v>Month 19</v>
      </c>
      <c r="B20" s="4" t="s">
        <v>17</v>
      </c>
    </row>
    <row r="21" spans="1:2" x14ac:dyDescent="0.2">
      <c r="A21" s="4" t="str">
        <f t="shared" si="0"/>
        <v>Month 20</v>
      </c>
      <c r="B21" s="4" t="s">
        <v>17</v>
      </c>
    </row>
    <row r="22" spans="1:2" x14ac:dyDescent="0.2">
      <c r="A22" s="4" t="str">
        <f t="shared" si="0"/>
        <v>Month 21</v>
      </c>
      <c r="B22" s="4" t="s">
        <v>17</v>
      </c>
    </row>
    <row r="23" spans="1:2" x14ac:dyDescent="0.2">
      <c r="A23" s="4" t="str">
        <f t="shared" si="0"/>
        <v>Month 22</v>
      </c>
      <c r="B23" s="4" t="s">
        <v>17</v>
      </c>
    </row>
    <row r="24" spans="1:2" x14ac:dyDescent="0.2">
      <c r="A24" s="4" t="str">
        <f t="shared" si="0"/>
        <v>Month 23</v>
      </c>
      <c r="B24" s="4" t="s">
        <v>17</v>
      </c>
    </row>
    <row r="25" spans="1:2" x14ac:dyDescent="0.2">
      <c r="A25" s="4" t="str">
        <f t="shared" si="0"/>
        <v>Month 24</v>
      </c>
      <c r="B25" s="4" t="s">
        <v>17</v>
      </c>
    </row>
    <row r="26" spans="1:2" x14ac:dyDescent="0.2">
      <c r="A26" s="4" t="str">
        <f t="shared" si="0"/>
        <v>Month 25</v>
      </c>
      <c r="B26" s="4" t="s">
        <v>17</v>
      </c>
    </row>
    <row r="27" spans="1:2" x14ac:dyDescent="0.2">
      <c r="A27" s="4" t="str">
        <f t="shared" si="0"/>
        <v>Month 26</v>
      </c>
      <c r="B27" s="4" t="s">
        <v>17</v>
      </c>
    </row>
    <row r="28" spans="1:2" x14ac:dyDescent="0.2">
      <c r="A28" s="4" t="str">
        <f t="shared" si="0"/>
        <v>Month 27</v>
      </c>
      <c r="B28" s="4" t="s">
        <v>17</v>
      </c>
    </row>
    <row r="29" spans="1:2" x14ac:dyDescent="0.2">
      <c r="A29" s="4" t="str">
        <f t="shared" si="0"/>
        <v>Month 28</v>
      </c>
      <c r="B29" s="4" t="s">
        <v>17</v>
      </c>
    </row>
    <row r="30" spans="1:2" x14ac:dyDescent="0.2">
      <c r="A30" s="4" t="str">
        <f t="shared" si="0"/>
        <v>Month 29</v>
      </c>
      <c r="B30" s="4" t="s">
        <v>17</v>
      </c>
    </row>
    <row r="31" spans="1:2" x14ac:dyDescent="0.2">
      <c r="A31" s="4" t="str">
        <f t="shared" si="0"/>
        <v>Month 30</v>
      </c>
      <c r="B31" s="4" t="s">
        <v>17</v>
      </c>
    </row>
    <row r="32" spans="1:2" x14ac:dyDescent="0.2">
      <c r="A32" s="4" t="str">
        <f>"Month "&amp;ROW()-1</f>
        <v>Month 31</v>
      </c>
      <c r="B32" s="4" t="s">
        <v>63</v>
      </c>
    </row>
    <row r="33" spans="1:2" x14ac:dyDescent="0.2">
      <c r="A33" s="4" t="str">
        <f t="shared" si="0"/>
        <v>Month 32</v>
      </c>
      <c r="B33" s="4" t="s">
        <v>63</v>
      </c>
    </row>
    <row r="34" spans="1:2" x14ac:dyDescent="0.2">
      <c r="A34" s="4" t="str">
        <f t="shared" si="0"/>
        <v>Month 33</v>
      </c>
      <c r="B34" s="4" t="s">
        <v>63</v>
      </c>
    </row>
    <row r="35" spans="1:2" x14ac:dyDescent="0.2">
      <c r="A35" s="4" t="str">
        <f t="shared" si="0"/>
        <v>Month 34</v>
      </c>
      <c r="B35" s="4" t="s">
        <v>63</v>
      </c>
    </row>
    <row r="36" spans="1:2" x14ac:dyDescent="0.2">
      <c r="A36" s="4" t="str">
        <f t="shared" si="0"/>
        <v>Month 35</v>
      </c>
      <c r="B36" s="4" t="s">
        <v>63</v>
      </c>
    </row>
    <row r="37" spans="1:2" x14ac:dyDescent="0.2">
      <c r="A37" s="4" t="str">
        <f t="shared" si="0"/>
        <v>Month 36</v>
      </c>
      <c r="B37" s="4" t="s">
        <v>63</v>
      </c>
    </row>
    <row r="38" spans="1:2" x14ac:dyDescent="0.2">
      <c r="A38" s="4" t="str">
        <f t="shared" si="0"/>
        <v>Month 37</v>
      </c>
      <c r="B38" s="4" t="s">
        <v>63</v>
      </c>
    </row>
    <row r="39" spans="1:2" x14ac:dyDescent="0.2">
      <c r="A39" s="4" t="str">
        <f t="shared" si="0"/>
        <v>Month 38</v>
      </c>
      <c r="B39" s="4" t="s">
        <v>63</v>
      </c>
    </row>
    <row r="40" spans="1:2" x14ac:dyDescent="0.2">
      <c r="A40" s="4" t="str">
        <f t="shared" si="0"/>
        <v>Month 39</v>
      </c>
      <c r="B40" s="4" t="s">
        <v>63</v>
      </c>
    </row>
    <row r="41" spans="1:2" x14ac:dyDescent="0.2">
      <c r="A41" s="4" t="str">
        <f t="shared" si="0"/>
        <v>Month 40</v>
      </c>
      <c r="B41" s="4" t="s">
        <v>63</v>
      </c>
    </row>
    <row r="42" spans="1:2" x14ac:dyDescent="0.2">
      <c r="A42" s="4" t="str">
        <f t="shared" si="0"/>
        <v>Month 41</v>
      </c>
      <c r="B42" s="4" t="s">
        <v>63</v>
      </c>
    </row>
    <row r="43" spans="1:2" x14ac:dyDescent="0.2">
      <c r="A43" s="4" t="str">
        <f t="shared" si="0"/>
        <v>Month 42</v>
      </c>
      <c r="B43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6F41-6BFB-2146-90AB-5EAABE81DDB8}">
  <dimension ref="A1:B31"/>
  <sheetViews>
    <sheetView workbookViewId="0">
      <selection activeCell="A2" sqref="A2"/>
    </sheetView>
  </sheetViews>
  <sheetFormatPr baseColWidth="10" defaultRowHeight="16" x14ac:dyDescent="0.2"/>
  <cols>
    <col min="2" max="2" width="22" customWidth="1"/>
  </cols>
  <sheetData>
    <row r="1" spans="1:2" ht="19" x14ac:dyDescent="0.25">
      <c r="A1" s="6" t="s">
        <v>61</v>
      </c>
      <c r="B1" s="6" t="s">
        <v>64</v>
      </c>
    </row>
    <row r="2" spans="1:2" x14ac:dyDescent="0.2">
      <c r="A2" s="4" t="str">
        <f>"Month "&amp;ROW()-1</f>
        <v>Month 1</v>
      </c>
      <c r="B2" s="4">
        <f>Assumptions!$C$10/30</f>
        <v>800000</v>
      </c>
    </row>
    <row r="3" spans="1:2" x14ac:dyDescent="0.2">
      <c r="A3" s="4" t="str">
        <f t="shared" ref="A3:A31" si="0">"Month "&amp;ROW()-1</f>
        <v>Month 2</v>
      </c>
      <c r="B3" s="4">
        <f>Assumptions!$C$10/30</f>
        <v>800000</v>
      </c>
    </row>
    <row r="4" spans="1:2" x14ac:dyDescent="0.2">
      <c r="A4" s="4" t="str">
        <f t="shared" si="0"/>
        <v>Month 3</v>
      </c>
      <c r="B4" s="4">
        <f>Assumptions!$C$10/30</f>
        <v>800000</v>
      </c>
    </row>
    <row r="5" spans="1:2" x14ac:dyDescent="0.2">
      <c r="A5" s="4" t="str">
        <f t="shared" si="0"/>
        <v>Month 4</v>
      </c>
      <c r="B5" s="4">
        <f>Assumptions!$C$10/30</f>
        <v>800000</v>
      </c>
    </row>
    <row r="6" spans="1:2" x14ac:dyDescent="0.2">
      <c r="A6" s="4" t="str">
        <f t="shared" si="0"/>
        <v>Month 5</v>
      </c>
      <c r="B6" s="4">
        <f>Assumptions!$C$10/30</f>
        <v>800000</v>
      </c>
    </row>
    <row r="7" spans="1:2" x14ac:dyDescent="0.2">
      <c r="A7" s="4" t="str">
        <f t="shared" si="0"/>
        <v>Month 6</v>
      </c>
      <c r="B7" s="4">
        <f>Assumptions!$C$10/30</f>
        <v>800000</v>
      </c>
    </row>
    <row r="8" spans="1:2" x14ac:dyDescent="0.2">
      <c r="A8" s="4" t="str">
        <f t="shared" si="0"/>
        <v>Month 7</v>
      </c>
      <c r="B8" s="4">
        <f>Assumptions!$C$10/30</f>
        <v>800000</v>
      </c>
    </row>
    <row r="9" spans="1:2" x14ac:dyDescent="0.2">
      <c r="A9" s="4" t="str">
        <f t="shared" si="0"/>
        <v>Month 8</v>
      </c>
      <c r="B9" s="4">
        <f>Assumptions!$C$10/30</f>
        <v>800000</v>
      </c>
    </row>
    <row r="10" spans="1:2" x14ac:dyDescent="0.2">
      <c r="A10" s="4" t="str">
        <f t="shared" si="0"/>
        <v>Month 9</v>
      </c>
      <c r="B10" s="4">
        <f>Assumptions!$C$10/30</f>
        <v>800000</v>
      </c>
    </row>
    <row r="11" spans="1:2" x14ac:dyDescent="0.2">
      <c r="A11" s="4" t="str">
        <f t="shared" si="0"/>
        <v>Month 10</v>
      </c>
      <c r="B11" s="4">
        <f>Assumptions!$C$10/30</f>
        <v>800000</v>
      </c>
    </row>
    <row r="12" spans="1:2" x14ac:dyDescent="0.2">
      <c r="A12" s="4" t="str">
        <f t="shared" si="0"/>
        <v>Month 11</v>
      </c>
      <c r="B12" s="4">
        <f>Assumptions!$C$10/30</f>
        <v>800000</v>
      </c>
    </row>
    <row r="13" spans="1:2" x14ac:dyDescent="0.2">
      <c r="A13" s="4" t="str">
        <f t="shared" si="0"/>
        <v>Month 12</v>
      </c>
      <c r="B13" s="4">
        <f>Assumptions!$C$10/30</f>
        <v>800000</v>
      </c>
    </row>
    <row r="14" spans="1:2" x14ac:dyDescent="0.2">
      <c r="A14" s="4" t="str">
        <f t="shared" si="0"/>
        <v>Month 13</v>
      </c>
      <c r="B14" s="4">
        <f>Assumptions!$C$10/30</f>
        <v>800000</v>
      </c>
    </row>
    <row r="15" spans="1:2" x14ac:dyDescent="0.2">
      <c r="A15" s="4" t="str">
        <f t="shared" si="0"/>
        <v>Month 14</v>
      </c>
      <c r="B15" s="4">
        <f>Assumptions!$C$10/30</f>
        <v>800000</v>
      </c>
    </row>
    <row r="16" spans="1:2" x14ac:dyDescent="0.2">
      <c r="A16" s="4" t="str">
        <f t="shared" si="0"/>
        <v>Month 15</v>
      </c>
      <c r="B16" s="4">
        <f>Assumptions!$C$10/30</f>
        <v>800000</v>
      </c>
    </row>
    <row r="17" spans="1:2" x14ac:dyDescent="0.2">
      <c r="A17" s="4" t="str">
        <f t="shared" si="0"/>
        <v>Month 16</v>
      </c>
      <c r="B17" s="4">
        <f>Assumptions!$C$10/30</f>
        <v>800000</v>
      </c>
    </row>
    <row r="18" spans="1:2" x14ac:dyDescent="0.2">
      <c r="A18" s="4" t="str">
        <f t="shared" si="0"/>
        <v>Month 17</v>
      </c>
      <c r="B18" s="4">
        <f>Assumptions!$C$10/30</f>
        <v>800000</v>
      </c>
    </row>
    <row r="19" spans="1:2" x14ac:dyDescent="0.2">
      <c r="A19" s="4" t="str">
        <f t="shared" si="0"/>
        <v>Month 18</v>
      </c>
      <c r="B19" s="4">
        <f>Assumptions!$C$10/30</f>
        <v>800000</v>
      </c>
    </row>
    <row r="20" spans="1:2" x14ac:dyDescent="0.2">
      <c r="A20" s="4" t="str">
        <f t="shared" si="0"/>
        <v>Month 19</v>
      </c>
      <c r="B20" s="4">
        <f>Assumptions!$C$10/30</f>
        <v>800000</v>
      </c>
    </row>
    <row r="21" spans="1:2" x14ac:dyDescent="0.2">
      <c r="A21" s="4" t="str">
        <f t="shared" si="0"/>
        <v>Month 20</v>
      </c>
      <c r="B21" s="4">
        <f>Assumptions!$C$10/30</f>
        <v>800000</v>
      </c>
    </row>
    <row r="22" spans="1:2" x14ac:dyDescent="0.2">
      <c r="A22" s="4" t="str">
        <f t="shared" si="0"/>
        <v>Month 21</v>
      </c>
      <c r="B22" s="4">
        <f>Assumptions!$C$10/30</f>
        <v>800000</v>
      </c>
    </row>
    <row r="23" spans="1:2" x14ac:dyDescent="0.2">
      <c r="A23" s="4" t="str">
        <f t="shared" si="0"/>
        <v>Month 22</v>
      </c>
      <c r="B23" s="4">
        <f>Assumptions!$C$10/30</f>
        <v>800000</v>
      </c>
    </row>
    <row r="24" spans="1:2" x14ac:dyDescent="0.2">
      <c r="A24" s="4" t="str">
        <f t="shared" si="0"/>
        <v>Month 23</v>
      </c>
      <c r="B24" s="4">
        <f>Assumptions!$C$10/30</f>
        <v>800000</v>
      </c>
    </row>
    <row r="25" spans="1:2" x14ac:dyDescent="0.2">
      <c r="A25" s="4" t="str">
        <f t="shared" si="0"/>
        <v>Month 24</v>
      </c>
      <c r="B25" s="4">
        <f>Assumptions!$C$10/30</f>
        <v>800000</v>
      </c>
    </row>
    <row r="26" spans="1:2" x14ac:dyDescent="0.2">
      <c r="A26" s="4" t="str">
        <f t="shared" si="0"/>
        <v>Month 25</v>
      </c>
      <c r="B26" s="4">
        <f>Assumptions!$C$10/30</f>
        <v>800000</v>
      </c>
    </row>
    <row r="27" spans="1:2" x14ac:dyDescent="0.2">
      <c r="A27" s="4" t="str">
        <f t="shared" si="0"/>
        <v>Month 26</v>
      </c>
      <c r="B27" s="4">
        <f>Assumptions!$C$10/30</f>
        <v>800000</v>
      </c>
    </row>
    <row r="28" spans="1:2" x14ac:dyDescent="0.2">
      <c r="A28" s="4" t="str">
        <f t="shared" si="0"/>
        <v>Month 27</v>
      </c>
      <c r="B28" s="4">
        <f>Assumptions!$C$10/30</f>
        <v>800000</v>
      </c>
    </row>
    <row r="29" spans="1:2" x14ac:dyDescent="0.2">
      <c r="A29" s="4" t="str">
        <f t="shared" si="0"/>
        <v>Month 28</v>
      </c>
      <c r="B29" s="4">
        <f>Assumptions!$C$10/30</f>
        <v>800000</v>
      </c>
    </row>
    <row r="30" spans="1:2" x14ac:dyDescent="0.2">
      <c r="A30" s="4" t="str">
        <f t="shared" si="0"/>
        <v>Month 29</v>
      </c>
      <c r="B30" s="4">
        <f>Assumptions!$C$10/30</f>
        <v>800000</v>
      </c>
    </row>
    <row r="31" spans="1:2" x14ac:dyDescent="0.2">
      <c r="A31" s="4" t="str">
        <f t="shared" si="0"/>
        <v>Month 30</v>
      </c>
      <c r="B31" s="4">
        <f>Assumptions!$C$10/30</f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2B4D-FDC0-244F-ADD5-EBA062D39260}">
  <dimension ref="A1:D13"/>
  <sheetViews>
    <sheetView workbookViewId="0">
      <selection activeCell="G29" sqref="G29"/>
    </sheetView>
  </sheetViews>
  <sheetFormatPr baseColWidth="10" defaultRowHeight="16" x14ac:dyDescent="0.2"/>
  <cols>
    <col min="3" max="3" width="16" customWidth="1"/>
    <col min="4" max="4" width="17.5" customWidth="1"/>
  </cols>
  <sheetData>
    <row r="1" spans="1:4" x14ac:dyDescent="0.2">
      <c r="A1" s="13" t="s">
        <v>61</v>
      </c>
      <c r="B1" s="13" t="s">
        <v>65</v>
      </c>
      <c r="C1" s="13" t="s">
        <v>66</v>
      </c>
      <c r="D1" s="13" t="s">
        <v>67</v>
      </c>
    </row>
    <row r="2" spans="1:4" x14ac:dyDescent="0.2">
      <c r="A2" s="4" t="str">
        <f>"Month "&amp;ROW()+29</f>
        <v>Month 31</v>
      </c>
      <c r="B2" s="9">
        <f>Assumptions!$C$3/Assumptions!$C$6</f>
        <v>8.3333333333333339</v>
      </c>
      <c r="C2" s="14">
        <f>B2*Assumptions!$C$14</f>
        <v>2916666.666666667</v>
      </c>
      <c r="D2" s="14">
        <f>C2*Assumptions!$C$20</f>
        <v>145833.33333333334</v>
      </c>
    </row>
    <row r="3" spans="1:4" x14ac:dyDescent="0.2">
      <c r="A3" s="4" t="str">
        <f t="shared" ref="A3:A13" si="0">"Month "&amp;ROW()+29</f>
        <v>Month 32</v>
      </c>
      <c r="B3" s="9">
        <f>Assumptions!$C$3/Assumptions!$C$6</f>
        <v>8.3333333333333339</v>
      </c>
      <c r="C3" s="14">
        <f>B3*Assumptions!$C$14</f>
        <v>2916666.666666667</v>
      </c>
      <c r="D3" s="14">
        <f>C3*Assumptions!$C$20</f>
        <v>145833.33333333334</v>
      </c>
    </row>
    <row r="4" spans="1:4" x14ac:dyDescent="0.2">
      <c r="A4" s="4" t="str">
        <f t="shared" si="0"/>
        <v>Month 33</v>
      </c>
      <c r="B4" s="9">
        <f>Assumptions!$C$3/Assumptions!$C$6</f>
        <v>8.3333333333333339</v>
      </c>
      <c r="C4" s="14">
        <f>B4*Assumptions!$C$14</f>
        <v>2916666.666666667</v>
      </c>
      <c r="D4" s="14">
        <f>C4*Assumptions!$C$20</f>
        <v>145833.33333333334</v>
      </c>
    </row>
    <row r="5" spans="1:4" x14ac:dyDescent="0.2">
      <c r="A5" s="4" t="str">
        <f t="shared" si="0"/>
        <v>Month 34</v>
      </c>
      <c r="B5" s="9">
        <f>Assumptions!$C$3/Assumptions!$C$6</f>
        <v>8.3333333333333339</v>
      </c>
      <c r="C5" s="14">
        <f>B5*Assumptions!$C$14</f>
        <v>2916666.666666667</v>
      </c>
      <c r="D5" s="14">
        <f>C5*Assumptions!$C$20</f>
        <v>145833.33333333334</v>
      </c>
    </row>
    <row r="6" spans="1:4" x14ac:dyDescent="0.2">
      <c r="A6" s="4" t="str">
        <f t="shared" si="0"/>
        <v>Month 35</v>
      </c>
      <c r="B6" s="9">
        <f>Assumptions!$C$3/Assumptions!$C$6</f>
        <v>8.3333333333333339</v>
      </c>
      <c r="C6" s="14">
        <f>B6*Assumptions!$C$14</f>
        <v>2916666.666666667</v>
      </c>
      <c r="D6" s="14">
        <f>C6*Assumptions!$C$20</f>
        <v>145833.33333333334</v>
      </c>
    </row>
    <row r="7" spans="1:4" x14ac:dyDescent="0.2">
      <c r="A7" s="4" t="str">
        <f t="shared" si="0"/>
        <v>Month 36</v>
      </c>
      <c r="B7" s="9">
        <f>Assumptions!$C$3/Assumptions!$C$6</f>
        <v>8.3333333333333339</v>
      </c>
      <c r="C7" s="14">
        <f>B7*Assumptions!$C$14</f>
        <v>2916666.666666667</v>
      </c>
      <c r="D7" s="14">
        <f>C7*Assumptions!$C$20</f>
        <v>145833.33333333334</v>
      </c>
    </row>
    <row r="8" spans="1:4" x14ac:dyDescent="0.2">
      <c r="A8" s="4" t="str">
        <f t="shared" si="0"/>
        <v>Month 37</v>
      </c>
      <c r="B8" s="9">
        <f>Assumptions!$C$3/Assumptions!$C$6</f>
        <v>8.3333333333333339</v>
      </c>
      <c r="C8" s="14">
        <f>B8*Assumptions!$C$14</f>
        <v>2916666.666666667</v>
      </c>
      <c r="D8" s="14">
        <f>C8*Assumptions!$C$20</f>
        <v>145833.33333333334</v>
      </c>
    </row>
    <row r="9" spans="1:4" x14ac:dyDescent="0.2">
      <c r="A9" s="4" t="str">
        <f t="shared" si="0"/>
        <v>Month 38</v>
      </c>
      <c r="B9" s="9">
        <f>Assumptions!$C$3/Assumptions!$C$6</f>
        <v>8.3333333333333339</v>
      </c>
      <c r="C9" s="14">
        <f>B9*Assumptions!$C$14</f>
        <v>2916666.666666667</v>
      </c>
      <c r="D9" s="14">
        <f>C9*Assumptions!$C$20</f>
        <v>145833.33333333334</v>
      </c>
    </row>
    <row r="10" spans="1:4" x14ac:dyDescent="0.2">
      <c r="A10" s="4" t="str">
        <f t="shared" si="0"/>
        <v>Month 39</v>
      </c>
      <c r="B10" s="9">
        <f>Assumptions!$C$3/Assumptions!$C$6</f>
        <v>8.3333333333333339</v>
      </c>
      <c r="C10" s="14">
        <f>B10*Assumptions!$C$14</f>
        <v>2916666.666666667</v>
      </c>
      <c r="D10" s="14">
        <f>C10*Assumptions!$C$20</f>
        <v>145833.33333333334</v>
      </c>
    </row>
    <row r="11" spans="1:4" x14ac:dyDescent="0.2">
      <c r="A11" s="4" t="str">
        <f t="shared" si="0"/>
        <v>Month 40</v>
      </c>
      <c r="B11" s="9">
        <f>Assumptions!$C$3/Assumptions!$C$6</f>
        <v>8.3333333333333339</v>
      </c>
      <c r="C11" s="14">
        <f>B11*Assumptions!$C$14</f>
        <v>2916666.666666667</v>
      </c>
      <c r="D11" s="14">
        <f>C11*Assumptions!$C$20</f>
        <v>145833.33333333334</v>
      </c>
    </row>
    <row r="12" spans="1:4" x14ac:dyDescent="0.2">
      <c r="A12" s="4" t="str">
        <f t="shared" si="0"/>
        <v>Month 41</v>
      </c>
      <c r="B12" s="9">
        <f>Assumptions!$C$3/Assumptions!$C$6</f>
        <v>8.3333333333333339</v>
      </c>
      <c r="C12" s="14">
        <f>B12*Assumptions!$C$14</f>
        <v>2916666.666666667</v>
      </c>
      <c r="D12" s="14">
        <f>C12*Assumptions!$C$20</f>
        <v>145833.33333333334</v>
      </c>
    </row>
    <row r="13" spans="1:4" x14ac:dyDescent="0.2">
      <c r="A13" s="4" t="str">
        <f t="shared" si="0"/>
        <v>Month 42</v>
      </c>
      <c r="B13" s="9">
        <f>Assumptions!$C$3/Assumptions!$C$6</f>
        <v>8.3333333333333339</v>
      </c>
      <c r="C13" s="14">
        <f>B13*Assumptions!$C$14</f>
        <v>2916666.666666667</v>
      </c>
      <c r="D13" s="14">
        <f>C13*Assumptions!$C$20</f>
        <v>145833.33333333334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3329-4108-554A-A628-CB82964FD809}">
  <dimension ref="A1:D13"/>
  <sheetViews>
    <sheetView workbookViewId="0">
      <selection activeCell="E23" sqref="E23"/>
    </sheetView>
  </sheetViews>
  <sheetFormatPr baseColWidth="10" defaultRowHeight="16" x14ac:dyDescent="0.2"/>
  <cols>
    <col min="2" max="2" width="20.5" customWidth="1"/>
    <col min="3" max="3" width="15.83203125" customWidth="1"/>
  </cols>
  <sheetData>
    <row r="1" spans="1:4" x14ac:dyDescent="0.2">
      <c r="A1" s="13" t="s">
        <v>61</v>
      </c>
      <c r="B1" s="13" t="s">
        <v>68</v>
      </c>
      <c r="C1" s="13" t="s">
        <v>69</v>
      </c>
      <c r="D1" s="13" t="s">
        <v>70</v>
      </c>
    </row>
    <row r="2" spans="1:4" x14ac:dyDescent="0.2">
      <c r="A2" s="4" t="str">
        <f>"Month "&amp;ROW()+29</f>
        <v>Month 31</v>
      </c>
      <c r="B2" s="4">
        <f>Assumptions!$C$3*Assumptions!$C$17</f>
        <v>85</v>
      </c>
      <c r="C2" s="14">
        <f>$B$2*Assumptions!$C$16</f>
        <v>212500</v>
      </c>
      <c r="D2" s="14">
        <f>$C$2*Assumptions!$C$21</f>
        <v>17000</v>
      </c>
    </row>
    <row r="3" spans="1:4" x14ac:dyDescent="0.2">
      <c r="A3" s="4" t="str">
        <f t="shared" ref="A3:A13" si="0">"Month "&amp;ROW()+29</f>
        <v>Month 32</v>
      </c>
      <c r="B3" s="4">
        <f>Assumptions!$C$3*Assumptions!$C$17</f>
        <v>85</v>
      </c>
      <c r="C3" s="14">
        <f>$B$2*Assumptions!$C$16</f>
        <v>212500</v>
      </c>
      <c r="D3" s="14">
        <f>$C$2*Assumptions!$C$21</f>
        <v>17000</v>
      </c>
    </row>
    <row r="4" spans="1:4" x14ac:dyDescent="0.2">
      <c r="A4" s="4" t="str">
        <f t="shared" si="0"/>
        <v>Month 33</v>
      </c>
      <c r="B4" s="4">
        <f>Assumptions!$C$3*Assumptions!$C$17</f>
        <v>85</v>
      </c>
      <c r="C4" s="14">
        <f>$B$2*Assumptions!$C$16</f>
        <v>212500</v>
      </c>
      <c r="D4" s="14">
        <f>$C$2*Assumptions!$C$21</f>
        <v>17000</v>
      </c>
    </row>
    <row r="5" spans="1:4" x14ac:dyDescent="0.2">
      <c r="A5" s="4" t="str">
        <f t="shared" si="0"/>
        <v>Month 34</v>
      </c>
      <c r="B5" s="4">
        <f>Assumptions!$C$3*Assumptions!$C$17</f>
        <v>85</v>
      </c>
      <c r="C5" s="14">
        <f>$B$2*Assumptions!$C$16</f>
        <v>212500</v>
      </c>
      <c r="D5" s="14">
        <f>$C$2*Assumptions!$C$21</f>
        <v>17000</v>
      </c>
    </row>
    <row r="6" spans="1:4" x14ac:dyDescent="0.2">
      <c r="A6" s="4" t="str">
        <f t="shared" si="0"/>
        <v>Month 35</v>
      </c>
      <c r="B6" s="4">
        <f>Assumptions!$C$3*Assumptions!$C$17</f>
        <v>85</v>
      </c>
      <c r="C6" s="14">
        <f>$B$2*Assumptions!$C$16</f>
        <v>212500</v>
      </c>
      <c r="D6" s="14">
        <f>$C$2*Assumptions!$C$21</f>
        <v>17000</v>
      </c>
    </row>
    <row r="7" spans="1:4" x14ac:dyDescent="0.2">
      <c r="A7" s="4" t="str">
        <f t="shared" si="0"/>
        <v>Month 36</v>
      </c>
      <c r="B7" s="4">
        <f>Assumptions!$C$3*Assumptions!$C$17</f>
        <v>85</v>
      </c>
      <c r="C7" s="14">
        <f>$B$2*Assumptions!$C$16</f>
        <v>212500</v>
      </c>
      <c r="D7" s="14">
        <f>$C$2*Assumptions!$C$21</f>
        <v>17000</v>
      </c>
    </row>
    <row r="8" spans="1:4" x14ac:dyDescent="0.2">
      <c r="A8" s="4" t="str">
        <f t="shared" si="0"/>
        <v>Month 37</v>
      </c>
      <c r="B8" s="4">
        <f>Assumptions!$C$3*Assumptions!$C$17</f>
        <v>85</v>
      </c>
      <c r="C8" s="14">
        <f>$B$2*Assumptions!$C$16</f>
        <v>212500</v>
      </c>
      <c r="D8" s="14">
        <f>$C$2*Assumptions!$C$21</f>
        <v>17000</v>
      </c>
    </row>
    <row r="9" spans="1:4" x14ac:dyDescent="0.2">
      <c r="A9" s="4" t="str">
        <f t="shared" si="0"/>
        <v>Month 38</v>
      </c>
      <c r="B9" s="4">
        <f>Assumptions!$C$3*Assumptions!$C$17</f>
        <v>85</v>
      </c>
      <c r="C9" s="14">
        <f>$B$2*Assumptions!$C$16</f>
        <v>212500</v>
      </c>
      <c r="D9" s="14">
        <f>$C$2*Assumptions!$C$21</f>
        <v>17000</v>
      </c>
    </row>
    <row r="10" spans="1:4" x14ac:dyDescent="0.2">
      <c r="A10" s="4" t="str">
        <f t="shared" si="0"/>
        <v>Month 39</v>
      </c>
      <c r="B10" s="4">
        <f>Assumptions!$C$3*Assumptions!$C$17</f>
        <v>85</v>
      </c>
      <c r="C10" s="14">
        <f>$B$2*Assumptions!$C$16</f>
        <v>212500</v>
      </c>
      <c r="D10" s="14">
        <f>$C$2*Assumptions!$C$21</f>
        <v>17000</v>
      </c>
    </row>
    <row r="11" spans="1:4" x14ac:dyDescent="0.2">
      <c r="A11" s="4" t="str">
        <f t="shared" si="0"/>
        <v>Month 40</v>
      </c>
      <c r="B11" s="4">
        <f>Assumptions!$C$3*Assumptions!$C$17</f>
        <v>85</v>
      </c>
      <c r="C11" s="14">
        <f>$B$2*Assumptions!$C$16</f>
        <v>212500</v>
      </c>
      <c r="D11" s="14">
        <f>$C$2*Assumptions!$C$21</f>
        <v>17000</v>
      </c>
    </row>
    <row r="12" spans="1:4" x14ac:dyDescent="0.2">
      <c r="A12" s="4" t="str">
        <f t="shared" si="0"/>
        <v>Month 41</v>
      </c>
      <c r="B12" s="4">
        <f>Assumptions!$C$3*Assumptions!$C$17</f>
        <v>85</v>
      </c>
      <c r="C12" s="14">
        <f>$B$2*Assumptions!$C$16</f>
        <v>212500</v>
      </c>
      <c r="D12" s="14">
        <f>$C$2*Assumptions!$C$21</f>
        <v>17000</v>
      </c>
    </row>
    <row r="13" spans="1:4" x14ac:dyDescent="0.2">
      <c r="A13" s="4" t="str">
        <f t="shared" si="0"/>
        <v>Month 42</v>
      </c>
      <c r="B13" s="4">
        <f>Assumptions!$C$3*Assumptions!$C$17</f>
        <v>85</v>
      </c>
      <c r="C13" s="14">
        <f>$B$2*Assumptions!$C$16</f>
        <v>212500</v>
      </c>
      <c r="D13" s="14">
        <f>$C$2*Assumptions!$C$21</f>
        <v>17000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80E5-9A76-294F-9EB2-D6753F6969BC}">
  <dimension ref="A1:J115"/>
  <sheetViews>
    <sheetView workbookViewId="0">
      <selection activeCell="C2" sqref="C2"/>
    </sheetView>
  </sheetViews>
  <sheetFormatPr baseColWidth="10" defaultRowHeight="16" x14ac:dyDescent="0.2"/>
  <cols>
    <col min="1" max="1" width="10.83203125" style="5"/>
    <col min="2" max="2" width="23.83203125" style="5" customWidth="1"/>
    <col min="3" max="3" width="20.5" style="5" customWidth="1"/>
    <col min="4" max="4" width="16.33203125" style="5" customWidth="1"/>
    <col min="5" max="5" width="24" style="5" customWidth="1"/>
    <col min="9" max="9" width="20" customWidth="1"/>
    <col min="10" max="10" width="16" customWidth="1"/>
  </cols>
  <sheetData>
    <row r="1" spans="1:10" x14ac:dyDescent="0.2">
      <c r="A1" s="11" t="s">
        <v>61</v>
      </c>
      <c r="B1" s="11" t="s">
        <v>75</v>
      </c>
      <c r="C1" s="11" t="s">
        <v>77</v>
      </c>
      <c r="D1" s="11" t="s">
        <v>71</v>
      </c>
      <c r="E1" s="11" t="s">
        <v>76</v>
      </c>
    </row>
    <row r="2" spans="1:10" x14ac:dyDescent="0.2">
      <c r="A2" s="4" t="str">
        <f>"Month "&amp;ROW()-1</f>
        <v>Month 1</v>
      </c>
      <c r="B2" s="12">
        <f>$J$3/30</f>
        <v>697666.66666666663</v>
      </c>
      <c r="C2" s="12">
        <f>$B$2*Assumptions!$C$24/12</f>
        <v>3488.3333333333326</v>
      </c>
      <c r="D2" s="17">
        <v>0</v>
      </c>
      <c r="E2" s="12">
        <f>$J$4/30</f>
        <v>299000</v>
      </c>
      <c r="I2" s="15" t="s">
        <v>73</v>
      </c>
      <c r="J2" s="12">
        <f>Assumptions!C8+Assumptions!C10+Assumptions!C11+Assumptions!C12</f>
        <v>29900000</v>
      </c>
    </row>
    <row r="3" spans="1:10" x14ac:dyDescent="0.2">
      <c r="A3" s="4" t="str">
        <f t="shared" ref="A3:A66" si="0">"Month "&amp;ROW()-1</f>
        <v>Month 2</v>
      </c>
      <c r="B3" s="12">
        <f t="shared" ref="B3:B31" si="1">$J$3/30</f>
        <v>697666.66666666663</v>
      </c>
      <c r="C3" s="12">
        <f>$B$2*Assumptions!$C$24/12</f>
        <v>3488.3333333333326</v>
      </c>
      <c r="D3" s="17">
        <v>0</v>
      </c>
      <c r="E3" s="12">
        <f t="shared" ref="E3:E31" si="2">$J$4/30</f>
        <v>299000</v>
      </c>
      <c r="I3" s="15" t="s">
        <v>72</v>
      </c>
      <c r="J3" s="12">
        <f>J2*Assumptions!C22</f>
        <v>20930000</v>
      </c>
    </row>
    <row r="4" spans="1:10" x14ac:dyDescent="0.2">
      <c r="A4" s="4" t="str">
        <f t="shared" si="0"/>
        <v>Month 3</v>
      </c>
      <c r="B4" s="12">
        <f t="shared" si="1"/>
        <v>697666.66666666663</v>
      </c>
      <c r="C4" s="12">
        <f>$B$2*Assumptions!$C$24/12</f>
        <v>3488.3333333333326</v>
      </c>
      <c r="D4" s="17">
        <v>0</v>
      </c>
      <c r="E4" s="12">
        <f t="shared" si="2"/>
        <v>299000</v>
      </c>
      <c r="I4" s="15" t="s">
        <v>74</v>
      </c>
      <c r="J4" s="12">
        <f>J2*Assumptions!C23</f>
        <v>8970000</v>
      </c>
    </row>
    <row r="5" spans="1:10" x14ac:dyDescent="0.2">
      <c r="A5" s="4" t="str">
        <f t="shared" si="0"/>
        <v>Month 4</v>
      </c>
      <c r="B5" s="12">
        <f t="shared" si="1"/>
        <v>697666.66666666663</v>
      </c>
      <c r="C5" s="12">
        <f>$B$2*Assumptions!$C$24/12</f>
        <v>3488.3333333333326</v>
      </c>
      <c r="D5" s="17">
        <v>0</v>
      </c>
      <c r="E5" s="12">
        <f t="shared" si="2"/>
        <v>299000</v>
      </c>
    </row>
    <row r="6" spans="1:10" x14ac:dyDescent="0.2">
      <c r="A6" s="4" t="str">
        <f t="shared" si="0"/>
        <v>Month 5</v>
      </c>
      <c r="B6" s="12">
        <f t="shared" si="1"/>
        <v>697666.66666666663</v>
      </c>
      <c r="C6" s="12">
        <f>$B$2*Assumptions!$C$24/12</f>
        <v>3488.3333333333326</v>
      </c>
      <c r="D6" s="17">
        <v>0</v>
      </c>
      <c r="E6" s="12">
        <f t="shared" si="2"/>
        <v>299000</v>
      </c>
    </row>
    <row r="7" spans="1:10" x14ac:dyDescent="0.2">
      <c r="A7" s="4" t="str">
        <f t="shared" si="0"/>
        <v>Month 6</v>
      </c>
      <c r="B7" s="12">
        <f t="shared" si="1"/>
        <v>697666.66666666663</v>
      </c>
      <c r="C7" s="12">
        <f>$B$2*Assumptions!$C$24/12</f>
        <v>3488.3333333333326</v>
      </c>
      <c r="D7" s="17">
        <v>0</v>
      </c>
      <c r="E7" s="12">
        <f t="shared" si="2"/>
        <v>299000</v>
      </c>
    </row>
    <row r="8" spans="1:10" x14ac:dyDescent="0.2">
      <c r="A8" s="4" t="str">
        <f t="shared" si="0"/>
        <v>Month 7</v>
      </c>
      <c r="B8" s="12">
        <f t="shared" si="1"/>
        <v>697666.66666666663</v>
      </c>
      <c r="C8" s="12">
        <f>$B$2*Assumptions!$C$24/12</f>
        <v>3488.3333333333326</v>
      </c>
      <c r="D8" s="17">
        <v>0</v>
      </c>
      <c r="E8" s="12">
        <f t="shared" si="2"/>
        <v>299000</v>
      </c>
    </row>
    <row r="9" spans="1:10" x14ac:dyDescent="0.2">
      <c r="A9" s="4" t="str">
        <f t="shared" si="0"/>
        <v>Month 8</v>
      </c>
      <c r="B9" s="12">
        <f t="shared" si="1"/>
        <v>697666.66666666663</v>
      </c>
      <c r="C9" s="12">
        <f>$B$2*Assumptions!$C$24/12</f>
        <v>3488.3333333333326</v>
      </c>
      <c r="D9" s="17">
        <v>0</v>
      </c>
      <c r="E9" s="12">
        <f t="shared" si="2"/>
        <v>299000</v>
      </c>
    </row>
    <row r="10" spans="1:10" x14ac:dyDescent="0.2">
      <c r="A10" s="4" t="str">
        <f t="shared" si="0"/>
        <v>Month 9</v>
      </c>
      <c r="B10" s="12">
        <f t="shared" si="1"/>
        <v>697666.66666666663</v>
      </c>
      <c r="C10" s="12">
        <f>$B$2*Assumptions!$C$24/12</f>
        <v>3488.3333333333326</v>
      </c>
      <c r="D10" s="17">
        <v>0</v>
      </c>
      <c r="E10" s="12">
        <f t="shared" si="2"/>
        <v>299000</v>
      </c>
    </row>
    <row r="11" spans="1:10" x14ac:dyDescent="0.2">
      <c r="A11" s="4" t="str">
        <f t="shared" si="0"/>
        <v>Month 10</v>
      </c>
      <c r="B11" s="12">
        <f t="shared" si="1"/>
        <v>697666.66666666663</v>
      </c>
      <c r="C11" s="12">
        <f>$B$2*Assumptions!$C$24/12</f>
        <v>3488.3333333333326</v>
      </c>
      <c r="D11" s="17">
        <v>0</v>
      </c>
      <c r="E11" s="12">
        <f t="shared" si="2"/>
        <v>299000</v>
      </c>
    </row>
    <row r="12" spans="1:10" x14ac:dyDescent="0.2">
      <c r="A12" s="4" t="str">
        <f t="shared" si="0"/>
        <v>Month 11</v>
      </c>
      <c r="B12" s="12">
        <f t="shared" si="1"/>
        <v>697666.66666666663</v>
      </c>
      <c r="C12" s="12">
        <f>$B$2*Assumptions!$C$24/12</f>
        <v>3488.3333333333326</v>
      </c>
      <c r="D12" s="17">
        <v>0</v>
      </c>
      <c r="E12" s="12">
        <f t="shared" si="2"/>
        <v>299000</v>
      </c>
    </row>
    <row r="13" spans="1:10" x14ac:dyDescent="0.2">
      <c r="A13" s="4" t="str">
        <f t="shared" si="0"/>
        <v>Month 12</v>
      </c>
      <c r="B13" s="12">
        <f t="shared" si="1"/>
        <v>697666.66666666663</v>
      </c>
      <c r="C13" s="12">
        <f>$B$2*Assumptions!$C$24/12</f>
        <v>3488.3333333333326</v>
      </c>
      <c r="D13" s="17">
        <v>0</v>
      </c>
      <c r="E13" s="12">
        <f t="shared" si="2"/>
        <v>299000</v>
      </c>
    </row>
    <row r="14" spans="1:10" x14ac:dyDescent="0.2">
      <c r="A14" s="4" t="str">
        <f t="shared" si="0"/>
        <v>Month 13</v>
      </c>
      <c r="B14" s="12">
        <f t="shared" si="1"/>
        <v>697666.66666666663</v>
      </c>
      <c r="C14" s="12">
        <f>$B$2*Assumptions!$C$24/12</f>
        <v>3488.3333333333326</v>
      </c>
      <c r="D14" s="17">
        <v>0</v>
      </c>
      <c r="E14" s="12">
        <f t="shared" si="2"/>
        <v>299000</v>
      </c>
    </row>
    <row r="15" spans="1:10" x14ac:dyDescent="0.2">
      <c r="A15" s="4" t="str">
        <f t="shared" si="0"/>
        <v>Month 14</v>
      </c>
      <c r="B15" s="12">
        <f t="shared" si="1"/>
        <v>697666.66666666663</v>
      </c>
      <c r="C15" s="12">
        <f>$B$2*Assumptions!$C$24/12</f>
        <v>3488.3333333333326</v>
      </c>
      <c r="D15" s="17">
        <v>0</v>
      </c>
      <c r="E15" s="12">
        <f t="shared" si="2"/>
        <v>299000</v>
      </c>
    </row>
    <row r="16" spans="1:10" x14ac:dyDescent="0.2">
      <c r="A16" s="4" t="str">
        <f t="shared" si="0"/>
        <v>Month 15</v>
      </c>
      <c r="B16" s="12">
        <f t="shared" si="1"/>
        <v>697666.66666666663</v>
      </c>
      <c r="C16" s="12">
        <f>$B$2*Assumptions!$C$24/12</f>
        <v>3488.3333333333326</v>
      </c>
      <c r="D16" s="17">
        <v>0</v>
      </c>
      <c r="E16" s="12">
        <f t="shared" si="2"/>
        <v>299000</v>
      </c>
    </row>
    <row r="17" spans="1:5" x14ac:dyDescent="0.2">
      <c r="A17" s="4" t="str">
        <f t="shared" si="0"/>
        <v>Month 16</v>
      </c>
      <c r="B17" s="12">
        <f t="shared" si="1"/>
        <v>697666.66666666663</v>
      </c>
      <c r="C17" s="12">
        <f>$B$2*Assumptions!$C$24/12</f>
        <v>3488.3333333333326</v>
      </c>
      <c r="D17" s="17">
        <v>0</v>
      </c>
      <c r="E17" s="12">
        <f t="shared" si="2"/>
        <v>299000</v>
      </c>
    </row>
    <row r="18" spans="1:5" x14ac:dyDescent="0.2">
      <c r="A18" s="4" t="str">
        <f t="shared" si="0"/>
        <v>Month 17</v>
      </c>
      <c r="B18" s="12">
        <f t="shared" si="1"/>
        <v>697666.66666666663</v>
      </c>
      <c r="C18" s="12">
        <f>$B$2*Assumptions!$C$24/12</f>
        <v>3488.3333333333326</v>
      </c>
      <c r="D18" s="17">
        <v>0</v>
      </c>
      <c r="E18" s="12">
        <f t="shared" si="2"/>
        <v>299000</v>
      </c>
    </row>
    <row r="19" spans="1:5" x14ac:dyDescent="0.2">
      <c r="A19" s="4" t="str">
        <f t="shared" si="0"/>
        <v>Month 18</v>
      </c>
      <c r="B19" s="12">
        <f t="shared" si="1"/>
        <v>697666.66666666663</v>
      </c>
      <c r="C19" s="12">
        <f>$B$2*Assumptions!$C$24/12</f>
        <v>3488.3333333333326</v>
      </c>
      <c r="D19" s="17">
        <v>0</v>
      </c>
      <c r="E19" s="12">
        <f t="shared" si="2"/>
        <v>299000</v>
      </c>
    </row>
    <row r="20" spans="1:5" x14ac:dyDescent="0.2">
      <c r="A20" s="4" t="str">
        <f t="shared" si="0"/>
        <v>Month 19</v>
      </c>
      <c r="B20" s="12">
        <f t="shared" si="1"/>
        <v>697666.66666666663</v>
      </c>
      <c r="C20" s="12">
        <f>$B$2*Assumptions!$C$24/12</f>
        <v>3488.3333333333326</v>
      </c>
      <c r="D20" s="17">
        <v>0</v>
      </c>
      <c r="E20" s="12">
        <f t="shared" si="2"/>
        <v>299000</v>
      </c>
    </row>
    <row r="21" spans="1:5" x14ac:dyDescent="0.2">
      <c r="A21" s="4" t="str">
        <f t="shared" si="0"/>
        <v>Month 20</v>
      </c>
      <c r="B21" s="12">
        <f t="shared" si="1"/>
        <v>697666.66666666663</v>
      </c>
      <c r="C21" s="12">
        <f>$B$2*Assumptions!$C$24/12</f>
        <v>3488.3333333333326</v>
      </c>
      <c r="D21" s="17">
        <v>0</v>
      </c>
      <c r="E21" s="12">
        <f t="shared" si="2"/>
        <v>299000</v>
      </c>
    </row>
    <row r="22" spans="1:5" x14ac:dyDescent="0.2">
      <c r="A22" s="4" t="str">
        <f t="shared" si="0"/>
        <v>Month 21</v>
      </c>
      <c r="B22" s="12">
        <f t="shared" si="1"/>
        <v>697666.66666666663</v>
      </c>
      <c r="C22" s="12">
        <f>$B$2*Assumptions!$C$24/12</f>
        <v>3488.3333333333326</v>
      </c>
      <c r="D22" s="17">
        <v>0</v>
      </c>
      <c r="E22" s="12">
        <f t="shared" si="2"/>
        <v>299000</v>
      </c>
    </row>
    <row r="23" spans="1:5" x14ac:dyDescent="0.2">
      <c r="A23" s="4" t="str">
        <f t="shared" si="0"/>
        <v>Month 22</v>
      </c>
      <c r="B23" s="12">
        <f t="shared" si="1"/>
        <v>697666.66666666663</v>
      </c>
      <c r="C23" s="12">
        <f>$B$2*Assumptions!$C$24/12</f>
        <v>3488.3333333333326</v>
      </c>
      <c r="D23" s="17">
        <v>0</v>
      </c>
      <c r="E23" s="12">
        <f t="shared" si="2"/>
        <v>299000</v>
      </c>
    </row>
    <row r="24" spans="1:5" x14ac:dyDescent="0.2">
      <c r="A24" s="4" t="str">
        <f t="shared" si="0"/>
        <v>Month 23</v>
      </c>
      <c r="B24" s="12">
        <f t="shared" si="1"/>
        <v>697666.66666666663</v>
      </c>
      <c r="C24" s="12">
        <f>$B$2*Assumptions!$C$24/12</f>
        <v>3488.3333333333326</v>
      </c>
      <c r="D24" s="17">
        <v>0</v>
      </c>
      <c r="E24" s="12">
        <f t="shared" si="2"/>
        <v>299000</v>
      </c>
    </row>
    <row r="25" spans="1:5" x14ac:dyDescent="0.2">
      <c r="A25" s="4" t="str">
        <f t="shared" si="0"/>
        <v>Month 24</v>
      </c>
      <c r="B25" s="12">
        <f t="shared" si="1"/>
        <v>697666.66666666663</v>
      </c>
      <c r="C25" s="12">
        <f>$B$2*Assumptions!$C$24/12</f>
        <v>3488.3333333333326</v>
      </c>
      <c r="D25" s="17">
        <v>0</v>
      </c>
      <c r="E25" s="12">
        <f t="shared" si="2"/>
        <v>299000</v>
      </c>
    </row>
    <row r="26" spans="1:5" x14ac:dyDescent="0.2">
      <c r="A26" s="4" t="str">
        <f t="shared" si="0"/>
        <v>Month 25</v>
      </c>
      <c r="B26" s="12">
        <f t="shared" si="1"/>
        <v>697666.66666666663</v>
      </c>
      <c r="C26" s="12">
        <f>$B$2*Assumptions!$C$24/12</f>
        <v>3488.3333333333326</v>
      </c>
      <c r="D26" s="17">
        <v>0</v>
      </c>
      <c r="E26" s="12">
        <f t="shared" si="2"/>
        <v>299000</v>
      </c>
    </row>
    <row r="27" spans="1:5" x14ac:dyDescent="0.2">
      <c r="A27" s="4" t="str">
        <f t="shared" si="0"/>
        <v>Month 26</v>
      </c>
      <c r="B27" s="12">
        <f t="shared" si="1"/>
        <v>697666.66666666663</v>
      </c>
      <c r="C27" s="12">
        <f>$B$2*Assumptions!$C$24/12</f>
        <v>3488.3333333333326</v>
      </c>
      <c r="D27" s="17">
        <v>0</v>
      </c>
      <c r="E27" s="12">
        <f t="shared" si="2"/>
        <v>299000</v>
      </c>
    </row>
    <row r="28" spans="1:5" x14ac:dyDescent="0.2">
      <c r="A28" s="4" t="str">
        <f t="shared" si="0"/>
        <v>Month 27</v>
      </c>
      <c r="B28" s="12">
        <f t="shared" si="1"/>
        <v>697666.66666666663</v>
      </c>
      <c r="C28" s="12">
        <f>$B$2*Assumptions!$C$24/12</f>
        <v>3488.3333333333326</v>
      </c>
      <c r="D28" s="17">
        <v>0</v>
      </c>
      <c r="E28" s="12">
        <f t="shared" si="2"/>
        <v>299000</v>
      </c>
    </row>
    <row r="29" spans="1:5" x14ac:dyDescent="0.2">
      <c r="A29" s="4" t="str">
        <f t="shared" si="0"/>
        <v>Month 28</v>
      </c>
      <c r="B29" s="12">
        <f t="shared" si="1"/>
        <v>697666.66666666663</v>
      </c>
      <c r="C29" s="12">
        <f>$B$2*Assumptions!$C$24/12</f>
        <v>3488.3333333333326</v>
      </c>
      <c r="D29" s="17">
        <v>0</v>
      </c>
      <c r="E29" s="12">
        <f t="shared" si="2"/>
        <v>299000</v>
      </c>
    </row>
    <row r="30" spans="1:5" x14ac:dyDescent="0.2">
      <c r="A30" s="4" t="str">
        <f t="shared" si="0"/>
        <v>Month 29</v>
      </c>
      <c r="B30" s="12">
        <f t="shared" si="1"/>
        <v>697666.66666666663</v>
      </c>
      <c r="C30" s="12">
        <f>$B$2*Assumptions!$C$24/12</f>
        <v>3488.3333333333326</v>
      </c>
      <c r="D30" s="17">
        <v>0</v>
      </c>
      <c r="E30" s="12">
        <f t="shared" si="2"/>
        <v>299000</v>
      </c>
    </row>
    <row r="31" spans="1:5" x14ac:dyDescent="0.2">
      <c r="A31" s="4" t="str">
        <f t="shared" si="0"/>
        <v>Month 30</v>
      </c>
      <c r="B31" s="12">
        <f t="shared" si="1"/>
        <v>697666.66666666663</v>
      </c>
      <c r="C31" s="12">
        <f>$B$2*Assumptions!$C$24/12</f>
        <v>3488.3333333333326</v>
      </c>
      <c r="D31" s="17">
        <v>0</v>
      </c>
      <c r="E31" s="12">
        <f t="shared" si="2"/>
        <v>299000</v>
      </c>
    </row>
    <row r="32" spans="1:5" x14ac:dyDescent="0.2">
      <c r="A32" s="4" t="str">
        <f t="shared" si="0"/>
        <v>Month 31</v>
      </c>
      <c r="D32" s="18">
        <f>$J$3/Assumptions!$E$25</f>
        <v>249166.66666666666</v>
      </c>
    </row>
    <row r="33" spans="1:4" x14ac:dyDescent="0.2">
      <c r="A33" s="4" t="str">
        <f t="shared" si="0"/>
        <v>Month 32</v>
      </c>
      <c r="D33" s="18">
        <f>$J$3/Assumptions!$E$25</f>
        <v>249166.66666666666</v>
      </c>
    </row>
    <row r="34" spans="1:4" x14ac:dyDescent="0.2">
      <c r="A34" s="4" t="str">
        <f t="shared" si="0"/>
        <v>Month 33</v>
      </c>
      <c r="D34" s="18">
        <f>$J$3/Assumptions!$E$25</f>
        <v>249166.66666666666</v>
      </c>
    </row>
    <row r="35" spans="1:4" x14ac:dyDescent="0.2">
      <c r="A35" s="4" t="str">
        <f t="shared" si="0"/>
        <v>Month 34</v>
      </c>
      <c r="D35" s="18">
        <f>$J$3/Assumptions!$E$25</f>
        <v>249166.66666666666</v>
      </c>
    </row>
    <row r="36" spans="1:4" x14ac:dyDescent="0.2">
      <c r="A36" s="4" t="str">
        <f t="shared" si="0"/>
        <v>Month 35</v>
      </c>
      <c r="D36" s="18">
        <f>$J$3/Assumptions!$E$25</f>
        <v>249166.66666666666</v>
      </c>
    </row>
    <row r="37" spans="1:4" x14ac:dyDescent="0.2">
      <c r="A37" s="4" t="str">
        <f t="shared" si="0"/>
        <v>Month 36</v>
      </c>
      <c r="D37" s="18">
        <f>$J$3/Assumptions!$E$25</f>
        <v>249166.66666666666</v>
      </c>
    </row>
    <row r="38" spans="1:4" x14ac:dyDescent="0.2">
      <c r="A38" s="4" t="str">
        <f t="shared" si="0"/>
        <v>Month 37</v>
      </c>
      <c r="D38" s="18">
        <f>$J$3/Assumptions!$E$25</f>
        <v>249166.66666666666</v>
      </c>
    </row>
    <row r="39" spans="1:4" x14ac:dyDescent="0.2">
      <c r="A39" s="4" t="str">
        <f t="shared" si="0"/>
        <v>Month 38</v>
      </c>
      <c r="D39" s="18">
        <f>$J$3/Assumptions!$E$25</f>
        <v>249166.66666666666</v>
      </c>
    </row>
    <row r="40" spans="1:4" x14ac:dyDescent="0.2">
      <c r="A40" s="4" t="str">
        <f t="shared" si="0"/>
        <v>Month 39</v>
      </c>
      <c r="D40" s="18">
        <f>$J$3/Assumptions!$E$25</f>
        <v>249166.66666666666</v>
      </c>
    </row>
    <row r="41" spans="1:4" x14ac:dyDescent="0.2">
      <c r="A41" s="4" t="str">
        <f t="shared" si="0"/>
        <v>Month 40</v>
      </c>
      <c r="D41" s="18">
        <f>$J$3/Assumptions!$E$25</f>
        <v>249166.66666666666</v>
      </c>
    </row>
    <row r="42" spans="1:4" x14ac:dyDescent="0.2">
      <c r="A42" s="4" t="str">
        <f t="shared" si="0"/>
        <v>Month 41</v>
      </c>
      <c r="D42" s="18">
        <f>$J$3/Assumptions!$E$25</f>
        <v>249166.66666666666</v>
      </c>
    </row>
    <row r="43" spans="1:4" x14ac:dyDescent="0.2">
      <c r="A43" s="4" t="str">
        <f t="shared" si="0"/>
        <v>Month 42</v>
      </c>
      <c r="D43" s="18">
        <f>$J$3/Assumptions!$E$25</f>
        <v>249166.66666666666</v>
      </c>
    </row>
    <row r="44" spans="1:4" x14ac:dyDescent="0.2">
      <c r="A44" s="4" t="str">
        <f t="shared" si="0"/>
        <v>Month 43</v>
      </c>
      <c r="D44" s="18">
        <f>$J$3/Assumptions!$E$25</f>
        <v>249166.66666666666</v>
      </c>
    </row>
    <row r="45" spans="1:4" x14ac:dyDescent="0.2">
      <c r="A45" s="4" t="str">
        <f t="shared" si="0"/>
        <v>Month 44</v>
      </c>
      <c r="D45" s="18">
        <f>$J$3/Assumptions!$E$25</f>
        <v>249166.66666666666</v>
      </c>
    </row>
    <row r="46" spans="1:4" x14ac:dyDescent="0.2">
      <c r="A46" s="4" t="str">
        <f t="shared" si="0"/>
        <v>Month 45</v>
      </c>
      <c r="D46" s="18">
        <f>$J$3/Assumptions!$E$25</f>
        <v>249166.66666666666</v>
      </c>
    </row>
    <row r="47" spans="1:4" x14ac:dyDescent="0.2">
      <c r="A47" s="4" t="str">
        <f t="shared" si="0"/>
        <v>Month 46</v>
      </c>
      <c r="D47" s="18">
        <f>$J$3/Assumptions!$E$25</f>
        <v>249166.66666666666</v>
      </c>
    </row>
    <row r="48" spans="1:4" x14ac:dyDescent="0.2">
      <c r="A48" s="4" t="str">
        <f t="shared" si="0"/>
        <v>Month 47</v>
      </c>
      <c r="D48" s="18">
        <f>$J$3/Assumptions!$E$25</f>
        <v>249166.66666666666</v>
      </c>
    </row>
    <row r="49" spans="1:4" x14ac:dyDescent="0.2">
      <c r="A49" s="4" t="str">
        <f t="shared" si="0"/>
        <v>Month 48</v>
      </c>
      <c r="D49" s="18">
        <f>$J$3/Assumptions!$E$25</f>
        <v>249166.66666666666</v>
      </c>
    </row>
    <row r="50" spans="1:4" x14ac:dyDescent="0.2">
      <c r="A50" s="4" t="str">
        <f t="shared" si="0"/>
        <v>Month 49</v>
      </c>
      <c r="D50" s="18">
        <f>$J$3/Assumptions!$E$25</f>
        <v>249166.66666666666</v>
      </c>
    </row>
    <row r="51" spans="1:4" x14ac:dyDescent="0.2">
      <c r="A51" s="4" t="str">
        <f t="shared" si="0"/>
        <v>Month 50</v>
      </c>
      <c r="D51" s="18">
        <f>$J$3/Assumptions!$E$25</f>
        <v>249166.66666666666</v>
      </c>
    </row>
    <row r="52" spans="1:4" x14ac:dyDescent="0.2">
      <c r="A52" s="4" t="str">
        <f t="shared" si="0"/>
        <v>Month 51</v>
      </c>
      <c r="D52" s="18">
        <f>$J$3/Assumptions!$E$25</f>
        <v>249166.66666666666</v>
      </c>
    </row>
    <row r="53" spans="1:4" x14ac:dyDescent="0.2">
      <c r="A53" s="4" t="str">
        <f t="shared" si="0"/>
        <v>Month 52</v>
      </c>
      <c r="D53" s="18">
        <f>$J$3/Assumptions!$E$25</f>
        <v>249166.66666666666</v>
      </c>
    </row>
    <row r="54" spans="1:4" x14ac:dyDescent="0.2">
      <c r="A54" s="4" t="str">
        <f t="shared" si="0"/>
        <v>Month 53</v>
      </c>
      <c r="D54" s="18">
        <f>$J$3/Assumptions!$E$25</f>
        <v>249166.66666666666</v>
      </c>
    </row>
    <row r="55" spans="1:4" x14ac:dyDescent="0.2">
      <c r="A55" s="4" t="str">
        <f t="shared" si="0"/>
        <v>Month 54</v>
      </c>
      <c r="D55" s="18">
        <f>$J$3/Assumptions!$E$25</f>
        <v>249166.66666666666</v>
      </c>
    </row>
    <row r="56" spans="1:4" x14ac:dyDescent="0.2">
      <c r="A56" s="4" t="str">
        <f t="shared" si="0"/>
        <v>Month 55</v>
      </c>
      <c r="D56" s="18">
        <f>$J$3/Assumptions!$E$25</f>
        <v>249166.66666666666</v>
      </c>
    </row>
    <row r="57" spans="1:4" x14ac:dyDescent="0.2">
      <c r="A57" s="4" t="str">
        <f t="shared" si="0"/>
        <v>Month 56</v>
      </c>
      <c r="D57" s="18">
        <f>$J$3/Assumptions!$E$25</f>
        <v>249166.66666666666</v>
      </c>
    </row>
    <row r="58" spans="1:4" x14ac:dyDescent="0.2">
      <c r="A58" s="4" t="str">
        <f t="shared" si="0"/>
        <v>Month 57</v>
      </c>
      <c r="D58" s="18">
        <f>$J$3/Assumptions!$E$25</f>
        <v>249166.66666666666</v>
      </c>
    </row>
    <row r="59" spans="1:4" x14ac:dyDescent="0.2">
      <c r="A59" s="4" t="str">
        <f t="shared" si="0"/>
        <v>Month 58</v>
      </c>
      <c r="D59" s="18">
        <f>$J$3/Assumptions!$E$25</f>
        <v>249166.66666666666</v>
      </c>
    </row>
    <row r="60" spans="1:4" x14ac:dyDescent="0.2">
      <c r="A60" s="4" t="str">
        <f t="shared" si="0"/>
        <v>Month 59</v>
      </c>
      <c r="D60" s="18">
        <f>$J$3/Assumptions!$E$25</f>
        <v>249166.66666666666</v>
      </c>
    </row>
    <row r="61" spans="1:4" x14ac:dyDescent="0.2">
      <c r="A61" s="4" t="str">
        <f t="shared" si="0"/>
        <v>Month 60</v>
      </c>
      <c r="D61" s="18">
        <f>$J$3/Assumptions!$E$25</f>
        <v>249166.66666666666</v>
      </c>
    </row>
    <row r="62" spans="1:4" x14ac:dyDescent="0.2">
      <c r="A62" s="4" t="str">
        <f t="shared" si="0"/>
        <v>Month 61</v>
      </c>
      <c r="D62" s="18">
        <f>$J$3/Assumptions!$E$25</f>
        <v>249166.66666666666</v>
      </c>
    </row>
    <row r="63" spans="1:4" x14ac:dyDescent="0.2">
      <c r="A63" s="4" t="str">
        <f t="shared" si="0"/>
        <v>Month 62</v>
      </c>
      <c r="D63" s="18">
        <f>$J$3/Assumptions!$E$25</f>
        <v>249166.66666666666</v>
      </c>
    </row>
    <row r="64" spans="1:4" x14ac:dyDescent="0.2">
      <c r="A64" s="4" t="str">
        <f t="shared" si="0"/>
        <v>Month 63</v>
      </c>
      <c r="D64" s="18">
        <f>$J$3/Assumptions!$E$25</f>
        <v>249166.66666666666</v>
      </c>
    </row>
    <row r="65" spans="1:4" x14ac:dyDescent="0.2">
      <c r="A65" s="4" t="str">
        <f t="shared" si="0"/>
        <v>Month 64</v>
      </c>
      <c r="D65" s="18">
        <f>$J$3/Assumptions!$E$25</f>
        <v>249166.66666666666</v>
      </c>
    </row>
    <row r="66" spans="1:4" x14ac:dyDescent="0.2">
      <c r="A66" s="4" t="str">
        <f t="shared" si="0"/>
        <v>Month 65</v>
      </c>
      <c r="D66" s="18">
        <f>$J$3/Assumptions!$E$25</f>
        <v>249166.66666666666</v>
      </c>
    </row>
    <row r="67" spans="1:4" x14ac:dyDescent="0.2">
      <c r="A67" s="4" t="str">
        <f t="shared" ref="A67:A115" si="3">"Month "&amp;ROW()-1</f>
        <v>Month 66</v>
      </c>
      <c r="D67" s="18">
        <f>$J$3/Assumptions!$E$25</f>
        <v>249166.66666666666</v>
      </c>
    </row>
    <row r="68" spans="1:4" x14ac:dyDescent="0.2">
      <c r="A68" s="4" t="str">
        <f t="shared" si="3"/>
        <v>Month 67</v>
      </c>
      <c r="D68" s="18">
        <f>$J$3/Assumptions!$E$25</f>
        <v>249166.66666666666</v>
      </c>
    </row>
    <row r="69" spans="1:4" x14ac:dyDescent="0.2">
      <c r="A69" s="4" t="str">
        <f t="shared" si="3"/>
        <v>Month 68</v>
      </c>
      <c r="D69" s="18">
        <f>$J$3/Assumptions!$E$25</f>
        <v>249166.66666666666</v>
      </c>
    </row>
    <row r="70" spans="1:4" x14ac:dyDescent="0.2">
      <c r="A70" s="4" t="str">
        <f t="shared" si="3"/>
        <v>Month 69</v>
      </c>
      <c r="D70" s="18">
        <f>$J$3/Assumptions!$E$25</f>
        <v>249166.66666666666</v>
      </c>
    </row>
    <row r="71" spans="1:4" x14ac:dyDescent="0.2">
      <c r="A71" s="4" t="str">
        <f t="shared" si="3"/>
        <v>Month 70</v>
      </c>
      <c r="D71" s="18">
        <f>$J$3/Assumptions!$E$25</f>
        <v>249166.66666666666</v>
      </c>
    </row>
    <row r="72" spans="1:4" x14ac:dyDescent="0.2">
      <c r="A72" s="4" t="str">
        <f t="shared" si="3"/>
        <v>Month 71</v>
      </c>
      <c r="D72" s="18">
        <f>$J$3/Assumptions!$E$25</f>
        <v>249166.66666666666</v>
      </c>
    </row>
    <row r="73" spans="1:4" x14ac:dyDescent="0.2">
      <c r="A73" s="4" t="str">
        <f t="shared" si="3"/>
        <v>Month 72</v>
      </c>
      <c r="D73" s="18">
        <f>$J$3/Assumptions!$E$25</f>
        <v>249166.66666666666</v>
      </c>
    </row>
    <row r="74" spans="1:4" x14ac:dyDescent="0.2">
      <c r="A74" s="4" t="str">
        <f t="shared" si="3"/>
        <v>Month 73</v>
      </c>
      <c r="D74" s="18">
        <f>$J$3/Assumptions!$E$25</f>
        <v>249166.66666666666</v>
      </c>
    </row>
    <row r="75" spans="1:4" x14ac:dyDescent="0.2">
      <c r="A75" s="4" t="str">
        <f t="shared" si="3"/>
        <v>Month 74</v>
      </c>
      <c r="D75" s="18">
        <f>$J$3/Assumptions!$E$25</f>
        <v>249166.66666666666</v>
      </c>
    </row>
    <row r="76" spans="1:4" x14ac:dyDescent="0.2">
      <c r="A76" s="4" t="str">
        <f t="shared" si="3"/>
        <v>Month 75</v>
      </c>
      <c r="D76" s="18">
        <f>$J$3/Assumptions!$E$25</f>
        <v>249166.66666666666</v>
      </c>
    </row>
    <row r="77" spans="1:4" x14ac:dyDescent="0.2">
      <c r="A77" s="4" t="str">
        <f t="shared" si="3"/>
        <v>Month 76</v>
      </c>
      <c r="D77" s="18">
        <f>$J$3/Assumptions!$E$25</f>
        <v>249166.66666666666</v>
      </c>
    </row>
    <row r="78" spans="1:4" x14ac:dyDescent="0.2">
      <c r="A78" s="4" t="str">
        <f t="shared" si="3"/>
        <v>Month 77</v>
      </c>
      <c r="D78" s="18">
        <f>$J$3/Assumptions!$E$25</f>
        <v>249166.66666666666</v>
      </c>
    </row>
    <row r="79" spans="1:4" x14ac:dyDescent="0.2">
      <c r="A79" s="4" t="str">
        <f t="shared" si="3"/>
        <v>Month 78</v>
      </c>
      <c r="D79" s="18">
        <f>$J$3/Assumptions!$E$25</f>
        <v>249166.66666666666</v>
      </c>
    </row>
    <row r="80" spans="1:4" x14ac:dyDescent="0.2">
      <c r="A80" s="4" t="str">
        <f t="shared" si="3"/>
        <v>Month 79</v>
      </c>
      <c r="D80" s="18">
        <f>$J$3/Assumptions!$E$25</f>
        <v>249166.66666666666</v>
      </c>
    </row>
    <row r="81" spans="1:4" x14ac:dyDescent="0.2">
      <c r="A81" s="4" t="str">
        <f t="shared" si="3"/>
        <v>Month 80</v>
      </c>
      <c r="D81" s="18">
        <f>$J$3/Assumptions!$E$25</f>
        <v>249166.66666666666</v>
      </c>
    </row>
    <row r="82" spans="1:4" x14ac:dyDescent="0.2">
      <c r="A82" s="4" t="str">
        <f t="shared" si="3"/>
        <v>Month 81</v>
      </c>
      <c r="D82" s="18">
        <f>$J$3/Assumptions!$E$25</f>
        <v>249166.66666666666</v>
      </c>
    </row>
    <row r="83" spans="1:4" x14ac:dyDescent="0.2">
      <c r="A83" s="4" t="str">
        <f t="shared" si="3"/>
        <v>Month 82</v>
      </c>
      <c r="D83" s="18">
        <f>$J$3/Assumptions!$E$25</f>
        <v>249166.66666666666</v>
      </c>
    </row>
    <row r="84" spans="1:4" x14ac:dyDescent="0.2">
      <c r="A84" s="4" t="str">
        <f t="shared" si="3"/>
        <v>Month 83</v>
      </c>
      <c r="D84" s="18">
        <f>$J$3/Assumptions!$E$25</f>
        <v>249166.66666666666</v>
      </c>
    </row>
    <row r="85" spans="1:4" x14ac:dyDescent="0.2">
      <c r="A85" s="4" t="str">
        <f t="shared" si="3"/>
        <v>Month 84</v>
      </c>
      <c r="D85" s="18">
        <f>$J$3/Assumptions!$E$25</f>
        <v>249166.66666666666</v>
      </c>
    </row>
    <row r="86" spans="1:4" x14ac:dyDescent="0.2">
      <c r="A86" s="4" t="str">
        <f t="shared" si="3"/>
        <v>Month 85</v>
      </c>
      <c r="D86" s="18">
        <f>$J$3/Assumptions!$E$25</f>
        <v>249166.66666666666</v>
      </c>
    </row>
    <row r="87" spans="1:4" x14ac:dyDescent="0.2">
      <c r="A87" s="4" t="str">
        <f t="shared" si="3"/>
        <v>Month 86</v>
      </c>
      <c r="D87" s="18">
        <f>$J$3/Assumptions!$E$25</f>
        <v>249166.66666666666</v>
      </c>
    </row>
    <row r="88" spans="1:4" x14ac:dyDescent="0.2">
      <c r="A88" s="4" t="str">
        <f t="shared" si="3"/>
        <v>Month 87</v>
      </c>
      <c r="D88" s="18">
        <f>$J$3/Assumptions!$E$25</f>
        <v>249166.66666666666</v>
      </c>
    </row>
    <row r="89" spans="1:4" x14ac:dyDescent="0.2">
      <c r="A89" s="4" t="str">
        <f t="shared" si="3"/>
        <v>Month 88</v>
      </c>
      <c r="D89" s="18">
        <f>$J$3/Assumptions!$E$25</f>
        <v>249166.66666666666</v>
      </c>
    </row>
    <row r="90" spans="1:4" x14ac:dyDescent="0.2">
      <c r="A90" s="4" t="str">
        <f t="shared" si="3"/>
        <v>Month 89</v>
      </c>
      <c r="D90" s="18">
        <f>$J$3/Assumptions!$E$25</f>
        <v>249166.66666666666</v>
      </c>
    </row>
    <row r="91" spans="1:4" x14ac:dyDescent="0.2">
      <c r="A91" s="4" t="str">
        <f t="shared" si="3"/>
        <v>Month 90</v>
      </c>
      <c r="D91" s="18">
        <f>$J$3/Assumptions!$E$25</f>
        <v>249166.66666666666</v>
      </c>
    </row>
    <row r="92" spans="1:4" x14ac:dyDescent="0.2">
      <c r="A92" s="4" t="str">
        <f t="shared" si="3"/>
        <v>Month 91</v>
      </c>
      <c r="D92" s="18">
        <f>$J$3/Assumptions!$E$25</f>
        <v>249166.66666666666</v>
      </c>
    </row>
    <row r="93" spans="1:4" x14ac:dyDescent="0.2">
      <c r="A93" s="4" t="str">
        <f t="shared" si="3"/>
        <v>Month 92</v>
      </c>
      <c r="D93" s="18">
        <f>$J$3/Assumptions!$E$25</f>
        <v>249166.66666666666</v>
      </c>
    </row>
    <row r="94" spans="1:4" x14ac:dyDescent="0.2">
      <c r="A94" s="4" t="str">
        <f t="shared" si="3"/>
        <v>Month 93</v>
      </c>
      <c r="D94" s="18">
        <f>$J$3/Assumptions!$E$25</f>
        <v>249166.66666666666</v>
      </c>
    </row>
    <row r="95" spans="1:4" x14ac:dyDescent="0.2">
      <c r="A95" s="4" t="str">
        <f t="shared" si="3"/>
        <v>Month 94</v>
      </c>
      <c r="D95" s="18">
        <f>$J$3/Assumptions!$E$25</f>
        <v>249166.66666666666</v>
      </c>
    </row>
    <row r="96" spans="1:4" x14ac:dyDescent="0.2">
      <c r="A96" s="4" t="str">
        <f t="shared" si="3"/>
        <v>Month 95</v>
      </c>
      <c r="D96" s="18">
        <f>$J$3/Assumptions!$E$25</f>
        <v>249166.66666666666</v>
      </c>
    </row>
    <row r="97" spans="1:4" x14ac:dyDescent="0.2">
      <c r="A97" s="4" t="str">
        <f t="shared" si="3"/>
        <v>Month 96</v>
      </c>
      <c r="D97" s="18">
        <f>$J$3/Assumptions!$E$25</f>
        <v>249166.66666666666</v>
      </c>
    </row>
    <row r="98" spans="1:4" x14ac:dyDescent="0.2">
      <c r="A98" s="4" t="str">
        <f t="shared" si="3"/>
        <v>Month 97</v>
      </c>
      <c r="D98" s="18">
        <f>$J$3/Assumptions!$E$25</f>
        <v>249166.66666666666</v>
      </c>
    </row>
    <row r="99" spans="1:4" x14ac:dyDescent="0.2">
      <c r="A99" s="4" t="str">
        <f t="shared" si="3"/>
        <v>Month 98</v>
      </c>
      <c r="D99" s="18">
        <f>$J$3/Assumptions!$E$25</f>
        <v>249166.66666666666</v>
      </c>
    </row>
    <row r="100" spans="1:4" x14ac:dyDescent="0.2">
      <c r="A100" s="4" t="str">
        <f t="shared" si="3"/>
        <v>Month 99</v>
      </c>
      <c r="D100" s="18">
        <f>$J$3/Assumptions!$E$25</f>
        <v>249166.66666666666</v>
      </c>
    </row>
    <row r="101" spans="1:4" x14ac:dyDescent="0.2">
      <c r="A101" s="4" t="str">
        <f t="shared" si="3"/>
        <v>Month 100</v>
      </c>
      <c r="D101" s="18">
        <f>$J$3/Assumptions!$E$25</f>
        <v>249166.66666666666</v>
      </c>
    </row>
    <row r="102" spans="1:4" x14ac:dyDescent="0.2">
      <c r="A102" s="4" t="str">
        <f t="shared" si="3"/>
        <v>Month 101</v>
      </c>
      <c r="D102" s="18">
        <f>$J$3/Assumptions!$E$25</f>
        <v>249166.66666666666</v>
      </c>
    </row>
    <row r="103" spans="1:4" x14ac:dyDescent="0.2">
      <c r="A103" s="4" t="str">
        <f t="shared" si="3"/>
        <v>Month 102</v>
      </c>
      <c r="D103" s="18">
        <f>$J$3/Assumptions!$E$25</f>
        <v>249166.66666666666</v>
      </c>
    </row>
    <row r="104" spans="1:4" x14ac:dyDescent="0.2">
      <c r="A104" s="4" t="str">
        <f t="shared" si="3"/>
        <v>Month 103</v>
      </c>
      <c r="D104" s="18">
        <f>$J$3/Assumptions!$E$25</f>
        <v>249166.66666666666</v>
      </c>
    </row>
    <row r="105" spans="1:4" x14ac:dyDescent="0.2">
      <c r="A105" s="4" t="str">
        <f t="shared" si="3"/>
        <v>Month 104</v>
      </c>
      <c r="D105" s="18">
        <f>$J$3/Assumptions!$E$25</f>
        <v>249166.66666666666</v>
      </c>
    </row>
    <row r="106" spans="1:4" x14ac:dyDescent="0.2">
      <c r="A106" s="4" t="str">
        <f t="shared" si="3"/>
        <v>Month 105</v>
      </c>
      <c r="D106" s="18">
        <f>$J$3/Assumptions!$E$25</f>
        <v>249166.66666666666</v>
      </c>
    </row>
    <row r="107" spans="1:4" x14ac:dyDescent="0.2">
      <c r="A107" s="4" t="str">
        <f t="shared" si="3"/>
        <v>Month 106</v>
      </c>
      <c r="D107" s="18">
        <f>$J$3/Assumptions!$E$25</f>
        <v>249166.66666666666</v>
      </c>
    </row>
    <row r="108" spans="1:4" x14ac:dyDescent="0.2">
      <c r="A108" s="4" t="str">
        <f t="shared" si="3"/>
        <v>Month 107</v>
      </c>
      <c r="D108" s="18">
        <f>$J$3/Assumptions!$E$25</f>
        <v>249166.66666666666</v>
      </c>
    </row>
    <row r="109" spans="1:4" x14ac:dyDescent="0.2">
      <c r="A109" s="4" t="str">
        <f t="shared" si="3"/>
        <v>Month 108</v>
      </c>
      <c r="D109" s="18">
        <f>$J$3/Assumptions!$E$25</f>
        <v>249166.66666666666</v>
      </c>
    </row>
    <row r="110" spans="1:4" x14ac:dyDescent="0.2">
      <c r="A110" s="4" t="str">
        <f t="shared" si="3"/>
        <v>Month 109</v>
      </c>
      <c r="D110" s="18">
        <f>$J$3/Assumptions!$E$25</f>
        <v>249166.66666666666</v>
      </c>
    </row>
    <row r="111" spans="1:4" x14ac:dyDescent="0.2">
      <c r="A111" s="4" t="str">
        <f t="shared" si="3"/>
        <v>Month 110</v>
      </c>
      <c r="D111" s="18">
        <f>$J$3/Assumptions!$E$25</f>
        <v>249166.66666666666</v>
      </c>
    </row>
    <row r="112" spans="1:4" x14ac:dyDescent="0.2">
      <c r="A112" s="4" t="str">
        <f t="shared" si="3"/>
        <v>Month 111</v>
      </c>
      <c r="D112" s="18">
        <f>$J$3/Assumptions!$E$25</f>
        <v>249166.66666666666</v>
      </c>
    </row>
    <row r="113" spans="1:4" x14ac:dyDescent="0.2">
      <c r="A113" s="4" t="str">
        <f t="shared" si="3"/>
        <v>Month 112</v>
      </c>
      <c r="D113" s="18">
        <f>$J$3/Assumptions!$E$25</f>
        <v>249166.66666666666</v>
      </c>
    </row>
    <row r="114" spans="1:4" x14ac:dyDescent="0.2">
      <c r="A114" s="4" t="str">
        <f t="shared" si="3"/>
        <v>Month 113</v>
      </c>
      <c r="D114" s="18">
        <f>$J$3/Assumptions!$E$25</f>
        <v>249166.66666666666</v>
      </c>
    </row>
    <row r="115" spans="1:4" x14ac:dyDescent="0.2">
      <c r="A115" s="4" t="str">
        <f t="shared" si="3"/>
        <v>Month 114</v>
      </c>
      <c r="D115" s="18">
        <f>$J$3/Assumptions!$E$25</f>
        <v>249166.66666666666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2FC6-D254-7E47-AF00-A9ED01AF3B24}">
  <dimension ref="A1:F85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2" style="23" customWidth="1"/>
    <col min="2" max="2" width="19.33203125" style="23" customWidth="1"/>
    <col min="3" max="3" width="16.5" style="23" customWidth="1"/>
    <col min="4" max="4" width="17.83203125" style="23" customWidth="1"/>
    <col min="5" max="5" width="16.1640625" style="23" customWidth="1"/>
    <col min="6" max="6" width="17" style="23" customWidth="1"/>
    <col min="7" max="16384" width="8.83203125" style="23"/>
  </cols>
  <sheetData>
    <row r="1" spans="1:6" x14ac:dyDescent="0.2">
      <c r="A1" s="24" t="s">
        <v>61</v>
      </c>
      <c r="B1" s="24" t="s">
        <v>172</v>
      </c>
      <c r="C1" s="24" t="s">
        <v>71</v>
      </c>
      <c r="D1" s="24" t="s">
        <v>171</v>
      </c>
      <c r="E1" s="24" t="s">
        <v>170</v>
      </c>
      <c r="F1" s="24" t="s">
        <v>169</v>
      </c>
    </row>
    <row r="2" spans="1:6" x14ac:dyDescent="0.2">
      <c r="A2" s="23" t="s">
        <v>168</v>
      </c>
      <c r="B2" s="23">
        <f>Financing!J3</f>
        <v>20930000</v>
      </c>
      <c r="C2" s="25">
        <f>Financing!D32</f>
        <v>249166.66666666666</v>
      </c>
      <c r="D2" s="23">
        <v>104650</v>
      </c>
      <c r="E2" s="23">
        <v>353817</v>
      </c>
      <c r="F2" s="23">
        <v>20680833</v>
      </c>
    </row>
    <row r="3" spans="1:6" x14ac:dyDescent="0.2">
      <c r="A3" s="23" t="s">
        <v>167</v>
      </c>
      <c r="B3" s="23">
        <v>20680833</v>
      </c>
      <c r="C3" s="25">
        <f>Financing!D33</f>
        <v>249166.66666666666</v>
      </c>
      <c r="D3" s="23">
        <v>103404</v>
      </c>
      <c r="E3" s="23">
        <v>352571</v>
      </c>
      <c r="F3" s="23">
        <v>20431666</v>
      </c>
    </row>
    <row r="4" spans="1:6" x14ac:dyDescent="0.2">
      <c r="A4" s="23" t="s">
        <v>166</v>
      </c>
      <c r="B4" s="23">
        <v>20431666</v>
      </c>
      <c r="C4" s="25">
        <f>Financing!D34</f>
        <v>249166.66666666666</v>
      </c>
      <c r="D4" s="23">
        <v>102158</v>
      </c>
      <c r="E4" s="23">
        <v>351325</v>
      </c>
      <c r="F4" s="23">
        <v>20182499</v>
      </c>
    </row>
    <row r="5" spans="1:6" x14ac:dyDescent="0.2">
      <c r="A5" s="23" t="s">
        <v>165</v>
      </c>
      <c r="B5" s="23">
        <v>20182499</v>
      </c>
      <c r="C5" s="25">
        <f>Financing!D35</f>
        <v>249166.66666666666</v>
      </c>
      <c r="D5" s="23">
        <v>100912</v>
      </c>
      <c r="E5" s="23">
        <v>350079</v>
      </c>
      <c r="F5" s="23">
        <v>19933332</v>
      </c>
    </row>
    <row r="6" spans="1:6" x14ac:dyDescent="0.2">
      <c r="A6" s="23" t="s">
        <v>164</v>
      </c>
      <c r="B6" s="23">
        <v>19933332</v>
      </c>
      <c r="C6" s="25">
        <f>Financing!D36</f>
        <v>249166.66666666666</v>
      </c>
      <c r="D6" s="23">
        <v>99667</v>
      </c>
      <c r="E6" s="23">
        <v>348834</v>
      </c>
      <c r="F6" s="23">
        <v>19684165</v>
      </c>
    </row>
    <row r="7" spans="1:6" x14ac:dyDescent="0.2">
      <c r="A7" s="23" t="s">
        <v>163</v>
      </c>
      <c r="B7" s="23">
        <v>19684165</v>
      </c>
      <c r="C7" s="25">
        <f>Financing!D37</f>
        <v>249166.66666666666</v>
      </c>
      <c r="D7" s="23">
        <v>98421</v>
      </c>
      <c r="E7" s="23">
        <v>347588</v>
      </c>
      <c r="F7" s="23">
        <v>19434998</v>
      </c>
    </row>
    <row r="8" spans="1:6" x14ac:dyDescent="0.2">
      <c r="A8" s="23" t="s">
        <v>162</v>
      </c>
      <c r="B8" s="23">
        <v>19434998</v>
      </c>
      <c r="C8" s="25">
        <f>Financing!D38</f>
        <v>249166.66666666666</v>
      </c>
      <c r="D8" s="23">
        <v>97175</v>
      </c>
      <c r="E8" s="23">
        <v>346342</v>
      </c>
      <c r="F8" s="23">
        <v>19185831</v>
      </c>
    </row>
    <row r="9" spans="1:6" x14ac:dyDescent="0.2">
      <c r="A9" s="23" t="s">
        <v>161</v>
      </c>
      <c r="B9" s="23">
        <v>19185831</v>
      </c>
      <c r="C9" s="25">
        <f>Financing!D39</f>
        <v>249166.66666666666</v>
      </c>
      <c r="D9" s="23">
        <v>95929</v>
      </c>
      <c r="E9" s="23">
        <v>345096</v>
      </c>
      <c r="F9" s="23">
        <v>18936664</v>
      </c>
    </row>
    <row r="10" spans="1:6" x14ac:dyDescent="0.2">
      <c r="A10" s="23" t="s">
        <v>160</v>
      </c>
      <c r="B10" s="23">
        <v>18936664</v>
      </c>
      <c r="C10" s="25">
        <f>Financing!D40</f>
        <v>249166.66666666666</v>
      </c>
      <c r="D10" s="23">
        <v>94683</v>
      </c>
      <c r="E10" s="23">
        <v>343850</v>
      </c>
      <c r="F10" s="23">
        <v>18687497</v>
      </c>
    </row>
    <row r="11" spans="1:6" x14ac:dyDescent="0.2">
      <c r="A11" s="23" t="s">
        <v>159</v>
      </c>
      <c r="B11" s="23">
        <v>18687497</v>
      </c>
      <c r="C11" s="25">
        <f>Financing!D41</f>
        <v>249166.66666666666</v>
      </c>
      <c r="D11" s="23">
        <v>93437</v>
      </c>
      <c r="E11" s="23">
        <v>342604</v>
      </c>
      <c r="F11" s="23">
        <v>18438330</v>
      </c>
    </row>
    <row r="12" spans="1:6" x14ac:dyDescent="0.2">
      <c r="A12" s="23" t="s">
        <v>158</v>
      </c>
      <c r="B12" s="23">
        <v>18438330</v>
      </c>
      <c r="C12" s="25">
        <f>Financing!D42</f>
        <v>249166.66666666666</v>
      </c>
      <c r="D12" s="23">
        <v>92192</v>
      </c>
      <c r="E12" s="23">
        <v>341359</v>
      </c>
      <c r="F12" s="23">
        <v>18189163</v>
      </c>
    </row>
    <row r="13" spans="1:6" x14ac:dyDescent="0.2">
      <c r="A13" s="23" t="s">
        <v>157</v>
      </c>
      <c r="B13" s="23">
        <v>18189163</v>
      </c>
      <c r="C13" s="25">
        <f>Financing!D43</f>
        <v>249166.66666666666</v>
      </c>
      <c r="D13" s="23">
        <v>90946</v>
      </c>
      <c r="E13" s="23">
        <v>340113</v>
      </c>
      <c r="F13" s="23">
        <v>17939996</v>
      </c>
    </row>
    <row r="14" spans="1:6" x14ac:dyDescent="0.2">
      <c r="A14" s="23" t="s">
        <v>156</v>
      </c>
      <c r="B14" s="23">
        <v>17939996</v>
      </c>
      <c r="C14" s="25">
        <f>Financing!D44</f>
        <v>249166.66666666666</v>
      </c>
      <c r="D14" s="23">
        <v>89700</v>
      </c>
      <c r="E14" s="23">
        <v>338867</v>
      </c>
      <c r="F14" s="23">
        <v>17690829</v>
      </c>
    </row>
    <row r="15" spans="1:6" x14ac:dyDescent="0.2">
      <c r="A15" s="23" t="s">
        <v>155</v>
      </c>
      <c r="B15" s="23">
        <v>17690829</v>
      </c>
      <c r="C15" s="25">
        <f>Financing!D45</f>
        <v>249166.66666666666</v>
      </c>
      <c r="D15" s="23">
        <v>88454</v>
      </c>
      <c r="E15" s="23">
        <v>337621</v>
      </c>
      <c r="F15" s="23">
        <v>17441662</v>
      </c>
    </row>
    <row r="16" spans="1:6" x14ac:dyDescent="0.2">
      <c r="A16" s="23" t="s">
        <v>154</v>
      </c>
      <c r="B16" s="23">
        <v>17441662</v>
      </c>
      <c r="C16" s="25">
        <f>Financing!D46</f>
        <v>249166.66666666666</v>
      </c>
      <c r="D16" s="23">
        <v>87208</v>
      </c>
      <c r="E16" s="23">
        <v>336375</v>
      </c>
      <c r="F16" s="23">
        <v>17192495</v>
      </c>
    </row>
    <row r="17" spans="1:6" x14ac:dyDescent="0.2">
      <c r="A17" s="23" t="s">
        <v>153</v>
      </c>
      <c r="B17" s="23">
        <v>17192495</v>
      </c>
      <c r="C17" s="25">
        <f>Financing!D47</f>
        <v>249166.66666666666</v>
      </c>
      <c r="D17" s="23">
        <v>85962</v>
      </c>
      <c r="E17" s="23">
        <v>335129</v>
      </c>
      <c r="F17" s="23">
        <v>16943328</v>
      </c>
    </row>
    <row r="18" spans="1:6" x14ac:dyDescent="0.2">
      <c r="A18" s="23" t="s">
        <v>152</v>
      </c>
      <c r="B18" s="23">
        <v>16943328</v>
      </c>
      <c r="C18" s="25">
        <f>Financing!D48</f>
        <v>249166.66666666666</v>
      </c>
      <c r="D18" s="23">
        <v>84717</v>
      </c>
      <c r="E18" s="23">
        <v>333884</v>
      </c>
      <c r="F18" s="23">
        <v>16694161</v>
      </c>
    </row>
    <row r="19" spans="1:6" x14ac:dyDescent="0.2">
      <c r="A19" s="23" t="s">
        <v>151</v>
      </c>
      <c r="B19" s="23">
        <v>16694161</v>
      </c>
      <c r="C19" s="25">
        <f>Financing!D49</f>
        <v>249166.66666666666</v>
      </c>
      <c r="D19" s="23">
        <v>83471</v>
      </c>
      <c r="E19" s="23">
        <v>332638</v>
      </c>
      <c r="F19" s="23">
        <v>16444994</v>
      </c>
    </row>
    <row r="20" spans="1:6" x14ac:dyDescent="0.2">
      <c r="A20" s="23" t="s">
        <v>150</v>
      </c>
      <c r="B20" s="23">
        <v>16444994</v>
      </c>
      <c r="C20" s="25">
        <f>Financing!D50</f>
        <v>249166.66666666666</v>
      </c>
      <c r="D20" s="23">
        <v>82225</v>
      </c>
      <c r="E20" s="23">
        <v>331392</v>
      </c>
      <c r="F20" s="23">
        <v>16195827</v>
      </c>
    </row>
    <row r="21" spans="1:6" x14ac:dyDescent="0.2">
      <c r="A21" s="23" t="s">
        <v>149</v>
      </c>
      <c r="B21" s="23">
        <v>16195827</v>
      </c>
      <c r="C21" s="25">
        <f>Financing!D51</f>
        <v>249166.66666666666</v>
      </c>
      <c r="D21" s="23">
        <v>80979</v>
      </c>
      <c r="E21" s="23">
        <v>330146</v>
      </c>
      <c r="F21" s="23">
        <v>15946660</v>
      </c>
    </row>
    <row r="22" spans="1:6" x14ac:dyDescent="0.2">
      <c r="A22" s="23" t="s">
        <v>148</v>
      </c>
      <c r="B22" s="23">
        <v>15946660</v>
      </c>
      <c r="C22" s="25">
        <f>Financing!D52</f>
        <v>249166.66666666666</v>
      </c>
      <c r="D22" s="23">
        <v>79733</v>
      </c>
      <c r="E22" s="23">
        <v>328900</v>
      </c>
      <c r="F22" s="23">
        <v>15697493</v>
      </c>
    </row>
    <row r="23" spans="1:6" x14ac:dyDescent="0.2">
      <c r="A23" s="23" t="s">
        <v>147</v>
      </c>
      <c r="B23" s="23">
        <v>15697493</v>
      </c>
      <c r="C23" s="25">
        <f>Financing!D53</f>
        <v>249166.66666666666</v>
      </c>
      <c r="D23" s="23">
        <v>78487</v>
      </c>
      <c r="E23" s="23">
        <v>327654</v>
      </c>
      <c r="F23" s="23">
        <v>15448326</v>
      </c>
    </row>
    <row r="24" spans="1:6" x14ac:dyDescent="0.2">
      <c r="A24" s="23" t="s">
        <v>146</v>
      </c>
      <c r="B24" s="23">
        <v>15448326</v>
      </c>
      <c r="C24" s="25">
        <f>Financing!D54</f>
        <v>249166.66666666666</v>
      </c>
      <c r="D24" s="23">
        <v>77242</v>
      </c>
      <c r="E24" s="23">
        <v>326409</v>
      </c>
      <c r="F24" s="23">
        <v>15199159</v>
      </c>
    </row>
    <row r="25" spans="1:6" x14ac:dyDescent="0.2">
      <c r="A25" s="23" t="s">
        <v>145</v>
      </c>
      <c r="B25" s="23">
        <v>15199159</v>
      </c>
      <c r="C25" s="25">
        <f>Financing!D55</f>
        <v>249166.66666666666</v>
      </c>
      <c r="D25" s="23">
        <v>75996</v>
      </c>
      <c r="E25" s="23">
        <v>325163</v>
      </c>
      <c r="F25" s="23">
        <v>14949992</v>
      </c>
    </row>
    <row r="26" spans="1:6" x14ac:dyDescent="0.2">
      <c r="A26" s="23" t="s">
        <v>144</v>
      </c>
      <c r="B26" s="23">
        <v>14949992</v>
      </c>
      <c r="C26" s="25">
        <f>Financing!D56</f>
        <v>249166.66666666666</v>
      </c>
      <c r="D26" s="23">
        <v>74750</v>
      </c>
      <c r="E26" s="23">
        <v>323917</v>
      </c>
      <c r="F26" s="23">
        <v>14700825</v>
      </c>
    </row>
    <row r="27" spans="1:6" x14ac:dyDescent="0.2">
      <c r="A27" s="23" t="s">
        <v>143</v>
      </c>
      <c r="B27" s="23">
        <v>14700825</v>
      </c>
      <c r="C27" s="25">
        <f>Financing!D57</f>
        <v>249166.66666666666</v>
      </c>
      <c r="D27" s="23">
        <v>73504</v>
      </c>
      <c r="E27" s="23">
        <v>322671</v>
      </c>
      <c r="F27" s="23">
        <v>14451658</v>
      </c>
    </row>
    <row r="28" spans="1:6" x14ac:dyDescent="0.2">
      <c r="A28" s="23" t="s">
        <v>142</v>
      </c>
      <c r="B28" s="23">
        <v>14451658</v>
      </c>
      <c r="C28" s="25">
        <f>Financing!D58</f>
        <v>249166.66666666666</v>
      </c>
      <c r="D28" s="23">
        <v>72258</v>
      </c>
      <c r="E28" s="23">
        <v>321425</v>
      </c>
      <c r="F28" s="23">
        <v>14202491</v>
      </c>
    </row>
    <row r="29" spans="1:6" x14ac:dyDescent="0.2">
      <c r="A29" s="23" t="s">
        <v>141</v>
      </c>
      <c r="B29" s="23">
        <v>14202491</v>
      </c>
      <c r="C29" s="25">
        <f>Financing!D59</f>
        <v>249166.66666666666</v>
      </c>
      <c r="D29" s="23">
        <v>71012</v>
      </c>
      <c r="E29" s="23">
        <v>320179</v>
      </c>
      <c r="F29" s="23">
        <v>13953324</v>
      </c>
    </row>
    <row r="30" spans="1:6" x14ac:dyDescent="0.2">
      <c r="A30" s="23" t="s">
        <v>140</v>
      </c>
      <c r="B30" s="23">
        <v>13953324</v>
      </c>
      <c r="C30" s="25">
        <f>Financing!D60</f>
        <v>249166.66666666666</v>
      </c>
      <c r="D30" s="23">
        <v>69767</v>
      </c>
      <c r="E30" s="23">
        <v>318934</v>
      </c>
      <c r="F30" s="23">
        <v>13704157</v>
      </c>
    </row>
    <row r="31" spans="1:6" x14ac:dyDescent="0.2">
      <c r="A31" s="23" t="s">
        <v>139</v>
      </c>
      <c r="B31" s="23">
        <v>13704157</v>
      </c>
      <c r="C31" s="25">
        <f>Financing!D61</f>
        <v>249166.66666666666</v>
      </c>
      <c r="D31" s="23">
        <v>68521</v>
      </c>
      <c r="E31" s="23">
        <v>317688</v>
      </c>
      <c r="F31" s="23">
        <v>13454990</v>
      </c>
    </row>
    <row r="32" spans="1:6" x14ac:dyDescent="0.2">
      <c r="A32" s="23" t="s">
        <v>138</v>
      </c>
      <c r="B32" s="23">
        <v>13454990</v>
      </c>
      <c r="C32" s="25">
        <f>Financing!D62</f>
        <v>249166.66666666666</v>
      </c>
      <c r="D32" s="23">
        <v>67275</v>
      </c>
      <c r="E32" s="23">
        <v>316442</v>
      </c>
      <c r="F32" s="23">
        <v>13205823</v>
      </c>
    </row>
    <row r="33" spans="1:6" x14ac:dyDescent="0.2">
      <c r="A33" s="23" t="s">
        <v>137</v>
      </c>
      <c r="B33" s="23">
        <v>13205823</v>
      </c>
      <c r="C33" s="25">
        <f>Financing!D63</f>
        <v>249166.66666666666</v>
      </c>
      <c r="D33" s="23">
        <v>66029</v>
      </c>
      <c r="E33" s="23">
        <v>315196</v>
      </c>
      <c r="F33" s="23">
        <v>12956656</v>
      </c>
    </row>
    <row r="34" spans="1:6" x14ac:dyDescent="0.2">
      <c r="A34" s="23" t="s">
        <v>136</v>
      </c>
      <c r="B34" s="23">
        <v>12956656</v>
      </c>
      <c r="C34" s="25">
        <f>Financing!D64</f>
        <v>249166.66666666666</v>
      </c>
      <c r="D34" s="23">
        <v>64783</v>
      </c>
      <c r="E34" s="23">
        <v>313950</v>
      </c>
      <c r="F34" s="23">
        <v>12707489</v>
      </c>
    </row>
    <row r="35" spans="1:6" x14ac:dyDescent="0.2">
      <c r="A35" s="23" t="s">
        <v>135</v>
      </c>
      <c r="B35" s="23">
        <v>12707489</v>
      </c>
      <c r="C35" s="25">
        <f>Financing!D65</f>
        <v>249166.66666666666</v>
      </c>
      <c r="D35" s="23">
        <v>63537</v>
      </c>
      <c r="E35" s="23">
        <v>312704</v>
      </c>
      <c r="F35" s="23">
        <v>12458322</v>
      </c>
    </row>
    <row r="36" spans="1:6" x14ac:dyDescent="0.2">
      <c r="A36" s="23" t="s">
        <v>134</v>
      </c>
      <c r="B36" s="23">
        <v>12458322</v>
      </c>
      <c r="C36" s="25">
        <f>Financing!D66</f>
        <v>249166.66666666666</v>
      </c>
      <c r="D36" s="23">
        <v>62292</v>
      </c>
      <c r="E36" s="23">
        <v>311459</v>
      </c>
      <c r="F36" s="23">
        <v>12209155</v>
      </c>
    </row>
    <row r="37" spans="1:6" x14ac:dyDescent="0.2">
      <c r="A37" s="23" t="s">
        <v>133</v>
      </c>
      <c r="B37" s="23">
        <v>12209155</v>
      </c>
      <c r="C37" s="25">
        <f>Financing!D67</f>
        <v>249166.66666666666</v>
      </c>
      <c r="D37" s="23">
        <v>61046</v>
      </c>
      <c r="E37" s="23">
        <v>310213</v>
      </c>
      <c r="F37" s="23">
        <v>11959988</v>
      </c>
    </row>
    <row r="38" spans="1:6" x14ac:dyDescent="0.2">
      <c r="A38" s="23" t="s">
        <v>132</v>
      </c>
      <c r="B38" s="23">
        <v>11959988</v>
      </c>
      <c r="C38" s="25">
        <f>Financing!D68</f>
        <v>249166.66666666666</v>
      </c>
      <c r="D38" s="23">
        <v>59800</v>
      </c>
      <c r="E38" s="23">
        <v>308967</v>
      </c>
      <c r="F38" s="23">
        <v>11710821</v>
      </c>
    </row>
    <row r="39" spans="1:6" x14ac:dyDescent="0.2">
      <c r="A39" s="23" t="s">
        <v>131</v>
      </c>
      <c r="B39" s="23">
        <v>11710821</v>
      </c>
      <c r="C39" s="25">
        <f>Financing!D69</f>
        <v>249166.66666666666</v>
      </c>
      <c r="D39" s="23">
        <v>58554</v>
      </c>
      <c r="E39" s="23">
        <v>307721</v>
      </c>
      <c r="F39" s="23">
        <v>11461654</v>
      </c>
    </row>
    <row r="40" spans="1:6" x14ac:dyDescent="0.2">
      <c r="A40" s="23" t="s">
        <v>130</v>
      </c>
      <c r="B40" s="23">
        <v>11461654</v>
      </c>
      <c r="C40" s="25">
        <f>Financing!D70</f>
        <v>249166.66666666666</v>
      </c>
      <c r="D40" s="23">
        <v>57308</v>
      </c>
      <c r="E40" s="23">
        <v>306475</v>
      </c>
      <c r="F40" s="23">
        <v>11212487</v>
      </c>
    </row>
    <row r="41" spans="1:6" x14ac:dyDescent="0.2">
      <c r="A41" s="23" t="s">
        <v>129</v>
      </c>
      <c r="B41" s="23">
        <v>11212487</v>
      </c>
      <c r="C41" s="25">
        <f>Financing!D71</f>
        <v>249166.66666666666</v>
      </c>
      <c r="D41" s="23">
        <v>56062</v>
      </c>
      <c r="E41" s="23">
        <v>305229</v>
      </c>
      <c r="F41" s="23">
        <v>10963320</v>
      </c>
    </row>
    <row r="42" spans="1:6" x14ac:dyDescent="0.2">
      <c r="A42" s="23" t="s">
        <v>128</v>
      </c>
      <c r="B42" s="23">
        <v>10963320</v>
      </c>
      <c r="C42" s="25">
        <f>Financing!D72</f>
        <v>249166.66666666666</v>
      </c>
      <c r="D42" s="23">
        <v>54817</v>
      </c>
      <c r="E42" s="23">
        <v>303984</v>
      </c>
      <c r="F42" s="23">
        <v>10714153</v>
      </c>
    </row>
    <row r="43" spans="1:6" x14ac:dyDescent="0.2">
      <c r="A43" s="23" t="s">
        <v>127</v>
      </c>
      <c r="B43" s="23">
        <v>10714153</v>
      </c>
      <c r="C43" s="25">
        <f>Financing!D73</f>
        <v>249166.66666666666</v>
      </c>
      <c r="D43" s="23">
        <v>53571</v>
      </c>
      <c r="E43" s="23">
        <v>302738</v>
      </c>
      <c r="F43" s="23">
        <v>10464986</v>
      </c>
    </row>
    <row r="44" spans="1:6" x14ac:dyDescent="0.2">
      <c r="A44" s="23" t="s">
        <v>126</v>
      </c>
      <c r="B44" s="23">
        <v>10464986</v>
      </c>
      <c r="C44" s="25">
        <f>Financing!D74</f>
        <v>249166.66666666666</v>
      </c>
      <c r="D44" s="23">
        <v>52325</v>
      </c>
      <c r="E44" s="23">
        <v>301492</v>
      </c>
      <c r="F44" s="23">
        <v>10215819</v>
      </c>
    </row>
    <row r="45" spans="1:6" x14ac:dyDescent="0.2">
      <c r="A45" s="23" t="s">
        <v>125</v>
      </c>
      <c r="B45" s="23">
        <v>10215819</v>
      </c>
      <c r="C45" s="25">
        <f>Financing!D75</f>
        <v>249166.66666666666</v>
      </c>
      <c r="D45" s="23">
        <v>51079</v>
      </c>
      <c r="E45" s="23">
        <v>300246</v>
      </c>
      <c r="F45" s="23">
        <v>9966652</v>
      </c>
    </row>
    <row r="46" spans="1:6" x14ac:dyDescent="0.2">
      <c r="A46" s="23" t="s">
        <v>124</v>
      </c>
      <c r="B46" s="23">
        <v>9966652</v>
      </c>
      <c r="C46" s="25">
        <f>Financing!D76</f>
        <v>249166.66666666666</v>
      </c>
      <c r="D46" s="23">
        <v>49833</v>
      </c>
      <c r="E46" s="23">
        <v>299000</v>
      </c>
      <c r="F46" s="23">
        <v>9717485</v>
      </c>
    </row>
    <row r="47" spans="1:6" x14ac:dyDescent="0.2">
      <c r="A47" s="23" t="s">
        <v>123</v>
      </c>
      <c r="B47" s="23">
        <v>9717485</v>
      </c>
      <c r="C47" s="25">
        <f>Financing!D77</f>
        <v>249166.66666666666</v>
      </c>
      <c r="D47" s="23">
        <v>48587</v>
      </c>
      <c r="E47" s="23">
        <v>297754</v>
      </c>
      <c r="F47" s="23">
        <v>9468318</v>
      </c>
    </row>
    <row r="48" spans="1:6" x14ac:dyDescent="0.2">
      <c r="A48" s="23" t="s">
        <v>122</v>
      </c>
      <c r="B48" s="23">
        <v>9468318</v>
      </c>
      <c r="C48" s="25">
        <f>Financing!D78</f>
        <v>249166.66666666666</v>
      </c>
      <c r="D48" s="23">
        <v>47342</v>
      </c>
      <c r="E48" s="23">
        <v>296509</v>
      </c>
      <c r="F48" s="23">
        <v>9219151</v>
      </c>
    </row>
    <row r="49" spans="1:6" x14ac:dyDescent="0.2">
      <c r="A49" s="23" t="s">
        <v>121</v>
      </c>
      <c r="B49" s="23">
        <v>9219151</v>
      </c>
      <c r="C49" s="25">
        <f>Financing!D79</f>
        <v>249166.66666666666</v>
      </c>
      <c r="D49" s="23">
        <v>46096</v>
      </c>
      <c r="E49" s="23">
        <v>295263</v>
      </c>
      <c r="F49" s="23">
        <v>8969984</v>
      </c>
    </row>
    <row r="50" spans="1:6" x14ac:dyDescent="0.2">
      <c r="A50" s="23" t="s">
        <v>120</v>
      </c>
      <c r="B50" s="23">
        <v>8969984</v>
      </c>
      <c r="C50" s="25">
        <f>Financing!D80</f>
        <v>249166.66666666666</v>
      </c>
      <c r="D50" s="23">
        <v>44850</v>
      </c>
      <c r="E50" s="23">
        <v>294017</v>
      </c>
      <c r="F50" s="23">
        <v>8720817</v>
      </c>
    </row>
    <row r="51" spans="1:6" x14ac:dyDescent="0.2">
      <c r="A51" s="23" t="s">
        <v>119</v>
      </c>
      <c r="B51" s="23">
        <v>8720817</v>
      </c>
      <c r="C51" s="25">
        <f>Financing!D81</f>
        <v>249166.66666666666</v>
      </c>
      <c r="D51" s="23">
        <v>43604</v>
      </c>
      <c r="E51" s="23">
        <v>292771</v>
      </c>
      <c r="F51" s="23">
        <v>8471650</v>
      </c>
    </row>
    <row r="52" spans="1:6" x14ac:dyDescent="0.2">
      <c r="A52" s="23" t="s">
        <v>118</v>
      </c>
      <c r="B52" s="23">
        <v>8471650</v>
      </c>
      <c r="C52" s="25">
        <f>Financing!D82</f>
        <v>249166.66666666666</v>
      </c>
      <c r="D52" s="23">
        <v>42358</v>
      </c>
      <c r="E52" s="23">
        <v>291525</v>
      </c>
      <c r="F52" s="23">
        <v>8222483</v>
      </c>
    </row>
    <row r="53" spans="1:6" x14ac:dyDescent="0.2">
      <c r="A53" s="23" t="s">
        <v>117</v>
      </c>
      <c r="B53" s="23">
        <v>8222483</v>
      </c>
      <c r="C53" s="25">
        <f>Financing!D83</f>
        <v>249166.66666666666</v>
      </c>
      <c r="D53" s="23">
        <v>41112</v>
      </c>
      <c r="E53" s="23">
        <v>290279</v>
      </c>
      <c r="F53" s="23">
        <v>7973316</v>
      </c>
    </row>
    <row r="54" spans="1:6" x14ac:dyDescent="0.2">
      <c r="A54" s="23" t="s">
        <v>116</v>
      </c>
      <c r="B54" s="23">
        <v>7973316</v>
      </c>
      <c r="C54" s="25">
        <f>Financing!D84</f>
        <v>249166.66666666666</v>
      </c>
      <c r="D54" s="23">
        <v>39867</v>
      </c>
      <c r="E54" s="23">
        <v>289034</v>
      </c>
      <c r="F54" s="23">
        <v>7724149</v>
      </c>
    </row>
    <row r="55" spans="1:6" x14ac:dyDescent="0.2">
      <c r="A55" s="23" t="s">
        <v>115</v>
      </c>
      <c r="B55" s="23">
        <v>7724149</v>
      </c>
      <c r="C55" s="25">
        <f>Financing!D85</f>
        <v>249166.66666666666</v>
      </c>
      <c r="D55" s="23">
        <v>38621</v>
      </c>
      <c r="E55" s="23">
        <v>287788</v>
      </c>
      <c r="F55" s="23">
        <v>7474982</v>
      </c>
    </row>
    <row r="56" spans="1:6" x14ac:dyDescent="0.2">
      <c r="A56" s="23" t="s">
        <v>114</v>
      </c>
      <c r="B56" s="23">
        <v>7474982</v>
      </c>
      <c r="C56" s="25">
        <f>Financing!D86</f>
        <v>249166.66666666666</v>
      </c>
      <c r="D56" s="23">
        <v>37375</v>
      </c>
      <c r="E56" s="23">
        <v>286542</v>
      </c>
      <c r="F56" s="23">
        <v>7225815</v>
      </c>
    </row>
    <row r="57" spans="1:6" x14ac:dyDescent="0.2">
      <c r="A57" s="23" t="s">
        <v>113</v>
      </c>
      <c r="B57" s="23">
        <v>7225815</v>
      </c>
      <c r="C57" s="25">
        <f>Financing!D87</f>
        <v>249166.66666666666</v>
      </c>
      <c r="D57" s="23">
        <v>36129</v>
      </c>
      <c r="E57" s="23">
        <v>285296</v>
      </c>
      <c r="F57" s="23">
        <v>6976648</v>
      </c>
    </row>
    <row r="58" spans="1:6" x14ac:dyDescent="0.2">
      <c r="A58" s="23" t="s">
        <v>112</v>
      </c>
      <c r="B58" s="23">
        <v>6976648</v>
      </c>
      <c r="C58" s="25">
        <f>Financing!D88</f>
        <v>249166.66666666666</v>
      </c>
      <c r="D58" s="23">
        <v>34883</v>
      </c>
      <c r="E58" s="23">
        <v>284050</v>
      </c>
      <c r="F58" s="23">
        <v>6727481</v>
      </c>
    </row>
    <row r="59" spans="1:6" x14ac:dyDescent="0.2">
      <c r="A59" s="23" t="s">
        <v>111</v>
      </c>
      <c r="B59" s="23">
        <v>6727481</v>
      </c>
      <c r="C59" s="25">
        <f>Financing!D89</f>
        <v>249166.66666666666</v>
      </c>
      <c r="D59" s="23">
        <v>33637</v>
      </c>
      <c r="E59" s="23">
        <v>282804</v>
      </c>
      <c r="F59" s="23">
        <v>6478314</v>
      </c>
    </row>
    <row r="60" spans="1:6" x14ac:dyDescent="0.2">
      <c r="A60" s="23" t="s">
        <v>110</v>
      </c>
      <c r="B60" s="23">
        <v>6478314</v>
      </c>
      <c r="C60" s="25">
        <f>Financing!D90</f>
        <v>249166.66666666666</v>
      </c>
      <c r="D60" s="23">
        <v>32392</v>
      </c>
      <c r="E60" s="23">
        <v>281559</v>
      </c>
      <c r="F60" s="23">
        <v>6229147</v>
      </c>
    </row>
    <row r="61" spans="1:6" x14ac:dyDescent="0.2">
      <c r="A61" s="23" t="s">
        <v>109</v>
      </c>
      <c r="B61" s="23">
        <v>6229147</v>
      </c>
      <c r="C61" s="25">
        <f>Financing!D91</f>
        <v>249166.66666666666</v>
      </c>
      <c r="D61" s="23">
        <v>31146</v>
      </c>
      <c r="E61" s="23">
        <v>280313</v>
      </c>
      <c r="F61" s="23">
        <v>5979980</v>
      </c>
    </row>
    <row r="62" spans="1:6" x14ac:dyDescent="0.2">
      <c r="A62" s="23" t="s">
        <v>108</v>
      </c>
      <c r="B62" s="23">
        <v>5979980</v>
      </c>
      <c r="C62" s="25">
        <f>Financing!D92</f>
        <v>249166.66666666666</v>
      </c>
      <c r="D62" s="23">
        <v>29900</v>
      </c>
      <c r="E62" s="23">
        <v>279067</v>
      </c>
      <c r="F62" s="23">
        <v>5730813</v>
      </c>
    </row>
    <row r="63" spans="1:6" x14ac:dyDescent="0.2">
      <c r="A63" s="23" t="s">
        <v>107</v>
      </c>
      <c r="B63" s="23">
        <v>5730813</v>
      </c>
      <c r="C63" s="25">
        <f>Financing!D93</f>
        <v>249166.66666666666</v>
      </c>
      <c r="D63" s="23">
        <v>28654</v>
      </c>
      <c r="E63" s="23">
        <v>277821</v>
      </c>
      <c r="F63" s="23">
        <v>5481646</v>
      </c>
    </row>
    <row r="64" spans="1:6" x14ac:dyDescent="0.2">
      <c r="A64" s="23" t="s">
        <v>106</v>
      </c>
      <c r="B64" s="23">
        <v>5481646</v>
      </c>
      <c r="C64" s="25">
        <f>Financing!D94</f>
        <v>249166.66666666666</v>
      </c>
      <c r="D64" s="23">
        <v>27408</v>
      </c>
      <c r="E64" s="23">
        <v>276575</v>
      </c>
      <c r="F64" s="23">
        <v>5232479</v>
      </c>
    </row>
    <row r="65" spans="1:6" x14ac:dyDescent="0.2">
      <c r="A65" s="23" t="s">
        <v>105</v>
      </c>
      <c r="B65" s="23">
        <v>5232479</v>
      </c>
      <c r="C65" s="25">
        <f>Financing!D95</f>
        <v>249166.66666666666</v>
      </c>
      <c r="D65" s="23">
        <v>26162</v>
      </c>
      <c r="E65" s="23">
        <v>275329</v>
      </c>
      <c r="F65" s="23">
        <v>4983312</v>
      </c>
    </row>
    <row r="66" spans="1:6" x14ac:dyDescent="0.2">
      <c r="A66" s="23" t="s">
        <v>104</v>
      </c>
      <c r="B66" s="23">
        <v>4983312</v>
      </c>
      <c r="C66" s="25">
        <f>Financing!D96</f>
        <v>249166.66666666666</v>
      </c>
      <c r="D66" s="23">
        <v>24917</v>
      </c>
      <c r="E66" s="23">
        <v>274084</v>
      </c>
      <c r="F66" s="23">
        <v>4734145</v>
      </c>
    </row>
    <row r="67" spans="1:6" x14ac:dyDescent="0.2">
      <c r="A67" s="23" t="s">
        <v>103</v>
      </c>
      <c r="B67" s="23">
        <v>4734145</v>
      </c>
      <c r="C67" s="25">
        <f>Financing!D97</f>
        <v>249166.66666666666</v>
      </c>
      <c r="D67" s="23">
        <v>23671</v>
      </c>
      <c r="E67" s="23">
        <v>272838</v>
      </c>
      <c r="F67" s="23">
        <v>4484978</v>
      </c>
    </row>
    <row r="68" spans="1:6" x14ac:dyDescent="0.2">
      <c r="A68" s="23" t="s">
        <v>102</v>
      </c>
      <c r="B68" s="23">
        <v>4484978</v>
      </c>
      <c r="C68" s="25">
        <f>Financing!D98</f>
        <v>249166.66666666666</v>
      </c>
      <c r="D68" s="23">
        <v>22425</v>
      </c>
      <c r="E68" s="23">
        <v>271592</v>
      </c>
      <c r="F68" s="23">
        <v>4235811</v>
      </c>
    </row>
    <row r="69" spans="1:6" x14ac:dyDescent="0.2">
      <c r="A69" s="23" t="s">
        <v>101</v>
      </c>
      <c r="B69" s="23">
        <v>4235811</v>
      </c>
      <c r="C69" s="25">
        <f>Financing!D99</f>
        <v>249166.66666666666</v>
      </c>
      <c r="D69" s="23">
        <v>21179</v>
      </c>
      <c r="E69" s="23">
        <v>270346</v>
      </c>
      <c r="F69" s="23">
        <v>3986644</v>
      </c>
    </row>
    <row r="70" spans="1:6" x14ac:dyDescent="0.2">
      <c r="A70" s="23" t="s">
        <v>100</v>
      </c>
      <c r="B70" s="23">
        <v>3986644</v>
      </c>
      <c r="C70" s="25">
        <f>Financing!D100</f>
        <v>249166.66666666666</v>
      </c>
      <c r="D70" s="23">
        <v>19933</v>
      </c>
      <c r="E70" s="23">
        <v>269100</v>
      </c>
      <c r="F70" s="23">
        <v>3737477</v>
      </c>
    </row>
    <row r="71" spans="1:6" x14ac:dyDescent="0.2">
      <c r="A71" s="23" t="s">
        <v>99</v>
      </c>
      <c r="B71" s="23">
        <v>3737477</v>
      </c>
      <c r="C71" s="25">
        <f>Financing!D101</f>
        <v>249166.66666666666</v>
      </c>
      <c r="D71" s="23">
        <v>18687</v>
      </c>
      <c r="E71" s="23">
        <v>267854</v>
      </c>
      <c r="F71" s="23">
        <v>3488310</v>
      </c>
    </row>
    <row r="72" spans="1:6" x14ac:dyDescent="0.2">
      <c r="A72" s="23" t="s">
        <v>98</v>
      </c>
      <c r="B72" s="23">
        <v>3488310</v>
      </c>
      <c r="C72" s="25">
        <f>Financing!D102</f>
        <v>249166.66666666666</v>
      </c>
      <c r="D72" s="23">
        <v>17442</v>
      </c>
      <c r="E72" s="23">
        <v>266609</v>
      </c>
      <c r="F72" s="23">
        <v>3239143</v>
      </c>
    </row>
    <row r="73" spans="1:6" x14ac:dyDescent="0.2">
      <c r="A73" s="23" t="s">
        <v>97</v>
      </c>
      <c r="B73" s="23">
        <v>3239143</v>
      </c>
      <c r="C73" s="25">
        <f>Financing!D103</f>
        <v>249166.66666666666</v>
      </c>
      <c r="D73" s="23">
        <v>16196</v>
      </c>
      <c r="E73" s="23">
        <v>265363</v>
      </c>
      <c r="F73" s="23">
        <v>2989976</v>
      </c>
    </row>
    <row r="74" spans="1:6" x14ac:dyDescent="0.2">
      <c r="A74" s="23" t="s">
        <v>96</v>
      </c>
      <c r="B74" s="23">
        <v>2989976</v>
      </c>
      <c r="C74" s="25">
        <f>Financing!D104</f>
        <v>249166.66666666666</v>
      </c>
      <c r="D74" s="23">
        <v>14950</v>
      </c>
      <c r="E74" s="23">
        <v>264117</v>
      </c>
      <c r="F74" s="23">
        <v>2740809</v>
      </c>
    </row>
    <row r="75" spans="1:6" x14ac:dyDescent="0.2">
      <c r="A75" s="23" t="s">
        <v>95</v>
      </c>
      <c r="B75" s="23">
        <v>2740809</v>
      </c>
      <c r="C75" s="25">
        <f>Financing!D105</f>
        <v>249166.66666666666</v>
      </c>
      <c r="D75" s="23">
        <v>13704</v>
      </c>
      <c r="E75" s="23">
        <v>262871</v>
      </c>
      <c r="F75" s="23">
        <v>2491642</v>
      </c>
    </row>
    <row r="76" spans="1:6" x14ac:dyDescent="0.2">
      <c r="A76" s="23" t="s">
        <v>94</v>
      </c>
      <c r="B76" s="23">
        <v>2491642</v>
      </c>
      <c r="C76" s="25">
        <f>Financing!D106</f>
        <v>249166.66666666666</v>
      </c>
      <c r="D76" s="23">
        <v>12458</v>
      </c>
      <c r="E76" s="23">
        <v>261625</v>
      </c>
      <c r="F76" s="23">
        <v>2242475</v>
      </c>
    </row>
    <row r="77" spans="1:6" x14ac:dyDescent="0.2">
      <c r="A77" s="23" t="s">
        <v>93</v>
      </c>
      <c r="B77" s="23">
        <v>2242475</v>
      </c>
      <c r="C77" s="25">
        <f>Financing!D107</f>
        <v>249166.66666666666</v>
      </c>
      <c r="D77" s="23">
        <v>11212</v>
      </c>
      <c r="E77" s="23">
        <v>260379</v>
      </c>
      <c r="F77" s="23">
        <v>1993308</v>
      </c>
    </row>
    <row r="78" spans="1:6" x14ac:dyDescent="0.2">
      <c r="A78" s="23" t="s">
        <v>92</v>
      </c>
      <c r="B78" s="23">
        <v>1993308</v>
      </c>
      <c r="C78" s="25">
        <f>Financing!D108</f>
        <v>249166.66666666666</v>
      </c>
      <c r="D78" s="23">
        <v>9967</v>
      </c>
      <c r="E78" s="23">
        <v>259134</v>
      </c>
      <c r="F78" s="23">
        <v>1744141</v>
      </c>
    </row>
    <row r="79" spans="1:6" x14ac:dyDescent="0.2">
      <c r="A79" s="23" t="s">
        <v>91</v>
      </c>
      <c r="B79" s="23">
        <v>1744141</v>
      </c>
      <c r="C79" s="25">
        <f>Financing!D109</f>
        <v>249166.66666666666</v>
      </c>
      <c r="D79" s="23">
        <v>8721</v>
      </c>
      <c r="E79" s="23">
        <v>257888</v>
      </c>
      <c r="F79" s="23">
        <v>1494974</v>
      </c>
    </row>
    <row r="80" spans="1:6" x14ac:dyDescent="0.2">
      <c r="A80" s="23" t="s">
        <v>90</v>
      </c>
      <c r="B80" s="23">
        <v>1494974</v>
      </c>
      <c r="C80" s="25">
        <f>Financing!D110</f>
        <v>249166.66666666666</v>
      </c>
      <c r="D80" s="23">
        <v>7475</v>
      </c>
      <c r="E80" s="23">
        <v>256642</v>
      </c>
      <c r="F80" s="23">
        <v>1245807</v>
      </c>
    </row>
    <row r="81" spans="1:6" x14ac:dyDescent="0.2">
      <c r="A81" s="23" t="s">
        <v>89</v>
      </c>
      <c r="B81" s="23">
        <v>1245807</v>
      </c>
      <c r="C81" s="25">
        <f>Financing!D111</f>
        <v>249166.66666666666</v>
      </c>
      <c r="D81" s="23">
        <v>6229</v>
      </c>
      <c r="E81" s="23">
        <v>255396</v>
      </c>
      <c r="F81" s="23">
        <v>996640</v>
      </c>
    </row>
    <row r="82" spans="1:6" x14ac:dyDescent="0.2">
      <c r="A82" s="23" t="s">
        <v>88</v>
      </c>
      <c r="B82" s="23">
        <v>996640</v>
      </c>
      <c r="C82" s="25">
        <f>Financing!D112</f>
        <v>249166.66666666666</v>
      </c>
      <c r="D82" s="23">
        <v>4983</v>
      </c>
      <c r="E82" s="23">
        <v>254150</v>
      </c>
      <c r="F82" s="23">
        <v>747473</v>
      </c>
    </row>
    <row r="83" spans="1:6" x14ac:dyDescent="0.2">
      <c r="A83" s="23" t="s">
        <v>87</v>
      </c>
      <c r="B83" s="23">
        <v>747473</v>
      </c>
      <c r="C83" s="25">
        <f>Financing!D113</f>
        <v>249166.66666666666</v>
      </c>
      <c r="D83" s="23">
        <v>3737</v>
      </c>
      <c r="E83" s="23">
        <v>252904</v>
      </c>
      <c r="F83" s="23">
        <v>498306</v>
      </c>
    </row>
    <row r="84" spans="1:6" x14ac:dyDescent="0.2">
      <c r="A84" s="23" t="s">
        <v>86</v>
      </c>
      <c r="B84" s="23">
        <v>498306</v>
      </c>
      <c r="C84" s="25">
        <f>Financing!D114</f>
        <v>249166.66666666666</v>
      </c>
      <c r="D84" s="23">
        <v>2492</v>
      </c>
      <c r="E84" s="23">
        <v>251659</v>
      </c>
      <c r="F84" s="23">
        <v>249139</v>
      </c>
    </row>
    <row r="85" spans="1:6" x14ac:dyDescent="0.2">
      <c r="A85" s="23" t="s">
        <v>85</v>
      </c>
      <c r="B85" s="23">
        <v>249139</v>
      </c>
      <c r="C85" s="25">
        <f>Financing!D115</f>
        <v>249166.66666666666</v>
      </c>
      <c r="D85" s="23">
        <v>1246</v>
      </c>
      <c r="E85" s="23">
        <v>250413</v>
      </c>
      <c r="F85" s="2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B00E-5670-4F41-8625-490F322E72FB}">
  <dimension ref="A1:G6"/>
  <sheetViews>
    <sheetView workbookViewId="0">
      <selection activeCell="G16" sqref="G16"/>
    </sheetView>
  </sheetViews>
  <sheetFormatPr baseColWidth="10" defaultRowHeight="16" x14ac:dyDescent="0.2"/>
  <cols>
    <col min="2" max="2" width="14" bestFit="1" customWidth="1"/>
    <col min="3" max="3" width="16" customWidth="1"/>
    <col min="4" max="4" width="16.5" customWidth="1"/>
    <col min="5" max="5" width="21.1640625" customWidth="1"/>
    <col min="6" max="6" width="17.83203125" customWidth="1"/>
    <col min="7" max="7" width="20.33203125" customWidth="1"/>
  </cols>
  <sheetData>
    <row r="1" spans="1:7" x14ac:dyDescent="0.2">
      <c r="A1" s="11" t="s">
        <v>41</v>
      </c>
      <c r="B1" s="11" t="s">
        <v>69</v>
      </c>
      <c r="C1" s="11" t="s">
        <v>78</v>
      </c>
      <c r="D1" s="11" t="s">
        <v>70</v>
      </c>
      <c r="E1" s="11" t="s">
        <v>81</v>
      </c>
      <c r="F1" s="11" t="s">
        <v>47</v>
      </c>
      <c r="G1" s="11" t="s">
        <v>80</v>
      </c>
    </row>
    <row r="2" spans="1:7" x14ac:dyDescent="0.2">
      <c r="A2" s="5">
        <v>1</v>
      </c>
      <c r="B2" s="12">
        <f>'Leasing Projections'!$C$2*Assumptions!$C$6</f>
        <v>2550000</v>
      </c>
      <c r="C2" s="5">
        <f>Assumptions!$C$27</f>
        <v>200000</v>
      </c>
      <c r="D2" s="12">
        <f>$B$2*Assumptions!$C$21</f>
        <v>204000</v>
      </c>
      <c r="E2" s="12">
        <f>Assumptions!$C$10*Assumptions!$C$29</f>
        <v>360000</v>
      </c>
      <c r="F2" s="5">
        <f>Assumptions!$C$30</f>
        <v>100000</v>
      </c>
      <c r="G2" s="12">
        <f>B2-(C2+D2+E2+F2)</f>
        <v>1686000</v>
      </c>
    </row>
    <row r="3" spans="1:7" x14ac:dyDescent="0.2">
      <c r="A3" s="5">
        <v>2</v>
      </c>
      <c r="B3" s="12">
        <f>'Leasing Projections'!$C$2*Assumptions!$C$6</f>
        <v>2550000</v>
      </c>
      <c r="C3" s="5">
        <f>Assumptions!$C$27</f>
        <v>200000</v>
      </c>
      <c r="D3" s="12">
        <f>$B$2*Assumptions!$C$21</f>
        <v>204000</v>
      </c>
      <c r="E3" s="12">
        <f>Assumptions!$C$10*Assumptions!$C$29</f>
        <v>360000</v>
      </c>
      <c r="F3" s="5">
        <f>Assumptions!$C$30</f>
        <v>100000</v>
      </c>
      <c r="G3" s="12">
        <f t="shared" ref="G3:G6" si="0">B3-(C3+D3+E3+F3)</f>
        <v>1686000</v>
      </c>
    </row>
    <row r="4" spans="1:7" x14ac:dyDescent="0.2">
      <c r="A4" s="5">
        <v>3</v>
      </c>
      <c r="B4" s="12">
        <f>'Leasing Projections'!$C$2*Assumptions!$C$6</f>
        <v>2550000</v>
      </c>
      <c r="C4" s="5">
        <f>Assumptions!$C$27</f>
        <v>200000</v>
      </c>
      <c r="D4" s="12">
        <f>$B$2*Assumptions!$C$21</f>
        <v>204000</v>
      </c>
      <c r="E4" s="12">
        <f>Assumptions!$C$10*Assumptions!$C$29</f>
        <v>360000</v>
      </c>
      <c r="F4" s="5">
        <f>Assumptions!$C$30</f>
        <v>100000</v>
      </c>
      <c r="G4" s="12">
        <f t="shared" si="0"/>
        <v>1686000</v>
      </c>
    </row>
    <row r="5" spans="1:7" x14ac:dyDescent="0.2">
      <c r="A5" s="5">
        <v>4</v>
      </c>
      <c r="B5" s="12">
        <f>'Leasing Projections'!$C$2*Assumptions!$C$6</f>
        <v>2550000</v>
      </c>
      <c r="C5" s="5">
        <f>Assumptions!$C$27</f>
        <v>200000</v>
      </c>
      <c r="D5" s="12">
        <f>$B$2*Assumptions!$C$21</f>
        <v>204000</v>
      </c>
      <c r="E5" s="12">
        <f>Assumptions!$C$10*Assumptions!$C$29</f>
        <v>360000</v>
      </c>
      <c r="F5" s="5">
        <f>Assumptions!$C$30</f>
        <v>100000</v>
      </c>
      <c r="G5" s="12">
        <f t="shared" si="0"/>
        <v>1686000</v>
      </c>
    </row>
    <row r="6" spans="1:7" x14ac:dyDescent="0.2">
      <c r="A6" s="5">
        <v>5</v>
      </c>
      <c r="B6" s="12">
        <f>'Leasing Projections'!$C$2*Assumptions!$C$6</f>
        <v>2550000</v>
      </c>
      <c r="C6" s="5">
        <f>Assumptions!$C$27</f>
        <v>200000</v>
      </c>
      <c r="D6" s="12">
        <f>$B$2*Assumptions!$C$21</f>
        <v>204000</v>
      </c>
      <c r="E6" s="12">
        <f>Assumptions!$C$10*Assumptions!$C$29</f>
        <v>360000</v>
      </c>
      <c r="F6" s="5">
        <f>Assumptions!$C$30</f>
        <v>100000</v>
      </c>
      <c r="G6" s="12">
        <f t="shared" si="0"/>
        <v>1686000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FE9F-22A9-CB44-A959-4FD657017434}">
  <dimension ref="A1:P115"/>
  <sheetViews>
    <sheetView topLeftCell="I1" workbookViewId="0">
      <selection activeCell="P7" sqref="P7"/>
    </sheetView>
  </sheetViews>
  <sheetFormatPr baseColWidth="10" defaultRowHeight="16" x14ac:dyDescent="0.2"/>
  <cols>
    <col min="1" max="1" width="11.83203125" customWidth="1"/>
    <col min="2" max="3" width="16.83203125" customWidth="1"/>
    <col min="4" max="4" width="19.33203125" customWidth="1"/>
    <col min="5" max="5" width="19" customWidth="1"/>
    <col min="6" max="6" width="20.1640625" customWidth="1"/>
    <col min="7" max="8" width="18.83203125" customWidth="1"/>
    <col min="9" max="10" width="25.33203125" customWidth="1"/>
    <col min="11" max="11" width="32.1640625" customWidth="1"/>
    <col min="12" max="13" width="23.1640625" customWidth="1"/>
    <col min="14" max="14" width="13.33203125" customWidth="1"/>
    <col min="15" max="15" width="12.83203125" customWidth="1"/>
  </cols>
  <sheetData>
    <row r="1" spans="1:16" x14ac:dyDescent="0.2">
      <c r="A1" s="11" t="s">
        <v>61</v>
      </c>
      <c r="B1" s="29" t="s">
        <v>180</v>
      </c>
      <c r="C1" s="29" t="s">
        <v>181</v>
      </c>
      <c r="D1" s="29" t="s">
        <v>182</v>
      </c>
      <c r="E1" s="29" t="s">
        <v>186</v>
      </c>
      <c r="F1" s="29" t="s">
        <v>183</v>
      </c>
      <c r="G1" s="11" t="s">
        <v>179</v>
      </c>
      <c r="H1" s="11" t="s">
        <v>171</v>
      </c>
      <c r="I1" s="29" t="s">
        <v>184</v>
      </c>
      <c r="J1" s="29" t="s">
        <v>185</v>
      </c>
      <c r="K1" s="15" t="s">
        <v>187</v>
      </c>
      <c r="L1" s="15" t="s">
        <v>188</v>
      </c>
    </row>
    <row r="2" spans="1:16" ht="17" x14ac:dyDescent="0.25">
      <c r="A2" s="4" t="str">
        <f>"Month "&amp;ROW()-1</f>
        <v>Month 1</v>
      </c>
      <c r="B2" s="26">
        <v>0</v>
      </c>
      <c r="C2" s="26">
        <v>0</v>
      </c>
      <c r="D2" s="12">
        <f>'Construction costs'!$B$2</f>
        <v>800000</v>
      </c>
      <c r="E2" s="26">
        <v>0</v>
      </c>
      <c r="F2" s="26">
        <v>0</v>
      </c>
      <c r="G2" s="26">
        <f>Financing!D2</f>
        <v>0</v>
      </c>
      <c r="H2" s="30">
        <f>Financing!C2</f>
        <v>3488.3333333333326</v>
      </c>
      <c r="I2" s="18">
        <f>B2-D2-E2-H2-G2</f>
        <v>-803488.33333333337</v>
      </c>
      <c r="J2" s="31">
        <f>C2-D2-F2-H2-G2</f>
        <v>-803488.33333333337</v>
      </c>
      <c r="K2" s="18">
        <f>I2</f>
        <v>-803488.33333333337</v>
      </c>
      <c r="L2" s="18">
        <f>J2</f>
        <v>-803488.33333333337</v>
      </c>
      <c r="N2" s="20" t="s">
        <v>78</v>
      </c>
      <c r="O2" s="21">
        <f>200000 / 12</f>
        <v>16666.666666666668</v>
      </c>
      <c r="P2" s="19"/>
    </row>
    <row r="3" spans="1:16" ht="17" x14ac:dyDescent="0.25">
      <c r="A3" s="4" t="str">
        <f t="shared" ref="A3:A66" si="0">"Month "&amp;ROW()-1</f>
        <v>Month 2</v>
      </c>
      <c r="B3" s="26">
        <v>0</v>
      </c>
      <c r="C3" s="26">
        <v>0</v>
      </c>
      <c r="D3" s="12">
        <f>'Construction costs'!$B$2</f>
        <v>800000</v>
      </c>
      <c r="E3" s="26">
        <v>0</v>
      </c>
      <c r="F3" s="26">
        <v>0</v>
      </c>
      <c r="G3" s="26">
        <f>Financing!D3</f>
        <v>0</v>
      </c>
      <c r="H3" s="30">
        <f>Financing!C3</f>
        <v>3488.3333333333326</v>
      </c>
      <c r="I3" s="18">
        <f t="shared" ref="I3:I43" si="1">B3-D3-E3-H3-G3</f>
        <v>-803488.33333333337</v>
      </c>
      <c r="J3" s="31">
        <f t="shared" ref="J3:J31" si="2">C3-D3-F3-H3-G3</f>
        <v>-803488.33333333337</v>
      </c>
      <c r="K3" s="18">
        <f>K2+I3</f>
        <v>-1606976.6666666667</v>
      </c>
      <c r="L3" s="18">
        <f>L2+J3</f>
        <v>-1606976.6666666667</v>
      </c>
      <c r="N3" s="20" t="s">
        <v>79</v>
      </c>
      <c r="O3" s="21">
        <f>100000 / 12</f>
        <v>8333.3333333333339</v>
      </c>
      <c r="P3" s="19"/>
    </row>
    <row r="4" spans="1:16" ht="17" x14ac:dyDescent="0.25">
      <c r="A4" s="4" t="str">
        <f t="shared" si="0"/>
        <v>Month 3</v>
      </c>
      <c r="B4" s="26">
        <v>0</v>
      </c>
      <c r="C4" s="26">
        <v>0</v>
      </c>
      <c r="D4" s="12">
        <f>'Construction costs'!$B$2</f>
        <v>800000</v>
      </c>
      <c r="E4" s="26">
        <v>0</v>
      </c>
      <c r="F4" s="26">
        <v>0</v>
      </c>
      <c r="G4" s="26">
        <f>Financing!D4</f>
        <v>0</v>
      </c>
      <c r="H4" s="30">
        <f>Financing!C4</f>
        <v>3488.3333333333326</v>
      </c>
      <c r="I4" s="18">
        <f t="shared" si="1"/>
        <v>-803488.33333333337</v>
      </c>
      <c r="J4" s="31">
        <f t="shared" si="2"/>
        <v>-803488.33333333337</v>
      </c>
      <c r="K4" s="18">
        <f t="shared" ref="K4:K67" si="3">K3+I4</f>
        <v>-2410465</v>
      </c>
      <c r="L4" s="18">
        <f t="shared" ref="L4:L67" si="4">L3+J4</f>
        <v>-2410465</v>
      </c>
      <c r="N4" s="20" t="s">
        <v>82</v>
      </c>
      <c r="O4" s="21">
        <f>24000000 * 0.015 / 12</f>
        <v>30000</v>
      </c>
      <c r="P4" s="19"/>
    </row>
    <row r="5" spans="1:16" x14ac:dyDescent="0.2">
      <c r="A5" s="4" t="str">
        <f t="shared" si="0"/>
        <v>Month 4</v>
      </c>
      <c r="B5" s="26">
        <v>0</v>
      </c>
      <c r="C5" s="26">
        <v>0</v>
      </c>
      <c r="D5" s="12">
        <f>'Construction costs'!$B$2</f>
        <v>800000</v>
      </c>
      <c r="E5" s="26">
        <v>0</v>
      </c>
      <c r="F5" s="26">
        <v>0</v>
      </c>
      <c r="G5" s="26">
        <f>Financing!D5</f>
        <v>0</v>
      </c>
      <c r="H5" s="30">
        <f>Financing!C5</f>
        <v>3488.3333333333326</v>
      </c>
      <c r="I5" s="18">
        <f t="shared" si="1"/>
        <v>-803488.33333333337</v>
      </c>
      <c r="J5" s="31">
        <f t="shared" si="2"/>
        <v>-803488.33333333337</v>
      </c>
      <c r="K5" s="18">
        <f t="shared" si="3"/>
        <v>-3213953.3333333335</v>
      </c>
      <c r="L5" s="18">
        <f t="shared" si="4"/>
        <v>-3213953.3333333335</v>
      </c>
    </row>
    <row r="6" spans="1:16" x14ac:dyDescent="0.2">
      <c r="A6" s="4" t="str">
        <f t="shared" si="0"/>
        <v>Month 5</v>
      </c>
      <c r="B6" s="26">
        <v>0</v>
      </c>
      <c r="C6" s="26">
        <v>0</v>
      </c>
      <c r="D6" s="12">
        <f>'Construction costs'!$B$2</f>
        <v>800000</v>
      </c>
      <c r="E6" s="26">
        <v>0</v>
      </c>
      <c r="F6" s="26">
        <v>0</v>
      </c>
      <c r="G6" s="26">
        <f>Financing!D6</f>
        <v>0</v>
      </c>
      <c r="H6" s="30">
        <f>Financing!C6</f>
        <v>3488.3333333333326</v>
      </c>
      <c r="I6" s="18">
        <f t="shared" si="1"/>
        <v>-803488.33333333337</v>
      </c>
      <c r="J6" s="31">
        <f t="shared" si="2"/>
        <v>-803488.33333333337</v>
      </c>
      <c r="K6" s="18">
        <f t="shared" si="3"/>
        <v>-4017441.666666667</v>
      </c>
      <c r="L6" s="18">
        <f t="shared" si="4"/>
        <v>-4017441.666666667</v>
      </c>
      <c r="N6" s="22" t="s">
        <v>83</v>
      </c>
      <c r="O6">
        <f>Assumptions!C3*Assumptions!C18*Assumptions!C16</f>
        <v>237500</v>
      </c>
      <c r="P6">
        <f>O6*Assumptions!C28</f>
        <v>19000</v>
      </c>
    </row>
    <row r="7" spans="1:16" x14ac:dyDescent="0.2">
      <c r="A7" s="4" t="str">
        <f t="shared" si="0"/>
        <v>Month 6</v>
      </c>
      <c r="B7" s="26">
        <v>0</v>
      </c>
      <c r="C7" s="26">
        <v>0</v>
      </c>
      <c r="D7" s="12">
        <f>'Construction costs'!$B$2</f>
        <v>800000</v>
      </c>
      <c r="E7" s="26">
        <v>0</v>
      </c>
      <c r="F7" s="26">
        <v>0</v>
      </c>
      <c r="G7" s="26">
        <f>Financing!D7</f>
        <v>0</v>
      </c>
      <c r="H7" s="30">
        <f>Financing!C7</f>
        <v>3488.3333333333326</v>
      </c>
      <c r="I7" s="18">
        <f t="shared" si="1"/>
        <v>-803488.33333333337</v>
      </c>
      <c r="J7" s="31">
        <f t="shared" si="2"/>
        <v>-803488.33333333337</v>
      </c>
      <c r="K7" s="18">
        <f t="shared" si="3"/>
        <v>-4820930</v>
      </c>
      <c r="L7" s="18">
        <f t="shared" si="4"/>
        <v>-4820930</v>
      </c>
      <c r="N7" s="22" t="s">
        <v>84</v>
      </c>
      <c r="O7">
        <f>Assumptions!C3*Assumptions!C17*Assumptions!C16</f>
        <v>212500</v>
      </c>
      <c r="P7">
        <f>O7*Assumptions!C21</f>
        <v>17000</v>
      </c>
    </row>
    <row r="8" spans="1:16" x14ac:dyDescent="0.2">
      <c r="A8" s="4" t="str">
        <f t="shared" si="0"/>
        <v>Month 7</v>
      </c>
      <c r="B8" s="26">
        <v>0</v>
      </c>
      <c r="C8" s="26">
        <v>0</v>
      </c>
      <c r="D8" s="12">
        <f>'Construction costs'!$B$2</f>
        <v>800000</v>
      </c>
      <c r="E8" s="26">
        <v>0</v>
      </c>
      <c r="F8" s="26">
        <v>0</v>
      </c>
      <c r="G8" s="26">
        <f>Financing!D8</f>
        <v>0</v>
      </c>
      <c r="H8" s="30">
        <f>Financing!C8</f>
        <v>3488.3333333333326</v>
      </c>
      <c r="I8" s="18">
        <f t="shared" si="1"/>
        <v>-803488.33333333337</v>
      </c>
      <c r="J8" s="31">
        <f t="shared" si="2"/>
        <v>-803488.33333333337</v>
      </c>
      <c r="K8" s="18">
        <f t="shared" si="3"/>
        <v>-5624418.333333333</v>
      </c>
      <c r="L8" s="18">
        <f t="shared" si="4"/>
        <v>-5624418.333333333</v>
      </c>
    </row>
    <row r="9" spans="1:16" x14ac:dyDescent="0.2">
      <c r="A9" s="4" t="str">
        <f t="shared" si="0"/>
        <v>Month 8</v>
      </c>
      <c r="B9" s="26">
        <v>0</v>
      </c>
      <c r="C9" s="26">
        <v>0</v>
      </c>
      <c r="D9" s="12">
        <f>'Construction costs'!$B$2</f>
        <v>800000</v>
      </c>
      <c r="E9" s="26">
        <v>0</v>
      </c>
      <c r="F9" s="26">
        <v>0</v>
      </c>
      <c r="G9" s="26">
        <f>Financing!D9</f>
        <v>0</v>
      </c>
      <c r="H9" s="30">
        <f>Financing!C9</f>
        <v>3488.3333333333326</v>
      </c>
      <c r="I9" s="18">
        <f t="shared" si="1"/>
        <v>-803488.33333333337</v>
      </c>
      <c r="J9" s="31">
        <f t="shared" si="2"/>
        <v>-803488.33333333337</v>
      </c>
      <c r="K9" s="18">
        <f t="shared" si="3"/>
        <v>-6427906.666666666</v>
      </c>
      <c r="L9" s="18">
        <f t="shared" si="4"/>
        <v>-6427906.666666666</v>
      </c>
    </row>
    <row r="10" spans="1:16" x14ac:dyDescent="0.2">
      <c r="A10" s="4" t="str">
        <f t="shared" si="0"/>
        <v>Month 9</v>
      </c>
      <c r="B10" s="26">
        <v>0</v>
      </c>
      <c r="C10" s="26">
        <v>0</v>
      </c>
      <c r="D10" s="12">
        <f>'Construction costs'!$B$2</f>
        <v>800000</v>
      </c>
      <c r="E10" s="26">
        <v>0</v>
      </c>
      <c r="F10" s="26">
        <v>0</v>
      </c>
      <c r="G10" s="26">
        <f>Financing!D10</f>
        <v>0</v>
      </c>
      <c r="H10" s="30">
        <f>Financing!C10</f>
        <v>3488.3333333333326</v>
      </c>
      <c r="I10" s="18">
        <f t="shared" si="1"/>
        <v>-803488.33333333337</v>
      </c>
      <c r="J10" s="31">
        <f t="shared" si="2"/>
        <v>-803488.33333333337</v>
      </c>
      <c r="K10" s="18">
        <f t="shared" si="3"/>
        <v>-7231394.9999999991</v>
      </c>
      <c r="L10" s="18">
        <f t="shared" si="4"/>
        <v>-7231394.9999999991</v>
      </c>
    </row>
    <row r="11" spans="1:16" x14ac:dyDescent="0.2">
      <c r="A11" s="4" t="str">
        <f t="shared" si="0"/>
        <v>Month 10</v>
      </c>
      <c r="B11" s="26">
        <v>0</v>
      </c>
      <c r="C11" s="26">
        <v>0</v>
      </c>
      <c r="D11" s="12">
        <f>'Construction costs'!$B$2</f>
        <v>800000</v>
      </c>
      <c r="E11" s="26">
        <v>0</v>
      </c>
      <c r="F11" s="26">
        <v>0</v>
      </c>
      <c r="G11" s="26">
        <f>Financing!D11</f>
        <v>0</v>
      </c>
      <c r="H11" s="30">
        <f>Financing!C11</f>
        <v>3488.3333333333326</v>
      </c>
      <c r="I11" s="18">
        <f t="shared" si="1"/>
        <v>-803488.33333333337</v>
      </c>
      <c r="J11" s="31">
        <f t="shared" si="2"/>
        <v>-803488.33333333337</v>
      </c>
      <c r="K11" s="18">
        <f t="shared" si="3"/>
        <v>-8034883.3333333321</v>
      </c>
      <c r="L11" s="18">
        <f t="shared" si="4"/>
        <v>-8034883.3333333321</v>
      </c>
    </row>
    <row r="12" spans="1:16" x14ac:dyDescent="0.2">
      <c r="A12" s="4" t="str">
        <f t="shared" si="0"/>
        <v>Month 11</v>
      </c>
      <c r="B12" s="26">
        <v>0</v>
      </c>
      <c r="C12" s="26">
        <v>0</v>
      </c>
      <c r="D12" s="12">
        <f>'Construction costs'!$B$2</f>
        <v>800000</v>
      </c>
      <c r="E12" s="26">
        <v>0</v>
      </c>
      <c r="F12" s="26">
        <v>0</v>
      </c>
      <c r="G12" s="26">
        <f>Financing!D12</f>
        <v>0</v>
      </c>
      <c r="H12" s="30">
        <f>Financing!C12</f>
        <v>3488.3333333333326</v>
      </c>
      <c r="I12" s="18">
        <f t="shared" si="1"/>
        <v>-803488.33333333337</v>
      </c>
      <c r="J12" s="31">
        <f t="shared" si="2"/>
        <v>-803488.33333333337</v>
      </c>
      <c r="K12" s="18">
        <f t="shared" si="3"/>
        <v>-8838371.666666666</v>
      </c>
      <c r="L12" s="18">
        <f t="shared" si="4"/>
        <v>-8838371.666666666</v>
      </c>
    </row>
    <row r="13" spans="1:16" x14ac:dyDescent="0.2">
      <c r="A13" s="4" t="str">
        <f t="shared" si="0"/>
        <v>Month 12</v>
      </c>
      <c r="B13" s="26">
        <v>0</v>
      </c>
      <c r="C13" s="26">
        <v>0</v>
      </c>
      <c r="D13" s="12">
        <f>'Construction costs'!$B$2</f>
        <v>800000</v>
      </c>
      <c r="E13" s="26">
        <v>0</v>
      </c>
      <c r="F13" s="26">
        <v>0</v>
      </c>
      <c r="G13" s="26">
        <f>Financing!D13</f>
        <v>0</v>
      </c>
      <c r="H13" s="30">
        <f>Financing!C13</f>
        <v>3488.3333333333326</v>
      </c>
      <c r="I13" s="18">
        <f t="shared" si="1"/>
        <v>-803488.33333333337</v>
      </c>
      <c r="J13" s="31">
        <f t="shared" si="2"/>
        <v>-803488.33333333337</v>
      </c>
      <c r="K13" s="18">
        <f t="shared" si="3"/>
        <v>-9641860</v>
      </c>
      <c r="L13" s="18">
        <f t="shared" si="4"/>
        <v>-9641860</v>
      </c>
    </row>
    <row r="14" spans="1:16" x14ac:dyDescent="0.2">
      <c r="A14" s="4" t="str">
        <f t="shared" si="0"/>
        <v>Month 13</v>
      </c>
      <c r="B14" s="26">
        <v>0</v>
      </c>
      <c r="C14" s="26">
        <v>0</v>
      </c>
      <c r="D14" s="12">
        <f>'Construction costs'!$B$2</f>
        <v>800000</v>
      </c>
      <c r="E14" s="26">
        <v>0</v>
      </c>
      <c r="F14" s="26">
        <v>0</v>
      </c>
      <c r="G14" s="26">
        <f>Financing!D14</f>
        <v>0</v>
      </c>
      <c r="H14" s="30">
        <f>Financing!C14</f>
        <v>3488.3333333333326</v>
      </c>
      <c r="I14" s="18">
        <f t="shared" si="1"/>
        <v>-803488.33333333337</v>
      </c>
      <c r="J14" s="31">
        <f t="shared" si="2"/>
        <v>-803488.33333333337</v>
      </c>
      <c r="K14" s="18">
        <f t="shared" si="3"/>
        <v>-10445348.333333334</v>
      </c>
      <c r="L14" s="18">
        <f t="shared" si="4"/>
        <v>-10445348.333333334</v>
      </c>
    </row>
    <row r="15" spans="1:16" x14ac:dyDescent="0.2">
      <c r="A15" s="4" t="str">
        <f t="shared" si="0"/>
        <v>Month 14</v>
      </c>
      <c r="B15" s="26">
        <v>0</v>
      </c>
      <c r="C15" s="26">
        <v>0</v>
      </c>
      <c r="D15" s="12">
        <f>'Construction costs'!$B$2</f>
        <v>800000</v>
      </c>
      <c r="E15" s="26">
        <v>0</v>
      </c>
      <c r="F15" s="26">
        <v>0</v>
      </c>
      <c r="G15" s="26">
        <f>Financing!D15</f>
        <v>0</v>
      </c>
      <c r="H15" s="30">
        <f>Financing!C15</f>
        <v>3488.3333333333326</v>
      </c>
      <c r="I15" s="18">
        <f t="shared" si="1"/>
        <v>-803488.33333333337</v>
      </c>
      <c r="J15" s="31">
        <f t="shared" si="2"/>
        <v>-803488.33333333337</v>
      </c>
      <c r="K15" s="18">
        <f t="shared" si="3"/>
        <v>-11248836.666666668</v>
      </c>
      <c r="L15" s="18">
        <f t="shared" si="4"/>
        <v>-11248836.666666668</v>
      </c>
    </row>
    <row r="16" spans="1:16" x14ac:dyDescent="0.2">
      <c r="A16" s="4" t="str">
        <f t="shared" si="0"/>
        <v>Month 15</v>
      </c>
      <c r="B16" s="26">
        <v>0</v>
      </c>
      <c r="C16" s="26">
        <v>0</v>
      </c>
      <c r="D16" s="12">
        <f>'Construction costs'!$B$2</f>
        <v>800000</v>
      </c>
      <c r="E16" s="26">
        <v>0</v>
      </c>
      <c r="F16" s="26">
        <v>0</v>
      </c>
      <c r="G16" s="26">
        <f>Financing!D16</f>
        <v>0</v>
      </c>
      <c r="H16" s="30">
        <f>Financing!C16</f>
        <v>3488.3333333333326</v>
      </c>
      <c r="I16" s="18">
        <f t="shared" si="1"/>
        <v>-803488.33333333337</v>
      </c>
      <c r="J16" s="31">
        <f t="shared" si="2"/>
        <v>-803488.33333333337</v>
      </c>
      <c r="K16" s="18">
        <f t="shared" si="3"/>
        <v>-12052325.000000002</v>
      </c>
      <c r="L16" s="18">
        <f t="shared" si="4"/>
        <v>-12052325.000000002</v>
      </c>
    </row>
    <row r="17" spans="1:12" x14ac:dyDescent="0.2">
      <c r="A17" s="4" t="str">
        <f t="shared" si="0"/>
        <v>Month 16</v>
      </c>
      <c r="B17" s="26">
        <v>0</v>
      </c>
      <c r="C17" s="26">
        <v>0</v>
      </c>
      <c r="D17" s="12">
        <f>'Construction costs'!$B$2</f>
        <v>800000</v>
      </c>
      <c r="E17" s="26">
        <v>0</v>
      </c>
      <c r="F17" s="26">
        <v>0</v>
      </c>
      <c r="G17" s="26">
        <f>Financing!D17</f>
        <v>0</v>
      </c>
      <c r="H17" s="30">
        <f>Financing!C17</f>
        <v>3488.3333333333326</v>
      </c>
      <c r="I17" s="18">
        <f t="shared" si="1"/>
        <v>-803488.33333333337</v>
      </c>
      <c r="J17" s="31">
        <f t="shared" si="2"/>
        <v>-803488.33333333337</v>
      </c>
      <c r="K17" s="18">
        <f t="shared" si="3"/>
        <v>-12855813.333333336</v>
      </c>
      <c r="L17" s="18">
        <f t="shared" si="4"/>
        <v>-12855813.333333336</v>
      </c>
    </row>
    <row r="18" spans="1:12" x14ac:dyDescent="0.2">
      <c r="A18" s="4" t="str">
        <f t="shared" si="0"/>
        <v>Month 17</v>
      </c>
      <c r="B18" s="26">
        <v>0</v>
      </c>
      <c r="C18" s="26">
        <v>0</v>
      </c>
      <c r="D18" s="12">
        <f>'Construction costs'!$B$2</f>
        <v>800000</v>
      </c>
      <c r="E18" s="26">
        <v>0</v>
      </c>
      <c r="F18" s="26">
        <v>0</v>
      </c>
      <c r="G18" s="26">
        <f>Financing!D18</f>
        <v>0</v>
      </c>
      <c r="H18" s="30">
        <f>Financing!C18</f>
        <v>3488.3333333333326</v>
      </c>
      <c r="I18" s="18">
        <f t="shared" si="1"/>
        <v>-803488.33333333337</v>
      </c>
      <c r="J18" s="31">
        <f t="shared" si="2"/>
        <v>-803488.33333333337</v>
      </c>
      <c r="K18" s="18">
        <f t="shared" si="3"/>
        <v>-13659301.66666667</v>
      </c>
      <c r="L18" s="18">
        <f t="shared" si="4"/>
        <v>-13659301.66666667</v>
      </c>
    </row>
    <row r="19" spans="1:12" x14ac:dyDescent="0.2">
      <c r="A19" s="4" t="str">
        <f t="shared" si="0"/>
        <v>Month 18</v>
      </c>
      <c r="B19" s="26">
        <v>0</v>
      </c>
      <c r="C19" s="26">
        <v>0</v>
      </c>
      <c r="D19" s="12">
        <f>'Construction costs'!$B$2</f>
        <v>800000</v>
      </c>
      <c r="E19" s="26">
        <v>0</v>
      </c>
      <c r="F19" s="26">
        <v>0</v>
      </c>
      <c r="G19" s="26">
        <f>Financing!D19</f>
        <v>0</v>
      </c>
      <c r="H19" s="30">
        <f>Financing!C19</f>
        <v>3488.3333333333326</v>
      </c>
      <c r="I19" s="18">
        <f t="shared" si="1"/>
        <v>-803488.33333333337</v>
      </c>
      <c r="J19" s="31">
        <f t="shared" si="2"/>
        <v>-803488.33333333337</v>
      </c>
      <c r="K19" s="18">
        <f t="shared" si="3"/>
        <v>-14462790.000000004</v>
      </c>
      <c r="L19" s="18">
        <f t="shared" si="4"/>
        <v>-14462790.000000004</v>
      </c>
    </row>
    <row r="20" spans="1:12" x14ac:dyDescent="0.2">
      <c r="A20" s="4" t="str">
        <f t="shared" si="0"/>
        <v>Month 19</v>
      </c>
      <c r="B20" s="26">
        <v>0</v>
      </c>
      <c r="C20" s="26">
        <v>0</v>
      </c>
      <c r="D20" s="12">
        <f>'Construction costs'!$B$2</f>
        <v>800000</v>
      </c>
      <c r="E20" s="26">
        <v>0</v>
      </c>
      <c r="F20" s="26">
        <v>0</v>
      </c>
      <c r="G20" s="26">
        <f>Financing!D20</f>
        <v>0</v>
      </c>
      <c r="H20" s="30">
        <f>Financing!C20</f>
        <v>3488.3333333333326</v>
      </c>
      <c r="I20" s="18">
        <f t="shared" si="1"/>
        <v>-803488.33333333337</v>
      </c>
      <c r="J20" s="31">
        <f t="shared" si="2"/>
        <v>-803488.33333333337</v>
      </c>
      <c r="K20" s="18">
        <f t="shared" si="3"/>
        <v>-15266278.333333338</v>
      </c>
      <c r="L20" s="18">
        <f t="shared" si="4"/>
        <v>-15266278.333333338</v>
      </c>
    </row>
    <row r="21" spans="1:12" x14ac:dyDescent="0.2">
      <c r="A21" s="4" t="str">
        <f t="shared" si="0"/>
        <v>Month 20</v>
      </c>
      <c r="B21" s="26">
        <v>0</v>
      </c>
      <c r="C21" s="26">
        <v>0</v>
      </c>
      <c r="D21" s="12">
        <f>'Construction costs'!$B$2</f>
        <v>800000</v>
      </c>
      <c r="E21" s="26">
        <v>0</v>
      </c>
      <c r="F21" s="26">
        <v>0</v>
      </c>
      <c r="G21" s="26">
        <f>Financing!D21</f>
        <v>0</v>
      </c>
      <c r="H21" s="30">
        <f>Financing!C21</f>
        <v>3488.3333333333326</v>
      </c>
      <c r="I21" s="18">
        <f t="shared" si="1"/>
        <v>-803488.33333333337</v>
      </c>
      <c r="J21" s="31">
        <f t="shared" si="2"/>
        <v>-803488.33333333337</v>
      </c>
      <c r="K21" s="18">
        <f t="shared" si="3"/>
        <v>-16069766.666666672</v>
      </c>
      <c r="L21" s="18">
        <f t="shared" si="4"/>
        <v>-16069766.666666672</v>
      </c>
    </row>
    <row r="22" spans="1:12" x14ac:dyDescent="0.2">
      <c r="A22" s="4" t="str">
        <f t="shared" si="0"/>
        <v>Month 21</v>
      </c>
      <c r="B22" s="26">
        <v>0</v>
      </c>
      <c r="C22" s="26">
        <v>0</v>
      </c>
      <c r="D22" s="12">
        <f>'Construction costs'!$B$2</f>
        <v>800000</v>
      </c>
      <c r="E22" s="26">
        <v>0</v>
      </c>
      <c r="F22" s="26">
        <v>0</v>
      </c>
      <c r="G22" s="26">
        <f>Financing!D22</f>
        <v>0</v>
      </c>
      <c r="H22" s="30">
        <f>Financing!C22</f>
        <v>3488.3333333333326</v>
      </c>
      <c r="I22" s="18">
        <f t="shared" si="1"/>
        <v>-803488.33333333337</v>
      </c>
      <c r="J22" s="31">
        <f t="shared" si="2"/>
        <v>-803488.33333333337</v>
      </c>
      <c r="K22" s="18">
        <f t="shared" si="3"/>
        <v>-16873255.000000004</v>
      </c>
      <c r="L22" s="18">
        <f t="shared" si="4"/>
        <v>-16873255.000000004</v>
      </c>
    </row>
    <row r="23" spans="1:12" x14ac:dyDescent="0.2">
      <c r="A23" s="4" t="str">
        <f t="shared" si="0"/>
        <v>Month 22</v>
      </c>
      <c r="B23" s="26">
        <v>0</v>
      </c>
      <c r="C23" s="26">
        <v>0</v>
      </c>
      <c r="D23" s="12">
        <f>'Construction costs'!$B$2</f>
        <v>800000</v>
      </c>
      <c r="E23" s="26">
        <v>0</v>
      </c>
      <c r="F23" s="26">
        <v>0</v>
      </c>
      <c r="G23" s="26">
        <f>Financing!D23</f>
        <v>0</v>
      </c>
      <c r="H23" s="30">
        <f>Financing!C23</f>
        <v>3488.3333333333326</v>
      </c>
      <c r="I23" s="18">
        <f t="shared" si="1"/>
        <v>-803488.33333333337</v>
      </c>
      <c r="J23" s="31">
        <f t="shared" si="2"/>
        <v>-803488.33333333337</v>
      </c>
      <c r="K23" s="18">
        <f t="shared" si="3"/>
        <v>-17676743.333333336</v>
      </c>
      <c r="L23" s="18">
        <f t="shared" si="4"/>
        <v>-17676743.333333336</v>
      </c>
    </row>
    <row r="24" spans="1:12" x14ac:dyDescent="0.2">
      <c r="A24" s="4" t="str">
        <f t="shared" si="0"/>
        <v>Month 23</v>
      </c>
      <c r="B24" s="26">
        <v>0</v>
      </c>
      <c r="C24" s="26">
        <v>0</v>
      </c>
      <c r="D24" s="12">
        <f>'Construction costs'!$B$2</f>
        <v>800000</v>
      </c>
      <c r="E24" s="26">
        <v>0</v>
      </c>
      <c r="F24" s="26">
        <v>0</v>
      </c>
      <c r="G24" s="26">
        <f>Financing!D24</f>
        <v>0</v>
      </c>
      <c r="H24" s="30">
        <f>Financing!C24</f>
        <v>3488.3333333333326</v>
      </c>
      <c r="I24" s="18">
        <f t="shared" si="1"/>
        <v>-803488.33333333337</v>
      </c>
      <c r="J24" s="31">
        <f t="shared" si="2"/>
        <v>-803488.33333333337</v>
      </c>
      <c r="K24" s="18">
        <f t="shared" si="3"/>
        <v>-18480231.666666668</v>
      </c>
      <c r="L24" s="18">
        <f t="shared" si="4"/>
        <v>-18480231.666666668</v>
      </c>
    </row>
    <row r="25" spans="1:12" x14ac:dyDescent="0.2">
      <c r="A25" s="4" t="str">
        <f t="shared" si="0"/>
        <v>Month 24</v>
      </c>
      <c r="B25" s="26">
        <v>0</v>
      </c>
      <c r="C25" s="26">
        <v>0</v>
      </c>
      <c r="D25" s="12">
        <f>'Construction costs'!$B$2</f>
        <v>800000</v>
      </c>
      <c r="E25" s="26">
        <v>0</v>
      </c>
      <c r="F25" s="26">
        <v>0</v>
      </c>
      <c r="G25" s="26">
        <f>Financing!D25</f>
        <v>0</v>
      </c>
      <c r="H25" s="30">
        <f>Financing!C25</f>
        <v>3488.3333333333326</v>
      </c>
      <c r="I25" s="18">
        <f t="shared" si="1"/>
        <v>-803488.33333333337</v>
      </c>
      <c r="J25" s="31">
        <f t="shared" si="2"/>
        <v>-803488.33333333337</v>
      </c>
      <c r="K25" s="18">
        <f t="shared" si="3"/>
        <v>-19283720</v>
      </c>
      <c r="L25" s="18">
        <f t="shared" si="4"/>
        <v>-19283720</v>
      </c>
    </row>
    <row r="26" spans="1:12" x14ac:dyDescent="0.2">
      <c r="A26" s="4" t="str">
        <f t="shared" si="0"/>
        <v>Month 25</v>
      </c>
      <c r="B26" s="26">
        <v>0</v>
      </c>
      <c r="C26" s="26">
        <v>0</v>
      </c>
      <c r="D26" s="12">
        <f>'Construction costs'!$B$2</f>
        <v>800000</v>
      </c>
      <c r="E26" s="26">
        <v>0</v>
      </c>
      <c r="F26" s="26">
        <v>0</v>
      </c>
      <c r="G26" s="26">
        <f>Financing!D26</f>
        <v>0</v>
      </c>
      <c r="H26" s="30">
        <f>Financing!C26</f>
        <v>3488.3333333333326</v>
      </c>
      <c r="I26" s="18">
        <f t="shared" si="1"/>
        <v>-803488.33333333337</v>
      </c>
      <c r="J26" s="31">
        <f t="shared" si="2"/>
        <v>-803488.33333333337</v>
      </c>
      <c r="K26" s="18">
        <f t="shared" si="3"/>
        <v>-20087208.333333332</v>
      </c>
      <c r="L26" s="18">
        <f t="shared" si="4"/>
        <v>-20087208.333333332</v>
      </c>
    </row>
    <row r="27" spans="1:12" x14ac:dyDescent="0.2">
      <c r="A27" s="4" t="str">
        <f t="shared" si="0"/>
        <v>Month 26</v>
      </c>
      <c r="B27" s="26">
        <v>0</v>
      </c>
      <c r="C27" s="26">
        <v>0</v>
      </c>
      <c r="D27" s="12">
        <f>'Construction costs'!$B$2</f>
        <v>800000</v>
      </c>
      <c r="E27" s="26">
        <v>0</v>
      </c>
      <c r="F27" s="26">
        <v>0</v>
      </c>
      <c r="G27" s="26">
        <f>Financing!D27</f>
        <v>0</v>
      </c>
      <c r="H27" s="30">
        <f>Financing!C27</f>
        <v>3488.3333333333326</v>
      </c>
      <c r="I27" s="18">
        <f t="shared" si="1"/>
        <v>-803488.33333333337</v>
      </c>
      <c r="J27" s="31">
        <f t="shared" si="2"/>
        <v>-803488.33333333337</v>
      </c>
      <c r="K27" s="18">
        <f t="shared" si="3"/>
        <v>-20890696.666666664</v>
      </c>
      <c r="L27" s="18">
        <f t="shared" si="4"/>
        <v>-20890696.666666664</v>
      </c>
    </row>
    <row r="28" spans="1:12" x14ac:dyDescent="0.2">
      <c r="A28" s="4" t="str">
        <f t="shared" si="0"/>
        <v>Month 27</v>
      </c>
      <c r="B28" s="26">
        <v>0</v>
      </c>
      <c r="C28" s="26">
        <v>0</v>
      </c>
      <c r="D28" s="12">
        <f>'Construction costs'!$B$2</f>
        <v>800000</v>
      </c>
      <c r="E28" s="26">
        <v>0</v>
      </c>
      <c r="F28" s="26">
        <v>0</v>
      </c>
      <c r="G28" s="26">
        <f>Financing!D28</f>
        <v>0</v>
      </c>
      <c r="H28" s="30">
        <f>Financing!C28</f>
        <v>3488.3333333333326</v>
      </c>
      <c r="I28" s="18">
        <f t="shared" si="1"/>
        <v>-803488.33333333337</v>
      </c>
      <c r="J28" s="31">
        <f t="shared" si="2"/>
        <v>-803488.33333333337</v>
      </c>
      <c r="K28" s="18">
        <f t="shared" si="3"/>
        <v>-21694184.999999996</v>
      </c>
      <c r="L28" s="18">
        <f t="shared" si="4"/>
        <v>-21694184.999999996</v>
      </c>
    </row>
    <row r="29" spans="1:12" x14ac:dyDescent="0.2">
      <c r="A29" s="4" t="str">
        <f t="shared" si="0"/>
        <v>Month 28</v>
      </c>
      <c r="B29" s="26">
        <v>0</v>
      </c>
      <c r="C29" s="26">
        <v>0</v>
      </c>
      <c r="D29" s="12">
        <f>'Construction costs'!$B$2</f>
        <v>800000</v>
      </c>
      <c r="E29" s="26">
        <v>0</v>
      </c>
      <c r="F29" s="26">
        <v>0</v>
      </c>
      <c r="G29" s="26">
        <f>Financing!D29</f>
        <v>0</v>
      </c>
      <c r="H29" s="30">
        <f>Financing!C29</f>
        <v>3488.3333333333326</v>
      </c>
      <c r="I29" s="18">
        <f t="shared" si="1"/>
        <v>-803488.33333333337</v>
      </c>
      <c r="J29" s="31">
        <f t="shared" si="2"/>
        <v>-803488.33333333337</v>
      </c>
      <c r="K29" s="18">
        <f t="shared" si="3"/>
        <v>-22497673.333333328</v>
      </c>
      <c r="L29" s="18">
        <f t="shared" si="4"/>
        <v>-22497673.333333328</v>
      </c>
    </row>
    <row r="30" spans="1:12" x14ac:dyDescent="0.2">
      <c r="A30" s="4" t="str">
        <f t="shared" si="0"/>
        <v>Month 29</v>
      </c>
      <c r="B30" s="26">
        <v>0</v>
      </c>
      <c r="C30" s="26">
        <v>0</v>
      </c>
      <c r="D30" s="12">
        <f>'Construction costs'!$B$2</f>
        <v>800000</v>
      </c>
      <c r="E30" s="26">
        <v>0</v>
      </c>
      <c r="F30" s="26">
        <v>0</v>
      </c>
      <c r="G30" s="26">
        <f>Financing!D30</f>
        <v>0</v>
      </c>
      <c r="H30" s="30">
        <f>Financing!C30</f>
        <v>3488.3333333333326</v>
      </c>
      <c r="I30" s="18">
        <f t="shared" si="1"/>
        <v>-803488.33333333337</v>
      </c>
      <c r="J30" s="31">
        <f t="shared" si="2"/>
        <v>-803488.33333333337</v>
      </c>
      <c r="K30" s="18">
        <f t="shared" si="3"/>
        <v>-23301161.66666666</v>
      </c>
      <c r="L30" s="18">
        <f t="shared" si="4"/>
        <v>-23301161.66666666</v>
      </c>
    </row>
    <row r="31" spans="1:12" x14ac:dyDescent="0.2">
      <c r="A31" s="4" t="str">
        <f t="shared" si="0"/>
        <v>Month 30</v>
      </c>
      <c r="B31" s="26">
        <v>0</v>
      </c>
      <c r="C31" s="26">
        <v>0</v>
      </c>
      <c r="D31" s="12">
        <f>'Construction costs'!$B$2</f>
        <v>800000</v>
      </c>
      <c r="E31" s="26">
        <v>0</v>
      </c>
      <c r="F31" s="26">
        <v>0</v>
      </c>
      <c r="G31" s="26">
        <f>Financing!D31</f>
        <v>0</v>
      </c>
      <c r="H31" s="30">
        <f>Financing!C31</f>
        <v>3488.3333333333326</v>
      </c>
      <c r="I31" s="18">
        <f t="shared" si="1"/>
        <v>-803488.33333333337</v>
      </c>
      <c r="J31" s="31">
        <f t="shared" si="2"/>
        <v>-803488.33333333337</v>
      </c>
      <c r="K31" s="18">
        <f t="shared" si="3"/>
        <v>-24104649.999999993</v>
      </c>
      <c r="L31" s="18">
        <f t="shared" si="4"/>
        <v>-24104649.999999993</v>
      </c>
    </row>
    <row r="32" spans="1:12" x14ac:dyDescent="0.2">
      <c r="A32" s="4" t="str">
        <f t="shared" si="0"/>
        <v>Month 31</v>
      </c>
      <c r="B32" s="12">
        <f>'Sales Projections'!$B$2*Assumptions!$C$14</f>
        <v>2916666.666666667</v>
      </c>
      <c r="C32" s="12">
        <f>'Leasing Projections'!$C$2</f>
        <v>212500</v>
      </c>
      <c r="D32" s="26">
        <v>0</v>
      </c>
      <c r="E32" s="27">
        <f>'Sales Projections'!D2</f>
        <v>145833.33333333334</v>
      </c>
      <c r="F32" s="28">
        <f>'Leasing Projections'!$D$2+'Cash Flow Statement'!$O$2+'Cash Flow Statement'!$O$3+'Cash Flow Statement'!$O$4</f>
        <v>72000</v>
      </c>
      <c r="G32" s="26">
        <f>Financing!D32</f>
        <v>249166.66666666666</v>
      </c>
      <c r="H32" s="30">
        <f>'Loan Amortization'!D2</f>
        <v>104650</v>
      </c>
      <c r="I32" s="18">
        <f t="shared" si="1"/>
        <v>2417016.666666667</v>
      </c>
      <c r="J32" s="31">
        <f>C32-F32-G32-H32</f>
        <v>-213316.66666666666</v>
      </c>
      <c r="K32" s="18">
        <f t="shared" si="3"/>
        <v>-21687633.333333325</v>
      </c>
      <c r="L32" s="18">
        <f t="shared" si="4"/>
        <v>-24317966.66666666</v>
      </c>
    </row>
    <row r="33" spans="1:12" x14ac:dyDescent="0.2">
      <c r="A33" s="4" t="str">
        <f t="shared" si="0"/>
        <v>Month 32</v>
      </c>
      <c r="B33" s="12">
        <f>'Sales Projections'!$B$2*Assumptions!$C$14</f>
        <v>2916666.666666667</v>
      </c>
      <c r="C33" s="12">
        <f>'Leasing Projections'!$C$2</f>
        <v>212500</v>
      </c>
      <c r="D33" s="26">
        <v>0</v>
      </c>
      <c r="E33" s="27">
        <f>'Sales Projections'!D3</f>
        <v>145833.33333333334</v>
      </c>
      <c r="F33" s="28">
        <f>'Leasing Projections'!$D$2+'Cash Flow Statement'!$O$2+'Cash Flow Statement'!$O$3+'Cash Flow Statement'!$O$4</f>
        <v>72000</v>
      </c>
      <c r="G33" s="26">
        <f>Financing!D33</f>
        <v>249166.66666666666</v>
      </c>
      <c r="H33" s="30">
        <f>'Loan Amortization'!D3</f>
        <v>103404</v>
      </c>
      <c r="I33" s="18">
        <f t="shared" si="1"/>
        <v>2418262.666666667</v>
      </c>
      <c r="J33" s="31">
        <f t="shared" ref="J33:J90" si="5">C33-F33-G33-H33</f>
        <v>-212070.66666666666</v>
      </c>
      <c r="K33" s="18">
        <f t="shared" si="3"/>
        <v>-19269370.666666657</v>
      </c>
      <c r="L33" s="18">
        <f t="shared" si="4"/>
        <v>-24530037.333333328</v>
      </c>
    </row>
    <row r="34" spans="1:12" x14ac:dyDescent="0.2">
      <c r="A34" s="4" t="str">
        <f t="shared" si="0"/>
        <v>Month 33</v>
      </c>
      <c r="B34" s="12">
        <f>'Sales Projections'!$B$2*Assumptions!$C$14</f>
        <v>2916666.666666667</v>
      </c>
      <c r="C34" s="12">
        <f>'Leasing Projections'!$C$2</f>
        <v>212500</v>
      </c>
      <c r="D34" s="26">
        <v>0</v>
      </c>
      <c r="E34" s="27">
        <f>'Sales Projections'!D4</f>
        <v>145833.33333333334</v>
      </c>
      <c r="F34" s="28">
        <f>'Leasing Projections'!$D$2+'Cash Flow Statement'!$O$2+'Cash Flow Statement'!$O$3+'Cash Flow Statement'!$O$4</f>
        <v>72000</v>
      </c>
      <c r="G34" s="26">
        <f>Financing!D34</f>
        <v>249166.66666666666</v>
      </c>
      <c r="H34" s="30">
        <f>'Loan Amortization'!D4</f>
        <v>102158</v>
      </c>
      <c r="I34" s="18">
        <f t="shared" si="1"/>
        <v>2419508.666666667</v>
      </c>
      <c r="J34" s="31">
        <f t="shared" si="5"/>
        <v>-210824.66666666666</v>
      </c>
      <c r="K34" s="18">
        <f t="shared" si="3"/>
        <v>-16849861.999999989</v>
      </c>
      <c r="L34" s="18">
        <f t="shared" si="4"/>
        <v>-24740861.999999996</v>
      </c>
    </row>
    <row r="35" spans="1:12" x14ac:dyDescent="0.2">
      <c r="A35" s="4" t="str">
        <f t="shared" si="0"/>
        <v>Month 34</v>
      </c>
      <c r="B35" s="12">
        <f>'Sales Projections'!$B$2*Assumptions!$C$14</f>
        <v>2916666.666666667</v>
      </c>
      <c r="C35" s="12">
        <f>'Leasing Projections'!$C$2</f>
        <v>212500</v>
      </c>
      <c r="D35" s="26">
        <v>0</v>
      </c>
      <c r="E35" s="27">
        <f>'Sales Projections'!D5</f>
        <v>145833.33333333334</v>
      </c>
      <c r="F35" s="28">
        <f>'Leasing Projections'!$D$2+'Cash Flow Statement'!$O$2+'Cash Flow Statement'!$O$3+'Cash Flow Statement'!$O$4</f>
        <v>72000</v>
      </c>
      <c r="G35" s="26">
        <f>Financing!D35</f>
        <v>249166.66666666666</v>
      </c>
      <c r="H35" s="30">
        <f>'Loan Amortization'!D5</f>
        <v>100912</v>
      </c>
      <c r="I35" s="18">
        <f t="shared" si="1"/>
        <v>2420754.666666667</v>
      </c>
      <c r="J35" s="31">
        <f t="shared" si="5"/>
        <v>-209578.66666666666</v>
      </c>
      <c r="K35" s="18">
        <f t="shared" si="3"/>
        <v>-14429107.333333321</v>
      </c>
      <c r="L35" s="18">
        <f t="shared" si="4"/>
        <v>-24950440.666666664</v>
      </c>
    </row>
    <row r="36" spans="1:12" x14ac:dyDescent="0.2">
      <c r="A36" s="4" t="str">
        <f t="shared" si="0"/>
        <v>Month 35</v>
      </c>
      <c r="B36" s="12">
        <f>'Sales Projections'!$B$2*Assumptions!$C$14</f>
        <v>2916666.666666667</v>
      </c>
      <c r="C36" s="12">
        <f>'Leasing Projections'!$C$2</f>
        <v>212500</v>
      </c>
      <c r="D36" s="26">
        <v>0</v>
      </c>
      <c r="E36" s="27">
        <f>'Sales Projections'!D6</f>
        <v>145833.33333333334</v>
      </c>
      <c r="F36" s="28">
        <f>'Leasing Projections'!$D$2+'Cash Flow Statement'!$O$2+'Cash Flow Statement'!$O$3+'Cash Flow Statement'!$O$4</f>
        <v>72000</v>
      </c>
      <c r="G36" s="26">
        <f>Financing!D36</f>
        <v>249166.66666666666</v>
      </c>
      <c r="H36" s="30">
        <f>'Loan Amortization'!D6</f>
        <v>99667</v>
      </c>
      <c r="I36" s="18">
        <f t="shared" si="1"/>
        <v>2421999.666666667</v>
      </c>
      <c r="J36" s="31">
        <f t="shared" si="5"/>
        <v>-208333.66666666666</v>
      </c>
      <c r="K36" s="18">
        <f t="shared" si="3"/>
        <v>-12007107.666666653</v>
      </c>
      <c r="L36" s="18">
        <f t="shared" si="4"/>
        <v>-25158774.333333332</v>
      </c>
    </row>
    <row r="37" spans="1:12" x14ac:dyDescent="0.2">
      <c r="A37" s="4" t="str">
        <f t="shared" si="0"/>
        <v>Month 36</v>
      </c>
      <c r="B37" s="12">
        <f>'Sales Projections'!$B$2*Assumptions!$C$14</f>
        <v>2916666.666666667</v>
      </c>
      <c r="C37" s="12">
        <f>'Leasing Projections'!$C$2</f>
        <v>212500</v>
      </c>
      <c r="D37" s="26">
        <v>0</v>
      </c>
      <c r="E37" s="27">
        <f>'Sales Projections'!D7</f>
        <v>145833.33333333334</v>
      </c>
      <c r="F37" s="28">
        <f>'Leasing Projections'!$D$2+'Cash Flow Statement'!$O$2+'Cash Flow Statement'!$O$3+'Cash Flow Statement'!$O$4</f>
        <v>72000</v>
      </c>
      <c r="G37" s="26">
        <f>Financing!D37</f>
        <v>249166.66666666666</v>
      </c>
      <c r="H37" s="30">
        <f>'Loan Amortization'!D7</f>
        <v>98421</v>
      </c>
      <c r="I37" s="18">
        <f t="shared" si="1"/>
        <v>2423245.666666667</v>
      </c>
      <c r="J37" s="31">
        <f t="shared" si="5"/>
        <v>-207087.66666666666</v>
      </c>
      <c r="K37" s="18">
        <f t="shared" si="3"/>
        <v>-9583861.9999999851</v>
      </c>
      <c r="L37" s="18">
        <f t="shared" si="4"/>
        <v>-25365862</v>
      </c>
    </row>
    <row r="38" spans="1:12" x14ac:dyDescent="0.2">
      <c r="A38" s="4" t="str">
        <f t="shared" si="0"/>
        <v>Month 37</v>
      </c>
      <c r="B38" s="12">
        <f>'Sales Projections'!$B$2*Assumptions!$C$14</f>
        <v>2916666.666666667</v>
      </c>
      <c r="C38" s="12">
        <f>'Leasing Projections'!$C$2</f>
        <v>212500</v>
      </c>
      <c r="D38" s="26">
        <v>0</v>
      </c>
      <c r="E38" s="27">
        <f>'Sales Projections'!D8</f>
        <v>145833.33333333334</v>
      </c>
      <c r="F38" s="28">
        <f>'Leasing Projections'!$D$2+'Cash Flow Statement'!$O$2+'Cash Flow Statement'!$O$3+'Cash Flow Statement'!$O$4</f>
        <v>72000</v>
      </c>
      <c r="G38" s="26">
        <f>Financing!D38</f>
        <v>249166.66666666666</v>
      </c>
      <c r="H38" s="30">
        <f>'Loan Amortization'!D8</f>
        <v>97175</v>
      </c>
      <c r="I38" s="18">
        <f t="shared" si="1"/>
        <v>2424491.666666667</v>
      </c>
      <c r="J38" s="31">
        <f t="shared" si="5"/>
        <v>-205841.66666666666</v>
      </c>
      <c r="K38" s="18">
        <f t="shared" si="3"/>
        <v>-7159370.3333333181</v>
      </c>
      <c r="L38" s="18">
        <f t="shared" si="4"/>
        <v>-25571703.666666668</v>
      </c>
    </row>
    <row r="39" spans="1:12" x14ac:dyDescent="0.2">
      <c r="A39" s="4" t="str">
        <f t="shared" si="0"/>
        <v>Month 38</v>
      </c>
      <c r="B39" s="12">
        <f>'Sales Projections'!$B$2*Assumptions!$C$14</f>
        <v>2916666.666666667</v>
      </c>
      <c r="C39" s="12">
        <f>'Leasing Projections'!$C$2</f>
        <v>212500</v>
      </c>
      <c r="D39" s="26">
        <v>0</v>
      </c>
      <c r="E39" s="27">
        <f>'Sales Projections'!D9</f>
        <v>145833.33333333334</v>
      </c>
      <c r="F39" s="28">
        <f>'Leasing Projections'!$D$2+'Cash Flow Statement'!$O$2+'Cash Flow Statement'!$O$3+'Cash Flow Statement'!$O$4</f>
        <v>72000</v>
      </c>
      <c r="G39" s="26">
        <f>Financing!D39</f>
        <v>249166.66666666666</v>
      </c>
      <c r="H39" s="30">
        <f>'Loan Amortization'!D9</f>
        <v>95929</v>
      </c>
      <c r="I39" s="18">
        <f t="shared" si="1"/>
        <v>2425737.666666667</v>
      </c>
      <c r="J39" s="31">
        <f t="shared" si="5"/>
        <v>-204595.66666666666</v>
      </c>
      <c r="K39" s="18">
        <f t="shared" si="3"/>
        <v>-4733632.6666666511</v>
      </c>
      <c r="L39" s="18">
        <f t="shared" si="4"/>
        <v>-25776299.333333336</v>
      </c>
    </row>
    <row r="40" spans="1:12" x14ac:dyDescent="0.2">
      <c r="A40" s="4" t="str">
        <f t="shared" si="0"/>
        <v>Month 39</v>
      </c>
      <c r="B40" s="12">
        <f>'Sales Projections'!$B$2*Assumptions!$C$14</f>
        <v>2916666.666666667</v>
      </c>
      <c r="C40" s="12">
        <f>'Leasing Projections'!$C$2</f>
        <v>212500</v>
      </c>
      <c r="D40" s="26">
        <v>0</v>
      </c>
      <c r="E40" s="27">
        <f>'Sales Projections'!D10</f>
        <v>145833.33333333334</v>
      </c>
      <c r="F40" s="28">
        <f>'Leasing Projections'!$D$2+'Cash Flow Statement'!$O$2+'Cash Flow Statement'!$O$3+'Cash Flow Statement'!$O$4</f>
        <v>72000</v>
      </c>
      <c r="G40" s="26">
        <f>Financing!D40</f>
        <v>249166.66666666666</v>
      </c>
      <c r="H40" s="30">
        <f>'Loan Amortization'!D10</f>
        <v>94683</v>
      </c>
      <c r="I40" s="18">
        <f t="shared" si="1"/>
        <v>2426983.666666667</v>
      </c>
      <c r="J40" s="31">
        <f t="shared" si="5"/>
        <v>-203349.66666666666</v>
      </c>
      <c r="K40" s="18">
        <f t="shared" si="3"/>
        <v>-2306648.9999999842</v>
      </c>
      <c r="L40" s="18">
        <f t="shared" si="4"/>
        <v>-25979649.000000004</v>
      </c>
    </row>
    <row r="41" spans="1:12" x14ac:dyDescent="0.2">
      <c r="A41" s="4" t="str">
        <f t="shared" si="0"/>
        <v>Month 40</v>
      </c>
      <c r="B41" s="12">
        <f>'Sales Projections'!$B$2*Assumptions!$C$14</f>
        <v>2916666.666666667</v>
      </c>
      <c r="C41" s="12">
        <f>'Leasing Projections'!$C$2</f>
        <v>212500</v>
      </c>
      <c r="D41" s="26">
        <v>0</v>
      </c>
      <c r="E41" s="27">
        <f>'Sales Projections'!D11</f>
        <v>145833.33333333334</v>
      </c>
      <c r="F41" s="28">
        <f>'Leasing Projections'!$D$2+'Cash Flow Statement'!$O$2+'Cash Flow Statement'!$O$3+'Cash Flow Statement'!$O$4</f>
        <v>72000</v>
      </c>
      <c r="G41" s="26">
        <f>Financing!D41</f>
        <v>249166.66666666666</v>
      </c>
      <c r="H41" s="30">
        <f>'Loan Amortization'!D11</f>
        <v>93437</v>
      </c>
      <c r="I41" s="18">
        <f t="shared" si="1"/>
        <v>2428229.666666667</v>
      </c>
      <c r="J41" s="31">
        <f t="shared" si="5"/>
        <v>-202103.66666666666</v>
      </c>
      <c r="K41" s="18">
        <f t="shared" si="3"/>
        <v>121580.66666668281</v>
      </c>
      <c r="L41" s="18">
        <f t="shared" si="4"/>
        <v>-26181752.666666672</v>
      </c>
    </row>
    <row r="42" spans="1:12" x14ac:dyDescent="0.2">
      <c r="A42" s="4" t="str">
        <f t="shared" si="0"/>
        <v>Month 41</v>
      </c>
      <c r="B42" s="12">
        <f>'Sales Projections'!$B$2*Assumptions!$C$14</f>
        <v>2916666.666666667</v>
      </c>
      <c r="C42" s="12">
        <f>'Leasing Projections'!$C$2</f>
        <v>212500</v>
      </c>
      <c r="D42" s="26">
        <v>0</v>
      </c>
      <c r="E42" s="27">
        <f>'Sales Projections'!D12</f>
        <v>145833.33333333334</v>
      </c>
      <c r="F42" s="28">
        <f>'Leasing Projections'!$D$2+'Cash Flow Statement'!$O$2+'Cash Flow Statement'!$O$3+'Cash Flow Statement'!$O$4</f>
        <v>72000</v>
      </c>
      <c r="G42" s="26">
        <f>Financing!D42</f>
        <v>249166.66666666666</v>
      </c>
      <c r="H42" s="30">
        <f>'Loan Amortization'!D12</f>
        <v>92192</v>
      </c>
      <c r="I42" s="18">
        <f t="shared" si="1"/>
        <v>2429474.666666667</v>
      </c>
      <c r="J42" s="31">
        <f t="shared" si="5"/>
        <v>-200858.66666666666</v>
      </c>
      <c r="K42" s="18">
        <f t="shared" si="3"/>
        <v>2551055.3333333498</v>
      </c>
      <c r="L42" s="18">
        <f t="shared" si="4"/>
        <v>-26382611.33333334</v>
      </c>
    </row>
    <row r="43" spans="1:12" x14ac:dyDescent="0.2">
      <c r="A43" s="4" t="str">
        <f t="shared" si="0"/>
        <v>Month 42</v>
      </c>
      <c r="B43" s="12">
        <f>'Sales Projections'!$B$2*Assumptions!$C$14</f>
        <v>2916666.666666667</v>
      </c>
      <c r="C43" s="12">
        <f>'Leasing Projections'!$C$2</f>
        <v>212500</v>
      </c>
      <c r="D43" s="26">
        <v>0</v>
      </c>
      <c r="E43" s="27">
        <f>'Sales Projections'!D13</f>
        <v>145833.33333333334</v>
      </c>
      <c r="F43" s="28">
        <f>'Leasing Projections'!$D$2+'Cash Flow Statement'!$O$2+'Cash Flow Statement'!$O$3+'Cash Flow Statement'!$O$4</f>
        <v>72000</v>
      </c>
      <c r="G43" s="26">
        <f>Financing!D43</f>
        <v>249166.66666666666</v>
      </c>
      <c r="H43" s="30">
        <f>'Loan Amortization'!D13</f>
        <v>90946</v>
      </c>
      <c r="I43" s="18">
        <f t="shared" si="1"/>
        <v>2430720.666666667</v>
      </c>
      <c r="J43" s="31">
        <f t="shared" si="5"/>
        <v>-199612.66666666666</v>
      </c>
      <c r="K43" s="18">
        <f t="shared" si="3"/>
        <v>4981776.0000000168</v>
      </c>
      <c r="L43" s="18">
        <f t="shared" si="4"/>
        <v>-26582224.000000007</v>
      </c>
    </row>
    <row r="44" spans="1:12" x14ac:dyDescent="0.2">
      <c r="A44" s="4" t="str">
        <f t="shared" si="0"/>
        <v>Month 43</v>
      </c>
      <c r="B44" s="26">
        <v>0</v>
      </c>
      <c r="C44" s="12">
        <f>'Leasing Projections'!$C$2</f>
        <v>212500</v>
      </c>
      <c r="D44" s="26">
        <v>0</v>
      </c>
      <c r="E44" s="26">
        <v>0</v>
      </c>
      <c r="F44" s="28">
        <f>'Leasing Projections'!$D$2+'Cash Flow Statement'!$O$2+'Cash Flow Statement'!$O$3+'Cash Flow Statement'!$O$4</f>
        <v>72000</v>
      </c>
      <c r="G44" s="26">
        <f>Financing!D44</f>
        <v>249166.66666666666</v>
      </c>
      <c r="H44" s="30">
        <f>'Loan Amortization'!D14</f>
        <v>89700</v>
      </c>
      <c r="I44" s="26">
        <v>0</v>
      </c>
      <c r="J44" s="31">
        <f t="shared" si="5"/>
        <v>-198366.66666666666</v>
      </c>
      <c r="K44" s="18">
        <f t="shared" si="3"/>
        <v>4981776.0000000168</v>
      </c>
      <c r="L44" s="18">
        <f t="shared" si="4"/>
        <v>-26780590.666666675</v>
      </c>
    </row>
    <row r="45" spans="1:12" x14ac:dyDescent="0.2">
      <c r="A45" s="4" t="str">
        <f t="shared" si="0"/>
        <v>Month 44</v>
      </c>
      <c r="B45" s="26">
        <v>0</v>
      </c>
      <c r="C45" s="12">
        <f>'Leasing Projections'!$C$2</f>
        <v>212500</v>
      </c>
      <c r="D45" s="26">
        <v>0</v>
      </c>
      <c r="E45" s="26">
        <v>0</v>
      </c>
      <c r="F45" s="28">
        <f>'Leasing Projections'!$D$2+'Cash Flow Statement'!$O$2+'Cash Flow Statement'!$O$3+'Cash Flow Statement'!$O$4</f>
        <v>72000</v>
      </c>
      <c r="G45" s="26">
        <f>Financing!D45</f>
        <v>249166.66666666666</v>
      </c>
      <c r="H45" s="30">
        <f>'Loan Amortization'!D15</f>
        <v>88454</v>
      </c>
      <c r="I45" s="26">
        <v>0</v>
      </c>
      <c r="J45" s="31">
        <f t="shared" si="5"/>
        <v>-197120.66666666666</v>
      </c>
      <c r="K45" s="18">
        <f t="shared" si="3"/>
        <v>4981776.0000000168</v>
      </c>
      <c r="L45" s="18">
        <f t="shared" si="4"/>
        <v>-26977711.333333343</v>
      </c>
    </row>
    <row r="46" spans="1:12" x14ac:dyDescent="0.2">
      <c r="A46" s="4" t="str">
        <f t="shared" si="0"/>
        <v>Month 45</v>
      </c>
      <c r="B46" s="26">
        <v>0</v>
      </c>
      <c r="C46" s="12">
        <f>'Leasing Projections'!$C$2</f>
        <v>212500</v>
      </c>
      <c r="D46" s="26">
        <v>0</v>
      </c>
      <c r="E46" s="26">
        <v>0</v>
      </c>
      <c r="F46" s="28">
        <f>'Leasing Projections'!$D$2+'Cash Flow Statement'!$O$2+'Cash Flow Statement'!$O$3+'Cash Flow Statement'!$O$4</f>
        <v>72000</v>
      </c>
      <c r="G46" s="26">
        <f>Financing!D46</f>
        <v>249166.66666666666</v>
      </c>
      <c r="H46" s="30">
        <f>'Loan Amortization'!D16</f>
        <v>87208</v>
      </c>
      <c r="I46" s="26">
        <v>0</v>
      </c>
      <c r="J46" s="31">
        <f t="shared" si="5"/>
        <v>-195874.66666666666</v>
      </c>
      <c r="K46" s="18">
        <f t="shared" si="3"/>
        <v>4981776.0000000168</v>
      </c>
      <c r="L46" s="18">
        <f t="shared" si="4"/>
        <v>-27173586.000000011</v>
      </c>
    </row>
    <row r="47" spans="1:12" x14ac:dyDescent="0.2">
      <c r="A47" s="4" t="str">
        <f t="shared" si="0"/>
        <v>Month 46</v>
      </c>
      <c r="B47" s="26">
        <v>0</v>
      </c>
      <c r="C47" s="12">
        <f>'Leasing Projections'!$C$2</f>
        <v>212500</v>
      </c>
      <c r="D47" s="26">
        <v>0</v>
      </c>
      <c r="E47" s="26">
        <v>0</v>
      </c>
      <c r="F47" s="28">
        <f>'Leasing Projections'!$D$2+'Cash Flow Statement'!$O$2+'Cash Flow Statement'!$O$3+'Cash Flow Statement'!$O$4</f>
        <v>72000</v>
      </c>
      <c r="G47" s="26">
        <f>Financing!D47</f>
        <v>249166.66666666666</v>
      </c>
      <c r="H47" s="30">
        <f>'Loan Amortization'!D17</f>
        <v>85962</v>
      </c>
      <c r="I47" s="26">
        <v>0</v>
      </c>
      <c r="J47" s="31">
        <f t="shared" si="5"/>
        <v>-194628.66666666666</v>
      </c>
      <c r="K47" s="18">
        <f t="shared" si="3"/>
        <v>4981776.0000000168</v>
      </c>
      <c r="L47" s="18">
        <f t="shared" si="4"/>
        <v>-27368214.666666679</v>
      </c>
    </row>
    <row r="48" spans="1:12" x14ac:dyDescent="0.2">
      <c r="A48" s="4" t="str">
        <f t="shared" si="0"/>
        <v>Month 47</v>
      </c>
      <c r="B48" s="26">
        <v>0</v>
      </c>
      <c r="C48" s="12">
        <f>'Leasing Projections'!$C$2</f>
        <v>212500</v>
      </c>
      <c r="D48" s="26">
        <v>0</v>
      </c>
      <c r="E48" s="26">
        <v>0</v>
      </c>
      <c r="F48" s="28">
        <f>'Leasing Projections'!$D$2+'Cash Flow Statement'!$O$2+'Cash Flow Statement'!$O$3+'Cash Flow Statement'!$O$4</f>
        <v>72000</v>
      </c>
      <c r="G48" s="26">
        <f>Financing!D48</f>
        <v>249166.66666666666</v>
      </c>
      <c r="H48" s="30">
        <f>'Loan Amortization'!D18</f>
        <v>84717</v>
      </c>
      <c r="I48" s="26">
        <v>0</v>
      </c>
      <c r="J48" s="31">
        <f t="shared" si="5"/>
        <v>-193383.66666666666</v>
      </c>
      <c r="K48" s="18">
        <f t="shared" si="3"/>
        <v>4981776.0000000168</v>
      </c>
      <c r="L48" s="18">
        <f t="shared" si="4"/>
        <v>-27561598.333333347</v>
      </c>
    </row>
    <row r="49" spans="1:12" x14ac:dyDescent="0.2">
      <c r="A49" s="4" t="str">
        <f t="shared" si="0"/>
        <v>Month 48</v>
      </c>
      <c r="B49" s="26">
        <v>0</v>
      </c>
      <c r="C49" s="12">
        <f>'Leasing Projections'!$C$2</f>
        <v>212500</v>
      </c>
      <c r="D49" s="26">
        <v>0</v>
      </c>
      <c r="E49" s="26">
        <v>0</v>
      </c>
      <c r="F49" s="28">
        <f>'Leasing Projections'!$D$2+'Cash Flow Statement'!$O$2+'Cash Flow Statement'!$O$3+'Cash Flow Statement'!$O$4</f>
        <v>72000</v>
      </c>
      <c r="G49" s="26">
        <f>Financing!D49</f>
        <v>249166.66666666666</v>
      </c>
      <c r="H49" s="30">
        <f>'Loan Amortization'!D19</f>
        <v>83471</v>
      </c>
      <c r="I49" s="26">
        <v>0</v>
      </c>
      <c r="J49" s="31">
        <f t="shared" si="5"/>
        <v>-192137.66666666666</v>
      </c>
      <c r="K49" s="18">
        <f t="shared" si="3"/>
        <v>4981776.0000000168</v>
      </c>
      <c r="L49" s="18">
        <f t="shared" si="4"/>
        <v>-27753736.000000015</v>
      </c>
    </row>
    <row r="50" spans="1:12" x14ac:dyDescent="0.2">
      <c r="A50" s="4" t="str">
        <f t="shared" si="0"/>
        <v>Month 49</v>
      </c>
      <c r="B50" s="26">
        <v>0</v>
      </c>
      <c r="C50" s="12">
        <f>'Leasing Projections'!$C$2</f>
        <v>212500</v>
      </c>
      <c r="D50" s="26">
        <v>0</v>
      </c>
      <c r="E50" s="26">
        <v>0</v>
      </c>
      <c r="F50" s="28">
        <f>'Leasing Projections'!$D$2+'Cash Flow Statement'!$O$2+'Cash Flow Statement'!$O$3+'Cash Flow Statement'!$O$4</f>
        <v>72000</v>
      </c>
      <c r="G50" s="26">
        <f>Financing!D50</f>
        <v>249166.66666666666</v>
      </c>
      <c r="H50" s="30">
        <f>'Loan Amortization'!D20</f>
        <v>82225</v>
      </c>
      <c r="I50" s="26">
        <v>0</v>
      </c>
      <c r="J50" s="31">
        <f t="shared" si="5"/>
        <v>-190891.66666666666</v>
      </c>
      <c r="K50" s="18">
        <f t="shared" si="3"/>
        <v>4981776.0000000168</v>
      </c>
      <c r="L50" s="18">
        <f t="shared" si="4"/>
        <v>-27944627.666666683</v>
      </c>
    </row>
    <row r="51" spans="1:12" x14ac:dyDescent="0.2">
      <c r="A51" s="4" t="str">
        <f t="shared" si="0"/>
        <v>Month 50</v>
      </c>
      <c r="B51" s="26">
        <v>0</v>
      </c>
      <c r="C51" s="12">
        <f>'Leasing Projections'!$C$2</f>
        <v>212500</v>
      </c>
      <c r="D51" s="26">
        <v>0</v>
      </c>
      <c r="E51" s="26">
        <v>0</v>
      </c>
      <c r="F51" s="28">
        <f>'Leasing Projections'!$D$2+'Cash Flow Statement'!$O$2+'Cash Flow Statement'!$O$3+'Cash Flow Statement'!$O$4</f>
        <v>72000</v>
      </c>
      <c r="G51" s="26">
        <f>Financing!D51</f>
        <v>249166.66666666666</v>
      </c>
      <c r="H51" s="30">
        <f>'Loan Amortization'!D21</f>
        <v>80979</v>
      </c>
      <c r="I51" s="26">
        <v>0</v>
      </c>
      <c r="J51" s="31">
        <f t="shared" si="5"/>
        <v>-189645.66666666666</v>
      </c>
      <c r="K51" s="18">
        <f t="shared" si="3"/>
        <v>4981776.0000000168</v>
      </c>
      <c r="L51" s="18">
        <f t="shared" si="4"/>
        <v>-28134273.333333351</v>
      </c>
    </row>
    <row r="52" spans="1:12" x14ac:dyDescent="0.2">
      <c r="A52" s="4" t="str">
        <f t="shared" si="0"/>
        <v>Month 51</v>
      </c>
      <c r="B52" s="26">
        <v>0</v>
      </c>
      <c r="C52" s="12">
        <f>'Leasing Projections'!$C$2</f>
        <v>212500</v>
      </c>
      <c r="D52" s="26">
        <v>0</v>
      </c>
      <c r="E52" s="26">
        <v>0</v>
      </c>
      <c r="F52" s="28">
        <f>'Leasing Projections'!$D$2+'Cash Flow Statement'!$O$2+'Cash Flow Statement'!$O$3+'Cash Flow Statement'!$O$4</f>
        <v>72000</v>
      </c>
      <c r="G52" s="26">
        <f>Financing!D52</f>
        <v>249166.66666666666</v>
      </c>
      <c r="H52" s="30">
        <f>'Loan Amortization'!D22</f>
        <v>79733</v>
      </c>
      <c r="I52" s="26">
        <v>0</v>
      </c>
      <c r="J52" s="31">
        <f t="shared" si="5"/>
        <v>-188399.66666666666</v>
      </c>
      <c r="K52" s="18">
        <f t="shared" si="3"/>
        <v>4981776.0000000168</v>
      </c>
      <c r="L52" s="18">
        <f t="shared" si="4"/>
        <v>-28322673.000000019</v>
      </c>
    </row>
    <row r="53" spans="1:12" x14ac:dyDescent="0.2">
      <c r="A53" s="4" t="str">
        <f t="shared" si="0"/>
        <v>Month 52</v>
      </c>
      <c r="B53" s="26">
        <v>0</v>
      </c>
      <c r="C53" s="12">
        <f>'Leasing Projections'!$C$2</f>
        <v>212500</v>
      </c>
      <c r="D53" s="26">
        <v>0</v>
      </c>
      <c r="E53" s="26">
        <v>0</v>
      </c>
      <c r="F53" s="28">
        <f>'Leasing Projections'!$D$2+'Cash Flow Statement'!$O$2+'Cash Flow Statement'!$O$3+'Cash Flow Statement'!$O$4</f>
        <v>72000</v>
      </c>
      <c r="G53" s="26">
        <f>Financing!D53</f>
        <v>249166.66666666666</v>
      </c>
      <c r="H53" s="30">
        <f>'Loan Amortization'!D23</f>
        <v>78487</v>
      </c>
      <c r="I53" s="26">
        <v>0</v>
      </c>
      <c r="J53" s="31">
        <f t="shared" si="5"/>
        <v>-187153.66666666666</v>
      </c>
      <c r="K53" s="18">
        <f t="shared" si="3"/>
        <v>4981776.0000000168</v>
      </c>
      <c r="L53" s="18">
        <f t="shared" si="4"/>
        <v>-28509826.666666687</v>
      </c>
    </row>
    <row r="54" spans="1:12" x14ac:dyDescent="0.2">
      <c r="A54" s="4" t="str">
        <f t="shared" si="0"/>
        <v>Month 53</v>
      </c>
      <c r="B54" s="26">
        <v>0</v>
      </c>
      <c r="C54" s="12">
        <f>'Leasing Projections'!$C$2</f>
        <v>212500</v>
      </c>
      <c r="D54" s="26">
        <v>0</v>
      </c>
      <c r="E54" s="26">
        <v>0</v>
      </c>
      <c r="F54" s="28">
        <f>'Leasing Projections'!$D$2+'Cash Flow Statement'!$O$2+'Cash Flow Statement'!$O$3+'Cash Flow Statement'!$O$4</f>
        <v>72000</v>
      </c>
      <c r="G54" s="26">
        <f>Financing!D54</f>
        <v>249166.66666666666</v>
      </c>
      <c r="H54" s="30">
        <f>'Loan Amortization'!D24</f>
        <v>77242</v>
      </c>
      <c r="I54" s="26">
        <v>0</v>
      </c>
      <c r="J54" s="31">
        <f t="shared" si="5"/>
        <v>-185908.66666666666</v>
      </c>
      <c r="K54" s="18">
        <f t="shared" si="3"/>
        <v>4981776.0000000168</v>
      </c>
      <c r="L54" s="18">
        <f t="shared" si="4"/>
        <v>-28695735.333333354</v>
      </c>
    </row>
    <row r="55" spans="1:12" x14ac:dyDescent="0.2">
      <c r="A55" s="4" t="str">
        <f t="shared" si="0"/>
        <v>Month 54</v>
      </c>
      <c r="B55" s="26">
        <v>0</v>
      </c>
      <c r="C55" s="12">
        <f>'Leasing Projections'!$C$2</f>
        <v>212500</v>
      </c>
      <c r="D55" s="26">
        <v>0</v>
      </c>
      <c r="E55" s="26">
        <v>0</v>
      </c>
      <c r="F55" s="28">
        <f>'Leasing Projections'!$D$2+'Cash Flow Statement'!$O$2+'Cash Flow Statement'!$O$3+'Cash Flow Statement'!$O$4</f>
        <v>72000</v>
      </c>
      <c r="G55" s="26">
        <f>Financing!D55</f>
        <v>249166.66666666666</v>
      </c>
      <c r="H55" s="30">
        <f>'Loan Amortization'!D25</f>
        <v>75996</v>
      </c>
      <c r="I55" s="26">
        <v>0</v>
      </c>
      <c r="J55" s="31">
        <f t="shared" si="5"/>
        <v>-184662.66666666666</v>
      </c>
      <c r="K55" s="18">
        <f t="shared" si="3"/>
        <v>4981776.0000000168</v>
      </c>
      <c r="L55" s="18">
        <f t="shared" si="4"/>
        <v>-28880398.000000022</v>
      </c>
    </row>
    <row r="56" spans="1:12" x14ac:dyDescent="0.2">
      <c r="A56" s="4" t="str">
        <f t="shared" si="0"/>
        <v>Month 55</v>
      </c>
      <c r="B56" s="26">
        <v>0</v>
      </c>
      <c r="C56" s="12">
        <f>'Leasing Projections'!$C$2</f>
        <v>212500</v>
      </c>
      <c r="D56" s="26">
        <v>0</v>
      </c>
      <c r="E56" s="26">
        <v>0</v>
      </c>
      <c r="F56" s="28">
        <f>'Leasing Projections'!$D$2+'Cash Flow Statement'!$O$2+'Cash Flow Statement'!$O$3+'Cash Flow Statement'!$O$4</f>
        <v>72000</v>
      </c>
      <c r="G56" s="26">
        <f>Financing!D56</f>
        <v>249166.66666666666</v>
      </c>
      <c r="H56" s="30">
        <f>'Loan Amortization'!D26</f>
        <v>74750</v>
      </c>
      <c r="I56" s="26">
        <v>0</v>
      </c>
      <c r="J56" s="31">
        <f t="shared" si="5"/>
        <v>-183416.66666666666</v>
      </c>
      <c r="K56" s="18">
        <f t="shared" si="3"/>
        <v>4981776.0000000168</v>
      </c>
      <c r="L56" s="18">
        <f t="shared" si="4"/>
        <v>-29063814.66666669</v>
      </c>
    </row>
    <row r="57" spans="1:12" x14ac:dyDescent="0.2">
      <c r="A57" s="4" t="str">
        <f t="shared" si="0"/>
        <v>Month 56</v>
      </c>
      <c r="B57" s="26">
        <v>0</v>
      </c>
      <c r="C57" s="12">
        <f>'Leasing Projections'!$C$2</f>
        <v>212500</v>
      </c>
      <c r="D57" s="26">
        <v>0</v>
      </c>
      <c r="E57" s="26">
        <v>0</v>
      </c>
      <c r="F57" s="28">
        <f>'Leasing Projections'!$D$2+'Cash Flow Statement'!$O$2+'Cash Flow Statement'!$O$3+'Cash Flow Statement'!$O$4</f>
        <v>72000</v>
      </c>
      <c r="G57" s="26">
        <f>Financing!D57</f>
        <v>249166.66666666666</v>
      </c>
      <c r="H57" s="30">
        <f>'Loan Amortization'!D27</f>
        <v>73504</v>
      </c>
      <c r="I57" s="26">
        <v>0</v>
      </c>
      <c r="J57" s="31">
        <f t="shared" si="5"/>
        <v>-182170.66666666666</v>
      </c>
      <c r="K57" s="18">
        <f t="shared" si="3"/>
        <v>4981776.0000000168</v>
      </c>
      <c r="L57" s="18">
        <f t="shared" si="4"/>
        <v>-29245985.333333358</v>
      </c>
    </row>
    <row r="58" spans="1:12" x14ac:dyDescent="0.2">
      <c r="A58" s="4" t="str">
        <f t="shared" si="0"/>
        <v>Month 57</v>
      </c>
      <c r="B58" s="26">
        <v>0</v>
      </c>
      <c r="C58" s="12">
        <f>'Leasing Projections'!$C$2</f>
        <v>212500</v>
      </c>
      <c r="D58" s="26">
        <v>0</v>
      </c>
      <c r="E58" s="26">
        <v>0</v>
      </c>
      <c r="F58" s="28">
        <f>'Leasing Projections'!$D$2+'Cash Flow Statement'!$O$2+'Cash Flow Statement'!$O$3+'Cash Flow Statement'!$O$4</f>
        <v>72000</v>
      </c>
      <c r="G58" s="26">
        <f>Financing!D58</f>
        <v>249166.66666666666</v>
      </c>
      <c r="H58" s="30">
        <f>'Loan Amortization'!D28</f>
        <v>72258</v>
      </c>
      <c r="I58" s="26">
        <v>0</v>
      </c>
      <c r="J58" s="31">
        <f t="shared" si="5"/>
        <v>-180924.66666666666</v>
      </c>
      <c r="K58" s="18">
        <f t="shared" si="3"/>
        <v>4981776.0000000168</v>
      </c>
      <c r="L58" s="18">
        <f t="shared" si="4"/>
        <v>-29426910.000000026</v>
      </c>
    </row>
    <row r="59" spans="1:12" x14ac:dyDescent="0.2">
      <c r="A59" s="4" t="str">
        <f t="shared" si="0"/>
        <v>Month 58</v>
      </c>
      <c r="B59" s="26">
        <v>0</v>
      </c>
      <c r="C59" s="12">
        <f>'Leasing Projections'!$C$2</f>
        <v>212500</v>
      </c>
      <c r="D59" s="26">
        <v>0</v>
      </c>
      <c r="E59" s="26">
        <v>0</v>
      </c>
      <c r="F59" s="28">
        <f>'Leasing Projections'!$D$2+'Cash Flow Statement'!$O$2+'Cash Flow Statement'!$O$3+'Cash Flow Statement'!$O$4</f>
        <v>72000</v>
      </c>
      <c r="G59" s="26">
        <f>Financing!D59</f>
        <v>249166.66666666666</v>
      </c>
      <c r="H59" s="30">
        <f>'Loan Amortization'!D29</f>
        <v>71012</v>
      </c>
      <c r="I59" s="26">
        <v>0</v>
      </c>
      <c r="J59" s="31">
        <f t="shared" si="5"/>
        <v>-179678.66666666666</v>
      </c>
      <c r="K59" s="18">
        <f t="shared" si="3"/>
        <v>4981776.0000000168</v>
      </c>
      <c r="L59" s="18">
        <f t="shared" si="4"/>
        <v>-29606588.666666694</v>
      </c>
    </row>
    <row r="60" spans="1:12" x14ac:dyDescent="0.2">
      <c r="A60" s="4" t="str">
        <f t="shared" si="0"/>
        <v>Month 59</v>
      </c>
      <c r="B60" s="26">
        <v>0</v>
      </c>
      <c r="C60" s="12">
        <f>'Leasing Projections'!$C$2</f>
        <v>212500</v>
      </c>
      <c r="D60" s="26">
        <v>0</v>
      </c>
      <c r="E60" s="26">
        <v>0</v>
      </c>
      <c r="F60" s="28">
        <f>'Leasing Projections'!$D$2+'Cash Flow Statement'!$O$2+'Cash Flow Statement'!$O$3+'Cash Flow Statement'!$O$4</f>
        <v>72000</v>
      </c>
      <c r="G60" s="26">
        <f>Financing!D60</f>
        <v>249166.66666666666</v>
      </c>
      <c r="H60" s="30">
        <f>'Loan Amortization'!D30</f>
        <v>69767</v>
      </c>
      <c r="I60" s="26">
        <v>0</v>
      </c>
      <c r="J60" s="31">
        <f t="shared" si="5"/>
        <v>-178433.66666666666</v>
      </c>
      <c r="K60" s="18">
        <f t="shared" si="3"/>
        <v>4981776.0000000168</v>
      </c>
      <c r="L60" s="18">
        <f t="shared" si="4"/>
        <v>-29785022.333333362</v>
      </c>
    </row>
    <row r="61" spans="1:12" x14ac:dyDescent="0.2">
      <c r="A61" s="4" t="str">
        <f t="shared" si="0"/>
        <v>Month 60</v>
      </c>
      <c r="B61" s="26">
        <v>0</v>
      </c>
      <c r="C61" s="12">
        <f>'Leasing Projections'!$C$2</f>
        <v>212500</v>
      </c>
      <c r="D61" s="26">
        <v>0</v>
      </c>
      <c r="E61" s="26">
        <v>0</v>
      </c>
      <c r="F61" s="28">
        <f>'Leasing Projections'!$D$2+'Cash Flow Statement'!$O$2+'Cash Flow Statement'!$O$3+'Cash Flow Statement'!$O$4</f>
        <v>72000</v>
      </c>
      <c r="G61" s="26">
        <f>Financing!D61</f>
        <v>249166.66666666666</v>
      </c>
      <c r="H61" s="30">
        <f>'Loan Amortization'!D31</f>
        <v>68521</v>
      </c>
      <c r="I61" s="26">
        <v>0</v>
      </c>
      <c r="J61" s="31">
        <f t="shared" si="5"/>
        <v>-177187.66666666666</v>
      </c>
      <c r="K61" s="18">
        <f t="shared" si="3"/>
        <v>4981776.0000000168</v>
      </c>
      <c r="L61" s="18">
        <f t="shared" si="4"/>
        <v>-29962210.00000003</v>
      </c>
    </row>
    <row r="62" spans="1:12" x14ac:dyDescent="0.2">
      <c r="A62" s="4" t="str">
        <f t="shared" si="0"/>
        <v>Month 61</v>
      </c>
      <c r="B62" s="26">
        <v>0</v>
      </c>
      <c r="C62" s="12">
        <f>'Leasing Projections'!$C$2</f>
        <v>212500</v>
      </c>
      <c r="D62" s="26">
        <v>0</v>
      </c>
      <c r="E62" s="26">
        <v>0</v>
      </c>
      <c r="F62" s="28">
        <f>'Leasing Projections'!$D$2+'Cash Flow Statement'!$O$2+'Cash Flow Statement'!$O$3+'Cash Flow Statement'!$O$4</f>
        <v>72000</v>
      </c>
      <c r="G62" s="26">
        <f>Financing!D62</f>
        <v>249166.66666666666</v>
      </c>
      <c r="H62" s="30">
        <f>'Loan Amortization'!D32</f>
        <v>67275</v>
      </c>
      <c r="I62" s="26">
        <v>0</v>
      </c>
      <c r="J62" s="31">
        <f t="shared" si="5"/>
        <v>-175941.66666666666</v>
      </c>
      <c r="K62" s="18">
        <f t="shared" si="3"/>
        <v>4981776.0000000168</v>
      </c>
      <c r="L62" s="18">
        <f t="shared" si="4"/>
        <v>-30138151.666666698</v>
      </c>
    </row>
    <row r="63" spans="1:12" x14ac:dyDescent="0.2">
      <c r="A63" s="4" t="str">
        <f t="shared" si="0"/>
        <v>Month 62</v>
      </c>
      <c r="B63" s="26">
        <v>0</v>
      </c>
      <c r="C63" s="12">
        <f>'Leasing Projections'!$C$2</f>
        <v>212500</v>
      </c>
      <c r="D63" s="26">
        <v>0</v>
      </c>
      <c r="E63" s="26">
        <v>0</v>
      </c>
      <c r="F63" s="28">
        <f>'Leasing Projections'!$D$2+'Cash Flow Statement'!$O$2+'Cash Flow Statement'!$O$3+'Cash Flow Statement'!$O$4</f>
        <v>72000</v>
      </c>
      <c r="G63" s="26">
        <f>Financing!D63</f>
        <v>249166.66666666666</v>
      </c>
      <c r="H63" s="30">
        <f>'Loan Amortization'!D33</f>
        <v>66029</v>
      </c>
      <c r="I63" s="26">
        <v>0</v>
      </c>
      <c r="J63" s="31">
        <f t="shared" si="5"/>
        <v>-174695.66666666666</v>
      </c>
      <c r="K63" s="18">
        <f t="shared" si="3"/>
        <v>4981776.0000000168</v>
      </c>
      <c r="L63" s="18">
        <f t="shared" si="4"/>
        <v>-30312847.333333366</v>
      </c>
    </row>
    <row r="64" spans="1:12" x14ac:dyDescent="0.2">
      <c r="A64" s="4" t="str">
        <f t="shared" si="0"/>
        <v>Month 63</v>
      </c>
      <c r="B64" s="26">
        <v>0</v>
      </c>
      <c r="C64" s="12">
        <f>'Leasing Projections'!$C$2</f>
        <v>212500</v>
      </c>
      <c r="D64" s="26">
        <v>0</v>
      </c>
      <c r="E64" s="26">
        <v>0</v>
      </c>
      <c r="F64" s="28">
        <f>'Leasing Projections'!$D$2+'Cash Flow Statement'!$O$2+'Cash Flow Statement'!$O$3+'Cash Flow Statement'!$O$4</f>
        <v>72000</v>
      </c>
      <c r="G64" s="26">
        <f>Financing!D64</f>
        <v>249166.66666666666</v>
      </c>
      <c r="H64" s="30">
        <f>'Loan Amortization'!D34</f>
        <v>64783</v>
      </c>
      <c r="I64" s="26">
        <v>0</v>
      </c>
      <c r="J64" s="31">
        <f t="shared" si="5"/>
        <v>-173449.66666666666</v>
      </c>
      <c r="K64" s="18">
        <f t="shared" si="3"/>
        <v>4981776.0000000168</v>
      </c>
      <c r="L64" s="18">
        <f t="shared" si="4"/>
        <v>-30486297.000000034</v>
      </c>
    </row>
    <row r="65" spans="1:12" x14ac:dyDescent="0.2">
      <c r="A65" s="4" t="str">
        <f t="shared" si="0"/>
        <v>Month 64</v>
      </c>
      <c r="B65" s="26">
        <v>0</v>
      </c>
      <c r="C65" s="12">
        <f>'Leasing Projections'!$C$2</f>
        <v>212500</v>
      </c>
      <c r="D65" s="26">
        <v>0</v>
      </c>
      <c r="E65" s="26">
        <v>0</v>
      </c>
      <c r="F65" s="28">
        <f>'Leasing Projections'!$D$2+'Cash Flow Statement'!$O$2+'Cash Flow Statement'!$O$3+'Cash Flow Statement'!$O$4</f>
        <v>72000</v>
      </c>
      <c r="G65" s="26">
        <f>Financing!D65</f>
        <v>249166.66666666666</v>
      </c>
      <c r="H65" s="30">
        <f>'Loan Amortization'!D35</f>
        <v>63537</v>
      </c>
      <c r="I65" s="26">
        <v>0</v>
      </c>
      <c r="J65" s="31">
        <f t="shared" si="5"/>
        <v>-172203.66666666666</v>
      </c>
      <c r="K65" s="18">
        <f t="shared" si="3"/>
        <v>4981776.0000000168</v>
      </c>
      <c r="L65" s="18">
        <f t="shared" si="4"/>
        <v>-30658500.666666701</v>
      </c>
    </row>
    <row r="66" spans="1:12" x14ac:dyDescent="0.2">
      <c r="A66" s="4" t="str">
        <f t="shared" si="0"/>
        <v>Month 65</v>
      </c>
      <c r="B66" s="26">
        <v>0</v>
      </c>
      <c r="C66" s="12">
        <f>'Leasing Projections'!$C$2</f>
        <v>212500</v>
      </c>
      <c r="D66" s="26">
        <v>0</v>
      </c>
      <c r="E66" s="26">
        <v>0</v>
      </c>
      <c r="F66" s="28">
        <f>'Leasing Projections'!$D$2+'Cash Flow Statement'!$O$2+'Cash Flow Statement'!$O$3+'Cash Flow Statement'!$O$4</f>
        <v>72000</v>
      </c>
      <c r="G66" s="26">
        <f>Financing!D66</f>
        <v>249166.66666666666</v>
      </c>
      <c r="H66" s="30">
        <f>'Loan Amortization'!D36</f>
        <v>62292</v>
      </c>
      <c r="I66" s="26">
        <v>0</v>
      </c>
      <c r="J66" s="31">
        <f t="shared" si="5"/>
        <v>-170958.66666666666</v>
      </c>
      <c r="K66" s="18">
        <f t="shared" si="3"/>
        <v>4981776.0000000168</v>
      </c>
      <c r="L66" s="18">
        <f t="shared" si="4"/>
        <v>-30829459.333333369</v>
      </c>
    </row>
    <row r="67" spans="1:12" x14ac:dyDescent="0.2">
      <c r="A67" s="4" t="str">
        <f t="shared" ref="A67:A115" si="6">"Month "&amp;ROW()-1</f>
        <v>Month 66</v>
      </c>
      <c r="B67" s="26">
        <v>0</v>
      </c>
      <c r="C67" s="12">
        <f>'Leasing Projections'!$C$2</f>
        <v>212500</v>
      </c>
      <c r="D67" s="26">
        <v>0</v>
      </c>
      <c r="E67" s="26">
        <v>0</v>
      </c>
      <c r="F67" s="28">
        <f>'Leasing Projections'!$D$2+'Cash Flow Statement'!$O$2+'Cash Flow Statement'!$O$3+'Cash Flow Statement'!$O$4</f>
        <v>72000</v>
      </c>
      <c r="G67" s="26">
        <f>Financing!D67</f>
        <v>249166.66666666666</v>
      </c>
      <c r="H67" s="30">
        <f>'Loan Amortization'!D37</f>
        <v>61046</v>
      </c>
      <c r="I67" s="26">
        <v>0</v>
      </c>
      <c r="J67" s="31">
        <f t="shared" si="5"/>
        <v>-169712.66666666666</v>
      </c>
      <c r="K67" s="18">
        <f t="shared" si="3"/>
        <v>4981776.0000000168</v>
      </c>
      <c r="L67" s="18">
        <f t="shared" si="4"/>
        <v>-30999172.000000037</v>
      </c>
    </row>
    <row r="68" spans="1:12" x14ac:dyDescent="0.2">
      <c r="A68" s="4" t="str">
        <f t="shared" si="6"/>
        <v>Month 67</v>
      </c>
      <c r="B68" s="26">
        <v>0</v>
      </c>
      <c r="C68" s="12">
        <f>'Leasing Projections'!$C$2</f>
        <v>212500</v>
      </c>
      <c r="D68" s="26">
        <v>0</v>
      </c>
      <c r="E68" s="26">
        <v>0</v>
      </c>
      <c r="F68" s="28">
        <f>'Leasing Projections'!$D$2+'Cash Flow Statement'!$O$2+'Cash Flow Statement'!$O$3+'Cash Flow Statement'!$O$4</f>
        <v>72000</v>
      </c>
      <c r="G68" s="26">
        <f>Financing!D68</f>
        <v>249166.66666666666</v>
      </c>
      <c r="H68" s="30">
        <f>'Loan Amortization'!D38</f>
        <v>59800</v>
      </c>
      <c r="I68" s="26">
        <v>0</v>
      </c>
      <c r="J68" s="31">
        <f t="shared" si="5"/>
        <v>-168466.66666666666</v>
      </c>
      <c r="K68" s="18">
        <f t="shared" ref="K68:K115" si="7">K67+I68</f>
        <v>4981776.0000000168</v>
      </c>
      <c r="L68" s="18">
        <f t="shared" ref="L68:L115" si="8">L67+J68</f>
        <v>-31167638.666666705</v>
      </c>
    </row>
    <row r="69" spans="1:12" x14ac:dyDescent="0.2">
      <c r="A69" s="4" t="str">
        <f t="shared" si="6"/>
        <v>Month 68</v>
      </c>
      <c r="B69" s="26">
        <v>0</v>
      </c>
      <c r="C69" s="12">
        <f>'Leasing Projections'!$C$2</f>
        <v>212500</v>
      </c>
      <c r="D69" s="26">
        <v>0</v>
      </c>
      <c r="E69" s="26">
        <v>0</v>
      </c>
      <c r="F69" s="28">
        <f>'Leasing Projections'!$D$2+'Cash Flow Statement'!$O$2+'Cash Flow Statement'!$O$3+'Cash Flow Statement'!$O$4</f>
        <v>72000</v>
      </c>
      <c r="G69" s="26">
        <f>Financing!D69</f>
        <v>249166.66666666666</v>
      </c>
      <c r="H69" s="30">
        <f>'Loan Amortization'!D39</f>
        <v>58554</v>
      </c>
      <c r="I69" s="26">
        <v>0</v>
      </c>
      <c r="J69" s="31">
        <f t="shared" si="5"/>
        <v>-167220.66666666666</v>
      </c>
      <c r="K69" s="18">
        <f t="shared" si="7"/>
        <v>4981776.0000000168</v>
      </c>
      <c r="L69" s="18">
        <f t="shared" si="8"/>
        <v>-31334859.333333373</v>
      </c>
    </row>
    <row r="70" spans="1:12" x14ac:dyDescent="0.2">
      <c r="A70" s="4" t="str">
        <f t="shared" si="6"/>
        <v>Month 69</v>
      </c>
      <c r="B70" s="26">
        <v>0</v>
      </c>
      <c r="C70" s="12">
        <f>'Leasing Projections'!$C$2</f>
        <v>212500</v>
      </c>
      <c r="D70" s="26">
        <v>0</v>
      </c>
      <c r="E70" s="26">
        <v>0</v>
      </c>
      <c r="F70" s="28">
        <f>'Leasing Projections'!$D$2+'Cash Flow Statement'!$O$2+'Cash Flow Statement'!$O$3+'Cash Flow Statement'!$O$4</f>
        <v>72000</v>
      </c>
      <c r="G70" s="26">
        <f>Financing!D70</f>
        <v>249166.66666666666</v>
      </c>
      <c r="H70" s="30">
        <f>'Loan Amortization'!D40</f>
        <v>57308</v>
      </c>
      <c r="I70" s="26">
        <v>0</v>
      </c>
      <c r="J70" s="31">
        <f t="shared" si="5"/>
        <v>-165974.66666666666</v>
      </c>
      <c r="K70" s="18">
        <f t="shared" si="7"/>
        <v>4981776.0000000168</v>
      </c>
      <c r="L70" s="18">
        <f t="shared" si="8"/>
        <v>-31500834.000000041</v>
      </c>
    </row>
    <row r="71" spans="1:12" x14ac:dyDescent="0.2">
      <c r="A71" s="4" t="str">
        <f t="shared" si="6"/>
        <v>Month 70</v>
      </c>
      <c r="B71" s="26">
        <v>0</v>
      </c>
      <c r="C71" s="12">
        <f>'Leasing Projections'!$C$2</f>
        <v>212500</v>
      </c>
      <c r="D71" s="26">
        <v>0</v>
      </c>
      <c r="E71" s="26">
        <v>0</v>
      </c>
      <c r="F71" s="28">
        <f>'Leasing Projections'!$D$2+'Cash Flow Statement'!$O$2+'Cash Flow Statement'!$O$3+'Cash Flow Statement'!$O$4</f>
        <v>72000</v>
      </c>
      <c r="G71" s="26">
        <f>Financing!D71</f>
        <v>249166.66666666666</v>
      </c>
      <c r="H71" s="30">
        <f>'Loan Amortization'!D41</f>
        <v>56062</v>
      </c>
      <c r="I71" s="26">
        <v>0</v>
      </c>
      <c r="J71" s="31">
        <f t="shared" si="5"/>
        <v>-164728.66666666666</v>
      </c>
      <c r="K71" s="18">
        <f t="shared" si="7"/>
        <v>4981776.0000000168</v>
      </c>
      <c r="L71" s="18">
        <f t="shared" si="8"/>
        <v>-31665562.666666709</v>
      </c>
    </row>
    <row r="72" spans="1:12" x14ac:dyDescent="0.2">
      <c r="A72" s="4" t="str">
        <f t="shared" si="6"/>
        <v>Month 71</v>
      </c>
      <c r="B72" s="26">
        <v>0</v>
      </c>
      <c r="C72" s="12">
        <f>'Leasing Projections'!$C$2</f>
        <v>212500</v>
      </c>
      <c r="D72" s="26">
        <v>0</v>
      </c>
      <c r="E72" s="26">
        <v>0</v>
      </c>
      <c r="F72" s="28">
        <f>'Leasing Projections'!$D$2+'Cash Flow Statement'!$O$2+'Cash Flow Statement'!$O$3+'Cash Flow Statement'!$O$4</f>
        <v>72000</v>
      </c>
      <c r="G72" s="26">
        <f>Financing!D72</f>
        <v>249166.66666666666</v>
      </c>
      <c r="H72" s="30">
        <f>'Loan Amortization'!D42</f>
        <v>54817</v>
      </c>
      <c r="I72" s="26">
        <v>0</v>
      </c>
      <c r="J72" s="31">
        <f t="shared" si="5"/>
        <v>-163483.66666666666</v>
      </c>
      <c r="K72" s="18">
        <f t="shared" si="7"/>
        <v>4981776.0000000168</v>
      </c>
      <c r="L72" s="18">
        <f t="shared" si="8"/>
        <v>-31829046.333333377</v>
      </c>
    </row>
    <row r="73" spans="1:12" x14ac:dyDescent="0.2">
      <c r="A73" s="4" t="str">
        <f t="shared" si="6"/>
        <v>Month 72</v>
      </c>
      <c r="B73" s="26">
        <v>0</v>
      </c>
      <c r="C73" s="12">
        <f>'Leasing Projections'!$C$2</f>
        <v>212500</v>
      </c>
      <c r="D73" s="26">
        <v>0</v>
      </c>
      <c r="E73" s="26">
        <v>0</v>
      </c>
      <c r="F73" s="28">
        <f>'Leasing Projections'!$D$2+'Cash Flow Statement'!$O$2+'Cash Flow Statement'!$O$3+'Cash Flow Statement'!$O$4</f>
        <v>72000</v>
      </c>
      <c r="G73" s="26">
        <f>Financing!D73</f>
        <v>249166.66666666666</v>
      </c>
      <c r="H73" s="30">
        <f>'Loan Amortization'!D43</f>
        <v>53571</v>
      </c>
      <c r="I73" s="26">
        <v>0</v>
      </c>
      <c r="J73" s="31">
        <f t="shared" si="5"/>
        <v>-162237.66666666666</v>
      </c>
      <c r="K73" s="18">
        <f t="shared" si="7"/>
        <v>4981776.0000000168</v>
      </c>
      <c r="L73" s="18">
        <f t="shared" si="8"/>
        <v>-31991284.000000045</v>
      </c>
    </row>
    <row r="74" spans="1:12" x14ac:dyDescent="0.2">
      <c r="A74" s="4" t="str">
        <f t="shared" si="6"/>
        <v>Month 73</v>
      </c>
      <c r="B74" s="26">
        <v>0</v>
      </c>
      <c r="C74" s="12">
        <f>'Leasing Projections'!$C$2</f>
        <v>212500</v>
      </c>
      <c r="D74" s="26">
        <v>0</v>
      </c>
      <c r="E74" s="26">
        <v>0</v>
      </c>
      <c r="F74" s="28">
        <f>'Leasing Projections'!$D$2+'Cash Flow Statement'!$O$2+'Cash Flow Statement'!$O$3+'Cash Flow Statement'!$O$4</f>
        <v>72000</v>
      </c>
      <c r="G74" s="26">
        <f>Financing!D74</f>
        <v>249166.66666666666</v>
      </c>
      <c r="H74" s="30">
        <f>'Loan Amortization'!D44</f>
        <v>52325</v>
      </c>
      <c r="I74" s="26">
        <v>0</v>
      </c>
      <c r="J74" s="31">
        <f t="shared" si="5"/>
        <v>-160991.66666666666</v>
      </c>
      <c r="K74" s="18">
        <f t="shared" si="7"/>
        <v>4981776.0000000168</v>
      </c>
      <c r="L74" s="18">
        <f t="shared" si="8"/>
        <v>-32152275.666666713</v>
      </c>
    </row>
    <row r="75" spans="1:12" x14ac:dyDescent="0.2">
      <c r="A75" s="4" t="str">
        <f t="shared" si="6"/>
        <v>Month 74</v>
      </c>
      <c r="B75" s="26">
        <v>0</v>
      </c>
      <c r="C75" s="12">
        <f>'Leasing Projections'!$C$2</f>
        <v>212500</v>
      </c>
      <c r="D75" s="26">
        <v>0</v>
      </c>
      <c r="E75" s="26">
        <v>0</v>
      </c>
      <c r="F75" s="28">
        <f>'Leasing Projections'!$D$2+'Cash Flow Statement'!$O$2+'Cash Flow Statement'!$O$3+'Cash Flow Statement'!$O$4</f>
        <v>72000</v>
      </c>
      <c r="G75" s="26">
        <f>Financing!D75</f>
        <v>249166.66666666666</v>
      </c>
      <c r="H75" s="30">
        <f>'Loan Amortization'!D45</f>
        <v>51079</v>
      </c>
      <c r="I75" s="26">
        <v>0</v>
      </c>
      <c r="J75" s="31">
        <f t="shared" si="5"/>
        <v>-159745.66666666666</v>
      </c>
      <c r="K75" s="18">
        <f t="shared" si="7"/>
        <v>4981776.0000000168</v>
      </c>
      <c r="L75" s="18">
        <f t="shared" si="8"/>
        <v>-32312021.333333381</v>
      </c>
    </row>
    <row r="76" spans="1:12" x14ac:dyDescent="0.2">
      <c r="A76" s="4" t="str">
        <f t="shared" si="6"/>
        <v>Month 75</v>
      </c>
      <c r="B76" s="26">
        <v>0</v>
      </c>
      <c r="C76" s="12">
        <f>'Leasing Projections'!$C$2</f>
        <v>212500</v>
      </c>
      <c r="D76" s="26">
        <v>0</v>
      </c>
      <c r="E76" s="26">
        <v>0</v>
      </c>
      <c r="F76" s="28">
        <f>'Leasing Projections'!$D$2+'Cash Flow Statement'!$O$2+'Cash Flow Statement'!$O$3+'Cash Flow Statement'!$O$4</f>
        <v>72000</v>
      </c>
      <c r="G76" s="26">
        <f>Financing!D76</f>
        <v>249166.66666666666</v>
      </c>
      <c r="H76" s="30">
        <f>'Loan Amortization'!D46</f>
        <v>49833</v>
      </c>
      <c r="I76" s="26">
        <v>0</v>
      </c>
      <c r="J76" s="31">
        <f t="shared" si="5"/>
        <v>-158499.66666666666</v>
      </c>
      <c r="K76" s="18">
        <f t="shared" si="7"/>
        <v>4981776.0000000168</v>
      </c>
      <c r="L76" s="18">
        <f t="shared" si="8"/>
        <v>-32470521.000000048</v>
      </c>
    </row>
    <row r="77" spans="1:12" x14ac:dyDescent="0.2">
      <c r="A77" s="4" t="str">
        <f t="shared" si="6"/>
        <v>Month 76</v>
      </c>
      <c r="B77" s="26">
        <v>0</v>
      </c>
      <c r="C77" s="12">
        <f>'Leasing Projections'!$C$2</f>
        <v>212500</v>
      </c>
      <c r="D77" s="26">
        <v>0</v>
      </c>
      <c r="E77" s="26">
        <v>0</v>
      </c>
      <c r="F77" s="28">
        <f>'Leasing Projections'!$D$2+'Cash Flow Statement'!$O$2+'Cash Flow Statement'!$O$3+'Cash Flow Statement'!$O$4</f>
        <v>72000</v>
      </c>
      <c r="G77" s="26">
        <f>Financing!D77</f>
        <v>249166.66666666666</v>
      </c>
      <c r="H77" s="30">
        <f>'Loan Amortization'!D47</f>
        <v>48587</v>
      </c>
      <c r="I77" s="26">
        <v>0</v>
      </c>
      <c r="J77" s="31">
        <f t="shared" si="5"/>
        <v>-157253.66666666666</v>
      </c>
      <c r="K77" s="18">
        <f t="shared" si="7"/>
        <v>4981776.0000000168</v>
      </c>
      <c r="L77" s="18">
        <f t="shared" si="8"/>
        <v>-32627774.666666716</v>
      </c>
    </row>
    <row r="78" spans="1:12" x14ac:dyDescent="0.2">
      <c r="A78" s="4" t="str">
        <f t="shared" si="6"/>
        <v>Month 77</v>
      </c>
      <c r="B78" s="26">
        <v>0</v>
      </c>
      <c r="C78" s="12">
        <f>'Leasing Projections'!$C$2</f>
        <v>212500</v>
      </c>
      <c r="D78" s="26">
        <v>0</v>
      </c>
      <c r="E78" s="26">
        <v>0</v>
      </c>
      <c r="F78" s="28">
        <f>'Leasing Projections'!$D$2+'Cash Flow Statement'!$O$2+'Cash Flow Statement'!$O$3+'Cash Flow Statement'!$O$4</f>
        <v>72000</v>
      </c>
      <c r="G78" s="26">
        <f>Financing!D78</f>
        <v>249166.66666666666</v>
      </c>
      <c r="H78" s="30">
        <f>'Loan Amortization'!D48</f>
        <v>47342</v>
      </c>
      <c r="I78" s="26">
        <v>0</v>
      </c>
      <c r="J78" s="31">
        <f t="shared" si="5"/>
        <v>-156008.66666666666</v>
      </c>
      <c r="K78" s="18">
        <f t="shared" si="7"/>
        <v>4981776.0000000168</v>
      </c>
      <c r="L78" s="18">
        <f t="shared" si="8"/>
        <v>-32783783.333333384</v>
      </c>
    </row>
    <row r="79" spans="1:12" x14ac:dyDescent="0.2">
      <c r="A79" s="4" t="str">
        <f t="shared" si="6"/>
        <v>Month 78</v>
      </c>
      <c r="B79" s="26">
        <v>0</v>
      </c>
      <c r="C79" s="12">
        <f>'Leasing Projections'!$C$2</f>
        <v>212500</v>
      </c>
      <c r="D79" s="26">
        <v>0</v>
      </c>
      <c r="E79" s="26">
        <v>0</v>
      </c>
      <c r="F79" s="28">
        <f>'Leasing Projections'!$D$2+'Cash Flow Statement'!$O$2+'Cash Flow Statement'!$O$3+'Cash Flow Statement'!$O$4</f>
        <v>72000</v>
      </c>
      <c r="G79" s="26">
        <f>Financing!D79</f>
        <v>249166.66666666666</v>
      </c>
      <c r="H79" s="30">
        <f>'Loan Amortization'!D49</f>
        <v>46096</v>
      </c>
      <c r="I79" s="26">
        <v>0</v>
      </c>
      <c r="J79" s="31">
        <f t="shared" si="5"/>
        <v>-154762.66666666666</v>
      </c>
      <c r="K79" s="18">
        <f t="shared" si="7"/>
        <v>4981776.0000000168</v>
      </c>
      <c r="L79" s="18">
        <f t="shared" si="8"/>
        <v>-32938546.000000052</v>
      </c>
    </row>
    <row r="80" spans="1:12" x14ac:dyDescent="0.2">
      <c r="A80" s="4" t="str">
        <f t="shared" si="6"/>
        <v>Month 79</v>
      </c>
      <c r="B80" s="26">
        <v>0</v>
      </c>
      <c r="C80" s="12">
        <f>'Leasing Projections'!$C$2</f>
        <v>212500</v>
      </c>
      <c r="D80" s="26">
        <v>0</v>
      </c>
      <c r="E80" s="26">
        <v>0</v>
      </c>
      <c r="F80" s="28">
        <f>'Leasing Projections'!$D$2+'Cash Flow Statement'!$O$2+'Cash Flow Statement'!$O$3+'Cash Flow Statement'!$O$4</f>
        <v>72000</v>
      </c>
      <c r="G80" s="26">
        <f>Financing!D80</f>
        <v>249166.66666666666</v>
      </c>
      <c r="H80" s="30">
        <f>'Loan Amortization'!D50</f>
        <v>44850</v>
      </c>
      <c r="I80" s="26">
        <v>0</v>
      </c>
      <c r="J80" s="31">
        <f t="shared" si="5"/>
        <v>-153516.66666666666</v>
      </c>
      <c r="K80" s="18">
        <f t="shared" si="7"/>
        <v>4981776.0000000168</v>
      </c>
      <c r="L80" s="18">
        <f t="shared" si="8"/>
        <v>-33092062.66666672</v>
      </c>
    </row>
    <row r="81" spans="1:12" x14ac:dyDescent="0.2">
      <c r="A81" s="4" t="str">
        <f t="shared" si="6"/>
        <v>Month 80</v>
      </c>
      <c r="B81" s="26">
        <v>0</v>
      </c>
      <c r="C81" s="12">
        <f>'Leasing Projections'!$C$2</f>
        <v>212500</v>
      </c>
      <c r="D81" s="26">
        <v>0</v>
      </c>
      <c r="E81" s="26">
        <v>0</v>
      </c>
      <c r="F81" s="28">
        <f>'Leasing Projections'!$D$2+'Cash Flow Statement'!$O$2+'Cash Flow Statement'!$O$3+'Cash Flow Statement'!$O$4</f>
        <v>72000</v>
      </c>
      <c r="G81" s="26">
        <f>Financing!D81</f>
        <v>249166.66666666666</v>
      </c>
      <c r="H81" s="30">
        <f>'Loan Amortization'!D51</f>
        <v>43604</v>
      </c>
      <c r="I81" s="26">
        <v>0</v>
      </c>
      <c r="J81" s="31">
        <f t="shared" si="5"/>
        <v>-152270.66666666666</v>
      </c>
      <c r="K81" s="18">
        <f t="shared" si="7"/>
        <v>4981776.0000000168</v>
      </c>
      <c r="L81" s="18">
        <f t="shared" si="8"/>
        <v>-33244333.333333388</v>
      </c>
    </row>
    <row r="82" spans="1:12" x14ac:dyDescent="0.2">
      <c r="A82" s="4" t="str">
        <f t="shared" si="6"/>
        <v>Month 81</v>
      </c>
      <c r="B82" s="26">
        <v>0</v>
      </c>
      <c r="C82" s="12">
        <f>'Leasing Projections'!$C$2</f>
        <v>212500</v>
      </c>
      <c r="D82" s="26">
        <v>0</v>
      </c>
      <c r="E82" s="26">
        <v>0</v>
      </c>
      <c r="F82" s="28">
        <f>'Leasing Projections'!$D$2+'Cash Flow Statement'!$O$2+'Cash Flow Statement'!$O$3+'Cash Flow Statement'!$O$4</f>
        <v>72000</v>
      </c>
      <c r="G82" s="26">
        <f>Financing!D82</f>
        <v>249166.66666666666</v>
      </c>
      <c r="H82" s="30">
        <f>'Loan Amortization'!D52</f>
        <v>42358</v>
      </c>
      <c r="I82" s="26">
        <v>0</v>
      </c>
      <c r="J82" s="31">
        <f t="shared" si="5"/>
        <v>-151024.66666666666</v>
      </c>
      <c r="K82" s="18">
        <f t="shared" si="7"/>
        <v>4981776.0000000168</v>
      </c>
      <c r="L82" s="18">
        <f t="shared" si="8"/>
        <v>-33395358.000000056</v>
      </c>
    </row>
    <row r="83" spans="1:12" x14ac:dyDescent="0.2">
      <c r="A83" s="4" t="str">
        <f t="shared" si="6"/>
        <v>Month 82</v>
      </c>
      <c r="B83" s="26">
        <v>0</v>
      </c>
      <c r="C83" s="12">
        <f>'Leasing Projections'!$C$2</f>
        <v>212500</v>
      </c>
      <c r="D83" s="26">
        <v>0</v>
      </c>
      <c r="E83" s="26">
        <v>0</v>
      </c>
      <c r="F83" s="28">
        <f>'Leasing Projections'!$D$2+'Cash Flow Statement'!$O$2+'Cash Flow Statement'!$O$3+'Cash Flow Statement'!$O$4</f>
        <v>72000</v>
      </c>
      <c r="G83" s="26">
        <f>Financing!D83</f>
        <v>249166.66666666666</v>
      </c>
      <c r="H83" s="30">
        <f>'Loan Amortization'!D53</f>
        <v>41112</v>
      </c>
      <c r="I83" s="26">
        <v>0</v>
      </c>
      <c r="J83" s="31">
        <f t="shared" si="5"/>
        <v>-149778.66666666666</v>
      </c>
      <c r="K83" s="18">
        <f t="shared" si="7"/>
        <v>4981776.0000000168</v>
      </c>
      <c r="L83" s="18">
        <f t="shared" si="8"/>
        <v>-33545136.666666724</v>
      </c>
    </row>
    <row r="84" spans="1:12" x14ac:dyDescent="0.2">
      <c r="A84" s="4" t="str">
        <f t="shared" si="6"/>
        <v>Month 83</v>
      </c>
      <c r="B84" s="26">
        <v>0</v>
      </c>
      <c r="C84" s="12">
        <f>'Leasing Projections'!$C$2</f>
        <v>212500</v>
      </c>
      <c r="D84" s="26">
        <v>0</v>
      </c>
      <c r="E84" s="26">
        <v>0</v>
      </c>
      <c r="F84" s="28">
        <f>'Leasing Projections'!$D$2+'Cash Flow Statement'!$O$2+'Cash Flow Statement'!$O$3+'Cash Flow Statement'!$O$4</f>
        <v>72000</v>
      </c>
      <c r="G84" s="26">
        <f>Financing!D84</f>
        <v>249166.66666666666</v>
      </c>
      <c r="H84" s="30">
        <f>'Loan Amortization'!D54</f>
        <v>39867</v>
      </c>
      <c r="I84" s="26">
        <v>0</v>
      </c>
      <c r="J84" s="31">
        <f t="shared" si="5"/>
        <v>-148533.66666666666</v>
      </c>
      <c r="K84" s="18">
        <f t="shared" si="7"/>
        <v>4981776.0000000168</v>
      </c>
      <c r="L84" s="18">
        <f t="shared" si="8"/>
        <v>-33693670.333333388</v>
      </c>
    </row>
    <row r="85" spans="1:12" x14ac:dyDescent="0.2">
      <c r="A85" s="4" t="str">
        <f t="shared" si="6"/>
        <v>Month 84</v>
      </c>
      <c r="B85" s="26">
        <v>0</v>
      </c>
      <c r="C85" s="12">
        <f>'Leasing Projections'!$C$2</f>
        <v>212500</v>
      </c>
      <c r="D85" s="26">
        <v>0</v>
      </c>
      <c r="E85" s="26">
        <v>0</v>
      </c>
      <c r="F85" s="28">
        <f>'Leasing Projections'!$D$2+'Cash Flow Statement'!$O$2+'Cash Flow Statement'!$O$3+'Cash Flow Statement'!$O$4</f>
        <v>72000</v>
      </c>
      <c r="G85" s="26">
        <f>Financing!D85</f>
        <v>249166.66666666666</v>
      </c>
      <c r="H85" s="30">
        <f>'Loan Amortization'!D55</f>
        <v>38621</v>
      </c>
      <c r="I85" s="26">
        <v>0</v>
      </c>
      <c r="J85" s="31">
        <f t="shared" si="5"/>
        <v>-147287.66666666666</v>
      </c>
      <c r="K85" s="18">
        <f t="shared" si="7"/>
        <v>4981776.0000000168</v>
      </c>
      <c r="L85" s="18">
        <f t="shared" si="8"/>
        <v>-33840958.000000052</v>
      </c>
    </row>
    <row r="86" spans="1:12" x14ac:dyDescent="0.2">
      <c r="A86" s="4" t="str">
        <f t="shared" si="6"/>
        <v>Month 85</v>
      </c>
      <c r="B86" s="26">
        <v>0</v>
      </c>
      <c r="C86" s="12">
        <f>'Leasing Projections'!$C$2</f>
        <v>212500</v>
      </c>
      <c r="D86" s="26">
        <v>0</v>
      </c>
      <c r="E86" s="26">
        <v>0</v>
      </c>
      <c r="F86" s="28">
        <f>'Leasing Projections'!$D$2+'Cash Flow Statement'!$O$2+'Cash Flow Statement'!$O$3+'Cash Flow Statement'!$O$4</f>
        <v>72000</v>
      </c>
      <c r="G86" s="26">
        <f>Financing!D86</f>
        <v>249166.66666666666</v>
      </c>
      <c r="H86" s="30">
        <f>'Loan Amortization'!D56</f>
        <v>37375</v>
      </c>
      <c r="I86" s="26">
        <v>0</v>
      </c>
      <c r="J86" s="31">
        <f t="shared" si="5"/>
        <v>-146041.66666666666</v>
      </c>
      <c r="K86" s="18">
        <f t="shared" si="7"/>
        <v>4981776.0000000168</v>
      </c>
      <c r="L86" s="18">
        <f t="shared" si="8"/>
        <v>-33986999.666666716</v>
      </c>
    </row>
    <row r="87" spans="1:12" x14ac:dyDescent="0.2">
      <c r="A87" s="4" t="str">
        <f t="shared" si="6"/>
        <v>Month 86</v>
      </c>
      <c r="B87" s="26">
        <v>0</v>
      </c>
      <c r="C87" s="12">
        <f>'Leasing Projections'!$C$2</f>
        <v>212500</v>
      </c>
      <c r="D87" s="26">
        <v>0</v>
      </c>
      <c r="E87" s="26">
        <v>0</v>
      </c>
      <c r="F87" s="28">
        <f>'Leasing Projections'!$D$2+'Cash Flow Statement'!$O$2+'Cash Flow Statement'!$O$3+'Cash Flow Statement'!$O$4</f>
        <v>72000</v>
      </c>
      <c r="G87" s="26">
        <f>Financing!D87</f>
        <v>249166.66666666666</v>
      </c>
      <c r="H87" s="30">
        <f>'Loan Amortization'!D57</f>
        <v>36129</v>
      </c>
      <c r="I87" s="26">
        <v>0</v>
      </c>
      <c r="J87" s="31">
        <f t="shared" si="5"/>
        <v>-144795.66666666666</v>
      </c>
      <c r="K87" s="18">
        <f t="shared" si="7"/>
        <v>4981776.0000000168</v>
      </c>
      <c r="L87" s="18">
        <f t="shared" si="8"/>
        <v>-34131795.333333381</v>
      </c>
    </row>
    <row r="88" spans="1:12" x14ac:dyDescent="0.2">
      <c r="A88" s="4" t="str">
        <f t="shared" si="6"/>
        <v>Month 87</v>
      </c>
      <c r="B88" s="26">
        <v>0</v>
      </c>
      <c r="C88" s="12">
        <f>'Leasing Projections'!$C$2</f>
        <v>212500</v>
      </c>
      <c r="D88" s="26">
        <v>0</v>
      </c>
      <c r="E88" s="26">
        <v>0</v>
      </c>
      <c r="F88" s="28">
        <f>'Leasing Projections'!$D$2+'Cash Flow Statement'!$O$2+'Cash Flow Statement'!$O$3+'Cash Flow Statement'!$O$4</f>
        <v>72000</v>
      </c>
      <c r="G88" s="26">
        <f>Financing!D88</f>
        <v>249166.66666666666</v>
      </c>
      <c r="H88" s="30">
        <f>'Loan Amortization'!D58</f>
        <v>34883</v>
      </c>
      <c r="I88" s="26">
        <v>0</v>
      </c>
      <c r="J88" s="31">
        <f t="shared" si="5"/>
        <v>-143549.66666666666</v>
      </c>
      <c r="K88" s="18">
        <f t="shared" si="7"/>
        <v>4981776.0000000168</v>
      </c>
      <c r="L88" s="18">
        <f t="shared" si="8"/>
        <v>-34275345.000000045</v>
      </c>
    </row>
    <row r="89" spans="1:12" x14ac:dyDescent="0.2">
      <c r="A89" s="4" t="str">
        <f t="shared" si="6"/>
        <v>Month 88</v>
      </c>
      <c r="B89" s="26">
        <v>0</v>
      </c>
      <c r="C89" s="12">
        <f>'Leasing Projections'!$C$2</f>
        <v>212500</v>
      </c>
      <c r="D89" s="26">
        <v>0</v>
      </c>
      <c r="E89" s="26">
        <v>0</v>
      </c>
      <c r="F89" s="28">
        <f>'Leasing Projections'!$D$2+'Cash Flow Statement'!$O$2+'Cash Flow Statement'!$O$3+'Cash Flow Statement'!$O$4</f>
        <v>72000</v>
      </c>
      <c r="G89" s="26">
        <f>Financing!D89</f>
        <v>249166.66666666666</v>
      </c>
      <c r="H89" s="30">
        <f>'Loan Amortization'!D59</f>
        <v>33637</v>
      </c>
      <c r="I89" s="26">
        <v>0</v>
      </c>
      <c r="J89" s="31">
        <f t="shared" si="5"/>
        <v>-142303.66666666666</v>
      </c>
      <c r="K89" s="18">
        <f t="shared" si="7"/>
        <v>4981776.0000000168</v>
      </c>
      <c r="L89" s="18">
        <f t="shared" si="8"/>
        <v>-34417648.666666709</v>
      </c>
    </row>
    <row r="90" spans="1:12" x14ac:dyDescent="0.2">
      <c r="A90" s="4" t="str">
        <f t="shared" si="6"/>
        <v>Month 89</v>
      </c>
      <c r="B90" s="26">
        <v>0</v>
      </c>
      <c r="C90" s="12">
        <f>'Leasing Projections'!$C$2</f>
        <v>212500</v>
      </c>
      <c r="D90" s="26">
        <v>0</v>
      </c>
      <c r="E90" s="26">
        <v>0</v>
      </c>
      <c r="F90" s="28">
        <f>'Leasing Projections'!$D$2+'Cash Flow Statement'!$O$2+'Cash Flow Statement'!$O$3+'Cash Flow Statement'!$O$4</f>
        <v>72000</v>
      </c>
      <c r="G90" s="26">
        <f>Financing!D90</f>
        <v>249166.66666666666</v>
      </c>
      <c r="H90" s="30">
        <f>'Loan Amortization'!D60</f>
        <v>32392</v>
      </c>
      <c r="I90" s="26">
        <v>0</v>
      </c>
      <c r="J90" s="31">
        <f t="shared" si="5"/>
        <v>-141058.66666666666</v>
      </c>
      <c r="K90" s="18">
        <f t="shared" si="7"/>
        <v>4981776.0000000168</v>
      </c>
      <c r="L90" s="18">
        <f t="shared" si="8"/>
        <v>-34558707.333333373</v>
      </c>
    </row>
    <row r="91" spans="1:12" x14ac:dyDescent="0.2">
      <c r="A91" s="4" t="str">
        <f t="shared" si="6"/>
        <v>Month 90</v>
      </c>
      <c r="B91" s="26">
        <v>0</v>
      </c>
      <c r="C91" s="12">
        <f>'Leasing Projections'!$C$2</f>
        <v>212500</v>
      </c>
      <c r="D91" s="26">
        <v>0</v>
      </c>
      <c r="E91" s="26">
        <v>0</v>
      </c>
      <c r="F91" s="28">
        <f>'Leasing Projections'!$D$2+'Cash Flow Statement'!$O$2+'Cash Flow Statement'!$O$3+'Cash Flow Statement'!$O$4</f>
        <v>72000</v>
      </c>
      <c r="G91" s="26">
        <f>Financing!D91</f>
        <v>249166.66666666666</v>
      </c>
      <c r="H91" s="30">
        <f>'Loan Amortization'!D61</f>
        <v>31146</v>
      </c>
      <c r="I91" s="26">
        <v>0</v>
      </c>
      <c r="J91" s="31">
        <f>C91-F91-G91-H91</f>
        <v>-139812.66666666666</v>
      </c>
      <c r="K91" s="18">
        <f t="shared" si="7"/>
        <v>4981776.0000000168</v>
      </c>
      <c r="L91" s="18">
        <f t="shared" si="8"/>
        <v>-34698520.000000037</v>
      </c>
    </row>
    <row r="92" spans="1:12" x14ac:dyDescent="0.2">
      <c r="A92" s="4" t="str">
        <f t="shared" si="6"/>
        <v>Month 91</v>
      </c>
      <c r="B92" s="26">
        <v>0</v>
      </c>
      <c r="C92" s="26">
        <v>0</v>
      </c>
      <c r="D92" s="26">
        <v>0</v>
      </c>
      <c r="E92" s="26">
        <v>0</v>
      </c>
      <c r="F92" s="26">
        <v>0</v>
      </c>
      <c r="G92" s="26">
        <f>Financing!D92</f>
        <v>249166.66666666666</v>
      </c>
      <c r="H92" s="30">
        <f>'Loan Amortization'!D62</f>
        <v>29900</v>
      </c>
      <c r="I92" s="26">
        <v>0</v>
      </c>
      <c r="J92" s="33">
        <f>Assumptions!C37</f>
        <v>40000000</v>
      </c>
      <c r="K92" s="18">
        <f t="shared" si="7"/>
        <v>4981776.0000000168</v>
      </c>
      <c r="L92" s="18">
        <f t="shared" si="8"/>
        <v>5301479.9999999627</v>
      </c>
    </row>
    <row r="93" spans="1:12" x14ac:dyDescent="0.2">
      <c r="A93" s="4" t="str">
        <f t="shared" si="6"/>
        <v>Month 92</v>
      </c>
      <c r="B93" s="26">
        <v>0</v>
      </c>
      <c r="C93" s="26">
        <v>0</v>
      </c>
      <c r="D93" s="26">
        <v>0</v>
      </c>
      <c r="E93" s="26">
        <v>0</v>
      </c>
      <c r="F93" s="26">
        <v>0</v>
      </c>
      <c r="G93" s="26">
        <f>Financing!D93</f>
        <v>249166.66666666666</v>
      </c>
      <c r="H93" s="30">
        <f>'Loan Amortization'!D63</f>
        <v>28654</v>
      </c>
      <c r="I93" s="26">
        <v>0</v>
      </c>
      <c r="J93" s="26">
        <v>0</v>
      </c>
      <c r="K93" s="18">
        <f t="shared" si="7"/>
        <v>4981776.0000000168</v>
      </c>
      <c r="L93" s="18">
        <f t="shared" si="8"/>
        <v>5301479.9999999627</v>
      </c>
    </row>
    <row r="94" spans="1:12" x14ac:dyDescent="0.2">
      <c r="A94" s="4" t="str">
        <f t="shared" si="6"/>
        <v>Month 93</v>
      </c>
      <c r="B94" s="26">
        <v>0</v>
      </c>
      <c r="C94" s="26">
        <v>0</v>
      </c>
      <c r="D94" s="26">
        <v>0</v>
      </c>
      <c r="E94" s="26">
        <v>0</v>
      </c>
      <c r="F94" s="26">
        <v>0</v>
      </c>
      <c r="G94" s="26">
        <f>Financing!D94</f>
        <v>249166.66666666666</v>
      </c>
      <c r="H94" s="30">
        <f>'Loan Amortization'!D64</f>
        <v>27408</v>
      </c>
      <c r="I94" s="26">
        <v>0</v>
      </c>
      <c r="J94" s="26">
        <v>0</v>
      </c>
      <c r="K94" s="18">
        <f t="shared" si="7"/>
        <v>4981776.0000000168</v>
      </c>
      <c r="L94" s="18">
        <f t="shared" si="8"/>
        <v>5301479.9999999627</v>
      </c>
    </row>
    <row r="95" spans="1:12" x14ac:dyDescent="0.2">
      <c r="A95" s="4" t="str">
        <f t="shared" si="6"/>
        <v>Month 94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f>Financing!D95</f>
        <v>249166.66666666666</v>
      </c>
      <c r="H95" s="30">
        <f>'Loan Amortization'!D65</f>
        <v>26162</v>
      </c>
      <c r="I95" s="26">
        <v>0</v>
      </c>
      <c r="J95" s="26">
        <v>0</v>
      </c>
      <c r="K95" s="18">
        <f t="shared" si="7"/>
        <v>4981776.0000000168</v>
      </c>
      <c r="L95" s="18">
        <f t="shared" si="8"/>
        <v>5301479.9999999627</v>
      </c>
    </row>
    <row r="96" spans="1:12" x14ac:dyDescent="0.2">
      <c r="A96" s="4" t="str">
        <f t="shared" si="6"/>
        <v>Month 95</v>
      </c>
      <c r="B96" s="26">
        <v>0</v>
      </c>
      <c r="C96" s="26">
        <v>0</v>
      </c>
      <c r="D96" s="26">
        <v>0</v>
      </c>
      <c r="E96" s="26">
        <v>0</v>
      </c>
      <c r="F96" s="26">
        <v>0</v>
      </c>
      <c r="G96" s="26">
        <f>Financing!D96</f>
        <v>249166.66666666666</v>
      </c>
      <c r="H96" s="30">
        <f>'Loan Amortization'!D66</f>
        <v>24917</v>
      </c>
      <c r="I96" s="26">
        <v>0</v>
      </c>
      <c r="J96" s="26">
        <v>0</v>
      </c>
      <c r="K96" s="18">
        <f t="shared" si="7"/>
        <v>4981776.0000000168</v>
      </c>
      <c r="L96" s="18">
        <f t="shared" si="8"/>
        <v>5301479.9999999627</v>
      </c>
    </row>
    <row r="97" spans="1:12" x14ac:dyDescent="0.2">
      <c r="A97" s="4" t="str">
        <f t="shared" si="6"/>
        <v>Month 96</v>
      </c>
      <c r="B97" s="26">
        <v>0</v>
      </c>
      <c r="C97" s="26">
        <v>0</v>
      </c>
      <c r="D97" s="26">
        <v>0</v>
      </c>
      <c r="E97" s="26">
        <v>0</v>
      </c>
      <c r="F97" s="26">
        <v>0</v>
      </c>
      <c r="G97" s="26">
        <f>Financing!D97</f>
        <v>249166.66666666666</v>
      </c>
      <c r="H97" s="30">
        <f>'Loan Amortization'!D67</f>
        <v>23671</v>
      </c>
      <c r="I97" s="26">
        <v>0</v>
      </c>
      <c r="J97" s="26">
        <v>0</v>
      </c>
      <c r="K97" s="18">
        <f t="shared" si="7"/>
        <v>4981776.0000000168</v>
      </c>
      <c r="L97" s="18">
        <f t="shared" si="8"/>
        <v>5301479.9999999627</v>
      </c>
    </row>
    <row r="98" spans="1:12" x14ac:dyDescent="0.2">
      <c r="A98" s="4" t="str">
        <f t="shared" si="6"/>
        <v>Month 97</v>
      </c>
      <c r="B98" s="26">
        <v>0</v>
      </c>
      <c r="C98" s="26">
        <v>0</v>
      </c>
      <c r="D98" s="26">
        <v>0</v>
      </c>
      <c r="E98" s="26">
        <v>0</v>
      </c>
      <c r="F98" s="26">
        <v>0</v>
      </c>
      <c r="G98" s="26">
        <f>Financing!D98</f>
        <v>249166.66666666666</v>
      </c>
      <c r="H98" s="30">
        <f>'Loan Amortization'!D68</f>
        <v>22425</v>
      </c>
      <c r="I98" s="26">
        <v>0</v>
      </c>
      <c r="J98" s="26">
        <v>0</v>
      </c>
      <c r="K98" s="18">
        <f t="shared" si="7"/>
        <v>4981776.0000000168</v>
      </c>
      <c r="L98" s="18">
        <f t="shared" si="8"/>
        <v>5301479.9999999627</v>
      </c>
    </row>
    <row r="99" spans="1:12" x14ac:dyDescent="0.2">
      <c r="A99" s="4" t="str">
        <f t="shared" si="6"/>
        <v>Month 98</v>
      </c>
      <c r="B99" s="26">
        <v>0</v>
      </c>
      <c r="C99" s="26">
        <v>0</v>
      </c>
      <c r="D99" s="26">
        <v>0</v>
      </c>
      <c r="E99" s="26">
        <v>0</v>
      </c>
      <c r="F99" s="26">
        <v>0</v>
      </c>
      <c r="G99" s="26">
        <f>Financing!D99</f>
        <v>249166.66666666666</v>
      </c>
      <c r="H99" s="30">
        <f>'Loan Amortization'!D69</f>
        <v>21179</v>
      </c>
      <c r="I99" s="26">
        <v>0</v>
      </c>
      <c r="J99" s="26">
        <v>0</v>
      </c>
      <c r="K99" s="18">
        <f t="shared" si="7"/>
        <v>4981776.0000000168</v>
      </c>
      <c r="L99" s="18">
        <f t="shared" si="8"/>
        <v>5301479.9999999627</v>
      </c>
    </row>
    <row r="100" spans="1:12" x14ac:dyDescent="0.2">
      <c r="A100" s="4" t="str">
        <f t="shared" si="6"/>
        <v>Month 99</v>
      </c>
      <c r="B100" s="26">
        <v>0</v>
      </c>
      <c r="C100" s="26">
        <v>0</v>
      </c>
      <c r="D100" s="26">
        <v>0</v>
      </c>
      <c r="E100" s="26">
        <v>0</v>
      </c>
      <c r="F100" s="26">
        <v>0</v>
      </c>
      <c r="G100" s="26">
        <f>Financing!D100</f>
        <v>249166.66666666666</v>
      </c>
      <c r="H100" s="30">
        <f>'Loan Amortization'!D70</f>
        <v>19933</v>
      </c>
      <c r="I100" s="26">
        <v>0</v>
      </c>
      <c r="J100" s="26">
        <v>0</v>
      </c>
      <c r="K100" s="18">
        <f t="shared" si="7"/>
        <v>4981776.0000000168</v>
      </c>
      <c r="L100" s="18">
        <f t="shared" si="8"/>
        <v>5301479.9999999627</v>
      </c>
    </row>
    <row r="101" spans="1:12" x14ac:dyDescent="0.2">
      <c r="A101" s="4" t="str">
        <f t="shared" si="6"/>
        <v>Month 100</v>
      </c>
      <c r="B101" s="26">
        <v>0</v>
      </c>
      <c r="C101" s="26">
        <v>0</v>
      </c>
      <c r="D101" s="26">
        <v>0</v>
      </c>
      <c r="E101" s="26">
        <v>0</v>
      </c>
      <c r="F101" s="26">
        <v>0</v>
      </c>
      <c r="G101" s="26">
        <f>Financing!D101</f>
        <v>249166.66666666666</v>
      </c>
      <c r="H101" s="30">
        <f>'Loan Amortization'!D71</f>
        <v>18687</v>
      </c>
      <c r="I101" s="26">
        <v>0</v>
      </c>
      <c r="J101" s="26">
        <v>0</v>
      </c>
      <c r="K101" s="18">
        <f t="shared" si="7"/>
        <v>4981776.0000000168</v>
      </c>
      <c r="L101" s="18">
        <f t="shared" si="8"/>
        <v>5301479.9999999627</v>
      </c>
    </row>
    <row r="102" spans="1:12" x14ac:dyDescent="0.2">
      <c r="A102" s="4" t="str">
        <f t="shared" si="6"/>
        <v>Month 101</v>
      </c>
      <c r="B102" s="26">
        <v>0</v>
      </c>
      <c r="C102" s="26">
        <v>0</v>
      </c>
      <c r="D102" s="26">
        <v>0</v>
      </c>
      <c r="E102" s="26">
        <v>0</v>
      </c>
      <c r="F102" s="26">
        <v>0</v>
      </c>
      <c r="G102" s="26">
        <f>Financing!D102</f>
        <v>249166.66666666666</v>
      </c>
      <c r="H102" s="30">
        <f>'Loan Amortization'!D72</f>
        <v>17442</v>
      </c>
      <c r="I102" s="26">
        <v>0</v>
      </c>
      <c r="J102" s="26">
        <v>0</v>
      </c>
      <c r="K102" s="18">
        <f t="shared" si="7"/>
        <v>4981776.0000000168</v>
      </c>
      <c r="L102" s="18">
        <f t="shared" si="8"/>
        <v>5301479.9999999627</v>
      </c>
    </row>
    <row r="103" spans="1:12" x14ac:dyDescent="0.2">
      <c r="A103" s="4" t="str">
        <f t="shared" si="6"/>
        <v>Month 102</v>
      </c>
      <c r="B103" s="26">
        <v>0</v>
      </c>
      <c r="C103" s="26">
        <v>0</v>
      </c>
      <c r="D103" s="26">
        <v>0</v>
      </c>
      <c r="E103" s="26">
        <v>0</v>
      </c>
      <c r="F103" s="26">
        <v>0</v>
      </c>
      <c r="G103" s="26">
        <f>Financing!D103</f>
        <v>249166.66666666666</v>
      </c>
      <c r="H103" s="30">
        <f>'Loan Amortization'!D73</f>
        <v>16196</v>
      </c>
      <c r="I103" s="26">
        <v>0</v>
      </c>
      <c r="J103" s="26">
        <v>0</v>
      </c>
      <c r="K103" s="18">
        <f t="shared" si="7"/>
        <v>4981776.0000000168</v>
      </c>
      <c r="L103" s="18">
        <f t="shared" si="8"/>
        <v>5301479.9999999627</v>
      </c>
    </row>
    <row r="104" spans="1:12" x14ac:dyDescent="0.2">
      <c r="A104" s="4" t="str">
        <f t="shared" si="6"/>
        <v>Month 103</v>
      </c>
      <c r="B104" s="26">
        <v>0</v>
      </c>
      <c r="C104" s="26">
        <v>0</v>
      </c>
      <c r="D104" s="26">
        <v>0</v>
      </c>
      <c r="E104" s="26">
        <v>0</v>
      </c>
      <c r="F104" s="26">
        <v>0</v>
      </c>
      <c r="G104" s="26">
        <f>Financing!D104</f>
        <v>249166.66666666666</v>
      </c>
      <c r="H104" s="30">
        <f>'Loan Amortization'!D74</f>
        <v>14950</v>
      </c>
      <c r="I104" s="26">
        <v>0</v>
      </c>
      <c r="J104" s="26">
        <v>0</v>
      </c>
      <c r="K104" s="18">
        <f t="shared" si="7"/>
        <v>4981776.0000000168</v>
      </c>
      <c r="L104" s="18">
        <f t="shared" si="8"/>
        <v>5301479.9999999627</v>
      </c>
    </row>
    <row r="105" spans="1:12" x14ac:dyDescent="0.2">
      <c r="A105" s="4" t="str">
        <f t="shared" si="6"/>
        <v>Month 104</v>
      </c>
      <c r="B105" s="26">
        <v>0</v>
      </c>
      <c r="C105" s="26">
        <v>0</v>
      </c>
      <c r="D105" s="26">
        <v>0</v>
      </c>
      <c r="E105" s="26">
        <v>0</v>
      </c>
      <c r="F105" s="26">
        <v>0</v>
      </c>
      <c r="G105" s="26">
        <f>Financing!D105</f>
        <v>249166.66666666666</v>
      </c>
      <c r="H105" s="30">
        <f>'Loan Amortization'!D75</f>
        <v>13704</v>
      </c>
      <c r="I105" s="26">
        <v>0</v>
      </c>
      <c r="J105" s="26">
        <v>0</v>
      </c>
      <c r="K105" s="18">
        <f t="shared" si="7"/>
        <v>4981776.0000000168</v>
      </c>
      <c r="L105" s="18">
        <f t="shared" si="8"/>
        <v>5301479.9999999627</v>
      </c>
    </row>
    <row r="106" spans="1:12" x14ac:dyDescent="0.2">
      <c r="A106" s="4" t="str">
        <f t="shared" si="6"/>
        <v>Month 105</v>
      </c>
      <c r="B106" s="26">
        <v>0</v>
      </c>
      <c r="C106" s="26">
        <v>0</v>
      </c>
      <c r="D106" s="26">
        <v>0</v>
      </c>
      <c r="E106" s="26">
        <v>0</v>
      </c>
      <c r="F106" s="26">
        <v>0</v>
      </c>
      <c r="G106" s="26">
        <f>Financing!D106</f>
        <v>249166.66666666666</v>
      </c>
      <c r="H106" s="30">
        <f>'Loan Amortization'!D76</f>
        <v>12458</v>
      </c>
      <c r="I106" s="26">
        <v>0</v>
      </c>
      <c r="J106" s="26">
        <v>0</v>
      </c>
      <c r="K106" s="18">
        <f t="shared" si="7"/>
        <v>4981776.0000000168</v>
      </c>
      <c r="L106" s="18">
        <f t="shared" si="8"/>
        <v>5301479.9999999627</v>
      </c>
    </row>
    <row r="107" spans="1:12" x14ac:dyDescent="0.2">
      <c r="A107" s="4" t="str">
        <f t="shared" si="6"/>
        <v>Month 106</v>
      </c>
      <c r="B107" s="26">
        <v>0</v>
      </c>
      <c r="C107" s="26">
        <v>0</v>
      </c>
      <c r="D107" s="26">
        <v>0</v>
      </c>
      <c r="E107" s="26">
        <v>0</v>
      </c>
      <c r="F107" s="26">
        <v>0</v>
      </c>
      <c r="G107" s="26">
        <f>Financing!D107</f>
        <v>249166.66666666666</v>
      </c>
      <c r="H107" s="30">
        <f>'Loan Amortization'!D77</f>
        <v>11212</v>
      </c>
      <c r="I107" s="26">
        <v>0</v>
      </c>
      <c r="J107" s="26">
        <v>0</v>
      </c>
      <c r="K107" s="18">
        <f t="shared" si="7"/>
        <v>4981776.0000000168</v>
      </c>
      <c r="L107" s="18">
        <f t="shared" si="8"/>
        <v>5301479.9999999627</v>
      </c>
    </row>
    <row r="108" spans="1:12" x14ac:dyDescent="0.2">
      <c r="A108" s="4" t="str">
        <f t="shared" si="6"/>
        <v>Month 107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f>Financing!D108</f>
        <v>249166.66666666666</v>
      </c>
      <c r="H108" s="30">
        <f>'Loan Amortization'!D78</f>
        <v>9967</v>
      </c>
      <c r="I108" s="26">
        <v>0</v>
      </c>
      <c r="J108" s="26">
        <v>0</v>
      </c>
      <c r="K108" s="18">
        <f t="shared" si="7"/>
        <v>4981776.0000000168</v>
      </c>
      <c r="L108" s="18">
        <f t="shared" si="8"/>
        <v>5301479.9999999627</v>
      </c>
    </row>
    <row r="109" spans="1:12" x14ac:dyDescent="0.2">
      <c r="A109" s="4" t="str">
        <f t="shared" si="6"/>
        <v>Month 108</v>
      </c>
      <c r="B109" s="26">
        <v>0</v>
      </c>
      <c r="C109" s="26">
        <v>0</v>
      </c>
      <c r="D109" s="26">
        <v>0</v>
      </c>
      <c r="E109" s="26">
        <v>0</v>
      </c>
      <c r="F109" s="26">
        <v>0</v>
      </c>
      <c r="G109" s="26">
        <f>Financing!D109</f>
        <v>249166.66666666666</v>
      </c>
      <c r="H109" s="30">
        <f>'Loan Amortization'!D79</f>
        <v>8721</v>
      </c>
      <c r="I109" s="26">
        <v>0</v>
      </c>
      <c r="J109" s="26">
        <v>0</v>
      </c>
      <c r="K109" s="18">
        <f t="shared" si="7"/>
        <v>4981776.0000000168</v>
      </c>
      <c r="L109" s="18">
        <f t="shared" si="8"/>
        <v>5301479.9999999627</v>
      </c>
    </row>
    <row r="110" spans="1:12" x14ac:dyDescent="0.2">
      <c r="A110" s="4" t="str">
        <f t="shared" si="6"/>
        <v>Month 109</v>
      </c>
      <c r="B110" s="26">
        <v>0</v>
      </c>
      <c r="C110" s="26">
        <v>0</v>
      </c>
      <c r="D110" s="26">
        <v>0</v>
      </c>
      <c r="E110" s="26">
        <v>0</v>
      </c>
      <c r="F110" s="26">
        <v>0</v>
      </c>
      <c r="G110" s="26">
        <f>Financing!D110</f>
        <v>249166.66666666666</v>
      </c>
      <c r="H110" s="30">
        <f>'Loan Amortization'!D80</f>
        <v>7475</v>
      </c>
      <c r="I110" s="26">
        <v>0</v>
      </c>
      <c r="J110" s="26">
        <v>0</v>
      </c>
      <c r="K110" s="18">
        <f t="shared" si="7"/>
        <v>4981776.0000000168</v>
      </c>
      <c r="L110" s="18">
        <f t="shared" si="8"/>
        <v>5301479.9999999627</v>
      </c>
    </row>
    <row r="111" spans="1:12" x14ac:dyDescent="0.2">
      <c r="A111" s="4" t="str">
        <f t="shared" si="6"/>
        <v>Month 110</v>
      </c>
      <c r="B111" s="26">
        <v>0</v>
      </c>
      <c r="C111" s="26">
        <v>0</v>
      </c>
      <c r="D111" s="26">
        <v>0</v>
      </c>
      <c r="E111" s="26">
        <v>0</v>
      </c>
      <c r="F111" s="26">
        <v>0</v>
      </c>
      <c r="G111" s="26">
        <f>Financing!D111</f>
        <v>249166.66666666666</v>
      </c>
      <c r="H111" s="30">
        <f>'Loan Amortization'!D81</f>
        <v>6229</v>
      </c>
      <c r="I111" s="26">
        <v>0</v>
      </c>
      <c r="J111" s="26">
        <v>0</v>
      </c>
      <c r="K111" s="18">
        <f t="shared" si="7"/>
        <v>4981776.0000000168</v>
      </c>
      <c r="L111" s="18">
        <f t="shared" si="8"/>
        <v>5301479.9999999627</v>
      </c>
    </row>
    <row r="112" spans="1:12" x14ac:dyDescent="0.2">
      <c r="A112" s="4" t="str">
        <f t="shared" si="6"/>
        <v>Month 111</v>
      </c>
      <c r="B112" s="26">
        <v>0</v>
      </c>
      <c r="C112" s="26">
        <v>0</v>
      </c>
      <c r="D112" s="26">
        <v>0</v>
      </c>
      <c r="E112" s="26">
        <v>0</v>
      </c>
      <c r="F112" s="26">
        <v>0</v>
      </c>
      <c r="G112" s="26">
        <f>Financing!D112</f>
        <v>249166.66666666666</v>
      </c>
      <c r="H112" s="30">
        <f>'Loan Amortization'!D82</f>
        <v>4983</v>
      </c>
      <c r="I112" s="26">
        <v>0</v>
      </c>
      <c r="J112" s="26">
        <v>0</v>
      </c>
      <c r="K112" s="18">
        <f t="shared" si="7"/>
        <v>4981776.0000000168</v>
      </c>
      <c r="L112" s="18">
        <f t="shared" si="8"/>
        <v>5301479.9999999627</v>
      </c>
    </row>
    <row r="113" spans="1:12" x14ac:dyDescent="0.2">
      <c r="A113" s="4" t="str">
        <f t="shared" si="6"/>
        <v>Month 112</v>
      </c>
      <c r="B113" s="26">
        <v>0</v>
      </c>
      <c r="C113" s="26">
        <v>0</v>
      </c>
      <c r="D113" s="26">
        <v>0</v>
      </c>
      <c r="E113" s="26">
        <v>0</v>
      </c>
      <c r="F113" s="26">
        <v>0</v>
      </c>
      <c r="G113" s="26">
        <f>Financing!D113</f>
        <v>249166.66666666666</v>
      </c>
      <c r="H113" s="30">
        <f>'Loan Amortization'!D83</f>
        <v>3737</v>
      </c>
      <c r="I113" s="26">
        <v>0</v>
      </c>
      <c r="J113" s="26">
        <v>0</v>
      </c>
      <c r="K113" s="18">
        <f t="shared" si="7"/>
        <v>4981776.0000000168</v>
      </c>
      <c r="L113" s="18">
        <f t="shared" si="8"/>
        <v>5301479.9999999627</v>
      </c>
    </row>
    <row r="114" spans="1:12" x14ac:dyDescent="0.2">
      <c r="A114" s="4" t="str">
        <f t="shared" si="6"/>
        <v>Month 113</v>
      </c>
      <c r="B114" s="26">
        <v>0</v>
      </c>
      <c r="C114" s="26">
        <v>0</v>
      </c>
      <c r="D114" s="26">
        <v>0</v>
      </c>
      <c r="E114" s="26">
        <v>0</v>
      </c>
      <c r="F114" s="26">
        <v>0</v>
      </c>
      <c r="G114" s="26">
        <f>Financing!D114</f>
        <v>249166.66666666666</v>
      </c>
      <c r="H114" s="30">
        <f>'Loan Amortization'!D84</f>
        <v>2492</v>
      </c>
      <c r="I114" s="26">
        <v>0</v>
      </c>
      <c r="J114" s="26">
        <v>0</v>
      </c>
      <c r="K114" s="18">
        <f t="shared" si="7"/>
        <v>4981776.0000000168</v>
      </c>
      <c r="L114" s="18">
        <f t="shared" si="8"/>
        <v>5301479.9999999627</v>
      </c>
    </row>
    <row r="115" spans="1:12" x14ac:dyDescent="0.2">
      <c r="A115" s="4" t="str">
        <f t="shared" si="6"/>
        <v>Month 114</v>
      </c>
      <c r="B115" s="26">
        <v>0</v>
      </c>
      <c r="C115" s="26">
        <v>0</v>
      </c>
      <c r="D115" s="26">
        <v>0</v>
      </c>
      <c r="E115" s="26">
        <v>0</v>
      </c>
      <c r="F115" s="26">
        <v>0</v>
      </c>
      <c r="G115" s="26">
        <f>Financing!D115</f>
        <v>249166.66666666666</v>
      </c>
      <c r="H115" s="30">
        <f>'Loan Amortization'!D85</f>
        <v>1246</v>
      </c>
      <c r="I115" s="26">
        <v>0</v>
      </c>
      <c r="J115" s="26">
        <v>0</v>
      </c>
      <c r="K115" s="18">
        <f t="shared" si="7"/>
        <v>4981776.0000000168</v>
      </c>
      <c r="L115" s="18">
        <f t="shared" si="8"/>
        <v>5301479.9999999627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EA5C-396C-2C49-9FA4-EC521637F089}">
  <dimension ref="A1:D5"/>
  <sheetViews>
    <sheetView workbookViewId="0">
      <selection activeCell="B2" sqref="B2"/>
    </sheetView>
  </sheetViews>
  <sheetFormatPr baseColWidth="10" defaultRowHeight="16" x14ac:dyDescent="0.2"/>
  <cols>
    <col min="1" max="1" width="21.33203125" customWidth="1"/>
    <col min="2" max="2" width="20.33203125" customWidth="1"/>
    <col min="3" max="3" width="29" customWidth="1"/>
    <col min="4" max="4" width="70.5" customWidth="1"/>
  </cols>
  <sheetData>
    <row r="1" spans="1:4" x14ac:dyDescent="0.2">
      <c r="A1" s="1" t="s">
        <v>173</v>
      </c>
      <c r="B1" s="1" t="s">
        <v>189</v>
      </c>
      <c r="C1" s="1" t="s">
        <v>190</v>
      </c>
      <c r="D1" s="1" t="s">
        <v>174</v>
      </c>
    </row>
    <row r="2" spans="1:4" x14ac:dyDescent="0.2">
      <c r="A2" t="s">
        <v>175</v>
      </c>
      <c r="B2" s="19">
        <f>NPV(12%, 'Cash Flow Statement'!I2:I43)</f>
        <v>-5971436.0077714585</v>
      </c>
      <c r="C2" s="19">
        <f>NPV(12%,'Cash Flow Statement'!J2:J115)</f>
        <v>-6527324.6881376533</v>
      </c>
      <c r="D2" t="s">
        <v>191</v>
      </c>
    </row>
    <row r="3" spans="1:4" x14ac:dyDescent="0.2">
      <c r="A3" t="s">
        <v>176</v>
      </c>
      <c r="B3" s="7">
        <f>IRR('Cash Flow Statement'!I2:I43)</f>
        <v>8.8657495738502234E-3</v>
      </c>
      <c r="C3" s="7">
        <f>IRR('Cash Flow Statement'!J2:J115)</f>
        <v>2.2595221966752455E-3</v>
      </c>
      <c r="D3" t="s">
        <v>192</v>
      </c>
    </row>
    <row r="4" spans="1:4" x14ac:dyDescent="0.2">
      <c r="A4" t="s">
        <v>177</v>
      </c>
      <c r="B4" s="32">
        <f>(SUMIF('Cash Flow Statement'!I2:I43, "&gt;0") - ABS(SUMIF('Cash Flow Statement'!I2:I43, "&lt;0"))) / ABS(SUMIF('Cash Flow Statement'!I2:I43, "&lt;0"))</f>
        <v>0.20667282038942777</v>
      </c>
      <c r="C4" s="32">
        <f>(SUMIF('Cash Flow Statement'!J2:J115, "&gt;0") - ABS(SUMIF('Cash Flow Statement'!J2:J115, "&lt;0"))) / ABS(SUMIF('Cash Flow Statement'!J2:J115, "&lt;0"))</f>
        <v>0.15278692001848945</v>
      </c>
      <c r="D4" t="s">
        <v>194</v>
      </c>
    </row>
    <row r="5" spans="1:4" x14ac:dyDescent="0.2">
      <c r="A5" t="s">
        <v>178</v>
      </c>
      <c r="B5" cm="1">
        <f t="array" ref="B5">MATCH(TRUE, 'Cash Flow Statement'!K2:K43&gt;=0, 0)</f>
        <v>40</v>
      </c>
      <c r="C5" cm="1">
        <f t="array" ref="C5">MATCH(TRUE,'Cash Flow Statement'!L2:L115&gt;=0, 0)</f>
        <v>91</v>
      </c>
      <c r="D5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D895-E37B-FE45-AD10-D80393D17E7D}">
  <dimension ref="A1:H13"/>
  <sheetViews>
    <sheetView workbookViewId="0">
      <selection activeCell="G3" sqref="G3"/>
    </sheetView>
  </sheetViews>
  <sheetFormatPr baseColWidth="10" defaultRowHeight="16" x14ac:dyDescent="0.2"/>
  <cols>
    <col min="1" max="1" width="33.5" customWidth="1"/>
    <col min="2" max="4" width="23.5" customWidth="1"/>
    <col min="5" max="5" width="18.1640625" customWidth="1"/>
    <col min="6" max="6" width="14.6640625" customWidth="1"/>
  </cols>
  <sheetData>
    <row r="1" spans="1:8" x14ac:dyDescent="0.2">
      <c r="A1" s="11" t="s">
        <v>195</v>
      </c>
      <c r="B1" s="15" t="s">
        <v>18</v>
      </c>
      <c r="C1" s="15" t="s">
        <v>199</v>
      </c>
      <c r="D1" s="15" t="s">
        <v>200</v>
      </c>
      <c r="E1" s="15" t="s">
        <v>39</v>
      </c>
      <c r="F1" s="15" t="s">
        <v>175</v>
      </c>
      <c r="G1" s="15" t="s">
        <v>176</v>
      </c>
      <c r="H1" s="15" t="s">
        <v>207</v>
      </c>
    </row>
    <row r="2" spans="1:8" x14ac:dyDescent="0.2">
      <c r="A2" s="11" t="s">
        <v>196</v>
      </c>
      <c r="B2" s="5">
        <f>Assumptions!C9</f>
        <v>200</v>
      </c>
      <c r="C2" s="5">
        <f>Assumptions!C14</f>
        <v>350000</v>
      </c>
      <c r="D2" s="36">
        <f>Assumptions!C17</f>
        <v>0.85</v>
      </c>
      <c r="E2" s="37">
        <f>Assumptions!C24</f>
        <v>0.06</v>
      </c>
      <c r="F2" s="38">
        <f>'Profitability Analysis'!C2</f>
        <v>-6527324.6881376533</v>
      </c>
      <c r="G2" s="39">
        <f>'Profitability Analysis'!C3</f>
        <v>2.2595221966752455E-3</v>
      </c>
      <c r="H2" s="5">
        <f>'Profitability Analysis'!C5</f>
        <v>91</v>
      </c>
    </row>
    <row r="3" spans="1:8" x14ac:dyDescent="0.2">
      <c r="A3" s="15" t="s">
        <v>201</v>
      </c>
      <c r="B3" s="5">
        <f>B2*0.9</f>
        <v>180</v>
      </c>
      <c r="C3" s="5">
        <f>C2*1.07</f>
        <v>374500</v>
      </c>
      <c r="D3" s="36">
        <f>D2*1.12</f>
        <v>0.95200000000000007</v>
      </c>
      <c r="E3" s="37">
        <f>E2-1%</f>
        <v>4.9999999999999996E-2</v>
      </c>
      <c r="F3" s="38">
        <v>1200000</v>
      </c>
      <c r="G3" s="40">
        <v>5.2999999999999999E-2</v>
      </c>
      <c r="H3" s="5">
        <v>75</v>
      </c>
    </row>
    <row r="4" spans="1:8" x14ac:dyDescent="0.2">
      <c r="A4" s="15" t="s">
        <v>202</v>
      </c>
      <c r="B4" s="5">
        <f>B2*1.1</f>
        <v>220.00000000000003</v>
      </c>
      <c r="C4" s="5">
        <f>C2*0.93</f>
        <v>325500</v>
      </c>
      <c r="D4" s="36">
        <f>D2*0.877</f>
        <v>0.74544999999999995</v>
      </c>
      <c r="E4" s="37">
        <f>E2+1%</f>
        <v>6.9999999999999993E-2</v>
      </c>
      <c r="F4" s="30">
        <v>-12000000</v>
      </c>
      <c r="G4" s="40">
        <v>-3.2000000000000001E-2</v>
      </c>
      <c r="H4" s="5">
        <v>114</v>
      </c>
    </row>
    <row r="7" spans="1:8" x14ac:dyDescent="0.2">
      <c r="A7" s="22" t="s">
        <v>203</v>
      </c>
    </row>
    <row r="8" spans="1:8" x14ac:dyDescent="0.2">
      <c r="A8" t="s">
        <v>204</v>
      </c>
    </row>
    <row r="9" spans="1:8" x14ac:dyDescent="0.2">
      <c r="A9" s="22" t="s">
        <v>205</v>
      </c>
    </row>
    <row r="10" spans="1:8" x14ac:dyDescent="0.2">
      <c r="A10" t="s">
        <v>206</v>
      </c>
    </row>
    <row r="11" spans="1:8" x14ac:dyDescent="0.2">
      <c r="A11" s="22" t="s">
        <v>208</v>
      </c>
      <c r="B11" s="22" t="s">
        <v>209</v>
      </c>
      <c r="C11" s="22" t="s">
        <v>210</v>
      </c>
    </row>
    <row r="12" spans="1:8" x14ac:dyDescent="0.2">
      <c r="A12" s="22" t="s">
        <v>197</v>
      </c>
      <c r="B12" t="s">
        <v>211</v>
      </c>
      <c r="C12" t="s">
        <v>212</v>
      </c>
    </row>
    <row r="13" spans="1:8" x14ac:dyDescent="0.2">
      <c r="A13" s="22" t="s">
        <v>198</v>
      </c>
      <c r="B13" t="s">
        <v>213</v>
      </c>
      <c r="C13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AB48-0721-5F48-814D-6ED81A7A412B}">
  <dimension ref="A1:J6"/>
  <sheetViews>
    <sheetView workbookViewId="0">
      <selection sqref="A1:J1"/>
    </sheetView>
  </sheetViews>
  <sheetFormatPr baseColWidth="10" defaultRowHeight="16" x14ac:dyDescent="0.2"/>
  <cols>
    <col min="1" max="1" width="19.6640625" bestFit="1" customWidth="1"/>
    <col min="2" max="2" width="26.83203125" bestFit="1" customWidth="1"/>
    <col min="3" max="3" width="20.5" bestFit="1" customWidth="1"/>
    <col min="4" max="4" width="20.6640625" bestFit="1" customWidth="1"/>
    <col min="5" max="5" width="22.5" bestFit="1" customWidth="1"/>
    <col min="7" max="7" width="19.6640625" bestFit="1" customWidth="1"/>
    <col min="8" max="8" width="12.83203125" bestFit="1" customWidth="1"/>
    <col min="9" max="9" width="6.83203125" bestFit="1" customWidth="1"/>
    <col min="10" max="10" width="16.33203125" bestFit="1" customWidth="1"/>
    <col min="11" max="11" width="12.1640625" bestFit="1" customWidth="1"/>
    <col min="12" max="12" width="17.6640625" bestFit="1" customWidth="1"/>
    <col min="13" max="13" width="10" bestFit="1" customWidth="1"/>
  </cols>
  <sheetData>
    <row r="1" spans="1:10" ht="22" x14ac:dyDescent="0.3">
      <c r="A1" s="44" t="s">
        <v>215</v>
      </c>
      <c r="B1" s="44"/>
      <c r="C1" s="44"/>
      <c r="D1" s="44"/>
      <c r="E1" s="44"/>
      <c r="F1" s="44"/>
      <c r="G1" s="44"/>
      <c r="H1" s="44"/>
      <c r="I1" s="44"/>
      <c r="J1" s="44"/>
    </row>
    <row r="3" spans="1:10" x14ac:dyDescent="0.2">
      <c r="A3" s="41" t="s">
        <v>216</v>
      </c>
      <c r="B3" t="s">
        <v>217</v>
      </c>
      <c r="C3" t="s">
        <v>218</v>
      </c>
      <c r="D3" t="s">
        <v>219</v>
      </c>
      <c r="E3" t="s">
        <v>220</v>
      </c>
      <c r="H3" t="s">
        <v>221</v>
      </c>
      <c r="I3" t="s">
        <v>222</v>
      </c>
      <c r="J3" t="s">
        <v>223</v>
      </c>
    </row>
    <row r="4" spans="1:10" x14ac:dyDescent="0.2">
      <c r="A4" s="42" t="s">
        <v>196</v>
      </c>
      <c r="B4">
        <v>200</v>
      </c>
      <c r="C4">
        <v>350000</v>
      </c>
      <c r="D4" s="34">
        <v>0.85</v>
      </c>
      <c r="E4" s="34">
        <v>0.06</v>
      </c>
      <c r="G4" s="42" t="s">
        <v>196</v>
      </c>
      <c r="H4">
        <v>-6527324.6881376533</v>
      </c>
      <c r="I4" s="35">
        <v>2.2595221966752455E-3</v>
      </c>
      <c r="J4" s="43">
        <v>91</v>
      </c>
    </row>
    <row r="5" spans="1:10" x14ac:dyDescent="0.2">
      <c r="A5" s="42" t="s">
        <v>201</v>
      </c>
      <c r="B5">
        <v>180</v>
      </c>
      <c r="C5">
        <v>374500</v>
      </c>
      <c r="D5" s="34">
        <v>0.95200000000000007</v>
      </c>
      <c r="E5" s="34">
        <v>4.9999999999999996E-2</v>
      </c>
      <c r="G5" s="42" t="s">
        <v>201</v>
      </c>
      <c r="H5">
        <v>1200000</v>
      </c>
      <c r="I5" s="35">
        <v>5.2999999999999999E-2</v>
      </c>
      <c r="J5" s="43">
        <v>75</v>
      </c>
    </row>
    <row r="6" spans="1:10" x14ac:dyDescent="0.2">
      <c r="A6" s="42" t="s">
        <v>202</v>
      </c>
      <c r="B6">
        <v>220.00000000000003</v>
      </c>
      <c r="C6">
        <v>325500</v>
      </c>
      <c r="D6" s="34">
        <v>0.74544999999999995</v>
      </c>
      <c r="E6" s="34">
        <v>6.9999999999999993E-2</v>
      </c>
      <c r="G6" s="42" t="s">
        <v>202</v>
      </c>
      <c r="H6">
        <v>-12000000</v>
      </c>
      <c r="I6" s="35">
        <v>-3.2000000000000001E-2</v>
      </c>
      <c r="J6" s="7">
        <v>114</v>
      </c>
    </row>
  </sheetData>
  <mergeCells count="1">
    <mergeCell ref="A1:J1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Assumptions</vt:lpstr>
      <vt:lpstr>Project Timeline</vt:lpstr>
      <vt:lpstr>Construction costs</vt:lpstr>
      <vt:lpstr>Sales Projections</vt:lpstr>
      <vt:lpstr>Leasing Projections</vt:lpstr>
      <vt:lpstr>Financing</vt:lpstr>
      <vt:lpstr>Loan Amortization</vt:lpstr>
      <vt:lpstr>Operating Costs &amp; Cash Flow</vt:lpstr>
      <vt:lpstr>Cash Flow Statement</vt:lpstr>
      <vt:lpstr>Profitability Analysis</vt:lpstr>
      <vt:lpstr>Sensitivity 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premkch1997@gmail.com</dc:creator>
  <cp:lastModifiedBy>Chimakurthi Chandini</cp:lastModifiedBy>
  <dcterms:created xsi:type="dcterms:W3CDTF">2025-04-20T15:06:59Z</dcterms:created>
  <dcterms:modified xsi:type="dcterms:W3CDTF">2025-06-14T18:36:56Z</dcterms:modified>
</cp:coreProperties>
</file>