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escottrynewicz/Desktop/154Design/"/>
    </mc:Choice>
  </mc:AlternateContent>
  <bookViews>
    <workbookView xWindow="0" yWindow="460" windowWidth="38400" windowHeight="19820" tabRatio="500" activeTab="4"/>
  </bookViews>
  <sheets>
    <sheet name="Design Constraints" sheetId="2" r:id="rId1"/>
    <sheet name="Initial Estimates" sheetId="6" r:id="rId2"/>
    <sheet name="Cg Calcs" sheetId="7" r:id="rId3"/>
    <sheet name="Stability Constants" sheetId="8" r:id="rId4"/>
    <sheet name="Subsonic Stability" sheetId="9" r:id="rId5"/>
    <sheet name="Supersonic Stability" sheetId="11" r:id="rId6"/>
    <sheet name="Trim Calcs" sheetId="10" r:id="rId7"/>
    <sheet name="AeroCalc" sheetId="4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9" l="1"/>
  <c r="C37" i="9"/>
  <c r="C39" i="9"/>
  <c r="C40" i="9"/>
  <c r="C38" i="9"/>
  <c r="C27" i="9"/>
  <c r="C28" i="9"/>
  <c r="C26" i="9"/>
  <c r="C13" i="9"/>
  <c r="C15" i="9"/>
  <c r="C16" i="9"/>
  <c r="C14" i="9"/>
  <c r="C5" i="6"/>
  <c r="C8" i="6"/>
  <c r="C10" i="6"/>
  <c r="C10" i="7"/>
  <c r="C59" i="7"/>
  <c r="C14" i="7"/>
  <c r="C56" i="7"/>
  <c r="C64" i="7"/>
  <c r="C60" i="7"/>
  <c r="C15" i="7"/>
  <c r="C57" i="7"/>
  <c r="C65" i="7"/>
  <c r="C61" i="7"/>
  <c r="C16" i="7"/>
  <c r="C58" i="7"/>
  <c r="C66" i="7"/>
  <c r="C12" i="7"/>
  <c r="C62" i="7"/>
  <c r="C67" i="7"/>
  <c r="C63" i="7"/>
  <c r="C13" i="7"/>
  <c r="C68" i="7"/>
  <c r="C6" i="7"/>
  <c r="C7" i="7"/>
  <c r="C52" i="7"/>
  <c r="C36" i="6"/>
  <c r="C53" i="7"/>
  <c r="C8" i="7"/>
  <c r="C48" i="7"/>
  <c r="C35" i="6"/>
  <c r="C49" i="7"/>
  <c r="C11" i="7"/>
  <c r="C44" i="7"/>
  <c r="C34" i="6"/>
  <c r="C45" i="7"/>
  <c r="C4" i="7"/>
  <c r="C5" i="7"/>
  <c r="C39" i="7"/>
  <c r="C38" i="6"/>
  <c r="C40" i="7"/>
  <c r="C35" i="7"/>
  <c r="C23" i="6"/>
  <c r="C36" i="7"/>
  <c r="C3" i="7"/>
  <c r="C20" i="7"/>
  <c r="C33" i="6"/>
  <c r="C22" i="7"/>
  <c r="C19" i="7"/>
  <c r="C21" i="7"/>
  <c r="C37" i="6"/>
  <c r="C23" i="7"/>
  <c r="C27" i="7"/>
  <c r="C24" i="6"/>
  <c r="C27" i="6"/>
  <c r="C28" i="7"/>
  <c r="C29" i="7"/>
  <c r="C30" i="7"/>
  <c r="C31" i="7"/>
  <c r="C32" i="7"/>
  <c r="C71" i="7"/>
  <c r="C72" i="7"/>
  <c r="C73" i="7"/>
  <c r="C9" i="8"/>
  <c r="C4" i="9"/>
  <c r="C8" i="8"/>
  <c r="C10" i="8"/>
  <c r="C12" i="8"/>
  <c r="C13" i="8"/>
  <c r="C14" i="8"/>
  <c r="C42" i="9"/>
  <c r="C11" i="8"/>
  <c r="C15" i="8"/>
  <c r="C43" i="9"/>
  <c r="C48" i="9"/>
  <c r="C30" i="9"/>
  <c r="C31" i="9"/>
  <c r="C47" i="9"/>
  <c r="C18" i="9"/>
  <c r="C19" i="9"/>
  <c r="C46" i="9"/>
  <c r="C12" i="11"/>
  <c r="C13" i="11"/>
  <c r="C17" i="11"/>
  <c r="C18" i="11"/>
  <c r="C43" i="11"/>
  <c r="C35" i="11"/>
  <c r="C36" i="11"/>
  <c r="C37" i="11"/>
  <c r="C7" i="11"/>
  <c r="C38" i="11"/>
  <c r="C4" i="11"/>
  <c r="C48" i="11"/>
  <c r="C24" i="11"/>
  <c r="C25" i="11"/>
  <c r="C26" i="11"/>
  <c r="C27" i="11"/>
  <c r="C47" i="11"/>
  <c r="C14" i="11"/>
  <c r="C15" i="11"/>
  <c r="C16" i="11"/>
  <c r="C46" i="11"/>
  <c r="C34" i="11"/>
  <c r="C39" i="11"/>
  <c r="C40" i="11"/>
  <c r="C45" i="11"/>
  <c r="C23" i="11"/>
  <c r="C28" i="11"/>
  <c r="C29" i="11"/>
  <c r="C44" i="11"/>
  <c r="C7" i="9"/>
  <c r="C29" i="9"/>
  <c r="C65" i="6"/>
  <c r="C28" i="6"/>
  <c r="C66" i="6"/>
  <c r="C68" i="6"/>
  <c r="C67" i="6"/>
  <c r="C41" i="9"/>
  <c r="C51" i="9"/>
  <c r="C50" i="9"/>
  <c r="C17" i="9"/>
  <c r="C49" i="9"/>
  <c r="C7" i="6"/>
  <c r="C7" i="8"/>
  <c r="C61" i="6"/>
  <c r="C62" i="6"/>
  <c r="C74" i="7"/>
  <c r="C43" i="7"/>
  <c r="C9" i="7"/>
  <c r="C60" i="6"/>
  <c r="C30" i="6"/>
  <c r="C16" i="6"/>
  <c r="H15" i="6"/>
  <c r="C12" i="6"/>
  <c r="C9" i="6"/>
  <c r="C11" i="6"/>
  <c r="O31" i="4"/>
  <c r="U31" i="4"/>
  <c r="T31" i="4"/>
  <c r="S31" i="4"/>
  <c r="R31" i="4"/>
  <c r="Q31" i="4"/>
  <c r="P31" i="4"/>
  <c r="E31" i="4"/>
  <c r="F31" i="4"/>
  <c r="C16" i="4"/>
  <c r="C17" i="4"/>
  <c r="C18" i="4"/>
  <c r="G31" i="4"/>
  <c r="O30" i="4"/>
  <c r="U30" i="4"/>
  <c r="T30" i="4"/>
  <c r="S30" i="4"/>
  <c r="R30" i="4"/>
  <c r="Q30" i="4"/>
  <c r="P30" i="4"/>
  <c r="E30" i="4"/>
  <c r="F30" i="4"/>
  <c r="G30" i="4"/>
  <c r="O29" i="4"/>
  <c r="U29" i="4"/>
  <c r="T29" i="4"/>
  <c r="S29" i="4"/>
  <c r="R29" i="4"/>
  <c r="Q29" i="4"/>
  <c r="P29" i="4"/>
  <c r="E29" i="4"/>
  <c r="F29" i="4"/>
  <c r="G29" i="4"/>
  <c r="O28" i="4"/>
  <c r="U28" i="4"/>
  <c r="T28" i="4"/>
  <c r="S28" i="4"/>
  <c r="R28" i="4"/>
  <c r="Q28" i="4"/>
  <c r="P28" i="4"/>
  <c r="E28" i="4"/>
  <c r="F28" i="4"/>
  <c r="G28" i="4"/>
  <c r="O27" i="4"/>
  <c r="U27" i="4"/>
  <c r="T27" i="4"/>
  <c r="S27" i="4"/>
  <c r="R27" i="4"/>
  <c r="Q27" i="4"/>
  <c r="P27" i="4"/>
  <c r="E27" i="4"/>
  <c r="F27" i="4"/>
  <c r="G27" i="4"/>
  <c r="O26" i="4"/>
  <c r="U26" i="4"/>
  <c r="T26" i="4"/>
  <c r="S26" i="4"/>
  <c r="R26" i="4"/>
  <c r="Q26" i="4"/>
  <c r="P26" i="4"/>
  <c r="E26" i="4"/>
  <c r="F26" i="4"/>
  <c r="G26" i="4"/>
  <c r="O25" i="4"/>
  <c r="U25" i="4"/>
  <c r="T25" i="4"/>
  <c r="S25" i="4"/>
  <c r="R25" i="4"/>
  <c r="Q25" i="4"/>
  <c r="P25" i="4"/>
  <c r="E25" i="4"/>
  <c r="F25" i="4"/>
  <c r="G25" i="4"/>
  <c r="O24" i="4"/>
  <c r="U24" i="4"/>
  <c r="T24" i="4"/>
  <c r="S24" i="4"/>
  <c r="R24" i="4"/>
  <c r="Q24" i="4"/>
  <c r="P24" i="4"/>
  <c r="E24" i="4"/>
  <c r="F24" i="4"/>
  <c r="G24" i="4"/>
  <c r="O23" i="4"/>
  <c r="U23" i="4"/>
  <c r="T23" i="4"/>
  <c r="S23" i="4"/>
  <c r="R23" i="4"/>
  <c r="Q23" i="4"/>
  <c r="P23" i="4"/>
  <c r="E23" i="4"/>
  <c r="F23" i="4"/>
  <c r="G23" i="4"/>
  <c r="C20" i="4"/>
  <c r="G10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<sst xmlns="http://schemas.openxmlformats.org/spreadsheetml/2006/main" count="1781" uniqueCount="528">
  <si>
    <t>Initial Estimates 06 Feb 2017</t>
  </si>
  <si>
    <t>Design Constraints</t>
  </si>
  <si>
    <t>Estimates and Calculations (in the order they were estimated or calculated)</t>
  </si>
  <si>
    <t>Crew</t>
  </si>
  <si>
    <t>2 Pilots to be included in dry weight of aircraft</t>
  </si>
  <si>
    <t>Altitude</t>
  </si>
  <si>
    <t>Fuselage</t>
  </si>
  <si>
    <t>Parameter</t>
  </si>
  <si>
    <t xml:space="preserve">Cowlings </t>
  </si>
  <si>
    <t xml:space="preserve">Wings </t>
  </si>
  <si>
    <t>Given</t>
  </si>
  <si>
    <t>Value</t>
  </si>
  <si>
    <t>Units</t>
  </si>
  <si>
    <t>Given / Estimate / Calculation</t>
  </si>
  <si>
    <t>Equation(s) Used</t>
  </si>
  <si>
    <t>Reference</t>
  </si>
  <si>
    <t>1 Stewardess</t>
  </si>
  <si>
    <t>Wing Loading [W/S]</t>
  </si>
  <si>
    <t>Estimate</t>
  </si>
  <si>
    <t>SSBJ Sample Data</t>
  </si>
  <si>
    <t>Maximum Takeoff Weight [MTOW] [W0]</t>
  </si>
  <si>
    <t>lbs</t>
  </si>
  <si>
    <t>Cabin Seating</t>
  </si>
  <si>
    <t>Max Range (Max Fuel): 8 + 1 jumpseat for Stewardess</t>
  </si>
  <si>
    <t>Wing Area [S]</t>
  </si>
  <si>
    <t>Calculation</t>
  </si>
  <si>
    <t>S = (S/W)*W</t>
  </si>
  <si>
    <t>Common Knowledge</t>
  </si>
  <si>
    <t>Max Seating: 12 + 1 jumpseat for Stewardess</t>
  </si>
  <si>
    <t>Aspect Ratio [AR]</t>
  </si>
  <si>
    <t>41000ft</t>
  </si>
  <si>
    <t>42000ft</t>
  </si>
  <si>
    <t>Length</t>
  </si>
  <si>
    <t>ft</t>
  </si>
  <si>
    <t>SSBJ Sample Data Ratio Estimations</t>
  </si>
  <si>
    <t>Project Handout, Appendix B, pg. 13</t>
  </si>
  <si>
    <t>Wing Span [b] (of one wing)</t>
  </si>
  <si>
    <t>43000ft</t>
  </si>
  <si>
    <t>Fuselage Length</t>
  </si>
  <si>
    <t>44000ft</t>
  </si>
  <si>
    <t>Range at Mach 1.6</t>
  </si>
  <si>
    <t>Tail Empennage Length</t>
  </si>
  <si>
    <t>45000ft</t>
  </si>
  <si>
    <t>Nose Length</t>
  </si>
  <si>
    <t>46000ft</t>
  </si>
  <si>
    <t>Width (Fuselage Diameter / Cabin Diameter)</t>
  </si>
  <si>
    <t>47000ft</t>
  </si>
  <si>
    <t>Aircraft speed for Mach1.6</t>
  </si>
  <si>
    <t>AR = b2/S : b/2 = 2.5Cr</t>
  </si>
  <si>
    <t>mach</t>
  </si>
  <si>
    <t>alpha</t>
  </si>
  <si>
    <t>48000ft</t>
  </si>
  <si>
    <t>49000ft</t>
  </si>
  <si>
    <t xml:space="preserve">Dynamic Viscosity </t>
  </si>
  <si>
    <t>Root Tail Chord Length [Cr_t]</t>
  </si>
  <si>
    <t>(lb s/ft2)</t>
  </si>
  <si>
    <t>Calcuation</t>
  </si>
  <si>
    <t>Cr_t = W_t/W_w*Cr</t>
  </si>
  <si>
    <t>Torenbeek Weight Assumptions for similar Aircraft</t>
  </si>
  <si>
    <t>Parasite Dradg Coeff</t>
  </si>
  <si>
    <t>Parasite Drag</t>
  </si>
  <si>
    <t xml:space="preserve">Induced Drag and wave drag </t>
  </si>
  <si>
    <t>f(ld)(fusselage)</t>
  </si>
  <si>
    <t>Superosonic Cruise Mach Range</t>
  </si>
  <si>
    <t>1.6 - 1.8</t>
  </si>
  <si>
    <t>Mean Aerodynamic Chord [MAC]</t>
  </si>
  <si>
    <t>unitless</t>
  </si>
  <si>
    <t>Cf (turbulent)</t>
  </si>
  <si>
    <t>fm</t>
  </si>
  <si>
    <t>unitless (M=1.6)</t>
  </si>
  <si>
    <t xml:space="preserve">wetted area </t>
  </si>
  <si>
    <t>Mean Tail Chord</t>
  </si>
  <si>
    <t>Subsonic Cruise Mach Range</t>
  </si>
  <si>
    <t>sqft</t>
  </si>
  <si>
    <t>0.9-0.95</t>
  </si>
  <si>
    <t>Area of wing</t>
  </si>
  <si>
    <t>f(ld)(engine)</t>
  </si>
  <si>
    <t>Tip Chord Length [Ct]</t>
  </si>
  <si>
    <t>Cf (laminar)</t>
  </si>
  <si>
    <t>Appendix B Data</t>
  </si>
  <si>
    <t>(mach 1.6)</t>
  </si>
  <si>
    <t>Density of Air</t>
  </si>
  <si>
    <t>1/hr</t>
  </si>
  <si>
    <t>Reynold Number</t>
  </si>
  <si>
    <t>Cf</t>
  </si>
  <si>
    <t>Parasite of fuselage</t>
  </si>
  <si>
    <t>Parasite Cowlings</t>
  </si>
  <si>
    <t>BruinJet BJ205 Performance Data</t>
  </si>
  <si>
    <t>Alpha</t>
  </si>
  <si>
    <t>Cl</t>
  </si>
  <si>
    <t>Altitude (ft)</t>
  </si>
  <si>
    <t>dyanmic pressure</t>
  </si>
  <si>
    <t>Lift (alpha=2)</t>
  </si>
  <si>
    <t>Lift(alpha=3)</t>
  </si>
  <si>
    <t>Lift(alpha=4)</t>
  </si>
  <si>
    <t>Maximum Operating Mach Number</t>
  </si>
  <si>
    <t>Lift(alpha=5)</t>
  </si>
  <si>
    <t>Lift(alpha=6)</t>
  </si>
  <si>
    <t>Lift(alpha=7)</t>
  </si>
  <si>
    <t>Lift to Drag Ratio [L/D]</t>
  </si>
  <si>
    <t>Project Handout, Appendix B, Table B-19, pg. 15</t>
  </si>
  <si>
    <t>Speed of Sound at Cruise Altitude [a]</t>
  </si>
  <si>
    <t>nmi/hr</t>
  </si>
  <si>
    <t>Cruise Altitude</t>
  </si>
  <si>
    <t>Cruise Speed [V]</t>
  </si>
  <si>
    <t>M = a/V</t>
  </si>
  <si>
    <t>Speed of Sound at Sea Level [a0]</t>
  </si>
  <si>
    <t>http://www.fighter-planes.com/jetmach1.htm</t>
  </si>
  <si>
    <t>Service Ceiling</t>
  </si>
  <si>
    <t>Ambient Temp at Crusing Altitude [Ta]</t>
  </si>
  <si>
    <t>Kelvin</t>
  </si>
  <si>
    <t>Standard Atmospheric Temperature [T0]</t>
  </si>
  <si>
    <t>Payload with Maximum Fuel (Max Range / Max Fuel Cabin Seating)</t>
  </si>
  <si>
    <t>O.O. Bendisken, Chapter 2 Slides, Equation 2.130</t>
  </si>
  <si>
    <t>Fuel Weight [Wfuel] (this is fuel needed to make trip)</t>
  </si>
  <si>
    <t xml:space="preserve">R/a0 = (M(L/D))/(Ctf/sqrt(Ta/T0))*ln(W0/W1)
Wfuel = W0 - W1    </t>
  </si>
  <si>
    <t>Fuel Requirements</t>
  </si>
  <si>
    <t>* aircraft must be stable in pitch without use of active controls</t>
  </si>
  <si>
    <t>Earlier Calculation</t>
  </si>
  <si>
    <t>Jet Fuel Density</t>
  </si>
  <si>
    <t>Wikipedia</t>
  </si>
  <si>
    <t>NACA 64A006 Airfoil Data                   See Project Handout, Appendix B, pg. 13</t>
  </si>
  <si>
    <t>Total Volume of Fuel Tank Storage Required</t>
  </si>
  <si>
    <t>Weight Group Breakdowns as a Function of MTOW</t>
  </si>
  <si>
    <t>Wing Group</t>
  </si>
  <si>
    <t>Tail Group</t>
  </si>
  <si>
    <t>Fuselage Group</t>
  </si>
  <si>
    <t>Landing Gear</t>
  </si>
  <si>
    <t>Surface Controls Group</t>
  </si>
  <si>
    <t>Nacelle Group</t>
  </si>
  <si>
    <t>Aircraft Dimensions</t>
  </si>
  <si>
    <t>Height</t>
  </si>
  <si>
    <t>Total Wing Span (of both wings and aircraft)</t>
  </si>
  <si>
    <t>Total Wing Span = 2*b + Width</t>
  </si>
  <si>
    <t>http://faculty.dwc.edu/sadraey/Chapter%203.%20Drag%20Force%20and%20its%20Coefficient.pdf</t>
  </si>
  <si>
    <t>http://adg.stanford.edu/aa241/drag/wettedarea.html</t>
  </si>
  <si>
    <t>http://onlinelibrary.wiley.com/doi/10.1002/9781118568101.app1/pdf</t>
  </si>
  <si>
    <t>Torenbeek appendix b</t>
  </si>
  <si>
    <t>Variable</t>
  </si>
  <si>
    <t xml:space="preserve">WL = </t>
  </si>
  <si>
    <t xml:space="preserve">MTOW = </t>
  </si>
  <si>
    <t xml:space="preserve">S = </t>
  </si>
  <si>
    <t xml:space="preserve">AR = </t>
  </si>
  <si>
    <t xml:space="preserve">MAC = </t>
  </si>
  <si>
    <t xml:space="preserve">Cr = </t>
  </si>
  <si>
    <t xml:space="preserve">Cr_t = </t>
  </si>
  <si>
    <t xml:space="preserve">** </t>
  </si>
  <si>
    <t xml:space="preserve">C_t = </t>
  </si>
  <si>
    <t>MAC_t =</t>
  </si>
  <si>
    <t xml:space="preserve">TSFC = </t>
  </si>
  <si>
    <t xml:space="preserve">L_D = </t>
  </si>
  <si>
    <t xml:space="preserve">a_cruise = </t>
  </si>
  <si>
    <t xml:space="preserve">V_1_6 = </t>
  </si>
  <si>
    <t xml:space="preserve">a0 = </t>
  </si>
  <si>
    <t xml:space="preserve">T_cruise = </t>
  </si>
  <si>
    <t xml:space="preserve">T0 = </t>
  </si>
  <si>
    <t xml:space="preserve">W_fuel = </t>
  </si>
  <si>
    <t>Project Handout, Appendix B, pg. 13: Assuming same airfoil for Wing and Tail</t>
  </si>
  <si>
    <t xml:space="preserve">rho_fuel = </t>
  </si>
  <si>
    <t xml:space="preserve">V_f = </t>
  </si>
  <si>
    <t xml:space="preserve">W_wing = </t>
  </si>
  <si>
    <t xml:space="preserve">W_tail = </t>
  </si>
  <si>
    <t xml:space="preserve">W_fus = </t>
  </si>
  <si>
    <t xml:space="preserve">W_land = </t>
  </si>
  <si>
    <t xml:space="preserve">W_Nac = </t>
  </si>
  <si>
    <t xml:space="preserve">W_eng = </t>
  </si>
  <si>
    <t xml:space="preserve">L_aircraft = </t>
  </si>
  <si>
    <t xml:space="preserve">; </t>
  </si>
  <si>
    <t xml:space="preserve">L_fus = </t>
  </si>
  <si>
    <t xml:space="preserve">L_emp = </t>
  </si>
  <si>
    <t xml:space="preserve">L_nose = </t>
  </si>
  <si>
    <t xml:space="preserve">D_aircraft = </t>
  </si>
  <si>
    <t xml:space="preserve">H = </t>
  </si>
  <si>
    <t xml:space="preserve">b_tot = </t>
  </si>
  <si>
    <t>41,000 - 49,000 ft</t>
  </si>
  <si>
    <t>51000 ft</t>
  </si>
  <si>
    <t>2000 lbs</t>
  </si>
  <si>
    <t>See above</t>
  </si>
  <si>
    <t>Torenbeek, Ch.8, pg. 280, Table 8-5, Aerospat. Caravelle VIR 2-Engine Aircraft</t>
  </si>
  <si>
    <t>**</t>
  </si>
  <si>
    <t>O.O. Bendiksen, Gas Turbine Engines, F414-GE-400</t>
  </si>
  <si>
    <t>See Right</t>
  </si>
  <si>
    <t>See Left</t>
  </si>
  <si>
    <t>Fuel Weight [Wfuel]</t>
  </si>
  <si>
    <t>lb/ft3</t>
  </si>
  <si>
    <t>ft3</t>
  </si>
  <si>
    <t>Volume = Wfuel / Jet Fuel Density</t>
  </si>
  <si>
    <t>lb/ft2</t>
  </si>
  <si>
    <t>ft2</t>
  </si>
  <si>
    <t>AR = b2/S</t>
  </si>
  <si>
    <t>Root Chord Length [Cr]</t>
  </si>
  <si>
    <t>MAC = 0.73917*Cr</t>
  </si>
  <si>
    <t>MAC = 0.73917*Cr_t</t>
  </si>
  <si>
    <t>Ct = 0.3886*Cr</t>
  </si>
  <si>
    <t>TSFC [Ctf]</t>
  </si>
  <si>
    <t>Engine Length</t>
  </si>
  <si>
    <t xml:space="preserve">L_eng = </t>
  </si>
  <si>
    <t>Seating Section 1 Length</t>
  </si>
  <si>
    <t xml:space="preserve">L_seat1 = </t>
  </si>
  <si>
    <t>Seating Section 2 Length</t>
  </si>
  <si>
    <t>Seating Section 3 Length</t>
  </si>
  <si>
    <t xml:space="preserve">L_seat2 = </t>
  </si>
  <si>
    <t xml:space="preserve">L_seat3 = </t>
  </si>
  <si>
    <t>Nacelle Length</t>
  </si>
  <si>
    <t>Locations for CG calcs: Connects to First Page for Aircraft Dimensions, and will auto update all other values associated with these lengths</t>
  </si>
  <si>
    <t>Leading Edge wing Placement</t>
  </si>
  <si>
    <t>Leading Edge Engine Placement</t>
  </si>
  <si>
    <t xml:space="preserve">x_eng = </t>
  </si>
  <si>
    <t xml:space="preserve">x_wing = </t>
  </si>
  <si>
    <t>Percent Length * Plane Length</t>
  </si>
  <si>
    <t>Leading Edge Nacelle Placement</t>
  </si>
  <si>
    <t xml:space="preserve">x_nac = </t>
  </si>
  <si>
    <t>Leading Edge Front Landing Gear Placement</t>
  </si>
  <si>
    <t xml:space="preserve">x_lg_front = </t>
  </si>
  <si>
    <t>Leading Edge Rear Landing Gear Placement</t>
  </si>
  <si>
    <t xml:space="preserve">x_lg_rear = </t>
  </si>
  <si>
    <t>Leading Edge Fuselage Placement</t>
  </si>
  <si>
    <t xml:space="preserve">x_fus = </t>
  </si>
  <si>
    <t>Leading Edge Empanage Placement</t>
  </si>
  <si>
    <t xml:space="preserve">x_emp = </t>
  </si>
  <si>
    <t>Leading Edge Vertical Tail Surfaces</t>
  </si>
  <si>
    <t xml:space="preserve">x_t_vert = </t>
  </si>
  <si>
    <t>Leading Edge Horizontal Tail Surfaces</t>
  </si>
  <si>
    <t xml:space="preserve">x_t_horiz = </t>
  </si>
  <si>
    <t>Leading Edge CockPit Placement</t>
  </si>
  <si>
    <t xml:space="preserve">x_cock = </t>
  </si>
  <si>
    <t>Leading Edge Jump Seat Placement</t>
  </si>
  <si>
    <t xml:space="preserve">x_js = </t>
  </si>
  <si>
    <t>Leading Edge Placement of Seating Section 1</t>
  </si>
  <si>
    <t>Leading Edge Placement of Seating Section 2</t>
  </si>
  <si>
    <t>Leading Edge Placement of Seating Section 3</t>
  </si>
  <si>
    <t xml:space="preserve">x_seat1 = </t>
  </si>
  <si>
    <t xml:space="preserve">x_seat2 = </t>
  </si>
  <si>
    <t xml:space="preserve">x_seat3 = </t>
  </si>
  <si>
    <t xml:space="preserve">Engine Group </t>
  </si>
  <si>
    <t>Number Of Engines</t>
  </si>
  <si>
    <t xml:space="preserve">N_engines = </t>
  </si>
  <si>
    <t xml:space="preserve">Will need to add a third engine eventually. Starting with 2 now. </t>
  </si>
  <si>
    <t>Weight of Luxury Passenger</t>
  </si>
  <si>
    <t>Weight of Jump Seat</t>
  </si>
  <si>
    <t>Weight of Pilot Seat</t>
  </si>
  <si>
    <t>Weight of Passenger + Luggage</t>
  </si>
  <si>
    <t xml:space="preserve">W_pass_seat = </t>
  </si>
  <si>
    <t xml:space="preserve">W_js = </t>
  </si>
  <si>
    <t xml:space="preserve">W_pilot_seat = </t>
  </si>
  <si>
    <t xml:space="preserve">W_pass = </t>
  </si>
  <si>
    <t>Leading Edge of MAC</t>
  </si>
  <si>
    <t xml:space="preserve">x_MAC = </t>
  </si>
  <si>
    <t>x_MAC = x_wing+((1-.8037)*Cr);</t>
  </si>
  <si>
    <t>Appendix B/C</t>
  </si>
  <si>
    <t>Placement of Wing CG</t>
  </si>
  <si>
    <t xml:space="preserve">x_wing_cg = </t>
  </si>
  <si>
    <t>Surface Control CG Placement</t>
  </si>
  <si>
    <t xml:space="preserve">x_sc = </t>
  </si>
  <si>
    <t>Wing Moment</t>
  </si>
  <si>
    <t xml:space="preserve">M_wing = </t>
  </si>
  <si>
    <t>Surface Control Moment</t>
  </si>
  <si>
    <t xml:space="preserve">M_sc = </t>
  </si>
  <si>
    <t>Fuel Tank Parameters</t>
  </si>
  <si>
    <t>Wing and Surface Controls Parameters</t>
  </si>
  <si>
    <t>Weight of Center Fuel Tank</t>
  </si>
  <si>
    <t xml:space="preserve">W_cent_fuel = </t>
  </si>
  <si>
    <t>Cross Section of Fuel In Center Tank</t>
  </si>
  <si>
    <t xml:space="preserve">A_cross_fuel = </t>
  </si>
  <si>
    <t>ft^2</t>
  </si>
  <si>
    <t>lb</t>
  </si>
  <si>
    <t>ft-lb</t>
  </si>
  <si>
    <t>x_wing_cg = x_wing+(.7*Cr);</t>
  </si>
  <si>
    <t>x_sc = x_MAC + MAC;</t>
  </si>
  <si>
    <t xml:space="preserve">M_wing = x_wing_xg *W_wing; </t>
  </si>
  <si>
    <t xml:space="preserve">M_sc = x_sc*W_sc; </t>
  </si>
  <si>
    <t xml:space="preserve">W_sc = </t>
  </si>
  <si>
    <t>** Ask Jordy **</t>
  </si>
  <si>
    <t xml:space="preserve">W_wing_fuel = </t>
  </si>
  <si>
    <t>Weight of Fuel in Both Wings</t>
  </si>
  <si>
    <t>CG Position for Center Fuel Tank</t>
  </si>
  <si>
    <t xml:space="preserve">x_cent_fuel_cg = </t>
  </si>
  <si>
    <t xml:space="preserve">W_wing_fuel= W_fuel - W_cent_fuel; </t>
  </si>
  <si>
    <t xml:space="preserve">x_cent_fuel_cg = x_wing + Cr/2; </t>
  </si>
  <si>
    <t>CG Position of Wing Fuel Tanks</t>
  </si>
  <si>
    <t xml:space="preserve">x_wing_fuel_cg = </t>
  </si>
  <si>
    <t>x_wing_fuel_cg = x_wing+0.5+0.7*0.4*Cr</t>
  </si>
  <si>
    <t>Moment of Center Fuel Tank</t>
  </si>
  <si>
    <t xml:space="preserve">M_cent_fuel = </t>
  </si>
  <si>
    <t xml:space="preserve">M_cent_fuel = x_cent_fuel_cg*W_cent_fuel; </t>
  </si>
  <si>
    <t>Moment of Wing with Fuel</t>
  </si>
  <si>
    <t xml:space="preserve">M_wing_fuel = </t>
  </si>
  <si>
    <t xml:space="preserve">M_wing_fuel = x_cent_fuel_cg*W_cent_fuel; </t>
  </si>
  <si>
    <t>Engine Group Parameters</t>
  </si>
  <si>
    <t xml:space="preserve">x_eng_cg = </t>
  </si>
  <si>
    <t>x_eng_cg = x_eng+ L_eng/2;</t>
  </si>
  <si>
    <t>Engine Moment</t>
  </si>
  <si>
    <t xml:space="preserve">M_eng = </t>
  </si>
  <si>
    <t>Weight of One Engine</t>
  </si>
  <si>
    <t xml:space="preserve">W_one_eng = </t>
  </si>
  <si>
    <t>Ask Janelle or Jordy</t>
  </si>
  <si>
    <t>Total Weight Of Engines</t>
  </si>
  <si>
    <t xml:space="preserve">M_eng = x_eng_cg*W_eng; </t>
  </si>
  <si>
    <t>Nacelle Group Parameters</t>
  </si>
  <si>
    <t>Nacelle Moment</t>
  </si>
  <si>
    <t xml:space="preserve">x_nac_cg = </t>
  </si>
  <si>
    <t xml:space="preserve">L_nac = </t>
  </si>
  <si>
    <t>x_nac_cg = x_nac+ L_nac*0.4;</t>
  </si>
  <si>
    <t xml:space="preserve">M_nac = </t>
  </si>
  <si>
    <t xml:space="preserve">M_nac = x_nac_cg*W_nac; </t>
  </si>
  <si>
    <t>Tail Group Parameters</t>
  </si>
  <si>
    <t>Fuselage Group Parameters</t>
  </si>
  <si>
    <t>Landing Gear Group Parameters</t>
  </si>
  <si>
    <t>Pilot/Payload Group Parameters</t>
  </si>
  <si>
    <t>Tail Moment</t>
  </si>
  <si>
    <t xml:space="preserve">M_tail = </t>
  </si>
  <si>
    <t>Vertical Tail CG</t>
  </si>
  <si>
    <t>Horizontal Tail CG</t>
  </si>
  <si>
    <t xml:space="preserve">x_vert_tail_cg = </t>
  </si>
  <si>
    <t xml:space="preserve">x_horz_tail_cg = </t>
  </si>
  <si>
    <t>Fuselage CG</t>
  </si>
  <si>
    <t>Engine CG</t>
  </si>
  <si>
    <t>Nacelle CG</t>
  </si>
  <si>
    <t xml:space="preserve">x_fus_cg = </t>
  </si>
  <si>
    <t>x_tail_cg = x_tail+ L_tail*0.42;</t>
  </si>
  <si>
    <t xml:space="preserve">M_tail = x_tail_cg*W_tail; </t>
  </si>
  <si>
    <t>x_fus_cg = x_fus+ L_fus*0.47;</t>
  </si>
  <si>
    <t>Fuselage Moment</t>
  </si>
  <si>
    <t xml:space="preserve">M_fus = </t>
  </si>
  <si>
    <t xml:space="preserve">M_fus = x_fus_cg*W_fus; </t>
  </si>
  <si>
    <t>Landing Gear CG</t>
  </si>
  <si>
    <t xml:space="preserve">x_lg_cg = </t>
  </si>
  <si>
    <t>Landing Gear Moment</t>
  </si>
  <si>
    <t xml:space="preserve">M_lg = </t>
  </si>
  <si>
    <t xml:space="preserve">M_lg = W_lg*x_cg_lg; </t>
  </si>
  <si>
    <t>Seat 1 CG</t>
  </si>
  <si>
    <t>Seat 2 CG</t>
  </si>
  <si>
    <t>CG</t>
  </si>
  <si>
    <t>Seat 3 CG</t>
  </si>
  <si>
    <t xml:space="preserve">x_seat1_cg = </t>
  </si>
  <si>
    <t xml:space="preserve">x_seat2_cg = </t>
  </si>
  <si>
    <t xml:space="preserve">x_seat3_cg = </t>
  </si>
  <si>
    <t>x_lg_cg = x_lg_front+(((2/3)*x_lg_rear)));</t>
  </si>
  <si>
    <t>x_seat1_cg = x_seat1 + L_seat1/2;</t>
  </si>
  <si>
    <t>Same As Seat 1</t>
  </si>
  <si>
    <t>Total Weight of Seating Section 1</t>
  </si>
  <si>
    <t>Total Weight of Seating Section 2</t>
  </si>
  <si>
    <t>Total Weight of Seating Section 3</t>
  </si>
  <si>
    <t xml:space="preserve">W_seat1 = </t>
  </si>
  <si>
    <t xml:space="preserve">W_seat2 = </t>
  </si>
  <si>
    <t xml:space="preserve">W_seat3 = </t>
  </si>
  <si>
    <t>Number Of Passengers in Section 1</t>
  </si>
  <si>
    <t>Number Of Passengers in Section 2</t>
  </si>
  <si>
    <t>Number Of Passengers in Section 3</t>
  </si>
  <si>
    <t xml:space="preserve">N_seat1 = </t>
  </si>
  <si>
    <t xml:space="preserve">N_seat2 = </t>
  </si>
  <si>
    <t xml:space="preserve">N_seat3 = </t>
  </si>
  <si>
    <t>Project Handout</t>
  </si>
  <si>
    <t>Sum weight of Passenger Seat, person and bags</t>
  </si>
  <si>
    <t>Total Weight of Pilots</t>
  </si>
  <si>
    <t xml:space="preserve">W_pilots = </t>
  </si>
  <si>
    <t>Sum weight of Pilot Seat, person and bags</t>
  </si>
  <si>
    <t>Total Weight of Jumper Seat</t>
  </si>
  <si>
    <t>Seating Section 1 Moment</t>
  </si>
  <si>
    <t xml:space="preserve">M_seat1 = </t>
  </si>
  <si>
    <t>Seating Section 2 Moment</t>
  </si>
  <si>
    <t>Seating Section 3 Moment</t>
  </si>
  <si>
    <t xml:space="preserve">M_seat2 = </t>
  </si>
  <si>
    <t xml:space="preserve">M_seat3 = </t>
  </si>
  <si>
    <t xml:space="preserve">M_seat = W_seat + x_seat_cg; </t>
  </si>
  <si>
    <t>Pilot Moment</t>
  </si>
  <si>
    <t xml:space="preserve">M_pilots = </t>
  </si>
  <si>
    <t>Jump Seat Moment</t>
  </si>
  <si>
    <t xml:space="preserve">M_js = </t>
  </si>
  <si>
    <t>See Seat Moment Calc</t>
  </si>
  <si>
    <t>Sum of Moments</t>
  </si>
  <si>
    <t xml:space="preserve">M_sum = </t>
  </si>
  <si>
    <t>Sum all Moments</t>
  </si>
  <si>
    <t>Totals</t>
  </si>
  <si>
    <t>Sum of Weights</t>
  </si>
  <si>
    <t xml:space="preserve">W_sum = </t>
  </si>
  <si>
    <t>Sum all Weights</t>
  </si>
  <si>
    <t xml:space="preserve">CG = </t>
  </si>
  <si>
    <t>Sum_M/Sum_W</t>
  </si>
  <si>
    <t>CG Percent MAC</t>
  </si>
  <si>
    <t xml:space="preserve">CG_MAC = </t>
  </si>
  <si>
    <t>%</t>
  </si>
  <si>
    <t xml:space="preserve">(CG-x_MAC)/MAC; </t>
  </si>
  <si>
    <t>Correction Coefficient</t>
  </si>
  <si>
    <t xml:space="preserve">tau = </t>
  </si>
  <si>
    <t>Appendix C: Stability Calcs</t>
  </si>
  <si>
    <t>Fuselage Fineness Ratio 1</t>
  </si>
  <si>
    <t>Fuselage Fineness Ratio 2</t>
  </si>
  <si>
    <t>Nacelle Fineness Ratio 1</t>
  </si>
  <si>
    <t>Nacelle Fineness Ratio 2</t>
  </si>
  <si>
    <t xml:space="preserve">k1_f = </t>
  </si>
  <si>
    <t xml:space="preserve">k2_f = </t>
  </si>
  <si>
    <t xml:space="preserve">k1_n = </t>
  </si>
  <si>
    <t xml:space="preserve">k2_n = </t>
  </si>
  <si>
    <t>Placement of CG</t>
  </si>
  <si>
    <t xml:space="preserve">x_cg = </t>
  </si>
  <si>
    <t>See CG Calcs Page</t>
  </si>
  <si>
    <t>Moment Coefficient about AC</t>
  </si>
  <si>
    <t xml:space="preserve">CM_ac = </t>
  </si>
  <si>
    <t>Assume 0 to start</t>
  </si>
  <si>
    <t>Volume of Fuselage</t>
  </si>
  <si>
    <t xml:space="preserve">V_fus = </t>
  </si>
  <si>
    <t xml:space="preserve">V_emp = </t>
  </si>
  <si>
    <t>Volume of Emp</t>
  </si>
  <si>
    <t>ft^3</t>
  </si>
  <si>
    <t>Area of Circle*Length Fuselage</t>
  </si>
  <si>
    <t>Area of Circle*Length Empennage</t>
  </si>
  <si>
    <t xml:space="preserve">l_w = </t>
  </si>
  <si>
    <t>Length from Wing MAC to CG</t>
  </si>
  <si>
    <t>Length from Tail MAC to CG</t>
  </si>
  <si>
    <t xml:space="preserve">l_t = </t>
  </si>
  <si>
    <t xml:space="preserve">l_t = x_tail_MAC - x_cg; </t>
  </si>
  <si>
    <t xml:space="preserve">l_w= x_wing_MAC - x_cg; </t>
  </si>
  <si>
    <t>Number of Nacelle</t>
  </si>
  <si>
    <t xml:space="preserve">N_nac = </t>
  </si>
  <si>
    <t>Air Density at Cruise Altitude</t>
  </si>
  <si>
    <t xml:space="preserve">rho_cruise = </t>
  </si>
  <si>
    <t>slug/ft^3</t>
  </si>
  <si>
    <t>Standard Air Density</t>
  </si>
  <si>
    <t>Tail Surface Area</t>
  </si>
  <si>
    <t xml:space="preserve">S_t = </t>
  </si>
  <si>
    <t>Velocity of Aircraft at Mach 0.8</t>
  </si>
  <si>
    <t xml:space="preserve">V_plane = </t>
  </si>
  <si>
    <t>Mach Speed</t>
  </si>
  <si>
    <t xml:space="preserve">M = </t>
  </si>
  <si>
    <t>Subsonic Criuse</t>
  </si>
  <si>
    <t>Toohey Stability Slides for Tail Ratio</t>
  </si>
  <si>
    <t>V_plane = a_cruise*M_08</t>
  </si>
  <si>
    <t>Standard Calc</t>
  </si>
  <si>
    <t>Dynamic Pressure</t>
  </si>
  <si>
    <t xml:space="preserve">q = </t>
  </si>
  <si>
    <t>slugs/(ft*s^2)</t>
  </si>
  <si>
    <t>Standard Dynamic Pressure</t>
  </si>
  <si>
    <t>Volume Of Fuselage</t>
  </si>
  <si>
    <t>Volume Of Cylender</t>
  </si>
  <si>
    <t>Volume of Nacelle</t>
  </si>
  <si>
    <t xml:space="preserve">V_n = </t>
  </si>
  <si>
    <t>Will Add When Quang Calcs This</t>
  </si>
  <si>
    <t>Length from Tail MAC to Wing MAC</t>
  </si>
  <si>
    <t xml:space="preserve">l = </t>
  </si>
  <si>
    <t xml:space="preserve">l = l_w+l_t; </t>
  </si>
  <si>
    <t>Tail Efficiency</t>
  </si>
  <si>
    <t xml:space="preserve">n_t = </t>
  </si>
  <si>
    <t>given / Estimate / Calculation</t>
  </si>
  <si>
    <t xml:space="preserve">Given </t>
  </si>
  <si>
    <t>Assume 1</t>
  </si>
  <si>
    <t>Input Stability Parameters</t>
  </si>
  <si>
    <t>Angle Of Attack</t>
  </si>
  <si>
    <t>Constant Stability Parameters</t>
  </si>
  <si>
    <t>Lift Coefficient</t>
  </si>
  <si>
    <t xml:space="preserve">C_L = </t>
  </si>
  <si>
    <t>Rad</t>
  </si>
  <si>
    <t>See Appendix B: C_L = 0.3</t>
  </si>
  <si>
    <t>See Appendix Bfor C_L = 0.3</t>
  </si>
  <si>
    <t>Tail Volume Ratio</t>
  </si>
  <si>
    <t xml:space="preserve">V_h = </t>
  </si>
  <si>
    <t xml:space="preserve">Appendix C: Values range from 0.56-1.2 : See plots to right for Affects of varied Vh. </t>
  </si>
  <si>
    <t xml:space="preserve">150B Text, pg. 254: CM_ac varies from .008-.025 : Small contribution to calcs. </t>
  </si>
  <si>
    <t>DownWash Angle</t>
  </si>
  <si>
    <t xml:space="preserve">epsilon = </t>
  </si>
  <si>
    <t>epsilon = 2*C_L/(pi*AR)*(1+tau)</t>
  </si>
  <si>
    <t>See Appendix C: Use Values from McMormick</t>
  </si>
  <si>
    <t>Not sure what to assume here</t>
  </si>
  <si>
    <t>Lift Curve Slope for Wing</t>
  </si>
  <si>
    <t xml:space="preserve">a_w = </t>
  </si>
  <si>
    <t>1/Rad</t>
  </si>
  <si>
    <t>a_w = C_L/alpha</t>
  </si>
  <si>
    <t>Assuming C_L0 is negligible</t>
  </si>
  <si>
    <t>Appendix B Values: C_L= 0.3 : For Different Mach Values, update from AppendBix B</t>
  </si>
  <si>
    <t>Lift Curve Slope for Tail</t>
  </si>
  <si>
    <t xml:space="preserve">a_t = </t>
  </si>
  <si>
    <t>a_t = C_Lt/alpha_t</t>
  </si>
  <si>
    <t>Assuming a_w = a_wt</t>
  </si>
  <si>
    <t>Derivative Of Epsilon with alpha</t>
  </si>
  <si>
    <t xml:space="preserve">dev_epsilon = </t>
  </si>
  <si>
    <t>1/rad</t>
  </si>
  <si>
    <t>dev_eps = epsilon/alpha</t>
  </si>
  <si>
    <t>Using Assumptions that C_L = alpha*a_w</t>
  </si>
  <si>
    <t xml:space="preserve">Moment of Fuselage </t>
  </si>
  <si>
    <t xml:space="preserve">M_f = </t>
  </si>
  <si>
    <t xml:space="preserve">alpha_w = </t>
  </si>
  <si>
    <t>M_f = 2*q*(k2_f-k1_f)*Vol_f*alpha_w;</t>
  </si>
  <si>
    <t>Appendix C</t>
  </si>
  <si>
    <t>Moment of Nacelle</t>
  </si>
  <si>
    <t xml:space="preserve">M_n = </t>
  </si>
  <si>
    <t>Appendix C Data</t>
  </si>
  <si>
    <t>M_n = 2*q*(k2_n-k1_n)*Vol_n*alpha_w;</t>
  </si>
  <si>
    <t>Appendix B Values: C_L= 0.4 : For Different Mach Values, update from AppendBix B</t>
  </si>
  <si>
    <t>Appendix B Values: C_L= 0.5 : For Different Mach Values, update from AppendBix B</t>
  </si>
  <si>
    <t>Moment Coefficient and Derivatives</t>
  </si>
  <si>
    <t xml:space="preserve">C_M_cg = </t>
  </si>
  <si>
    <t>Lift Coefficient of Tail</t>
  </si>
  <si>
    <t xml:space="preserve">C_Lt = </t>
  </si>
  <si>
    <t>Assume C_Lt = C_L</t>
  </si>
  <si>
    <t>Moment Coefficients for C_L = 0.3 @ Initial Estimates</t>
  </si>
  <si>
    <t>Moment Coefficients for C_L = 0.4 @ Initial Estimates</t>
  </si>
  <si>
    <t>Moment Coefficients for C_L = 0.5 @ Initial Estimates</t>
  </si>
  <si>
    <t xml:space="preserve">C_M_cg_alpha = </t>
  </si>
  <si>
    <t xml:space="preserve">Derivate of C_M_cg with alpha for C_L = 0.3 @ Initial Est. </t>
  </si>
  <si>
    <t>Toohey's Slides</t>
  </si>
  <si>
    <t>S_t = S_w*MAC/l_t</t>
  </si>
  <si>
    <t xml:space="preserve">Derivate of C_M_cg with alpha for C_L = 0.4 @ Initial Est. </t>
  </si>
  <si>
    <t>See Appendix C or Stability Code, Very Long Equation</t>
  </si>
  <si>
    <t>Equation(s) Used / Variables Involved</t>
  </si>
  <si>
    <t>CL, l_w, MAC, CM_AC, CL_t, n_t, Vh, M_f, M_nS_w</t>
  </si>
  <si>
    <t xml:space="preserve">Estimate : Currently 50%, maybe too high? </t>
  </si>
  <si>
    <t>Loading Conditions</t>
  </si>
  <si>
    <t>Loading Conditions One</t>
  </si>
  <si>
    <t>Loading Conditions Two</t>
  </si>
  <si>
    <t>Loading Conditions Three</t>
  </si>
  <si>
    <t>Loading Condition Four</t>
  </si>
  <si>
    <t xml:space="preserve">W_1 = </t>
  </si>
  <si>
    <t xml:space="preserve">W_2 = </t>
  </si>
  <si>
    <t>fuel Weight 45 Mins</t>
  </si>
  <si>
    <t xml:space="preserve">W_fuel_45 = </t>
  </si>
  <si>
    <t>Wfuel45min = MTOW - (MTOW/(exp(E/((1/Ctsfc)*(CL_CD))))); </t>
  </si>
  <si>
    <t>Janelle Weight Code</t>
  </si>
  <si>
    <t xml:space="preserve">W_3 = </t>
  </si>
  <si>
    <t>MTOW</t>
  </si>
  <si>
    <t>MTOW - W_fuel + W_fuel_45</t>
  </si>
  <si>
    <t>MTOW - 13*W_passenger</t>
  </si>
  <si>
    <t>MTOW - (W_fuel + W_fuel_45) - 13*W_passenger</t>
  </si>
  <si>
    <t xml:space="preserve">b_2 = </t>
  </si>
  <si>
    <t>b/2</t>
  </si>
  <si>
    <t>Angle of Atttack Tail</t>
  </si>
  <si>
    <t xml:space="preserve">alpha_t = </t>
  </si>
  <si>
    <t>alpha_t = CL_t_trim/A_t</t>
  </si>
  <si>
    <t>Toohey's Slide  [246]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</si>
</sst>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"/>
    <numFmt numFmtId="166" formatCode="0.00000"/>
    <numFmt numFmtId="167" formatCode="0.0000"/>
  </numFmts>
  <fonts count="26" x14ac:knownFonts="1">
    <font>
      <sz val="11"/>
      <color rgb="FF000000"/>
      <name val="Calibri"/>
    </font>
    <font>
      <sz val="11"/>
      <name val="Calibri"/>
    </font>
    <font>
      <b/>
      <sz val="12"/>
      <color rgb="FFFFFFFF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&quot;bitstream vera sans&quot;"/>
    </font>
    <font>
      <b/>
      <sz val="11"/>
      <name val="Calibri"/>
    </font>
    <font>
      <sz val="11"/>
      <color rgb="FF000000"/>
      <name val="Inconsolata"/>
    </font>
    <font>
      <u/>
      <sz val="11"/>
      <color rgb="FF0000FF"/>
      <name val="Calibri"/>
    </font>
    <font>
      <u/>
      <sz val="11"/>
      <color theme="11"/>
      <name val="Calibri"/>
    </font>
    <font>
      <b/>
      <sz val="12"/>
      <color theme="7" tint="0.39997558519241921"/>
      <name val="Times New Roman"/>
    </font>
    <font>
      <sz val="11"/>
      <color theme="7" tint="0.39997558519241921"/>
      <name val="Calibri"/>
    </font>
    <font>
      <b/>
      <sz val="12"/>
      <color rgb="FF000000"/>
      <name val="Times Roman"/>
    </font>
    <font>
      <sz val="12"/>
      <color rgb="FF000000"/>
      <name val="Times Roman"/>
    </font>
    <font>
      <sz val="12"/>
      <name val="Times Roman"/>
    </font>
    <font>
      <u/>
      <sz val="12"/>
      <color rgb="FF0563C1"/>
      <name val="Times Roman"/>
    </font>
    <font>
      <u/>
      <sz val="12"/>
      <color rgb="FF0000FF"/>
      <name val="Times Roman"/>
    </font>
    <font>
      <b/>
      <sz val="16"/>
      <color theme="0"/>
      <name val="Times Roman"/>
    </font>
    <font>
      <sz val="12"/>
      <color rgb="FF000000"/>
      <name val="Calibri"/>
    </font>
    <font>
      <u/>
      <sz val="12"/>
      <name val="Times Roman"/>
    </font>
    <font>
      <i/>
      <sz val="12"/>
      <color rgb="FF000000"/>
      <name val="Times Roman"/>
    </font>
    <font>
      <b/>
      <i/>
      <sz val="12"/>
      <color rgb="FF000000"/>
      <name val="Times Roman"/>
    </font>
    <font>
      <i/>
      <sz val="12"/>
      <name val="Times Roman"/>
    </font>
    <font>
      <i/>
      <sz val="11"/>
      <color rgb="FF000000"/>
      <name val="Calibri"/>
    </font>
    <font>
      <sz val="15"/>
      <color rgb="FF000000"/>
      <name val="Courier"/>
    </font>
    <font>
      <sz val="12"/>
      <color theme="1"/>
      <name val="Times Roman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BDD6EE"/>
      </patternFill>
    </fill>
    <fill>
      <patternFill patternType="solid">
        <fgColor theme="5" tint="-0.249977111117893"/>
        <bgColor rgb="FFF7CAA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3" fontId="1" fillId="0" borderId="0" xfId="0" applyNumberFormat="1" applyFont="1" applyAlignment="1"/>
    <xf numFmtId="0" fontId="7" fillId="3" borderId="0" xfId="0" applyFont="1" applyFill="1" applyAlignment="1"/>
    <xf numFmtId="0" fontId="7" fillId="3" borderId="0" xfId="0" applyFont="1" applyFill="1"/>
    <xf numFmtId="0" fontId="1" fillId="0" borderId="0" xfId="0" applyFont="1" applyBorder="1"/>
    <xf numFmtId="0" fontId="0" fillId="0" borderId="0" xfId="0" applyFont="1"/>
    <xf numFmtId="0" fontId="8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5" borderId="0" xfId="0" applyFont="1" applyFill="1" applyBorder="1" applyAlignment="1"/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4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164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wrapText="1"/>
    </xf>
    <xf numFmtId="165" fontId="13" fillId="0" borderId="0" xfId="0" applyNumberFormat="1" applyFont="1" applyAlignment="1">
      <alignment horizontal="left"/>
    </xf>
    <xf numFmtId="0" fontId="12" fillId="7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1" fillId="7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3" fillId="0" borderId="0" xfId="0" applyFont="1" applyAlignment="1"/>
    <xf numFmtId="166" fontId="13" fillId="0" borderId="0" xfId="0" applyNumberFormat="1" applyFont="1" applyAlignment="1">
      <alignment horizontal="left"/>
    </xf>
    <xf numFmtId="167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24" fillId="0" borderId="0" xfId="0" applyFont="1" applyAlignment="1"/>
    <xf numFmtId="0" fontId="12" fillId="7" borderId="1" xfId="0" applyFont="1" applyFill="1" applyBorder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3" fillId="8" borderId="1" xfId="0" applyFont="1" applyFill="1" applyBorder="1" applyAlignment="1">
      <alignment horizontal="left"/>
    </xf>
    <xf numFmtId="167" fontId="13" fillId="8" borderId="1" xfId="0" applyNumberFormat="1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1" fillId="6" borderId="0" xfId="0" applyFont="1" applyFill="1" applyBorder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4" borderId="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0" fillId="0" borderId="0" xfId="0" applyFont="1" applyAlignment="1"/>
    <xf numFmtId="0" fontId="13" fillId="0" borderId="0" xfId="0" applyFont="1" applyAlignment="1">
      <alignment horizontal="left"/>
    </xf>
    <xf numFmtId="0" fontId="17" fillId="4" borderId="1" xfId="0" applyFont="1" applyFill="1" applyBorder="1" applyAlignment="1">
      <alignment horizontal="left"/>
    </xf>
    <xf numFmtId="0" fontId="17" fillId="4" borderId="5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7" fillId="4" borderId="2" xfId="0" applyFont="1" applyFill="1" applyBorder="1" applyAlignment="1">
      <alignment horizontal="left"/>
    </xf>
    <xf numFmtId="0" fontId="17" fillId="4" borderId="3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7" fillId="4" borderId="2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0" xfId="0" applyFont="1" applyAlignment="1"/>
    <xf numFmtId="0" fontId="17" fillId="4" borderId="7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190500</xdr:rowOff>
    </xdr:from>
    <xdr:to>
      <xdr:col>3</xdr:col>
      <xdr:colOff>352425</xdr:colOff>
      <xdr:row>34</xdr:row>
      <xdr:rowOff>0</xdr:rowOff>
    </xdr:to>
    <xdr:pic>
      <xdr:nvPicPr>
        <xdr:cNvPr id="2" name="image0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0" cy="28575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0</xdr:col>
      <xdr:colOff>1123950</xdr:colOff>
      <xdr:row>15</xdr:row>
      <xdr:rowOff>114300</xdr:rowOff>
    </xdr:to>
    <xdr:pic>
      <xdr:nvPicPr>
        <xdr:cNvPr id="2" name="image0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950" cy="4762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17</xdr:row>
      <xdr:rowOff>0</xdr:rowOff>
    </xdr:from>
    <xdr:to>
      <xdr:col>0</xdr:col>
      <xdr:colOff>1123950</xdr:colOff>
      <xdr:row>19</xdr:row>
      <xdr:rowOff>152400</xdr:rowOff>
    </xdr:to>
    <xdr:pic>
      <xdr:nvPicPr>
        <xdr:cNvPr id="3" name="image06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23950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20</xdr:row>
      <xdr:rowOff>180975</xdr:rowOff>
    </xdr:from>
    <xdr:to>
      <xdr:col>0</xdr:col>
      <xdr:colOff>1114425</xdr:colOff>
      <xdr:row>23</xdr:row>
      <xdr:rowOff>161925</xdr:rowOff>
    </xdr:to>
    <xdr:pic>
      <xdr:nvPicPr>
        <xdr:cNvPr id="4" name="image04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1144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25</xdr:row>
      <xdr:rowOff>180975</xdr:rowOff>
    </xdr:from>
    <xdr:to>
      <xdr:col>1</xdr:col>
      <xdr:colOff>981075</xdr:colOff>
      <xdr:row>28</xdr:row>
      <xdr:rowOff>152400</xdr:rowOff>
    </xdr:to>
    <xdr:pic>
      <xdr:nvPicPr>
        <xdr:cNvPr id="5" name="image07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2133600" cy="542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28</xdr:row>
      <xdr:rowOff>180975</xdr:rowOff>
    </xdr:from>
    <xdr:to>
      <xdr:col>1</xdr:col>
      <xdr:colOff>57150</xdr:colOff>
      <xdr:row>30</xdr:row>
      <xdr:rowOff>152400</xdr:rowOff>
    </xdr:to>
    <xdr:pic>
      <xdr:nvPicPr>
        <xdr:cNvPr id="6" name="image08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1209675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41</xdr:row>
      <xdr:rowOff>9525</xdr:rowOff>
    </xdr:from>
    <xdr:to>
      <xdr:col>7</xdr:col>
      <xdr:colOff>695325</xdr:colOff>
      <xdr:row>65</xdr:row>
      <xdr:rowOff>104775</xdr:rowOff>
    </xdr:to>
    <xdr:pic>
      <xdr:nvPicPr>
        <xdr:cNvPr id="7" name="image09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10506075" cy="46672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ghter-planes.com/jetmach1.htm" TargetMode="External"/><Relationship Id="rId4" Type="http://schemas.openxmlformats.org/officeDocument/2006/relationships/hyperlink" Target="http://www.fighter-planes.com/jetmach1.htm" TargetMode="External"/><Relationship Id="rId1" Type="http://schemas.openxmlformats.org/officeDocument/2006/relationships/hyperlink" Target="http://www.fighter-planes.com/jetmach1.htm" TargetMode="External"/><Relationship Id="rId2" Type="http://schemas.openxmlformats.org/officeDocument/2006/relationships/hyperlink" Target="http://www.fighter-planes.com/jetmach1.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onlinelibrary.wiley.com/doi/10.1002/9781118568101.app1/pdf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faculty.dwc.edu/sadraey/Chapter%203.%20Drag%20Force%20and%20its%20Coefficient.pdf" TargetMode="External"/><Relationship Id="rId2" Type="http://schemas.openxmlformats.org/officeDocument/2006/relationships/hyperlink" Target="http://adg.stanford.edu/aa241/drag/wettedare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55"/>
  <sheetViews>
    <sheetView zoomScale="150" zoomScaleNormal="150" zoomScalePageLayoutView="150" workbookViewId="0">
      <selection activeCell="B7" sqref="B7:F7"/>
    </sheetView>
  </sheetViews>
  <sheetFormatPr baseColWidth="10" defaultColWidth="15.1640625" defaultRowHeight="15" customHeight="1" x14ac:dyDescent="0.2"/>
  <cols>
    <col min="1" max="1" width="34.6640625" customWidth="1"/>
    <col min="3" max="3" width="6.6640625" customWidth="1"/>
    <col min="4" max="4" width="6.1640625" customWidth="1"/>
    <col min="5" max="5" width="8" customWidth="1"/>
    <col min="6" max="6" width="7.83203125" customWidth="1"/>
    <col min="7" max="7" width="8.33203125" customWidth="1"/>
  </cols>
  <sheetData>
    <row r="1" spans="1:8" x14ac:dyDescent="0.2">
      <c r="A1" s="20" t="s">
        <v>0</v>
      </c>
      <c r="B1" s="2"/>
      <c r="C1" s="2"/>
      <c r="D1" s="3"/>
      <c r="E1" s="3"/>
      <c r="F1" s="3"/>
      <c r="G1" s="3"/>
    </row>
    <row r="2" spans="1:8" x14ac:dyDescent="0.2">
      <c r="A2" s="62" t="s">
        <v>1</v>
      </c>
      <c r="B2" s="63"/>
      <c r="C2" s="63"/>
      <c r="D2" s="63"/>
      <c r="E2" s="63"/>
      <c r="F2" s="63"/>
      <c r="G2" s="3"/>
      <c r="H2" s="15"/>
    </row>
    <row r="3" spans="1:8" x14ac:dyDescent="0.2">
      <c r="A3" s="5" t="s">
        <v>3</v>
      </c>
      <c r="B3" s="64" t="s">
        <v>4</v>
      </c>
      <c r="C3" s="65"/>
      <c r="D3" s="65"/>
      <c r="E3" s="65"/>
      <c r="F3" s="65"/>
      <c r="G3" s="3"/>
    </row>
    <row r="4" spans="1:8" x14ac:dyDescent="0.2">
      <c r="A4" s="3"/>
      <c r="B4" s="64" t="s">
        <v>16</v>
      </c>
      <c r="C4" s="64"/>
      <c r="D4" s="64"/>
      <c r="E4" s="64"/>
      <c r="F4" s="64"/>
      <c r="G4" s="3"/>
    </row>
    <row r="5" spans="1:8" x14ac:dyDescent="0.2">
      <c r="A5" s="5" t="s">
        <v>22</v>
      </c>
      <c r="B5" s="64" t="s">
        <v>23</v>
      </c>
      <c r="C5" s="64"/>
      <c r="D5" s="64"/>
      <c r="E5" s="64"/>
      <c r="F5" s="64"/>
      <c r="G5" s="3"/>
    </row>
    <row r="6" spans="1:8" x14ac:dyDescent="0.2">
      <c r="A6" s="3"/>
      <c r="B6" s="64" t="s">
        <v>28</v>
      </c>
      <c r="C6" s="64"/>
      <c r="D6" s="64"/>
      <c r="E6" s="64"/>
      <c r="F6" s="64"/>
      <c r="G6" s="3"/>
    </row>
    <row r="7" spans="1:8" x14ac:dyDescent="0.2">
      <c r="A7" s="5" t="s">
        <v>40</v>
      </c>
      <c r="B7" s="67">
        <v>4500</v>
      </c>
      <c r="C7" s="67"/>
      <c r="D7" s="67"/>
      <c r="E7" s="67"/>
      <c r="F7" s="67"/>
      <c r="G7" s="3"/>
    </row>
    <row r="8" spans="1:8" x14ac:dyDescent="0.2">
      <c r="A8" s="5" t="s">
        <v>63</v>
      </c>
      <c r="B8" s="64" t="s">
        <v>64</v>
      </c>
      <c r="C8" s="64"/>
      <c r="D8" s="64"/>
      <c r="E8" s="64"/>
      <c r="F8" s="64"/>
      <c r="G8" s="3"/>
    </row>
    <row r="9" spans="1:8" x14ac:dyDescent="0.2">
      <c r="A9" s="5" t="s">
        <v>72</v>
      </c>
      <c r="B9" s="64" t="s">
        <v>74</v>
      </c>
      <c r="C9" s="64"/>
      <c r="D9" s="64"/>
      <c r="E9" s="64"/>
      <c r="F9" s="64"/>
      <c r="G9" s="3"/>
    </row>
    <row r="10" spans="1:8" x14ac:dyDescent="0.2">
      <c r="A10" s="5" t="s">
        <v>95</v>
      </c>
      <c r="B10" s="64">
        <v>1.9</v>
      </c>
      <c r="C10" s="64"/>
      <c r="D10" s="64"/>
      <c r="E10" s="64"/>
      <c r="F10" s="64"/>
      <c r="G10" s="3"/>
    </row>
    <row r="11" spans="1:8" x14ac:dyDescent="0.2">
      <c r="A11" s="5" t="s">
        <v>103</v>
      </c>
      <c r="B11" s="64" t="s">
        <v>174</v>
      </c>
      <c r="C11" s="64"/>
      <c r="D11" s="64"/>
      <c r="E11" s="64"/>
      <c r="F11" s="64"/>
      <c r="G11" s="3"/>
    </row>
    <row r="12" spans="1:8" x14ac:dyDescent="0.2">
      <c r="A12" s="5" t="s">
        <v>108</v>
      </c>
      <c r="B12" s="67" t="s">
        <v>175</v>
      </c>
      <c r="C12" s="67"/>
      <c r="D12" s="67"/>
      <c r="E12" s="67"/>
      <c r="F12" s="67"/>
      <c r="G12" s="3"/>
    </row>
    <row r="13" spans="1:8" x14ac:dyDescent="0.2">
      <c r="A13" s="68" t="s">
        <v>112</v>
      </c>
      <c r="B13" s="67" t="s">
        <v>176</v>
      </c>
      <c r="C13" s="67"/>
      <c r="D13" s="67"/>
      <c r="E13" s="67"/>
      <c r="F13" s="67"/>
      <c r="G13" s="3"/>
    </row>
    <row r="14" spans="1:8" x14ac:dyDescent="0.2">
      <c r="A14" s="69"/>
      <c r="B14" s="67"/>
      <c r="C14" s="67"/>
      <c r="D14" s="67"/>
      <c r="E14" s="67"/>
      <c r="F14" s="67"/>
      <c r="G14" s="3"/>
    </row>
    <row r="15" spans="1:8" x14ac:dyDescent="0.2">
      <c r="A15" s="68" t="s">
        <v>117</v>
      </c>
      <c r="B15" s="3"/>
      <c r="C15" s="3"/>
      <c r="D15" s="3"/>
      <c r="E15" s="3"/>
      <c r="F15" s="3"/>
      <c r="G15" s="3"/>
    </row>
    <row r="16" spans="1:8" x14ac:dyDescent="0.2">
      <c r="A16" s="69"/>
      <c r="B16" s="3"/>
      <c r="C16" s="3"/>
      <c r="D16" s="3"/>
      <c r="E16" s="3"/>
      <c r="F16" s="3"/>
      <c r="G16" s="3"/>
    </row>
    <row r="17" spans="1:8" x14ac:dyDescent="0.2">
      <c r="A17" s="3"/>
      <c r="B17" s="3"/>
      <c r="C17" s="3"/>
      <c r="D17" s="3"/>
      <c r="E17" s="3"/>
      <c r="F17" s="3"/>
      <c r="G17" s="3"/>
      <c r="H17" s="9"/>
    </row>
    <row r="18" spans="1:8" x14ac:dyDescent="0.2">
      <c r="A18" s="66" t="s">
        <v>121</v>
      </c>
      <c r="B18" s="3"/>
      <c r="C18" s="3"/>
      <c r="D18" s="3"/>
      <c r="E18" s="8"/>
      <c r="F18" s="3"/>
      <c r="G18" s="3"/>
    </row>
    <row r="19" spans="1:8" x14ac:dyDescent="0.2">
      <c r="A19" s="63"/>
      <c r="B19" s="3"/>
      <c r="C19" s="3"/>
      <c r="D19" s="3"/>
      <c r="E19" s="3"/>
      <c r="F19" s="3"/>
      <c r="G19" s="3"/>
    </row>
    <row r="20" spans="1:8" x14ac:dyDescent="0.2">
      <c r="B20" s="3"/>
      <c r="C20" s="3"/>
      <c r="D20" s="3"/>
      <c r="E20" s="3"/>
      <c r="F20" s="3"/>
      <c r="G20" s="3"/>
    </row>
    <row r="21" spans="1:8" x14ac:dyDescent="0.2">
      <c r="A21" s="16"/>
      <c r="B21" s="16"/>
      <c r="C21" s="16"/>
      <c r="D21" s="16"/>
      <c r="F21" s="4"/>
    </row>
    <row r="22" spans="1:8" x14ac:dyDescent="0.2">
      <c r="A22" s="16"/>
      <c r="B22" s="16"/>
      <c r="C22" s="16"/>
      <c r="D22" s="16"/>
      <c r="F22" s="4"/>
    </row>
    <row r="23" spans="1:8" x14ac:dyDescent="0.2">
      <c r="A23" s="16"/>
      <c r="B23" s="16"/>
      <c r="C23" s="16"/>
      <c r="D23" s="16"/>
      <c r="F23" s="4"/>
    </row>
    <row r="24" spans="1:8" x14ac:dyDescent="0.2">
      <c r="A24" s="16"/>
      <c r="B24" s="16"/>
      <c r="C24" s="16"/>
      <c r="D24" s="16"/>
      <c r="F24" s="4"/>
    </row>
    <row r="25" spans="1:8" x14ac:dyDescent="0.2">
      <c r="A25" s="16"/>
      <c r="B25" s="16"/>
      <c r="C25" s="16"/>
      <c r="D25" s="16"/>
      <c r="F25" s="4"/>
    </row>
    <row r="26" spans="1:8" x14ac:dyDescent="0.2">
      <c r="A26" s="16"/>
      <c r="B26" s="16"/>
      <c r="C26" s="16"/>
      <c r="D26" s="16"/>
      <c r="F26" s="4"/>
    </row>
    <row r="27" spans="1:8" x14ac:dyDescent="0.2">
      <c r="A27" s="16"/>
      <c r="B27" s="16"/>
      <c r="C27" s="16"/>
      <c r="D27" s="16"/>
      <c r="F27" s="4"/>
    </row>
    <row r="28" spans="1:8" x14ac:dyDescent="0.2">
      <c r="A28" s="16"/>
      <c r="B28" s="16"/>
      <c r="C28" s="16"/>
      <c r="D28" s="16"/>
      <c r="F28" s="4"/>
    </row>
    <row r="29" spans="1:8" x14ac:dyDescent="0.2">
      <c r="A29" s="16"/>
      <c r="B29" s="16"/>
      <c r="C29" s="16"/>
      <c r="D29" s="16"/>
      <c r="F29" s="4"/>
    </row>
    <row r="30" spans="1:8" x14ac:dyDescent="0.2">
      <c r="A30" s="16"/>
      <c r="B30" s="16"/>
      <c r="C30" s="16"/>
      <c r="D30" s="16"/>
      <c r="F30" s="4"/>
    </row>
    <row r="31" spans="1:8" x14ac:dyDescent="0.2">
      <c r="A31" s="16"/>
      <c r="B31" s="16"/>
      <c r="C31" s="16"/>
      <c r="D31" s="16"/>
      <c r="F31" s="4"/>
    </row>
    <row r="32" spans="1:8" x14ac:dyDescent="0.2">
      <c r="A32" s="16"/>
      <c r="B32" s="16"/>
      <c r="C32" s="16"/>
      <c r="D32" s="16"/>
      <c r="F32" s="4"/>
    </row>
    <row r="33" spans="1:6" x14ac:dyDescent="0.2">
      <c r="A33" s="16"/>
      <c r="B33" s="16"/>
      <c r="C33" s="16"/>
      <c r="D33" s="16"/>
      <c r="F33" s="4"/>
    </row>
    <row r="34" spans="1:6" x14ac:dyDescent="0.2">
      <c r="A34" s="16"/>
      <c r="B34" s="16"/>
      <c r="C34" s="16"/>
      <c r="D34" s="16"/>
      <c r="F34" s="4"/>
    </row>
    <row r="35" spans="1:6" x14ac:dyDescent="0.2">
      <c r="A35" s="16"/>
      <c r="B35" s="16"/>
      <c r="C35" s="16"/>
      <c r="D35" s="16"/>
      <c r="F35" s="4"/>
    </row>
    <row r="36" spans="1:6" x14ac:dyDescent="0.2">
      <c r="A36" s="16"/>
      <c r="B36" s="16"/>
      <c r="C36" s="16"/>
      <c r="D36" s="16"/>
      <c r="F36" s="4"/>
    </row>
    <row r="37" spans="1:6" x14ac:dyDescent="0.2">
      <c r="A37" s="4"/>
      <c r="B37" s="4"/>
      <c r="F37" s="4"/>
    </row>
    <row r="38" spans="1:6" x14ac:dyDescent="0.2">
      <c r="A38" s="4"/>
      <c r="B38" s="4"/>
      <c r="F38" s="4"/>
    </row>
    <row r="39" spans="1:6" x14ac:dyDescent="0.2">
      <c r="A39" s="4"/>
      <c r="B39" s="4"/>
      <c r="F39" s="4"/>
    </row>
    <row r="40" spans="1:6" x14ac:dyDescent="0.2">
      <c r="A40" s="4"/>
      <c r="B40" s="4"/>
      <c r="F40" s="4"/>
    </row>
    <row r="41" spans="1:6" x14ac:dyDescent="0.2">
      <c r="A41" s="4"/>
      <c r="B41" s="4"/>
      <c r="F41" s="4"/>
    </row>
    <row r="42" spans="1:6" x14ac:dyDescent="0.2">
      <c r="A42" s="4"/>
      <c r="B42" s="4"/>
      <c r="F42" s="4"/>
    </row>
    <row r="43" spans="1:6" x14ac:dyDescent="0.2">
      <c r="A43" s="4"/>
      <c r="B43" s="4"/>
      <c r="F43" s="4"/>
    </row>
    <row r="44" spans="1:6" x14ac:dyDescent="0.2">
      <c r="A44" s="4"/>
      <c r="B44" s="4"/>
      <c r="F44" s="4"/>
    </row>
    <row r="45" spans="1:6" x14ac:dyDescent="0.2">
      <c r="A45" s="4"/>
      <c r="B45" s="4"/>
      <c r="F45" s="4"/>
    </row>
    <row r="46" spans="1:6" x14ac:dyDescent="0.2">
      <c r="A46" s="4"/>
      <c r="B46" s="4"/>
      <c r="F46" s="4"/>
    </row>
    <row r="47" spans="1:6" x14ac:dyDescent="0.2">
      <c r="A47" s="4"/>
      <c r="B47" s="4"/>
      <c r="F47" s="4"/>
    </row>
    <row r="48" spans="1:6" x14ac:dyDescent="0.2">
      <c r="A48" s="4"/>
      <c r="B48" s="4"/>
      <c r="F48" s="4"/>
    </row>
    <row r="49" spans="1:6" x14ac:dyDescent="0.2">
      <c r="A49" s="4"/>
      <c r="B49" s="4"/>
      <c r="F49" s="4"/>
    </row>
    <row r="50" spans="1:6" x14ac:dyDescent="0.2">
      <c r="A50" s="4"/>
      <c r="B50" s="4"/>
      <c r="F50" s="4"/>
    </row>
    <row r="51" spans="1:6" x14ac:dyDescent="0.2">
      <c r="A51" s="4"/>
      <c r="B51" s="4"/>
      <c r="F51" s="4"/>
    </row>
    <row r="52" spans="1:6" x14ac:dyDescent="0.2">
      <c r="A52" s="4"/>
      <c r="B52" s="4"/>
      <c r="F52" s="4"/>
    </row>
    <row r="53" spans="1:6" x14ac:dyDescent="0.2">
      <c r="A53" s="4"/>
      <c r="B53" s="4"/>
      <c r="F53" s="4"/>
    </row>
    <row r="54" spans="1:6" x14ac:dyDescent="0.2">
      <c r="A54" s="4"/>
      <c r="B54" s="4"/>
      <c r="F54" s="4"/>
    </row>
    <row r="55" spans="1:6" x14ac:dyDescent="0.2">
      <c r="A55" s="4"/>
      <c r="B55" s="4"/>
      <c r="F55" s="4"/>
    </row>
  </sheetData>
  <mergeCells count="15">
    <mergeCell ref="A2:F2"/>
    <mergeCell ref="B3:F3"/>
    <mergeCell ref="B4:F4"/>
    <mergeCell ref="A18:A19"/>
    <mergeCell ref="B6:F6"/>
    <mergeCell ref="B7:F7"/>
    <mergeCell ref="B8:F8"/>
    <mergeCell ref="B9:F9"/>
    <mergeCell ref="B10:F10"/>
    <mergeCell ref="B11:F11"/>
    <mergeCell ref="B12:F12"/>
    <mergeCell ref="B13:F14"/>
    <mergeCell ref="A13:A14"/>
    <mergeCell ref="A15:A16"/>
    <mergeCell ref="B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68"/>
  <sheetViews>
    <sheetView workbookViewId="0">
      <selection activeCell="C58" sqref="C58"/>
    </sheetView>
  </sheetViews>
  <sheetFormatPr baseColWidth="10" defaultColWidth="15.1640625" defaultRowHeight="18" customHeight="1" x14ac:dyDescent="0.2"/>
  <cols>
    <col min="1" max="1" width="51" style="18" customWidth="1"/>
    <col min="2" max="2" width="19.33203125" style="18" customWidth="1"/>
    <col min="3" max="3" width="15.1640625" style="18"/>
    <col min="4" max="4" width="2" style="48" customWidth="1"/>
    <col min="5" max="5" width="15.1640625" style="18"/>
    <col min="6" max="6" width="34.1640625" style="18" customWidth="1"/>
    <col min="7" max="7" width="53.83203125" style="42" customWidth="1"/>
    <col min="8" max="16384" width="15.1640625" style="18"/>
  </cols>
  <sheetData>
    <row r="1" spans="1:12" ht="22" customHeight="1" x14ac:dyDescent="0.25">
      <c r="A1" s="79" t="s">
        <v>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1"/>
    </row>
    <row r="2" spans="1:12" ht="18" customHeight="1" x14ac:dyDescent="0.2">
      <c r="A2" s="32" t="s">
        <v>7</v>
      </c>
      <c r="B2" s="32" t="s">
        <v>138</v>
      </c>
      <c r="C2" s="33" t="s">
        <v>11</v>
      </c>
      <c r="D2" s="53" t="s">
        <v>167</v>
      </c>
      <c r="E2" s="33" t="s">
        <v>12</v>
      </c>
      <c r="F2" s="33" t="s">
        <v>13</v>
      </c>
      <c r="G2" s="40" t="s">
        <v>14</v>
      </c>
      <c r="H2" s="73" t="s">
        <v>15</v>
      </c>
      <c r="I2" s="73"/>
      <c r="J2" s="73"/>
      <c r="K2" s="73"/>
      <c r="L2" s="73"/>
    </row>
    <row r="3" spans="1:12" ht="18" customHeight="1" x14ac:dyDescent="0.2">
      <c r="A3" s="21" t="s">
        <v>17</v>
      </c>
      <c r="B3" s="21" t="s">
        <v>139</v>
      </c>
      <c r="C3" s="22">
        <v>90</v>
      </c>
      <c r="D3" s="28" t="s">
        <v>167</v>
      </c>
      <c r="E3" s="21" t="s">
        <v>187</v>
      </c>
      <c r="F3" s="21" t="s">
        <v>18</v>
      </c>
      <c r="G3" s="38" t="s">
        <v>179</v>
      </c>
      <c r="H3" s="70" t="s">
        <v>19</v>
      </c>
      <c r="I3" s="70"/>
      <c r="J3" s="70"/>
      <c r="K3" s="70"/>
      <c r="L3" s="70"/>
    </row>
    <row r="4" spans="1:12" ht="18" customHeight="1" x14ac:dyDescent="0.2">
      <c r="A4" s="24" t="s">
        <v>20</v>
      </c>
      <c r="B4" s="24" t="s">
        <v>140</v>
      </c>
      <c r="C4" s="22">
        <v>118000</v>
      </c>
      <c r="D4" s="28" t="s">
        <v>167</v>
      </c>
      <c r="E4" s="21" t="s">
        <v>21</v>
      </c>
      <c r="F4" s="21" t="s">
        <v>18</v>
      </c>
      <c r="G4" s="38" t="s">
        <v>179</v>
      </c>
      <c r="H4" s="70" t="s">
        <v>19</v>
      </c>
      <c r="I4" s="70"/>
      <c r="J4" s="70"/>
      <c r="K4" s="70"/>
      <c r="L4" s="70"/>
    </row>
    <row r="5" spans="1:12" ht="18" customHeight="1" x14ac:dyDescent="0.2">
      <c r="A5" s="21" t="s">
        <v>24</v>
      </c>
      <c r="B5" s="21" t="s">
        <v>141</v>
      </c>
      <c r="C5" s="22">
        <f>(1/C3)*C4</f>
        <v>1311.1111111111111</v>
      </c>
      <c r="D5" s="28" t="s">
        <v>167</v>
      </c>
      <c r="E5" s="21" t="s">
        <v>188</v>
      </c>
      <c r="F5" s="21" t="s">
        <v>25</v>
      </c>
      <c r="G5" s="38" t="s">
        <v>26</v>
      </c>
      <c r="H5" s="70" t="s">
        <v>27</v>
      </c>
      <c r="I5" s="70"/>
      <c r="J5" s="70"/>
      <c r="K5" s="70"/>
      <c r="L5" s="70"/>
    </row>
    <row r="6" spans="1:12" ht="18" customHeight="1" x14ac:dyDescent="0.2">
      <c r="A6" s="21" t="s">
        <v>29</v>
      </c>
      <c r="B6" s="21" t="s">
        <v>142</v>
      </c>
      <c r="C6" s="22">
        <v>7.2015000000000002</v>
      </c>
      <c r="D6" s="28" t="s">
        <v>167</v>
      </c>
      <c r="E6" s="21" t="s">
        <v>146</v>
      </c>
      <c r="F6" s="21" t="s">
        <v>10</v>
      </c>
      <c r="G6" s="38" t="s">
        <v>189</v>
      </c>
      <c r="H6" s="77" t="s">
        <v>35</v>
      </c>
      <c r="I6" s="77"/>
      <c r="J6" s="77"/>
      <c r="K6" s="77"/>
      <c r="L6" s="77"/>
    </row>
    <row r="7" spans="1:12" ht="18" customHeight="1" x14ac:dyDescent="0.2">
      <c r="A7" s="21" t="s">
        <v>36</v>
      </c>
      <c r="B7" s="21" t="s">
        <v>522</v>
      </c>
      <c r="C7" s="22">
        <f>SQRT(C6*C5)/2</f>
        <v>48.584891341513433</v>
      </c>
      <c r="D7" s="28" t="s">
        <v>167</v>
      </c>
      <c r="E7" s="21" t="s">
        <v>146</v>
      </c>
      <c r="F7" s="21" t="s">
        <v>25</v>
      </c>
      <c r="G7" s="38" t="s">
        <v>523</v>
      </c>
      <c r="H7" s="77" t="s">
        <v>35</v>
      </c>
      <c r="I7" s="77"/>
      <c r="J7" s="77"/>
      <c r="K7" s="77"/>
      <c r="L7" s="77"/>
    </row>
    <row r="8" spans="1:12" ht="18" customHeight="1" x14ac:dyDescent="0.2">
      <c r="A8" s="21" t="s">
        <v>190</v>
      </c>
      <c r="B8" s="21" t="s">
        <v>144</v>
      </c>
      <c r="C8" s="25">
        <f>SQRT(C6*C5/25)</f>
        <v>19.433956536605372</v>
      </c>
      <c r="D8" s="28" t="s">
        <v>167</v>
      </c>
      <c r="E8" s="21" t="s">
        <v>33</v>
      </c>
      <c r="F8" s="21" t="s">
        <v>25</v>
      </c>
      <c r="G8" s="37" t="s">
        <v>48</v>
      </c>
      <c r="H8" s="77" t="s">
        <v>35</v>
      </c>
      <c r="I8" s="77"/>
      <c r="J8" s="77"/>
      <c r="K8" s="77"/>
      <c r="L8" s="77"/>
    </row>
    <row r="9" spans="1:12" ht="18" customHeight="1" x14ac:dyDescent="0.2">
      <c r="A9" s="21" t="s">
        <v>54</v>
      </c>
      <c r="B9" s="21" t="s">
        <v>145</v>
      </c>
      <c r="C9" s="22">
        <f>C34/C33*C8</f>
        <v>2.5670226171486195</v>
      </c>
      <c r="D9" s="28" t="s">
        <v>167</v>
      </c>
      <c r="E9" s="21" t="s">
        <v>33</v>
      </c>
      <c r="F9" s="21" t="s">
        <v>56</v>
      </c>
      <c r="G9" s="37" t="s">
        <v>57</v>
      </c>
      <c r="H9" s="77" t="s">
        <v>58</v>
      </c>
      <c r="I9" s="77"/>
      <c r="J9" s="77"/>
      <c r="K9" s="77"/>
      <c r="L9" s="77"/>
    </row>
    <row r="10" spans="1:12" ht="18" customHeight="1" x14ac:dyDescent="0.2">
      <c r="A10" s="21" t="s">
        <v>65</v>
      </c>
      <c r="B10" s="21" t="s">
        <v>143</v>
      </c>
      <c r="C10" s="22">
        <f t="shared" ref="C10:C11" si="0">0.73917*C8</f>
        <v>14.364997653162593</v>
      </c>
      <c r="D10" s="28" t="s">
        <v>167</v>
      </c>
      <c r="E10" s="21" t="s">
        <v>33</v>
      </c>
      <c r="F10" s="21" t="s">
        <v>25</v>
      </c>
      <c r="G10" s="38" t="s">
        <v>191</v>
      </c>
      <c r="H10" s="77" t="s">
        <v>35</v>
      </c>
      <c r="I10" s="77"/>
      <c r="J10" s="77"/>
      <c r="K10" s="77"/>
      <c r="L10" s="77"/>
    </row>
    <row r="11" spans="1:12" ht="18" customHeight="1" x14ac:dyDescent="0.2">
      <c r="A11" s="21" t="s">
        <v>71</v>
      </c>
      <c r="B11" s="21" t="s">
        <v>148</v>
      </c>
      <c r="C11" s="22">
        <f t="shared" si="0"/>
        <v>1.8974661079177451</v>
      </c>
      <c r="D11" s="28" t="s">
        <v>167</v>
      </c>
      <c r="E11" s="21" t="s">
        <v>146</v>
      </c>
      <c r="F11" s="21" t="s">
        <v>25</v>
      </c>
      <c r="G11" s="38" t="s">
        <v>192</v>
      </c>
      <c r="H11" s="77" t="s">
        <v>157</v>
      </c>
      <c r="I11" s="77"/>
      <c r="J11" s="77"/>
      <c r="K11" s="77"/>
      <c r="L11" s="77"/>
    </row>
    <row r="12" spans="1:12" ht="18" customHeight="1" x14ac:dyDescent="0.2">
      <c r="A12" s="21" t="s">
        <v>77</v>
      </c>
      <c r="B12" s="21" t="s">
        <v>147</v>
      </c>
      <c r="C12" s="22">
        <f>0.3886*C8</f>
        <v>7.5520355101248473</v>
      </c>
      <c r="D12" s="28" t="s">
        <v>167</v>
      </c>
      <c r="E12" s="21" t="s">
        <v>33</v>
      </c>
      <c r="F12" s="21" t="s">
        <v>25</v>
      </c>
      <c r="G12" s="38" t="s">
        <v>193</v>
      </c>
      <c r="H12" s="70" t="s">
        <v>35</v>
      </c>
      <c r="I12" s="70"/>
      <c r="J12" s="70"/>
      <c r="K12" s="70"/>
      <c r="L12" s="70"/>
    </row>
    <row r="13" spans="1:12" ht="18" customHeight="1" x14ac:dyDescent="0.2">
      <c r="A13" s="21" t="s">
        <v>194</v>
      </c>
      <c r="B13" s="21" t="s">
        <v>149</v>
      </c>
      <c r="C13" s="22">
        <v>0.87660000000000005</v>
      </c>
      <c r="D13" s="28" t="s">
        <v>167</v>
      </c>
      <c r="E13" s="21" t="s">
        <v>82</v>
      </c>
      <c r="F13" s="21" t="s">
        <v>10</v>
      </c>
      <c r="G13" s="38" t="s">
        <v>179</v>
      </c>
      <c r="H13" s="70" t="s">
        <v>87</v>
      </c>
      <c r="I13" s="70"/>
      <c r="J13" s="70"/>
      <c r="K13" s="70"/>
      <c r="L13" s="70"/>
    </row>
    <row r="14" spans="1:12" ht="18" customHeight="1" x14ac:dyDescent="0.2">
      <c r="A14" s="21" t="s">
        <v>99</v>
      </c>
      <c r="B14" s="21" t="s">
        <v>150</v>
      </c>
      <c r="C14" s="22">
        <v>4.2889999999999997</v>
      </c>
      <c r="D14" s="28" t="s">
        <v>167</v>
      </c>
      <c r="E14" s="21" t="s">
        <v>66</v>
      </c>
      <c r="F14" s="21" t="s">
        <v>10</v>
      </c>
      <c r="G14" s="38" t="s">
        <v>179</v>
      </c>
      <c r="H14" s="70" t="s">
        <v>100</v>
      </c>
      <c r="I14" s="70"/>
      <c r="J14" s="70"/>
      <c r="K14" s="70"/>
      <c r="L14" s="70"/>
    </row>
    <row r="15" spans="1:12" ht="18" customHeight="1" x14ac:dyDescent="0.2">
      <c r="A15" s="21" t="s">
        <v>101</v>
      </c>
      <c r="B15" s="21" t="s">
        <v>151</v>
      </c>
      <c r="C15" s="22">
        <v>573.35019999999997</v>
      </c>
      <c r="D15" s="28" t="s">
        <v>167</v>
      </c>
      <c r="E15" s="21" t="s">
        <v>102</v>
      </c>
      <c r="F15" s="21" t="s">
        <v>10</v>
      </c>
      <c r="G15" s="38" t="s">
        <v>179</v>
      </c>
      <c r="H15" s="82" t="str">
        <f>HYPERLINK("http://www.fighter-planes.com/jetmach1.htm","http://www.fighter-planes.com/jetmach1.htm")</f>
        <v>http://www.fighter-planes.com/jetmach1.htm</v>
      </c>
      <c r="I15" s="82"/>
      <c r="J15" s="82"/>
      <c r="K15" s="82"/>
      <c r="L15" s="82"/>
    </row>
    <row r="16" spans="1:12" ht="18" customHeight="1" x14ac:dyDescent="0.2">
      <c r="A16" s="21" t="s">
        <v>104</v>
      </c>
      <c r="B16" s="21" t="s">
        <v>152</v>
      </c>
      <c r="C16" s="22">
        <f>1.6*C15</f>
        <v>917.36032</v>
      </c>
      <c r="D16" s="28" t="s">
        <v>167</v>
      </c>
      <c r="E16" s="21" t="s">
        <v>102</v>
      </c>
      <c r="F16" s="21" t="s">
        <v>25</v>
      </c>
      <c r="G16" s="38" t="s">
        <v>105</v>
      </c>
      <c r="H16" s="70" t="s">
        <v>27</v>
      </c>
      <c r="I16" s="70"/>
      <c r="J16" s="70"/>
      <c r="K16" s="70"/>
      <c r="L16" s="70"/>
    </row>
    <row r="17" spans="1:12" ht="18" customHeight="1" x14ac:dyDescent="0.2">
      <c r="A17" s="27" t="s">
        <v>106</v>
      </c>
      <c r="B17" s="27" t="s">
        <v>153</v>
      </c>
      <c r="C17" s="25">
        <v>661.47</v>
      </c>
      <c r="D17" s="28" t="s">
        <v>167</v>
      </c>
      <c r="E17" s="27" t="s">
        <v>102</v>
      </c>
      <c r="F17" s="27" t="s">
        <v>10</v>
      </c>
      <c r="G17" s="41" t="s">
        <v>179</v>
      </c>
      <c r="H17" s="74" t="s">
        <v>107</v>
      </c>
      <c r="I17" s="74"/>
      <c r="J17" s="74"/>
      <c r="K17" s="74"/>
      <c r="L17" s="74"/>
    </row>
    <row r="18" spans="1:12" ht="18" customHeight="1" x14ac:dyDescent="0.2">
      <c r="A18" s="27" t="s">
        <v>109</v>
      </c>
      <c r="B18" s="27" t="s">
        <v>154</v>
      </c>
      <c r="C18" s="25">
        <v>216.65</v>
      </c>
      <c r="D18" s="28" t="s">
        <v>167</v>
      </c>
      <c r="E18" s="27" t="s">
        <v>110</v>
      </c>
      <c r="F18" s="27" t="s">
        <v>10</v>
      </c>
      <c r="G18" s="41" t="s">
        <v>179</v>
      </c>
      <c r="H18" s="74" t="s">
        <v>107</v>
      </c>
      <c r="I18" s="74"/>
      <c r="J18" s="74"/>
      <c r="K18" s="74"/>
      <c r="L18" s="74"/>
    </row>
    <row r="19" spans="1:12" ht="18" customHeight="1" x14ac:dyDescent="0.2">
      <c r="A19" s="27" t="s">
        <v>111</v>
      </c>
      <c r="B19" s="27" t="s">
        <v>155</v>
      </c>
      <c r="C19" s="25">
        <v>288.14999999999998</v>
      </c>
      <c r="D19" s="28" t="s">
        <v>167</v>
      </c>
      <c r="E19" s="27" t="s">
        <v>110</v>
      </c>
      <c r="F19" s="27" t="s">
        <v>10</v>
      </c>
      <c r="G19" s="41" t="s">
        <v>179</v>
      </c>
      <c r="H19" s="74" t="s">
        <v>107</v>
      </c>
      <c r="I19" s="74"/>
      <c r="J19" s="74"/>
      <c r="K19" s="74"/>
      <c r="L19" s="74"/>
    </row>
    <row r="20" spans="1:12" ht="18" customHeight="1" x14ac:dyDescent="0.2">
      <c r="A20" s="36" t="s">
        <v>415</v>
      </c>
      <c r="B20" s="36" t="s">
        <v>416</v>
      </c>
      <c r="C20" s="44">
        <v>2.3768999999999999E-3</v>
      </c>
      <c r="D20" s="28" t="s">
        <v>167</v>
      </c>
      <c r="E20" s="36" t="s">
        <v>417</v>
      </c>
      <c r="F20" s="36" t="s">
        <v>418</v>
      </c>
      <c r="G20" s="41" t="s">
        <v>179</v>
      </c>
      <c r="H20" s="74"/>
      <c r="I20" s="74"/>
      <c r="J20" s="74"/>
      <c r="K20" s="74"/>
      <c r="L20" s="74"/>
    </row>
    <row r="21" spans="1:12" ht="18" customHeight="1" x14ac:dyDescent="0.2">
      <c r="A21" s="27" t="s">
        <v>235</v>
      </c>
      <c r="B21" s="27" t="s">
        <v>236</v>
      </c>
      <c r="C21" s="25">
        <v>2</v>
      </c>
      <c r="D21" s="28" t="s">
        <v>167</v>
      </c>
      <c r="E21" s="27" t="s">
        <v>146</v>
      </c>
      <c r="F21" s="27" t="s">
        <v>18</v>
      </c>
      <c r="G21" s="41" t="s">
        <v>179</v>
      </c>
      <c r="H21" s="75" t="s">
        <v>237</v>
      </c>
      <c r="I21" s="76"/>
      <c r="J21" s="76"/>
      <c r="K21" s="76"/>
      <c r="L21" s="76"/>
    </row>
    <row r="22" spans="1:12" ht="18" customHeight="1" x14ac:dyDescent="0.2">
      <c r="A22" s="27" t="s">
        <v>293</v>
      </c>
      <c r="B22" s="27" t="s">
        <v>294</v>
      </c>
      <c r="C22" s="25">
        <v>2445</v>
      </c>
      <c r="D22" s="28" t="s">
        <v>167</v>
      </c>
      <c r="E22" s="27" t="s">
        <v>265</v>
      </c>
      <c r="F22" s="27" t="s">
        <v>10</v>
      </c>
      <c r="G22" s="41" t="s">
        <v>179</v>
      </c>
      <c r="H22" s="75" t="s">
        <v>295</v>
      </c>
      <c r="I22" s="75"/>
      <c r="J22" s="75"/>
      <c r="K22" s="75"/>
      <c r="L22" s="75"/>
    </row>
    <row r="23" spans="1:12" ht="18" customHeight="1" x14ac:dyDescent="0.2">
      <c r="A23" s="27" t="s">
        <v>296</v>
      </c>
      <c r="B23" s="27" t="s">
        <v>165</v>
      </c>
      <c r="C23" s="25">
        <f>C22*C21</f>
        <v>4890</v>
      </c>
      <c r="D23" s="28" t="s">
        <v>167</v>
      </c>
      <c r="E23" s="27" t="s">
        <v>265</v>
      </c>
      <c r="F23" s="27" t="s">
        <v>10</v>
      </c>
      <c r="G23" s="41" t="s">
        <v>179</v>
      </c>
      <c r="H23" s="75" t="s">
        <v>295</v>
      </c>
      <c r="I23" s="75"/>
      <c r="J23" s="75"/>
      <c r="K23" s="75"/>
      <c r="L23" s="75"/>
    </row>
    <row r="24" spans="1:12" s="19" customFormat="1" ht="40" customHeight="1" x14ac:dyDescent="0.2">
      <c r="A24" s="26" t="s">
        <v>114</v>
      </c>
      <c r="B24" s="26" t="s">
        <v>156</v>
      </c>
      <c r="C24" s="28">
        <f>C4-C4/EXP(('Design Constraints'!B7/C17)/((1.6*C14)/(C13/SQRT(C18/C19))))</f>
        <v>74685.958905075502</v>
      </c>
      <c r="D24" s="28" t="s">
        <v>167</v>
      </c>
      <c r="E24" s="29" t="s">
        <v>21</v>
      </c>
      <c r="F24" s="29" t="s">
        <v>25</v>
      </c>
      <c r="G24" s="37" t="s">
        <v>115</v>
      </c>
      <c r="H24" s="77" t="s">
        <v>113</v>
      </c>
      <c r="I24" s="77"/>
      <c r="J24" s="77"/>
      <c r="K24" s="77"/>
      <c r="L24" s="77"/>
    </row>
    <row r="25" spans="1:12" ht="22" customHeight="1" x14ac:dyDescent="0.25">
      <c r="A25" s="71" t="s">
        <v>116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</row>
    <row r="26" spans="1:12" ht="18" customHeight="1" x14ac:dyDescent="0.2">
      <c r="A26" s="32" t="s">
        <v>7</v>
      </c>
      <c r="B26" s="32" t="s">
        <v>138</v>
      </c>
      <c r="C26" s="33" t="s">
        <v>11</v>
      </c>
      <c r="D26" s="53" t="s">
        <v>167</v>
      </c>
      <c r="E26" s="33" t="s">
        <v>12</v>
      </c>
      <c r="F26" s="33" t="s">
        <v>13</v>
      </c>
      <c r="G26" s="40" t="s">
        <v>14</v>
      </c>
      <c r="H26" s="73" t="s">
        <v>15</v>
      </c>
      <c r="I26" s="73"/>
      <c r="J26" s="73"/>
      <c r="K26" s="73"/>
      <c r="L26" s="73"/>
    </row>
    <row r="27" spans="1:12" ht="18" customHeight="1" x14ac:dyDescent="0.2">
      <c r="A27" s="21" t="s">
        <v>183</v>
      </c>
      <c r="B27" s="21" t="s">
        <v>156</v>
      </c>
      <c r="C27" s="31">
        <f>C24</f>
        <v>74685.958905075502</v>
      </c>
      <c r="D27" s="54" t="s">
        <v>167</v>
      </c>
      <c r="E27" s="21" t="s">
        <v>21</v>
      </c>
      <c r="F27" s="21" t="s">
        <v>118</v>
      </c>
      <c r="G27" s="37" t="s">
        <v>179</v>
      </c>
      <c r="H27" s="70" t="s">
        <v>179</v>
      </c>
      <c r="I27" s="70"/>
      <c r="J27" s="70"/>
      <c r="K27" s="70"/>
      <c r="L27" s="70"/>
    </row>
    <row r="28" spans="1:12" ht="18" customHeight="1" x14ac:dyDescent="0.2">
      <c r="A28" s="49" t="s">
        <v>513</v>
      </c>
      <c r="B28" s="49" t="s">
        <v>514</v>
      </c>
      <c r="C28" s="31">
        <f>C4 - (C4/(EXP(0.75/((1/C13)*4.289))))</f>
        <v>16769.798627411757</v>
      </c>
      <c r="D28" s="54" t="s">
        <v>167</v>
      </c>
      <c r="E28" s="49" t="s">
        <v>265</v>
      </c>
      <c r="F28" s="49" t="s">
        <v>25</v>
      </c>
      <c r="G28" s="39" t="s">
        <v>515</v>
      </c>
      <c r="H28" s="70" t="s">
        <v>516</v>
      </c>
      <c r="I28" s="70"/>
      <c r="J28" s="70"/>
      <c r="K28" s="70"/>
      <c r="L28" s="70"/>
    </row>
    <row r="29" spans="1:12" ht="18" customHeight="1" x14ac:dyDescent="0.2">
      <c r="A29" s="21" t="s">
        <v>119</v>
      </c>
      <c r="B29" s="21" t="s">
        <v>158</v>
      </c>
      <c r="C29" s="31">
        <v>49.942999999999998</v>
      </c>
      <c r="D29" s="54" t="s">
        <v>167</v>
      </c>
      <c r="E29" s="21" t="s">
        <v>184</v>
      </c>
      <c r="F29" s="21" t="s">
        <v>120</v>
      </c>
      <c r="G29" s="37" t="s">
        <v>179</v>
      </c>
      <c r="H29" s="70" t="s">
        <v>120</v>
      </c>
      <c r="I29" s="70"/>
      <c r="J29" s="70"/>
      <c r="K29" s="70"/>
      <c r="L29" s="70"/>
    </row>
    <row r="30" spans="1:12" ht="18" customHeight="1" x14ac:dyDescent="0.2">
      <c r="A30" s="21" t="s">
        <v>122</v>
      </c>
      <c r="B30" s="21" t="s">
        <v>159</v>
      </c>
      <c r="C30" s="31">
        <f>C27/C29</f>
        <v>1495.423961417526</v>
      </c>
      <c r="D30" s="54" t="s">
        <v>167</v>
      </c>
      <c r="E30" s="21" t="s">
        <v>185</v>
      </c>
      <c r="F30" s="21" t="s">
        <v>186</v>
      </c>
      <c r="G30" s="38" t="s">
        <v>179</v>
      </c>
      <c r="H30" s="70" t="s">
        <v>179</v>
      </c>
      <c r="I30" s="70"/>
      <c r="J30" s="70"/>
      <c r="K30" s="70"/>
      <c r="L30" s="70"/>
    </row>
    <row r="31" spans="1:12" ht="22" customHeight="1" x14ac:dyDescent="0.25">
      <c r="A31" s="71" t="s">
        <v>123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</row>
    <row r="32" spans="1:12" ht="18" customHeight="1" x14ac:dyDescent="0.2">
      <c r="A32" s="32" t="s">
        <v>7</v>
      </c>
      <c r="B32" s="32" t="s">
        <v>138</v>
      </c>
      <c r="C32" s="33" t="s">
        <v>11</v>
      </c>
      <c r="D32" s="53" t="s">
        <v>167</v>
      </c>
      <c r="E32" s="33" t="s">
        <v>12</v>
      </c>
      <c r="F32" s="33" t="s">
        <v>13</v>
      </c>
      <c r="G32" s="40" t="s">
        <v>14</v>
      </c>
      <c r="H32" s="73" t="s">
        <v>15</v>
      </c>
      <c r="I32" s="73"/>
      <c r="J32" s="73"/>
      <c r="K32" s="73"/>
      <c r="L32" s="73"/>
    </row>
    <row r="33" spans="1:12" ht="18" customHeight="1" x14ac:dyDescent="0.2">
      <c r="A33" s="21" t="s">
        <v>124</v>
      </c>
      <c r="B33" s="21" t="s">
        <v>160</v>
      </c>
      <c r="C33" s="22">
        <f>0.134*C4</f>
        <v>15812.000000000002</v>
      </c>
      <c r="D33" s="51" t="s">
        <v>167</v>
      </c>
      <c r="E33" s="21" t="s">
        <v>21</v>
      </c>
      <c r="F33" s="26" t="s">
        <v>10</v>
      </c>
      <c r="G33" s="37" t="s">
        <v>181</v>
      </c>
      <c r="H33" s="70" t="s">
        <v>178</v>
      </c>
      <c r="I33" s="70"/>
      <c r="J33" s="70"/>
      <c r="K33" s="70"/>
      <c r="L33" s="70"/>
    </row>
    <row r="34" spans="1:12" ht="18" customHeight="1" x14ac:dyDescent="0.2">
      <c r="A34" s="21" t="s">
        <v>125</v>
      </c>
      <c r="B34" s="21" t="s">
        <v>161</v>
      </c>
      <c r="C34" s="22">
        <f>0.0177*C4</f>
        <v>2088.6</v>
      </c>
      <c r="D34" s="51" t="s">
        <v>167</v>
      </c>
      <c r="E34" s="21" t="s">
        <v>21</v>
      </c>
      <c r="F34" s="26" t="s">
        <v>10</v>
      </c>
      <c r="G34" s="38" t="s">
        <v>177</v>
      </c>
      <c r="H34" s="70" t="s">
        <v>178</v>
      </c>
      <c r="I34" s="70"/>
      <c r="J34" s="70"/>
      <c r="K34" s="70"/>
      <c r="L34" s="70"/>
    </row>
    <row r="35" spans="1:12" ht="18" customHeight="1" x14ac:dyDescent="0.2">
      <c r="A35" s="21" t="s">
        <v>126</v>
      </c>
      <c r="B35" s="21" t="s">
        <v>162</v>
      </c>
      <c r="C35" s="22">
        <f>0.105*C4</f>
        <v>12390</v>
      </c>
      <c r="D35" s="51" t="s">
        <v>167</v>
      </c>
      <c r="E35" s="21" t="s">
        <v>21</v>
      </c>
      <c r="F35" s="26" t="s">
        <v>10</v>
      </c>
      <c r="G35" s="38" t="s">
        <v>177</v>
      </c>
      <c r="H35" s="70" t="s">
        <v>178</v>
      </c>
      <c r="I35" s="70"/>
      <c r="J35" s="70"/>
      <c r="K35" s="70"/>
      <c r="L35" s="70"/>
    </row>
    <row r="36" spans="1:12" ht="18" customHeight="1" x14ac:dyDescent="0.2">
      <c r="A36" s="21" t="s">
        <v>127</v>
      </c>
      <c r="B36" s="21" t="s">
        <v>163</v>
      </c>
      <c r="C36" s="22">
        <f>0.0463*C4</f>
        <v>5463.4000000000005</v>
      </c>
      <c r="D36" s="51" t="s">
        <v>167</v>
      </c>
      <c r="E36" s="21" t="s">
        <v>21</v>
      </c>
      <c r="F36" s="26" t="s">
        <v>10</v>
      </c>
      <c r="G36" s="38" t="s">
        <v>177</v>
      </c>
      <c r="H36" s="70" t="s">
        <v>178</v>
      </c>
      <c r="I36" s="70"/>
      <c r="J36" s="70"/>
      <c r="K36" s="70"/>
      <c r="L36" s="70"/>
    </row>
    <row r="37" spans="1:12" ht="18" customHeight="1" x14ac:dyDescent="0.2">
      <c r="A37" s="21" t="s">
        <v>128</v>
      </c>
      <c r="B37" s="21" t="s">
        <v>271</v>
      </c>
      <c r="C37" s="22">
        <f>0.0187*C4</f>
        <v>2206.6000000000004</v>
      </c>
      <c r="D37" s="51" t="s">
        <v>167</v>
      </c>
      <c r="E37" s="21" t="s">
        <v>21</v>
      </c>
      <c r="F37" s="26" t="s">
        <v>10</v>
      </c>
      <c r="G37" s="38" t="s">
        <v>177</v>
      </c>
      <c r="H37" s="70" t="s">
        <v>178</v>
      </c>
      <c r="I37" s="70"/>
      <c r="J37" s="70"/>
      <c r="K37" s="70"/>
      <c r="L37" s="70"/>
    </row>
    <row r="38" spans="1:12" ht="18" customHeight="1" x14ac:dyDescent="0.2">
      <c r="A38" s="21" t="s">
        <v>129</v>
      </c>
      <c r="B38" s="21" t="s">
        <v>164</v>
      </c>
      <c r="C38" s="22">
        <f>0.0143*C4</f>
        <v>1687.4</v>
      </c>
      <c r="D38" s="51" t="s">
        <v>167</v>
      </c>
      <c r="E38" s="21" t="s">
        <v>21</v>
      </c>
      <c r="F38" s="26" t="s">
        <v>10</v>
      </c>
      <c r="G38" s="38" t="s">
        <v>177</v>
      </c>
      <c r="H38" s="70" t="s">
        <v>178</v>
      </c>
      <c r="I38" s="70"/>
      <c r="J38" s="70"/>
      <c r="K38" s="70"/>
      <c r="L38" s="70"/>
    </row>
    <row r="39" spans="1:12" ht="18" customHeight="1" x14ac:dyDescent="0.2">
      <c r="A39" s="30" t="s">
        <v>234</v>
      </c>
      <c r="B39" s="30" t="s">
        <v>165</v>
      </c>
      <c r="C39" s="22">
        <v>2445</v>
      </c>
      <c r="D39" s="51" t="s">
        <v>167</v>
      </c>
      <c r="E39" s="21" t="s">
        <v>21</v>
      </c>
      <c r="F39" s="26" t="s">
        <v>10</v>
      </c>
      <c r="G39" s="37" t="s">
        <v>181</v>
      </c>
      <c r="H39" s="78" t="s">
        <v>180</v>
      </c>
      <c r="I39" s="78"/>
      <c r="J39" s="78"/>
      <c r="K39" s="78"/>
      <c r="L39" s="78"/>
    </row>
    <row r="40" spans="1:12" ht="18" customHeight="1" x14ac:dyDescent="0.2">
      <c r="A40" s="30" t="s">
        <v>238</v>
      </c>
      <c r="B40" s="30" t="s">
        <v>242</v>
      </c>
      <c r="C40" s="22">
        <v>45</v>
      </c>
      <c r="D40" s="51" t="s">
        <v>167</v>
      </c>
      <c r="E40" s="21" t="s">
        <v>21</v>
      </c>
      <c r="F40" s="26" t="s">
        <v>10</v>
      </c>
      <c r="G40" s="37" t="s">
        <v>181</v>
      </c>
      <c r="H40" s="70" t="s">
        <v>178</v>
      </c>
      <c r="I40" s="70"/>
      <c r="J40" s="70"/>
      <c r="K40" s="70"/>
      <c r="L40" s="70"/>
    </row>
    <row r="41" spans="1:12" ht="18" customHeight="1" x14ac:dyDescent="0.2">
      <c r="A41" s="30" t="s">
        <v>239</v>
      </c>
      <c r="B41" s="30" t="s">
        <v>243</v>
      </c>
      <c r="C41" s="22">
        <v>30</v>
      </c>
      <c r="D41" s="51" t="s">
        <v>167</v>
      </c>
      <c r="E41" s="21" t="s">
        <v>21</v>
      </c>
      <c r="F41" s="26" t="s">
        <v>10</v>
      </c>
      <c r="G41" s="37" t="s">
        <v>181</v>
      </c>
      <c r="H41" s="70" t="s">
        <v>178</v>
      </c>
      <c r="I41" s="70"/>
      <c r="J41" s="70"/>
      <c r="K41" s="70"/>
      <c r="L41" s="70"/>
    </row>
    <row r="42" spans="1:12" ht="18" customHeight="1" x14ac:dyDescent="0.2">
      <c r="A42" s="30" t="s">
        <v>240</v>
      </c>
      <c r="B42" s="30" t="s">
        <v>244</v>
      </c>
      <c r="C42" s="22">
        <v>40</v>
      </c>
      <c r="D42" s="51" t="s">
        <v>167</v>
      </c>
      <c r="E42" s="21" t="s">
        <v>21</v>
      </c>
      <c r="F42" s="26" t="s">
        <v>10</v>
      </c>
      <c r="G42" s="37" t="s">
        <v>181</v>
      </c>
      <c r="H42" s="70" t="s">
        <v>178</v>
      </c>
      <c r="I42" s="70"/>
      <c r="J42" s="70"/>
      <c r="K42" s="70"/>
      <c r="L42" s="70"/>
    </row>
    <row r="43" spans="1:12" ht="18" customHeight="1" x14ac:dyDescent="0.2">
      <c r="A43" s="30" t="s">
        <v>241</v>
      </c>
      <c r="B43" s="30" t="s">
        <v>245</v>
      </c>
      <c r="C43" s="22">
        <v>200</v>
      </c>
      <c r="D43" s="51" t="s">
        <v>167</v>
      </c>
      <c r="E43" s="21" t="s">
        <v>21</v>
      </c>
      <c r="F43" s="26" t="s">
        <v>10</v>
      </c>
      <c r="G43" s="37" t="s">
        <v>181</v>
      </c>
      <c r="H43" s="70" t="s">
        <v>178</v>
      </c>
      <c r="I43" s="70"/>
      <c r="J43" s="70"/>
      <c r="K43" s="70"/>
      <c r="L43" s="70"/>
    </row>
    <row r="44" spans="1:12" ht="18" customHeight="1" x14ac:dyDescent="0.2">
      <c r="A44" s="30" t="s">
        <v>346</v>
      </c>
      <c r="B44" s="30" t="s">
        <v>349</v>
      </c>
      <c r="C44" s="22">
        <v>4</v>
      </c>
      <c r="D44" s="51" t="s">
        <v>167</v>
      </c>
      <c r="E44" s="21" t="s">
        <v>146</v>
      </c>
      <c r="F44" s="26" t="s">
        <v>10</v>
      </c>
      <c r="G44" s="37" t="s">
        <v>181</v>
      </c>
      <c r="H44" s="70" t="s">
        <v>352</v>
      </c>
      <c r="I44" s="70"/>
      <c r="J44" s="70"/>
      <c r="K44" s="70"/>
      <c r="L44" s="70"/>
    </row>
    <row r="45" spans="1:12" ht="18" customHeight="1" x14ac:dyDescent="0.2">
      <c r="A45" s="30" t="s">
        <v>347</v>
      </c>
      <c r="B45" s="30" t="s">
        <v>350</v>
      </c>
      <c r="C45" s="22">
        <v>4</v>
      </c>
      <c r="D45" s="51" t="s">
        <v>167</v>
      </c>
      <c r="E45" s="21" t="s">
        <v>146</v>
      </c>
      <c r="F45" s="26" t="s">
        <v>10</v>
      </c>
      <c r="G45" s="37" t="s">
        <v>181</v>
      </c>
      <c r="H45" s="70" t="s">
        <v>352</v>
      </c>
      <c r="I45" s="70"/>
      <c r="J45" s="70"/>
      <c r="K45" s="70"/>
      <c r="L45" s="70"/>
    </row>
    <row r="46" spans="1:12" ht="18" customHeight="1" x14ac:dyDescent="0.2">
      <c r="A46" s="30" t="s">
        <v>348</v>
      </c>
      <c r="B46" s="30" t="s">
        <v>351</v>
      </c>
      <c r="C46" s="22">
        <v>4</v>
      </c>
      <c r="D46" s="51" t="s">
        <v>167</v>
      </c>
      <c r="E46" s="21" t="s">
        <v>146</v>
      </c>
      <c r="F46" s="26" t="s">
        <v>10</v>
      </c>
      <c r="G46" s="37" t="s">
        <v>181</v>
      </c>
      <c r="H46" s="70" t="s">
        <v>352</v>
      </c>
      <c r="I46" s="70"/>
      <c r="J46" s="70"/>
      <c r="K46" s="70"/>
      <c r="L46" s="70"/>
    </row>
    <row r="47" spans="1:12" ht="22" customHeight="1" x14ac:dyDescent="0.25">
      <c r="A47" s="71" t="s">
        <v>130</v>
      </c>
      <c r="B47" s="71"/>
      <c r="C47" s="71"/>
      <c r="D47" s="71"/>
      <c r="E47" s="71"/>
      <c r="F47" s="71"/>
      <c r="G47" s="71"/>
      <c r="H47" s="72"/>
      <c r="I47" s="72"/>
      <c r="J47" s="72"/>
      <c r="K47" s="72"/>
      <c r="L47" s="72"/>
    </row>
    <row r="48" spans="1:12" ht="18" customHeight="1" x14ac:dyDescent="0.2">
      <c r="A48" s="32" t="s">
        <v>7</v>
      </c>
      <c r="B48" s="32" t="s">
        <v>138</v>
      </c>
      <c r="C48" s="33" t="s">
        <v>11</v>
      </c>
      <c r="D48" s="53" t="s">
        <v>167</v>
      </c>
      <c r="E48" s="33" t="s">
        <v>12</v>
      </c>
      <c r="F48" s="33" t="s">
        <v>13</v>
      </c>
      <c r="G48" s="40" t="s">
        <v>14</v>
      </c>
      <c r="H48" s="73" t="s">
        <v>15</v>
      </c>
      <c r="I48" s="73"/>
      <c r="J48" s="73"/>
      <c r="K48" s="73"/>
      <c r="L48" s="73"/>
    </row>
    <row r="49" spans="1:12" ht="18" customHeight="1" x14ac:dyDescent="0.2">
      <c r="A49" s="21" t="s">
        <v>32</v>
      </c>
      <c r="B49" s="21" t="s">
        <v>166</v>
      </c>
      <c r="C49" s="22">
        <v>90</v>
      </c>
      <c r="D49" s="51" t="s">
        <v>167</v>
      </c>
      <c r="E49" s="21" t="s">
        <v>33</v>
      </c>
      <c r="F49" s="26" t="s">
        <v>34</v>
      </c>
      <c r="G49" s="38" t="s">
        <v>182</v>
      </c>
      <c r="H49" s="70" t="s">
        <v>182</v>
      </c>
      <c r="I49" s="70"/>
      <c r="J49" s="70"/>
      <c r="K49" s="70"/>
      <c r="L49" s="70"/>
    </row>
    <row r="50" spans="1:12" ht="18" customHeight="1" x14ac:dyDescent="0.2">
      <c r="A50" s="21" t="s">
        <v>38</v>
      </c>
      <c r="B50" s="21" t="s">
        <v>168</v>
      </c>
      <c r="C50" s="22">
        <v>42.17</v>
      </c>
      <c r="D50" s="51" t="s">
        <v>167</v>
      </c>
      <c r="E50" s="21" t="s">
        <v>33</v>
      </c>
      <c r="F50" s="26" t="s">
        <v>34</v>
      </c>
      <c r="G50" s="38" t="s">
        <v>182</v>
      </c>
      <c r="H50" s="70" t="s">
        <v>182</v>
      </c>
      <c r="I50" s="70"/>
      <c r="J50" s="70"/>
      <c r="K50" s="70"/>
      <c r="L50" s="70"/>
    </row>
    <row r="51" spans="1:12" ht="18" customHeight="1" x14ac:dyDescent="0.2">
      <c r="A51" s="21" t="s">
        <v>41</v>
      </c>
      <c r="B51" s="21" t="s">
        <v>169</v>
      </c>
      <c r="C51" s="22">
        <v>29.9</v>
      </c>
      <c r="D51" s="51" t="s">
        <v>167</v>
      </c>
      <c r="E51" s="21" t="s">
        <v>33</v>
      </c>
      <c r="F51" s="26" t="s">
        <v>34</v>
      </c>
      <c r="G51" s="38" t="s">
        <v>182</v>
      </c>
      <c r="H51" s="70" t="s">
        <v>182</v>
      </c>
      <c r="I51" s="70"/>
      <c r="J51" s="70"/>
      <c r="K51" s="70"/>
      <c r="L51" s="70"/>
    </row>
    <row r="52" spans="1:12" ht="18" customHeight="1" x14ac:dyDescent="0.2">
      <c r="A52" s="21" t="s">
        <v>195</v>
      </c>
      <c r="B52" s="21" t="s">
        <v>196</v>
      </c>
      <c r="C52" s="22">
        <v>13</v>
      </c>
      <c r="D52" s="51" t="s">
        <v>167</v>
      </c>
      <c r="E52" s="21" t="s">
        <v>33</v>
      </c>
      <c r="F52" s="26" t="s">
        <v>34</v>
      </c>
      <c r="G52" s="38" t="s">
        <v>182</v>
      </c>
      <c r="H52" s="70" t="s">
        <v>182</v>
      </c>
      <c r="I52" s="70"/>
      <c r="J52" s="70"/>
      <c r="K52" s="70"/>
      <c r="L52" s="70"/>
    </row>
    <row r="53" spans="1:12" ht="18" customHeight="1" x14ac:dyDescent="0.2">
      <c r="A53" s="21" t="s">
        <v>197</v>
      </c>
      <c r="B53" s="21" t="s">
        <v>198</v>
      </c>
      <c r="C53" s="22">
        <v>10</v>
      </c>
      <c r="D53" s="51" t="s">
        <v>167</v>
      </c>
      <c r="E53" s="21" t="s">
        <v>33</v>
      </c>
      <c r="F53" s="26" t="s">
        <v>34</v>
      </c>
      <c r="G53" s="38" t="s">
        <v>182</v>
      </c>
      <c r="H53" s="70" t="s">
        <v>182</v>
      </c>
      <c r="I53" s="70"/>
      <c r="J53" s="70"/>
      <c r="K53" s="70"/>
      <c r="L53" s="70"/>
    </row>
    <row r="54" spans="1:12" ht="18" customHeight="1" x14ac:dyDescent="0.2">
      <c r="A54" s="21" t="s">
        <v>199</v>
      </c>
      <c r="B54" s="21" t="s">
        <v>201</v>
      </c>
      <c r="C54" s="22">
        <v>10</v>
      </c>
      <c r="D54" s="51" t="s">
        <v>167</v>
      </c>
      <c r="E54" s="21" t="s">
        <v>33</v>
      </c>
      <c r="F54" s="26" t="s">
        <v>34</v>
      </c>
      <c r="G54" s="38" t="s">
        <v>182</v>
      </c>
      <c r="H54" s="70" t="s">
        <v>182</v>
      </c>
      <c r="I54" s="70"/>
      <c r="J54" s="70"/>
      <c r="K54" s="70"/>
      <c r="L54" s="70"/>
    </row>
    <row r="55" spans="1:12" ht="18" customHeight="1" x14ac:dyDescent="0.2">
      <c r="A55" s="21" t="s">
        <v>200</v>
      </c>
      <c r="B55" s="21" t="s">
        <v>202</v>
      </c>
      <c r="C55" s="22">
        <v>10</v>
      </c>
      <c r="D55" s="51" t="s">
        <v>167</v>
      </c>
      <c r="E55" s="21" t="s">
        <v>33</v>
      </c>
      <c r="F55" s="26" t="s">
        <v>34</v>
      </c>
      <c r="G55" s="38" t="s">
        <v>182</v>
      </c>
      <c r="H55" s="70" t="s">
        <v>182</v>
      </c>
      <c r="I55" s="70"/>
      <c r="J55" s="70"/>
      <c r="K55" s="70"/>
      <c r="L55" s="70"/>
    </row>
    <row r="56" spans="1:12" ht="18" customHeight="1" x14ac:dyDescent="0.2">
      <c r="A56" s="21" t="s">
        <v>203</v>
      </c>
      <c r="B56" s="21" t="s">
        <v>301</v>
      </c>
      <c r="C56" s="22">
        <v>14</v>
      </c>
      <c r="D56" s="51" t="s">
        <v>167</v>
      </c>
      <c r="E56" s="21" t="s">
        <v>33</v>
      </c>
      <c r="F56" s="26" t="s">
        <v>34</v>
      </c>
      <c r="G56" s="38" t="s">
        <v>182</v>
      </c>
      <c r="H56" s="70" t="s">
        <v>182</v>
      </c>
      <c r="I56" s="70"/>
      <c r="J56" s="70"/>
      <c r="K56" s="70"/>
      <c r="L56" s="70"/>
    </row>
    <row r="57" spans="1:12" ht="18" customHeight="1" x14ac:dyDescent="0.2">
      <c r="A57" s="21" t="s">
        <v>43</v>
      </c>
      <c r="B57" s="21" t="s">
        <v>170</v>
      </c>
      <c r="C57" s="22">
        <v>17.93</v>
      </c>
      <c r="D57" s="51" t="s">
        <v>167</v>
      </c>
      <c r="E57" s="21" t="s">
        <v>33</v>
      </c>
      <c r="F57" s="26" t="s">
        <v>34</v>
      </c>
      <c r="G57" s="38" t="s">
        <v>182</v>
      </c>
      <c r="H57" s="70" t="s">
        <v>182</v>
      </c>
      <c r="I57" s="70"/>
      <c r="J57" s="70"/>
      <c r="K57" s="70"/>
      <c r="L57" s="70"/>
    </row>
    <row r="58" spans="1:12" ht="18" customHeight="1" x14ac:dyDescent="0.2">
      <c r="A58" s="21" t="s">
        <v>45</v>
      </c>
      <c r="B58" s="21" t="s">
        <v>171</v>
      </c>
      <c r="C58" s="22">
        <v>8.5</v>
      </c>
      <c r="D58" s="51" t="s">
        <v>167</v>
      </c>
      <c r="E58" s="21" t="s">
        <v>33</v>
      </c>
      <c r="F58" s="26" t="s">
        <v>34</v>
      </c>
      <c r="G58" s="38" t="s">
        <v>182</v>
      </c>
      <c r="H58" s="70" t="s">
        <v>182</v>
      </c>
      <c r="I58" s="70"/>
      <c r="J58" s="70"/>
      <c r="K58" s="70"/>
      <c r="L58" s="70"/>
    </row>
    <row r="59" spans="1:12" ht="18" customHeight="1" x14ac:dyDescent="0.2">
      <c r="A59" s="21" t="s">
        <v>131</v>
      </c>
      <c r="B59" s="21" t="s">
        <v>172</v>
      </c>
      <c r="C59" s="22">
        <v>25</v>
      </c>
      <c r="D59" s="51" t="s">
        <v>167</v>
      </c>
      <c r="E59" s="21" t="s">
        <v>33</v>
      </c>
      <c r="F59" s="26" t="s">
        <v>34</v>
      </c>
      <c r="G59" s="38" t="s">
        <v>182</v>
      </c>
      <c r="H59" s="70" t="s">
        <v>182</v>
      </c>
      <c r="I59" s="70"/>
      <c r="J59" s="70"/>
      <c r="K59" s="70"/>
      <c r="L59" s="70"/>
    </row>
    <row r="60" spans="1:12" ht="18" customHeight="1" x14ac:dyDescent="0.2">
      <c r="A60" s="21" t="s">
        <v>132</v>
      </c>
      <c r="B60" s="21" t="s">
        <v>173</v>
      </c>
      <c r="C60" s="22">
        <f>C58+(2*C7)</f>
        <v>105.66978268302687</v>
      </c>
      <c r="D60" s="51" t="s">
        <v>167</v>
      </c>
      <c r="E60" s="21" t="s">
        <v>33</v>
      </c>
      <c r="F60" s="21" t="s">
        <v>133</v>
      </c>
      <c r="G60" s="38" t="s">
        <v>182</v>
      </c>
      <c r="H60" s="70" t="s">
        <v>182</v>
      </c>
      <c r="I60" s="70"/>
      <c r="J60" s="70"/>
      <c r="K60" s="70"/>
      <c r="L60" s="70"/>
    </row>
    <row r="61" spans="1:12" s="35" customFormat="1" ht="18" customHeight="1" x14ac:dyDescent="0.2">
      <c r="A61" s="21" t="s">
        <v>400</v>
      </c>
      <c r="B61" s="21" t="s">
        <v>401</v>
      </c>
      <c r="C61" s="21">
        <f>(C58/2)^2*PI()*C50</f>
        <v>2392.9373797714861</v>
      </c>
      <c r="D61" s="51" t="s">
        <v>167</v>
      </c>
      <c r="E61" s="21" t="s">
        <v>264</v>
      </c>
      <c r="F61" s="21" t="s">
        <v>56</v>
      </c>
      <c r="G61" s="38" t="s">
        <v>405</v>
      </c>
      <c r="H61" s="70"/>
      <c r="I61" s="70"/>
      <c r="J61" s="70"/>
      <c r="K61" s="70"/>
      <c r="L61" s="70"/>
    </row>
    <row r="62" spans="1:12" s="21" customFormat="1" ht="18" customHeight="1" x14ac:dyDescent="0.2">
      <c r="A62" s="21" t="s">
        <v>403</v>
      </c>
      <c r="B62" s="21" t="s">
        <v>402</v>
      </c>
      <c r="C62" s="21">
        <f>PI()*(C58/2)^2*C51</f>
        <v>1696.6760174334224</v>
      </c>
      <c r="D62" s="51" t="s">
        <v>167</v>
      </c>
      <c r="E62" s="21" t="s">
        <v>404</v>
      </c>
      <c r="G62" s="38" t="s">
        <v>406</v>
      </c>
      <c r="H62" s="70"/>
      <c r="I62" s="70"/>
      <c r="J62" s="70"/>
      <c r="K62" s="70"/>
      <c r="L62" s="70"/>
    </row>
    <row r="63" spans="1:12" ht="22" customHeight="1" x14ac:dyDescent="0.25">
      <c r="A63" s="71" t="s">
        <v>506</v>
      </c>
      <c r="B63" s="71"/>
      <c r="C63" s="71"/>
      <c r="D63" s="71"/>
      <c r="E63" s="71"/>
      <c r="F63" s="71"/>
      <c r="G63" s="71"/>
      <c r="H63" s="72"/>
      <c r="I63" s="72"/>
      <c r="J63" s="72"/>
      <c r="K63" s="72"/>
      <c r="L63" s="72"/>
    </row>
    <row r="64" spans="1:12" s="35" customFormat="1" ht="18" customHeight="1" x14ac:dyDescent="0.2">
      <c r="A64" s="32" t="s">
        <v>7</v>
      </c>
      <c r="B64" s="32" t="s">
        <v>138</v>
      </c>
      <c r="C64" s="50" t="s">
        <v>11</v>
      </c>
      <c r="D64" s="53" t="s">
        <v>167</v>
      </c>
      <c r="E64" s="50" t="s">
        <v>12</v>
      </c>
      <c r="F64" s="50" t="s">
        <v>13</v>
      </c>
      <c r="G64" s="40" t="s">
        <v>14</v>
      </c>
      <c r="H64" s="73" t="s">
        <v>15</v>
      </c>
      <c r="I64" s="73"/>
      <c r="J64" s="73"/>
      <c r="K64" s="73"/>
      <c r="L64" s="73"/>
    </row>
    <row r="65" spans="1:12" s="49" customFormat="1" ht="18" customHeight="1" x14ac:dyDescent="0.2">
      <c r="A65" s="49" t="s">
        <v>507</v>
      </c>
      <c r="B65" s="49" t="s">
        <v>511</v>
      </c>
      <c r="C65" s="22">
        <f xml:space="preserve"> C4</f>
        <v>118000</v>
      </c>
      <c r="D65" s="51" t="s">
        <v>167</v>
      </c>
      <c r="E65" s="49" t="s">
        <v>265</v>
      </c>
      <c r="F65" s="49" t="s">
        <v>10</v>
      </c>
      <c r="G65" s="38" t="s">
        <v>518</v>
      </c>
      <c r="H65" s="70" t="s">
        <v>352</v>
      </c>
      <c r="I65" s="70"/>
      <c r="J65" s="70"/>
      <c r="K65" s="70"/>
      <c r="L65" s="70"/>
    </row>
    <row r="66" spans="1:12" s="49" customFormat="1" ht="18" customHeight="1" x14ac:dyDescent="0.2">
      <c r="A66" s="49" t="s">
        <v>508</v>
      </c>
      <c r="B66" s="49" t="s">
        <v>512</v>
      </c>
      <c r="C66" s="55">
        <f>C65-C27+C28</f>
        <v>60083.839722336255</v>
      </c>
      <c r="D66" s="51" t="s">
        <v>167</v>
      </c>
      <c r="E66" s="49" t="s">
        <v>265</v>
      </c>
      <c r="F66" s="49" t="s">
        <v>10</v>
      </c>
      <c r="G66" s="38" t="s">
        <v>519</v>
      </c>
      <c r="H66" s="70" t="s">
        <v>352</v>
      </c>
      <c r="I66" s="70"/>
      <c r="J66" s="70"/>
      <c r="K66" s="70"/>
      <c r="L66" s="70"/>
    </row>
    <row r="67" spans="1:12" s="49" customFormat="1" ht="18" customHeight="1" x14ac:dyDescent="0.2">
      <c r="A67" s="49" t="s">
        <v>509</v>
      </c>
      <c r="B67" s="49" t="s">
        <v>517</v>
      </c>
      <c r="C67" s="49">
        <f>C65-13*C43</f>
        <v>115400</v>
      </c>
      <c r="D67" s="51" t="s">
        <v>167</v>
      </c>
      <c r="E67" s="49" t="s">
        <v>265</v>
      </c>
      <c r="F67" s="49" t="s">
        <v>10</v>
      </c>
      <c r="G67" s="38" t="s">
        <v>520</v>
      </c>
      <c r="H67" s="70" t="s">
        <v>352</v>
      </c>
      <c r="I67" s="70"/>
      <c r="J67" s="70"/>
      <c r="K67" s="70"/>
      <c r="L67" s="70"/>
    </row>
    <row r="68" spans="1:12" s="49" customFormat="1" ht="18" customHeight="1" x14ac:dyDescent="0.2">
      <c r="A68" s="49" t="s">
        <v>510</v>
      </c>
      <c r="B68" s="49" t="s">
        <v>517</v>
      </c>
      <c r="C68" s="49">
        <f>C66-13*C43</f>
        <v>57483.839722336255</v>
      </c>
      <c r="D68" s="51" t="s">
        <v>167</v>
      </c>
      <c r="E68" s="49" t="s">
        <v>265</v>
      </c>
      <c r="F68" s="49" t="s">
        <v>10</v>
      </c>
      <c r="G68" s="38" t="s">
        <v>521</v>
      </c>
      <c r="H68" s="70" t="s">
        <v>352</v>
      </c>
      <c r="I68" s="70"/>
      <c r="J68" s="70"/>
      <c r="K68" s="70"/>
      <c r="L68" s="70"/>
    </row>
  </sheetData>
  <mergeCells count="68">
    <mergeCell ref="A1:L1"/>
    <mergeCell ref="H20:L20"/>
    <mergeCell ref="H6:L6"/>
    <mergeCell ref="H7:L7"/>
    <mergeCell ref="H8:L8"/>
    <mergeCell ref="H3:L3"/>
    <mergeCell ref="H4:L4"/>
    <mergeCell ref="H5:L5"/>
    <mergeCell ref="H14:L14"/>
    <mergeCell ref="H10:L10"/>
    <mergeCell ref="H11:L11"/>
    <mergeCell ref="H12:L12"/>
    <mergeCell ref="H13:L13"/>
    <mergeCell ref="H2:L2"/>
    <mergeCell ref="H15:L15"/>
    <mergeCell ref="H16:L16"/>
    <mergeCell ref="H9:L9"/>
    <mergeCell ref="H49:L49"/>
    <mergeCell ref="H46:L46"/>
    <mergeCell ref="A25:L25"/>
    <mergeCell ref="A31:L31"/>
    <mergeCell ref="A47:L47"/>
    <mergeCell ref="H38:L38"/>
    <mergeCell ref="H27:L27"/>
    <mergeCell ref="H29:L29"/>
    <mergeCell ref="H30:L30"/>
    <mergeCell ref="H39:L39"/>
    <mergeCell ref="H48:L48"/>
    <mergeCell ref="H35:L35"/>
    <mergeCell ref="H44:L44"/>
    <mergeCell ref="H45:L45"/>
    <mergeCell ref="H28:L28"/>
    <mergeCell ref="H41:L41"/>
    <mergeCell ref="H42:L42"/>
    <mergeCell ref="H43:L43"/>
    <mergeCell ref="H22:L22"/>
    <mergeCell ref="H23:L23"/>
    <mergeCell ref="H24:L24"/>
    <mergeCell ref="H36:L36"/>
    <mergeCell ref="H37:L37"/>
    <mergeCell ref="H26:L26"/>
    <mergeCell ref="H17:L17"/>
    <mergeCell ref="H18:L18"/>
    <mergeCell ref="H19:L19"/>
    <mergeCell ref="H21:L21"/>
    <mergeCell ref="H40:L40"/>
    <mergeCell ref="H32:L32"/>
    <mergeCell ref="H33:L33"/>
    <mergeCell ref="H34:L34"/>
    <mergeCell ref="H65:L65"/>
    <mergeCell ref="H66:L66"/>
    <mergeCell ref="H58:L58"/>
    <mergeCell ref="H59:L59"/>
    <mergeCell ref="H60:L60"/>
    <mergeCell ref="H52:L52"/>
    <mergeCell ref="H53:L53"/>
    <mergeCell ref="H54:L54"/>
    <mergeCell ref="H55:L55"/>
    <mergeCell ref="H56:L56"/>
    <mergeCell ref="H57:L57"/>
    <mergeCell ref="H50:L50"/>
    <mergeCell ref="H51:L51"/>
    <mergeCell ref="H67:L67"/>
    <mergeCell ref="H68:L68"/>
    <mergeCell ref="H61:L61"/>
    <mergeCell ref="H62:L62"/>
    <mergeCell ref="A63:L63"/>
    <mergeCell ref="H64:L64"/>
  </mergeCells>
  <hyperlinks>
    <hyperlink ref="H15" r:id="rId1" display="http://www.fighter-planes.com/jetmach1.htm"/>
    <hyperlink ref="H17" r:id="rId2"/>
    <hyperlink ref="H18" r:id="rId3"/>
    <hyperlink ref="H19" r:id="rId4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L74"/>
  <sheetViews>
    <sheetView zoomScale="90" zoomScaleNormal="90" zoomScalePageLayoutView="90" workbookViewId="0">
      <selection activeCell="E29" sqref="E29"/>
    </sheetView>
  </sheetViews>
  <sheetFormatPr baseColWidth="10" defaultColWidth="15.1640625" defaultRowHeight="18" customHeight="1" x14ac:dyDescent="0.2"/>
  <cols>
    <col min="1" max="1" width="51" style="21" customWidth="1"/>
    <col min="2" max="2" width="19.33203125" style="21" customWidth="1"/>
    <col min="3" max="3" width="15.1640625" style="21"/>
    <col min="4" max="4" width="2" style="21" customWidth="1"/>
    <col min="5" max="5" width="15.1640625" style="21"/>
    <col min="6" max="6" width="40" style="21" customWidth="1"/>
    <col min="7" max="7" width="38.6640625" style="38" customWidth="1"/>
    <col min="8" max="16384" width="15.1640625" style="21"/>
  </cols>
  <sheetData>
    <row r="1" spans="1:12" ht="22" customHeight="1" x14ac:dyDescent="0.2">
      <c r="A1" s="83" t="s">
        <v>204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2" ht="18" customHeight="1" x14ac:dyDescent="0.2">
      <c r="A2" s="32" t="s">
        <v>7</v>
      </c>
      <c r="B2" s="32" t="s">
        <v>138</v>
      </c>
      <c r="C2" s="33" t="s">
        <v>11</v>
      </c>
      <c r="D2" s="33" t="s">
        <v>167</v>
      </c>
      <c r="E2" s="33" t="s">
        <v>12</v>
      </c>
      <c r="F2" s="33" t="s">
        <v>13</v>
      </c>
      <c r="G2" s="40" t="s">
        <v>14</v>
      </c>
      <c r="H2" s="73" t="s">
        <v>15</v>
      </c>
      <c r="I2" s="73"/>
      <c r="J2" s="73"/>
      <c r="K2" s="73"/>
      <c r="L2" s="73"/>
    </row>
    <row r="3" spans="1:12" ht="18" customHeight="1" x14ac:dyDescent="0.2">
      <c r="A3" s="21" t="s">
        <v>205</v>
      </c>
      <c r="B3" s="21" t="s">
        <v>208</v>
      </c>
      <c r="C3" s="22">
        <f>0.5*'Initial Estimates'!$C$49</f>
        <v>45</v>
      </c>
      <c r="D3" s="22" t="s">
        <v>167</v>
      </c>
      <c r="E3" s="21" t="s">
        <v>33</v>
      </c>
      <c r="F3" s="21" t="s">
        <v>505</v>
      </c>
      <c r="G3" s="38" t="s">
        <v>209</v>
      </c>
      <c r="H3" s="70" t="s">
        <v>19</v>
      </c>
      <c r="I3" s="70"/>
      <c r="J3" s="70"/>
      <c r="K3" s="70"/>
      <c r="L3" s="70"/>
    </row>
    <row r="4" spans="1:12" ht="18" customHeight="1" x14ac:dyDescent="0.2">
      <c r="A4" s="24" t="s">
        <v>206</v>
      </c>
      <c r="B4" s="24" t="s">
        <v>207</v>
      </c>
      <c r="C4" s="22">
        <f>0.65*'Initial Estimates'!$C$49</f>
        <v>58.5</v>
      </c>
      <c r="D4" s="22" t="s">
        <v>167</v>
      </c>
      <c r="E4" s="21" t="s">
        <v>33</v>
      </c>
      <c r="F4" s="21" t="s">
        <v>18</v>
      </c>
      <c r="G4" s="38" t="s">
        <v>209</v>
      </c>
      <c r="H4" s="70" t="s">
        <v>19</v>
      </c>
      <c r="I4" s="70"/>
      <c r="J4" s="70"/>
      <c r="K4" s="70"/>
      <c r="L4" s="70"/>
    </row>
    <row r="5" spans="1:12" ht="18" customHeight="1" x14ac:dyDescent="0.2">
      <c r="A5" s="27" t="s">
        <v>210</v>
      </c>
      <c r="B5" s="21" t="s">
        <v>211</v>
      </c>
      <c r="C5" s="22">
        <f>C4</f>
        <v>58.5</v>
      </c>
      <c r="D5" s="22" t="s">
        <v>167</v>
      </c>
      <c r="E5" s="21" t="s">
        <v>33</v>
      </c>
      <c r="F5" s="21" t="s">
        <v>18</v>
      </c>
      <c r="G5" s="38" t="s">
        <v>209</v>
      </c>
      <c r="H5" s="70" t="s">
        <v>19</v>
      </c>
      <c r="I5" s="70"/>
      <c r="J5" s="70"/>
      <c r="K5" s="70"/>
      <c r="L5" s="70"/>
    </row>
    <row r="6" spans="1:12" ht="18" customHeight="1" x14ac:dyDescent="0.2">
      <c r="A6" s="21" t="s">
        <v>212</v>
      </c>
      <c r="B6" s="21" t="s">
        <v>213</v>
      </c>
      <c r="C6" s="22">
        <f>0.04*'Initial Estimates'!$C$49</f>
        <v>3.6</v>
      </c>
      <c r="D6" s="22" t="s">
        <v>167</v>
      </c>
      <c r="E6" s="21" t="s">
        <v>33</v>
      </c>
      <c r="F6" s="21" t="s">
        <v>18</v>
      </c>
      <c r="G6" s="38" t="s">
        <v>209</v>
      </c>
      <c r="H6" s="70" t="s">
        <v>19</v>
      </c>
      <c r="I6" s="70"/>
      <c r="J6" s="70"/>
      <c r="K6" s="70"/>
      <c r="L6" s="70"/>
    </row>
    <row r="7" spans="1:12" ht="18" customHeight="1" x14ac:dyDescent="0.2">
      <c r="A7" s="21" t="s">
        <v>214</v>
      </c>
      <c r="B7" s="21" t="s">
        <v>215</v>
      </c>
      <c r="C7" s="22">
        <f>0.45*'Initial Estimates'!$C$49</f>
        <v>40.5</v>
      </c>
      <c r="D7" s="22" t="s">
        <v>167</v>
      </c>
      <c r="E7" s="21" t="s">
        <v>33</v>
      </c>
      <c r="F7" s="21" t="s">
        <v>18</v>
      </c>
      <c r="G7" s="38" t="s">
        <v>209</v>
      </c>
      <c r="H7" s="70" t="s">
        <v>19</v>
      </c>
      <c r="I7" s="70"/>
      <c r="J7" s="70"/>
      <c r="K7" s="70"/>
      <c r="L7" s="70"/>
    </row>
    <row r="8" spans="1:12" ht="18" customHeight="1" x14ac:dyDescent="0.2">
      <c r="A8" s="21" t="s">
        <v>216</v>
      </c>
      <c r="B8" s="21" t="s">
        <v>217</v>
      </c>
      <c r="C8" s="21">
        <f xml:space="preserve"> 'Initial Estimates'!C57</f>
        <v>17.93</v>
      </c>
      <c r="D8" s="22" t="s">
        <v>167</v>
      </c>
      <c r="E8" s="21" t="s">
        <v>33</v>
      </c>
      <c r="F8" s="21" t="s">
        <v>18</v>
      </c>
      <c r="G8" s="38" t="s">
        <v>209</v>
      </c>
      <c r="H8" s="70" t="s">
        <v>19</v>
      </c>
      <c r="I8" s="70"/>
      <c r="J8" s="70"/>
      <c r="K8" s="70"/>
      <c r="L8" s="70"/>
    </row>
    <row r="9" spans="1:12" ht="18" customHeight="1" x14ac:dyDescent="0.2">
      <c r="A9" s="21" t="s">
        <v>218</v>
      </c>
      <c r="B9" s="21" t="s">
        <v>219</v>
      </c>
      <c r="C9" s="21">
        <f xml:space="preserve"> 'Initial Estimates'!C57+'Initial Estimates'!C50</f>
        <v>60.1</v>
      </c>
      <c r="D9" s="22" t="s">
        <v>167</v>
      </c>
      <c r="E9" s="21" t="s">
        <v>33</v>
      </c>
      <c r="F9" s="21" t="s">
        <v>18</v>
      </c>
      <c r="G9" s="38" t="s">
        <v>209</v>
      </c>
      <c r="H9" s="70" t="s">
        <v>19</v>
      </c>
      <c r="I9" s="70"/>
      <c r="J9" s="70"/>
      <c r="K9" s="70"/>
      <c r="L9" s="70"/>
    </row>
    <row r="10" spans="1:12" ht="18" customHeight="1" x14ac:dyDescent="0.2">
      <c r="A10" s="21" t="s">
        <v>220</v>
      </c>
      <c r="B10" s="21" t="s">
        <v>221</v>
      </c>
      <c r="C10" s="22">
        <f>0.9*'Initial Estimates'!$C$49</f>
        <v>81</v>
      </c>
      <c r="D10" s="22" t="s">
        <v>167</v>
      </c>
      <c r="E10" s="21" t="s">
        <v>33</v>
      </c>
      <c r="F10" s="21" t="s">
        <v>18</v>
      </c>
      <c r="G10" s="38" t="s">
        <v>209</v>
      </c>
      <c r="H10" s="70" t="s">
        <v>19</v>
      </c>
      <c r="I10" s="70"/>
      <c r="J10" s="70"/>
      <c r="K10" s="70"/>
      <c r="L10" s="70"/>
    </row>
    <row r="11" spans="1:12" ht="18" customHeight="1" x14ac:dyDescent="0.2">
      <c r="A11" s="21" t="s">
        <v>222</v>
      </c>
      <c r="B11" s="21" t="s">
        <v>223</v>
      </c>
      <c r="C11" s="22">
        <f>0.9*'Initial Estimates'!$C$49</f>
        <v>81</v>
      </c>
      <c r="D11" s="22" t="s">
        <v>167</v>
      </c>
      <c r="E11" s="21" t="s">
        <v>33</v>
      </c>
      <c r="F11" s="21" t="s">
        <v>18</v>
      </c>
      <c r="G11" s="38" t="s">
        <v>209</v>
      </c>
      <c r="H11" s="70" t="s">
        <v>19</v>
      </c>
      <c r="I11" s="70"/>
      <c r="J11" s="70"/>
      <c r="K11" s="70"/>
      <c r="L11" s="70"/>
    </row>
    <row r="12" spans="1:12" ht="18" customHeight="1" x14ac:dyDescent="0.2">
      <c r="A12" s="21" t="s">
        <v>224</v>
      </c>
      <c r="B12" s="21" t="s">
        <v>225</v>
      </c>
      <c r="C12" s="22">
        <f>0.1*'Initial Estimates'!$C$49</f>
        <v>9</v>
      </c>
      <c r="D12" s="22" t="s">
        <v>167</v>
      </c>
      <c r="E12" s="21" t="s">
        <v>33</v>
      </c>
      <c r="F12" s="21" t="s">
        <v>18</v>
      </c>
      <c r="G12" s="38" t="s">
        <v>209</v>
      </c>
      <c r="H12" s="70" t="s">
        <v>19</v>
      </c>
      <c r="I12" s="70"/>
      <c r="J12" s="70"/>
      <c r="K12" s="70"/>
      <c r="L12" s="70"/>
    </row>
    <row r="13" spans="1:12" ht="18" customHeight="1" x14ac:dyDescent="0.2">
      <c r="A13" s="21" t="s">
        <v>226</v>
      </c>
      <c r="B13" s="21" t="s">
        <v>227</v>
      </c>
      <c r="C13" s="22">
        <f>0.2*'Initial Estimates'!$C$49</f>
        <v>18</v>
      </c>
      <c r="D13" s="22" t="s">
        <v>167</v>
      </c>
      <c r="E13" s="21" t="s">
        <v>33</v>
      </c>
      <c r="F13" s="21" t="s">
        <v>18</v>
      </c>
      <c r="G13" s="38" t="s">
        <v>209</v>
      </c>
      <c r="H13" s="70" t="s">
        <v>19</v>
      </c>
      <c r="I13" s="70"/>
      <c r="J13" s="70"/>
      <c r="K13" s="70"/>
      <c r="L13" s="70"/>
    </row>
    <row r="14" spans="1:12" ht="18" customHeight="1" x14ac:dyDescent="0.2">
      <c r="A14" s="21" t="s">
        <v>228</v>
      </c>
      <c r="B14" s="21" t="s">
        <v>231</v>
      </c>
      <c r="C14" s="22">
        <f>0.3*'Initial Estimates'!$C$49</f>
        <v>27</v>
      </c>
      <c r="D14" s="22" t="s">
        <v>167</v>
      </c>
      <c r="E14" s="21" t="s">
        <v>33</v>
      </c>
      <c r="F14" s="21" t="s">
        <v>18</v>
      </c>
      <c r="G14" s="38" t="s">
        <v>209</v>
      </c>
      <c r="H14" s="70" t="s">
        <v>19</v>
      </c>
      <c r="I14" s="70"/>
      <c r="J14" s="70"/>
      <c r="K14" s="70"/>
      <c r="L14" s="70"/>
    </row>
    <row r="15" spans="1:12" ht="18" customHeight="1" x14ac:dyDescent="0.2">
      <c r="A15" s="21" t="s">
        <v>229</v>
      </c>
      <c r="B15" s="21" t="s">
        <v>232</v>
      </c>
      <c r="C15" s="22">
        <f>0.413*'Initial Estimates'!$C$49</f>
        <v>37.169999999999995</v>
      </c>
      <c r="D15" s="22" t="s">
        <v>167</v>
      </c>
      <c r="E15" s="21" t="s">
        <v>33</v>
      </c>
      <c r="F15" s="21" t="s">
        <v>18</v>
      </c>
      <c r="G15" s="38" t="s">
        <v>209</v>
      </c>
      <c r="H15" s="70" t="s">
        <v>19</v>
      </c>
      <c r="I15" s="70"/>
      <c r="J15" s="70"/>
      <c r="K15" s="70"/>
      <c r="L15" s="70"/>
    </row>
    <row r="16" spans="1:12" ht="18" customHeight="1" x14ac:dyDescent="0.2">
      <c r="A16" s="21" t="s">
        <v>230</v>
      </c>
      <c r="B16" s="21" t="s">
        <v>233</v>
      </c>
      <c r="C16" s="22">
        <f>0.526*'Initial Estimates'!$C$49</f>
        <v>47.34</v>
      </c>
      <c r="D16" s="22" t="s">
        <v>167</v>
      </c>
      <c r="E16" s="21" t="s">
        <v>33</v>
      </c>
      <c r="F16" s="21" t="s">
        <v>18</v>
      </c>
      <c r="G16" s="38" t="s">
        <v>209</v>
      </c>
      <c r="H16" s="70" t="s">
        <v>19</v>
      </c>
      <c r="I16" s="70"/>
      <c r="J16" s="70"/>
      <c r="K16" s="70"/>
      <c r="L16" s="70"/>
    </row>
    <row r="17" spans="1:12" ht="22" customHeight="1" x14ac:dyDescent="0.2">
      <c r="A17" s="83" t="s">
        <v>259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5"/>
    </row>
    <row r="18" spans="1:12" ht="18" customHeight="1" x14ac:dyDescent="0.2">
      <c r="A18" s="32" t="s">
        <v>7</v>
      </c>
      <c r="B18" s="32" t="s">
        <v>138</v>
      </c>
      <c r="C18" s="33" t="s">
        <v>11</v>
      </c>
      <c r="D18" s="33" t="s">
        <v>167</v>
      </c>
      <c r="E18" s="33" t="s">
        <v>12</v>
      </c>
      <c r="F18" s="33" t="s">
        <v>13</v>
      </c>
      <c r="G18" s="40" t="s">
        <v>14</v>
      </c>
      <c r="H18" s="73" t="s">
        <v>15</v>
      </c>
      <c r="I18" s="73"/>
      <c r="J18" s="73"/>
      <c r="K18" s="73"/>
      <c r="L18" s="73"/>
    </row>
    <row r="19" spans="1:12" ht="18" customHeight="1" x14ac:dyDescent="0.2">
      <c r="A19" s="21" t="s">
        <v>246</v>
      </c>
      <c r="B19" s="21" t="s">
        <v>247</v>
      </c>
      <c r="C19" s="22">
        <f>C3 + ((1 - 0.8037)*'Initial Estimates'!C8)</f>
        <v>48.814885668135638</v>
      </c>
      <c r="D19" s="22" t="s">
        <v>167</v>
      </c>
      <c r="E19" s="21" t="s">
        <v>33</v>
      </c>
      <c r="F19" s="21" t="s">
        <v>18</v>
      </c>
      <c r="G19" s="39" t="s">
        <v>248</v>
      </c>
      <c r="H19" s="70" t="s">
        <v>249</v>
      </c>
      <c r="I19" s="70"/>
      <c r="J19" s="70"/>
      <c r="K19" s="70"/>
      <c r="L19" s="70"/>
    </row>
    <row r="20" spans="1:12" ht="18" customHeight="1" x14ac:dyDescent="0.2">
      <c r="A20" s="21" t="s">
        <v>250</v>
      </c>
      <c r="B20" s="21" t="s">
        <v>251</v>
      </c>
      <c r="C20" s="21">
        <f>C3+0.7*'Initial Estimates'!C8</f>
        <v>58.603769575623758</v>
      </c>
      <c r="D20" s="22" t="s">
        <v>167</v>
      </c>
      <c r="E20" s="21" t="s">
        <v>33</v>
      </c>
      <c r="F20" s="21" t="s">
        <v>18</v>
      </c>
      <c r="G20" s="39" t="s">
        <v>267</v>
      </c>
      <c r="H20" s="70" t="s">
        <v>249</v>
      </c>
      <c r="I20" s="70"/>
      <c r="J20" s="70"/>
      <c r="K20" s="70"/>
      <c r="L20" s="70"/>
    </row>
    <row r="21" spans="1:12" ht="18" customHeight="1" x14ac:dyDescent="0.2">
      <c r="A21" s="21" t="s">
        <v>252</v>
      </c>
      <c r="B21" s="21" t="s">
        <v>253</v>
      </c>
      <c r="C21" s="22">
        <f>C19+'Initial Estimates'!C10</f>
        <v>63.179883321298234</v>
      </c>
      <c r="D21" s="22" t="s">
        <v>167</v>
      </c>
      <c r="E21" s="21" t="s">
        <v>33</v>
      </c>
      <c r="F21" s="21" t="s">
        <v>18</v>
      </c>
      <c r="G21" s="39" t="s">
        <v>268</v>
      </c>
      <c r="H21" s="70" t="s">
        <v>249</v>
      </c>
      <c r="I21" s="70"/>
      <c r="J21" s="70"/>
      <c r="K21" s="70"/>
      <c r="L21" s="70"/>
    </row>
    <row r="22" spans="1:12" ht="18" customHeight="1" x14ac:dyDescent="0.2">
      <c r="A22" s="21" t="s">
        <v>254</v>
      </c>
      <c r="B22" s="21" t="s">
        <v>255</v>
      </c>
      <c r="C22" s="21">
        <f xml:space="preserve"> C20*'Initial Estimates'!C33</f>
        <v>926642.80452976294</v>
      </c>
      <c r="D22" s="22" t="s">
        <v>167</v>
      </c>
      <c r="E22" s="21" t="s">
        <v>266</v>
      </c>
      <c r="F22" s="21" t="s">
        <v>18</v>
      </c>
      <c r="G22" s="39" t="s">
        <v>269</v>
      </c>
      <c r="H22" s="70" t="s">
        <v>249</v>
      </c>
      <c r="I22" s="70"/>
      <c r="J22" s="70"/>
      <c r="K22" s="70"/>
      <c r="L22" s="70"/>
    </row>
    <row r="23" spans="1:12" ht="18" customHeight="1" x14ac:dyDescent="0.2">
      <c r="A23" s="21" t="s">
        <v>256</v>
      </c>
      <c r="B23" s="21" t="s">
        <v>257</v>
      </c>
      <c r="C23" s="21">
        <f>C21*'Initial Estimates'!C37</f>
        <v>139412.73053677671</v>
      </c>
      <c r="D23" s="22" t="s">
        <v>167</v>
      </c>
      <c r="E23" s="21" t="s">
        <v>266</v>
      </c>
      <c r="F23" s="21" t="s">
        <v>18</v>
      </c>
      <c r="G23" s="39" t="s">
        <v>270</v>
      </c>
      <c r="H23" s="70" t="s">
        <v>249</v>
      </c>
      <c r="I23" s="70"/>
      <c r="J23" s="70"/>
      <c r="K23" s="70"/>
      <c r="L23" s="70"/>
    </row>
    <row r="24" spans="1:12" ht="22" customHeight="1" x14ac:dyDescent="0.2">
      <c r="A24" s="83" t="s">
        <v>258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</row>
    <row r="25" spans="1:12" ht="18" customHeight="1" x14ac:dyDescent="0.2">
      <c r="A25" s="32" t="s">
        <v>7</v>
      </c>
      <c r="B25" s="32" t="s">
        <v>138</v>
      </c>
      <c r="C25" s="33" t="s">
        <v>11</v>
      </c>
      <c r="D25" s="33" t="s">
        <v>167</v>
      </c>
      <c r="E25" s="33" t="s">
        <v>12</v>
      </c>
      <c r="F25" s="33" t="s">
        <v>13</v>
      </c>
      <c r="G25" s="40" t="s">
        <v>14</v>
      </c>
      <c r="H25" s="73" t="s">
        <v>15</v>
      </c>
      <c r="I25" s="73"/>
      <c r="J25" s="73"/>
      <c r="K25" s="73"/>
      <c r="L25" s="73"/>
    </row>
    <row r="26" spans="1:12" ht="18" customHeight="1" x14ac:dyDescent="0.2">
      <c r="A26" s="21" t="s">
        <v>262</v>
      </c>
      <c r="B26" s="21" t="s">
        <v>263</v>
      </c>
      <c r="C26" s="22">
        <v>10.18</v>
      </c>
      <c r="D26" s="22" t="s">
        <v>167</v>
      </c>
      <c r="E26" s="21" t="s">
        <v>264</v>
      </c>
      <c r="F26" s="21" t="s">
        <v>18</v>
      </c>
      <c r="G26" s="39" t="s">
        <v>272</v>
      </c>
      <c r="H26" s="70" t="s">
        <v>249</v>
      </c>
      <c r="I26" s="70"/>
      <c r="J26" s="70"/>
      <c r="K26" s="70"/>
      <c r="L26" s="70"/>
    </row>
    <row r="27" spans="1:12" ht="18" customHeight="1" x14ac:dyDescent="0.2">
      <c r="A27" s="21" t="s">
        <v>260</v>
      </c>
      <c r="B27" s="21" t="s">
        <v>261</v>
      </c>
      <c r="C27" s="22">
        <f>C26*0.7*'Initial Estimates'!C8*'Initial Estimates'!C29</f>
        <v>6916.4249906585428</v>
      </c>
      <c r="D27" s="22" t="s">
        <v>167</v>
      </c>
      <c r="E27" s="21" t="s">
        <v>265</v>
      </c>
      <c r="F27" s="21" t="s">
        <v>18</v>
      </c>
      <c r="G27" s="39" t="s">
        <v>272</v>
      </c>
      <c r="H27" s="70" t="s">
        <v>249</v>
      </c>
      <c r="I27" s="70"/>
      <c r="J27" s="70"/>
      <c r="K27" s="70"/>
      <c r="L27" s="70"/>
    </row>
    <row r="28" spans="1:12" ht="18" customHeight="1" x14ac:dyDescent="0.2">
      <c r="A28" s="21" t="s">
        <v>274</v>
      </c>
      <c r="B28" s="21" t="s">
        <v>273</v>
      </c>
      <c r="C28" s="22">
        <f>'Initial Estimates'!C27-'Cg Calcs'!C27</f>
        <v>67769.533914416956</v>
      </c>
      <c r="D28" s="22" t="s">
        <v>167</v>
      </c>
      <c r="E28" s="21" t="s">
        <v>265</v>
      </c>
      <c r="F28" s="21" t="s">
        <v>25</v>
      </c>
      <c r="G28" s="39" t="s">
        <v>277</v>
      </c>
      <c r="H28" s="70" t="s">
        <v>249</v>
      </c>
      <c r="I28" s="70"/>
      <c r="J28" s="70"/>
      <c r="K28" s="70"/>
      <c r="L28" s="70"/>
    </row>
    <row r="29" spans="1:12" ht="18" customHeight="1" x14ac:dyDescent="0.2">
      <c r="A29" s="21" t="s">
        <v>275</v>
      </c>
      <c r="B29" s="21" t="s">
        <v>276</v>
      </c>
      <c r="C29" s="21">
        <f>C3+'Initial Estimates'!C8/2</f>
        <v>54.716978268302682</v>
      </c>
      <c r="D29" s="22" t="s">
        <v>167</v>
      </c>
      <c r="E29" s="21" t="s">
        <v>33</v>
      </c>
      <c r="F29" s="21" t="s">
        <v>25</v>
      </c>
      <c r="G29" s="39" t="s">
        <v>278</v>
      </c>
      <c r="H29" s="70" t="s">
        <v>249</v>
      </c>
      <c r="I29" s="70"/>
      <c r="J29" s="70"/>
      <c r="K29" s="70"/>
      <c r="L29" s="70"/>
    </row>
    <row r="30" spans="1:12" ht="18" customHeight="1" x14ac:dyDescent="0.2">
      <c r="A30" s="21" t="s">
        <v>279</v>
      </c>
      <c r="B30" s="21" t="s">
        <v>280</v>
      </c>
      <c r="C30" s="21">
        <f>C3+0.5+0.7*0.4*'Initial Estimates'!C8</f>
        <v>50.941507830249506</v>
      </c>
      <c r="D30" s="22" t="s">
        <v>167</v>
      </c>
      <c r="E30" s="21" t="s">
        <v>33</v>
      </c>
      <c r="F30" s="21" t="s">
        <v>25</v>
      </c>
      <c r="G30" s="39" t="s">
        <v>281</v>
      </c>
      <c r="H30" s="70" t="s">
        <v>249</v>
      </c>
      <c r="I30" s="70"/>
      <c r="J30" s="70"/>
      <c r="K30" s="70"/>
      <c r="L30" s="70"/>
    </row>
    <row r="31" spans="1:12" ht="18" customHeight="1" x14ac:dyDescent="0.2">
      <c r="A31" s="21" t="s">
        <v>282</v>
      </c>
      <c r="B31" s="21" t="s">
        <v>283</v>
      </c>
      <c r="C31" s="21">
        <f>C29*C27</f>
        <v>378445.87590820907</v>
      </c>
      <c r="D31" s="22" t="s">
        <v>167</v>
      </c>
      <c r="E31" s="21" t="s">
        <v>266</v>
      </c>
      <c r="F31" s="21" t="s">
        <v>25</v>
      </c>
      <c r="G31" s="38" t="s">
        <v>284</v>
      </c>
      <c r="H31" s="70" t="s">
        <v>249</v>
      </c>
      <c r="I31" s="70"/>
      <c r="J31" s="70"/>
      <c r="K31" s="70"/>
      <c r="L31" s="70"/>
    </row>
    <row r="32" spans="1:12" ht="18" customHeight="1" x14ac:dyDescent="0.2">
      <c r="A32" s="21" t="s">
        <v>285</v>
      </c>
      <c r="B32" s="21" t="s">
        <v>286</v>
      </c>
      <c r="C32" s="21">
        <f xml:space="preserve"> C30*C28</f>
        <v>3452282.2425536308</v>
      </c>
      <c r="D32" s="21" t="s">
        <v>167</v>
      </c>
      <c r="E32" s="21" t="s">
        <v>266</v>
      </c>
      <c r="F32" s="21" t="s">
        <v>25</v>
      </c>
      <c r="G32" s="38" t="s">
        <v>287</v>
      </c>
      <c r="H32" s="70" t="s">
        <v>249</v>
      </c>
      <c r="I32" s="70"/>
      <c r="J32" s="70"/>
      <c r="K32" s="70"/>
      <c r="L32" s="70"/>
    </row>
    <row r="33" spans="1:12" ht="22" customHeight="1" x14ac:dyDescent="0.2">
      <c r="A33" s="83" t="s">
        <v>288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5"/>
    </row>
    <row r="34" spans="1:12" ht="18" customHeight="1" x14ac:dyDescent="0.2">
      <c r="A34" s="32" t="s">
        <v>7</v>
      </c>
      <c r="B34" s="32" t="s">
        <v>138</v>
      </c>
      <c r="C34" s="33" t="s">
        <v>11</v>
      </c>
      <c r="D34" s="33" t="s">
        <v>167</v>
      </c>
      <c r="E34" s="33" t="s">
        <v>12</v>
      </c>
      <c r="F34" s="33" t="s">
        <v>13</v>
      </c>
      <c r="G34" s="40" t="s">
        <v>14</v>
      </c>
      <c r="H34" s="73" t="s">
        <v>15</v>
      </c>
      <c r="I34" s="73"/>
      <c r="J34" s="73"/>
      <c r="K34" s="73"/>
      <c r="L34" s="73"/>
    </row>
    <row r="35" spans="1:12" ht="18" customHeight="1" x14ac:dyDescent="0.2">
      <c r="A35" s="21" t="s">
        <v>316</v>
      </c>
      <c r="B35" s="21" t="s">
        <v>289</v>
      </c>
      <c r="C35" s="22">
        <f>C4+'Initial Estimates'!C52/2</f>
        <v>65</v>
      </c>
      <c r="D35" s="22" t="s">
        <v>167</v>
      </c>
      <c r="E35" s="21" t="s">
        <v>33</v>
      </c>
      <c r="F35" s="21" t="s">
        <v>25</v>
      </c>
      <c r="G35" s="39" t="s">
        <v>290</v>
      </c>
      <c r="H35" s="70" t="s">
        <v>249</v>
      </c>
      <c r="I35" s="70"/>
      <c r="J35" s="70"/>
      <c r="K35" s="70"/>
      <c r="L35" s="70"/>
    </row>
    <row r="36" spans="1:12" ht="18" customHeight="1" x14ac:dyDescent="0.2">
      <c r="A36" s="21" t="s">
        <v>291</v>
      </c>
      <c r="B36" s="21" t="s">
        <v>292</v>
      </c>
      <c r="C36" s="22">
        <f>C35*'Initial Estimates'!C23</f>
        <v>317850</v>
      </c>
      <c r="D36" s="22" t="s">
        <v>167</v>
      </c>
      <c r="E36" s="21" t="s">
        <v>266</v>
      </c>
      <c r="F36" s="21" t="s">
        <v>25</v>
      </c>
      <c r="G36" s="39" t="s">
        <v>297</v>
      </c>
      <c r="H36" s="70" t="s">
        <v>249</v>
      </c>
      <c r="I36" s="70"/>
      <c r="J36" s="70"/>
      <c r="K36" s="70"/>
      <c r="L36" s="70"/>
    </row>
    <row r="37" spans="1:12" ht="22" customHeight="1" x14ac:dyDescent="0.2">
      <c r="A37" s="83" t="s">
        <v>298</v>
      </c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5"/>
    </row>
    <row r="38" spans="1:12" ht="18" customHeight="1" x14ac:dyDescent="0.2">
      <c r="A38" s="32" t="s">
        <v>7</v>
      </c>
      <c r="B38" s="32" t="s">
        <v>138</v>
      </c>
      <c r="C38" s="33" t="s">
        <v>11</v>
      </c>
      <c r="D38" s="33" t="s">
        <v>167</v>
      </c>
      <c r="E38" s="33" t="s">
        <v>12</v>
      </c>
      <c r="F38" s="33" t="s">
        <v>13</v>
      </c>
      <c r="G38" s="40" t="s">
        <v>14</v>
      </c>
      <c r="H38" s="73" t="s">
        <v>15</v>
      </c>
      <c r="I38" s="73"/>
      <c r="J38" s="73"/>
      <c r="K38" s="73"/>
      <c r="L38" s="73"/>
    </row>
    <row r="39" spans="1:12" ht="18" customHeight="1" x14ac:dyDescent="0.2">
      <c r="A39" s="21" t="s">
        <v>317</v>
      </c>
      <c r="B39" s="21" t="s">
        <v>300</v>
      </c>
      <c r="C39" s="22">
        <f>C5+0.4*'Initial Estimates'!C56</f>
        <v>64.099999999999994</v>
      </c>
      <c r="D39" s="22" t="s">
        <v>167</v>
      </c>
      <c r="E39" s="21" t="s">
        <v>33</v>
      </c>
      <c r="F39" s="21" t="s">
        <v>25</v>
      </c>
      <c r="G39" s="39" t="s">
        <v>302</v>
      </c>
      <c r="H39" s="70" t="s">
        <v>249</v>
      </c>
      <c r="I39" s="70"/>
      <c r="J39" s="70"/>
      <c r="K39" s="70"/>
      <c r="L39" s="70"/>
    </row>
    <row r="40" spans="1:12" ht="18" customHeight="1" x14ac:dyDescent="0.2">
      <c r="A40" s="21" t="s">
        <v>299</v>
      </c>
      <c r="B40" s="21" t="s">
        <v>303</v>
      </c>
      <c r="C40" s="22">
        <f>C39*'Initial Estimates'!C38</f>
        <v>108162.34</v>
      </c>
      <c r="D40" s="22" t="s">
        <v>167</v>
      </c>
      <c r="E40" s="21" t="s">
        <v>266</v>
      </c>
      <c r="F40" s="21" t="s">
        <v>25</v>
      </c>
      <c r="G40" s="39" t="s">
        <v>304</v>
      </c>
      <c r="H40" s="70" t="s">
        <v>249</v>
      </c>
      <c r="I40" s="70"/>
      <c r="J40" s="70"/>
      <c r="K40" s="70"/>
      <c r="L40" s="70"/>
    </row>
    <row r="41" spans="1:12" ht="22" customHeight="1" x14ac:dyDescent="0.2">
      <c r="A41" s="83" t="s">
        <v>305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5"/>
    </row>
    <row r="42" spans="1:12" ht="18" customHeight="1" x14ac:dyDescent="0.2">
      <c r="A42" s="32" t="s">
        <v>7</v>
      </c>
      <c r="B42" s="32" t="s">
        <v>138</v>
      </c>
      <c r="C42" s="33" t="s">
        <v>11</v>
      </c>
      <c r="D42" s="33" t="s">
        <v>167</v>
      </c>
      <c r="E42" s="33" t="s">
        <v>12</v>
      </c>
      <c r="F42" s="33" t="s">
        <v>13</v>
      </c>
      <c r="G42" s="40" t="s">
        <v>14</v>
      </c>
      <c r="H42" s="73" t="s">
        <v>15</v>
      </c>
      <c r="I42" s="73"/>
      <c r="J42" s="73"/>
      <c r="K42" s="73"/>
      <c r="L42" s="73"/>
    </row>
    <row r="43" spans="1:12" ht="18" customHeight="1" x14ac:dyDescent="0.2">
      <c r="A43" s="21" t="s">
        <v>311</v>
      </c>
      <c r="B43" s="21" t="s">
        <v>313</v>
      </c>
      <c r="C43" s="22">
        <f>C10+0.42</f>
        <v>81.42</v>
      </c>
      <c r="D43" s="22" t="s">
        <v>167</v>
      </c>
      <c r="E43" s="21" t="s">
        <v>33</v>
      </c>
      <c r="F43" s="21" t="s">
        <v>25</v>
      </c>
      <c r="G43" s="39" t="s">
        <v>319</v>
      </c>
      <c r="H43" s="70" t="s">
        <v>249</v>
      </c>
      <c r="I43" s="70"/>
      <c r="J43" s="70"/>
      <c r="K43" s="70"/>
      <c r="L43" s="70"/>
    </row>
    <row r="44" spans="1:12" ht="18" customHeight="1" x14ac:dyDescent="0.2">
      <c r="A44" s="21" t="s">
        <v>312</v>
      </c>
      <c r="B44" s="21" t="s">
        <v>314</v>
      </c>
      <c r="C44" s="22">
        <f>C11+0.42</f>
        <v>81.42</v>
      </c>
      <c r="D44" s="22" t="s">
        <v>167</v>
      </c>
      <c r="E44" s="21" t="s">
        <v>33</v>
      </c>
      <c r="F44" s="21" t="s">
        <v>25</v>
      </c>
      <c r="G44" s="39" t="s">
        <v>319</v>
      </c>
      <c r="H44" s="70" t="s">
        <v>249</v>
      </c>
      <c r="I44" s="70"/>
      <c r="J44" s="70"/>
      <c r="K44" s="70"/>
      <c r="L44" s="70"/>
    </row>
    <row r="45" spans="1:12" ht="18" customHeight="1" x14ac:dyDescent="0.2">
      <c r="A45" s="21" t="s">
        <v>309</v>
      </c>
      <c r="B45" s="21" t="s">
        <v>310</v>
      </c>
      <c r="C45" s="22">
        <f>C44*'Initial Estimates'!C34</f>
        <v>170053.81200000001</v>
      </c>
      <c r="D45" s="22" t="s">
        <v>167</v>
      </c>
      <c r="E45" s="21" t="s">
        <v>266</v>
      </c>
      <c r="F45" s="21" t="s">
        <v>25</v>
      </c>
      <c r="G45" s="39" t="s">
        <v>320</v>
      </c>
      <c r="H45" s="70" t="s">
        <v>249</v>
      </c>
      <c r="I45" s="70"/>
      <c r="J45" s="70"/>
      <c r="K45" s="70"/>
      <c r="L45" s="70"/>
    </row>
    <row r="46" spans="1:12" ht="22" customHeight="1" x14ac:dyDescent="0.2">
      <c r="A46" s="83" t="s">
        <v>306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5"/>
    </row>
    <row r="47" spans="1:12" ht="18" customHeight="1" x14ac:dyDescent="0.2">
      <c r="A47" s="32" t="s">
        <v>7</v>
      </c>
      <c r="B47" s="32" t="s">
        <v>138</v>
      </c>
      <c r="C47" s="33" t="s">
        <v>11</v>
      </c>
      <c r="D47" s="33" t="s">
        <v>167</v>
      </c>
      <c r="E47" s="33" t="s">
        <v>12</v>
      </c>
      <c r="F47" s="33" t="s">
        <v>13</v>
      </c>
      <c r="G47" s="40" t="s">
        <v>14</v>
      </c>
      <c r="H47" s="73" t="s">
        <v>15</v>
      </c>
      <c r="I47" s="73"/>
      <c r="J47" s="73"/>
      <c r="K47" s="73"/>
      <c r="L47" s="73"/>
    </row>
    <row r="48" spans="1:12" ht="18" customHeight="1" x14ac:dyDescent="0.2">
      <c r="A48" s="21" t="s">
        <v>315</v>
      </c>
      <c r="B48" s="21" t="s">
        <v>318</v>
      </c>
      <c r="C48" s="21">
        <f>C8+0.47*'Initial Estimates'!C50</f>
        <v>37.749899999999997</v>
      </c>
      <c r="D48" s="22" t="s">
        <v>167</v>
      </c>
      <c r="E48" s="21" t="s">
        <v>33</v>
      </c>
      <c r="F48" s="21" t="s">
        <v>25</v>
      </c>
      <c r="G48" s="39" t="s">
        <v>321</v>
      </c>
      <c r="H48" s="70" t="s">
        <v>249</v>
      </c>
      <c r="I48" s="70"/>
      <c r="J48" s="70"/>
      <c r="K48" s="70"/>
      <c r="L48" s="70"/>
    </row>
    <row r="49" spans="1:12" ht="18" customHeight="1" x14ac:dyDescent="0.2">
      <c r="A49" s="21" t="s">
        <v>322</v>
      </c>
      <c r="B49" s="21" t="s">
        <v>323</v>
      </c>
      <c r="C49" s="21">
        <f>C48*'Initial Estimates'!C35</f>
        <v>467721.26099999994</v>
      </c>
      <c r="D49" s="22" t="s">
        <v>167</v>
      </c>
      <c r="E49" s="21" t="s">
        <v>266</v>
      </c>
      <c r="F49" s="21" t="s">
        <v>25</v>
      </c>
      <c r="G49" s="39" t="s">
        <v>324</v>
      </c>
      <c r="H49" s="70" t="s">
        <v>249</v>
      </c>
      <c r="I49" s="70"/>
      <c r="J49" s="70"/>
      <c r="K49" s="70"/>
      <c r="L49" s="70"/>
    </row>
    <row r="50" spans="1:12" ht="22" customHeight="1" x14ac:dyDescent="0.2">
      <c r="A50" s="83" t="s">
        <v>307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5"/>
    </row>
    <row r="51" spans="1:12" ht="18" customHeight="1" x14ac:dyDescent="0.2">
      <c r="A51" s="32" t="s">
        <v>7</v>
      </c>
      <c r="B51" s="32" t="s">
        <v>138</v>
      </c>
      <c r="C51" s="33" t="s">
        <v>11</v>
      </c>
      <c r="D51" s="33" t="s">
        <v>167</v>
      </c>
      <c r="E51" s="33" t="s">
        <v>12</v>
      </c>
      <c r="F51" s="33" t="s">
        <v>13</v>
      </c>
      <c r="G51" s="40" t="s">
        <v>14</v>
      </c>
      <c r="H51" s="73" t="s">
        <v>15</v>
      </c>
      <c r="I51" s="73"/>
      <c r="J51" s="73"/>
      <c r="K51" s="73"/>
      <c r="L51" s="73"/>
    </row>
    <row r="52" spans="1:12" ht="18" customHeight="1" x14ac:dyDescent="0.2">
      <c r="A52" s="21" t="s">
        <v>325</v>
      </c>
      <c r="B52" s="21" t="s">
        <v>326</v>
      </c>
      <c r="C52" s="21">
        <f>C6+2/3*C7</f>
        <v>30.6</v>
      </c>
      <c r="D52" s="21" t="s">
        <v>167</v>
      </c>
      <c r="E52" s="21" t="s">
        <v>33</v>
      </c>
      <c r="F52" s="21" t="s">
        <v>25</v>
      </c>
      <c r="G52" s="39" t="s">
        <v>337</v>
      </c>
      <c r="H52" s="70" t="s">
        <v>249</v>
      </c>
      <c r="I52" s="70"/>
      <c r="J52" s="70"/>
      <c r="K52" s="70"/>
      <c r="L52" s="70"/>
    </row>
    <row r="53" spans="1:12" ht="18" customHeight="1" x14ac:dyDescent="0.2">
      <c r="A53" s="21" t="s">
        <v>327</v>
      </c>
      <c r="B53" s="21" t="s">
        <v>328</v>
      </c>
      <c r="C53" s="21">
        <f>C52*'Initial Estimates'!C36</f>
        <v>167180.04000000004</v>
      </c>
      <c r="D53" s="21" t="s">
        <v>167</v>
      </c>
      <c r="E53" s="21" t="s">
        <v>266</v>
      </c>
      <c r="F53" s="21" t="s">
        <v>25</v>
      </c>
      <c r="G53" s="38" t="s">
        <v>329</v>
      </c>
      <c r="H53" s="70" t="s">
        <v>249</v>
      </c>
      <c r="I53" s="70"/>
      <c r="J53" s="70"/>
      <c r="K53" s="70"/>
      <c r="L53" s="70"/>
    </row>
    <row r="54" spans="1:12" ht="22" customHeight="1" x14ac:dyDescent="0.2">
      <c r="A54" s="83" t="s">
        <v>308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5"/>
    </row>
    <row r="55" spans="1:12" ht="18" customHeight="1" x14ac:dyDescent="0.2">
      <c r="A55" s="32" t="s">
        <v>7</v>
      </c>
      <c r="B55" s="32" t="s">
        <v>138</v>
      </c>
      <c r="C55" s="33" t="s">
        <v>11</v>
      </c>
      <c r="D55" s="33" t="s">
        <v>167</v>
      </c>
      <c r="E55" s="33" t="s">
        <v>12</v>
      </c>
      <c r="F55" s="33" t="s">
        <v>13</v>
      </c>
      <c r="G55" s="40" t="s">
        <v>14</v>
      </c>
      <c r="H55" s="73" t="s">
        <v>15</v>
      </c>
      <c r="I55" s="73"/>
      <c r="J55" s="73"/>
      <c r="K55" s="73"/>
      <c r="L55" s="73"/>
    </row>
    <row r="56" spans="1:12" ht="18" customHeight="1" x14ac:dyDescent="0.2">
      <c r="A56" s="21" t="s">
        <v>330</v>
      </c>
      <c r="B56" s="21" t="s">
        <v>334</v>
      </c>
      <c r="C56" s="21">
        <f xml:space="preserve"> C14+'Initial Estimates'!$C$53/2</f>
        <v>32</v>
      </c>
      <c r="D56" s="21" t="s">
        <v>167</v>
      </c>
      <c r="E56" s="21" t="s">
        <v>33</v>
      </c>
      <c r="F56" s="21" t="s">
        <v>25</v>
      </c>
      <c r="G56" s="39" t="s">
        <v>338</v>
      </c>
      <c r="H56" s="70" t="s">
        <v>249</v>
      </c>
      <c r="I56" s="70"/>
      <c r="J56" s="70"/>
      <c r="K56" s="70"/>
      <c r="L56" s="70"/>
    </row>
    <row r="57" spans="1:12" ht="18" customHeight="1" x14ac:dyDescent="0.2">
      <c r="A57" s="21" t="s">
        <v>331</v>
      </c>
      <c r="B57" s="21" t="s">
        <v>335</v>
      </c>
      <c r="C57" s="21">
        <f xml:space="preserve"> C15+'Initial Estimates'!$C$53/2</f>
        <v>42.169999999999995</v>
      </c>
      <c r="D57" s="21" t="s">
        <v>167</v>
      </c>
      <c r="E57" s="21" t="s">
        <v>33</v>
      </c>
      <c r="F57" s="21" t="s">
        <v>25</v>
      </c>
      <c r="G57" s="39" t="s">
        <v>339</v>
      </c>
      <c r="H57" s="70" t="s">
        <v>249</v>
      </c>
      <c r="I57" s="70"/>
      <c r="J57" s="70"/>
      <c r="K57" s="70"/>
      <c r="L57" s="70"/>
    </row>
    <row r="58" spans="1:12" ht="18" customHeight="1" x14ac:dyDescent="0.2">
      <c r="A58" s="21" t="s">
        <v>333</v>
      </c>
      <c r="B58" s="21" t="s">
        <v>336</v>
      </c>
      <c r="C58" s="21">
        <f xml:space="preserve"> C16+'Initial Estimates'!$C$53/2</f>
        <v>52.34</v>
      </c>
      <c r="D58" s="21" t="s">
        <v>167</v>
      </c>
      <c r="E58" s="21" t="s">
        <v>33</v>
      </c>
      <c r="F58" s="21" t="s">
        <v>25</v>
      </c>
      <c r="G58" s="39" t="s">
        <v>339</v>
      </c>
      <c r="H58" s="70" t="s">
        <v>249</v>
      </c>
      <c r="I58" s="70"/>
      <c r="J58" s="70"/>
      <c r="K58" s="70"/>
      <c r="L58" s="70"/>
    </row>
    <row r="59" spans="1:12" ht="18" customHeight="1" x14ac:dyDescent="0.2">
      <c r="A59" s="21" t="s">
        <v>340</v>
      </c>
      <c r="B59" s="21" t="s">
        <v>343</v>
      </c>
      <c r="C59" s="21">
        <f>'Initial Estimates'!C44*('Initial Estimates'!C40+'Initial Estimates'!C43)</f>
        <v>980</v>
      </c>
      <c r="D59" s="21" t="s">
        <v>167</v>
      </c>
      <c r="E59" s="21" t="s">
        <v>265</v>
      </c>
      <c r="F59" s="21" t="s">
        <v>25</v>
      </c>
      <c r="G59" s="38" t="s">
        <v>353</v>
      </c>
      <c r="H59" s="70" t="s">
        <v>249</v>
      </c>
      <c r="I59" s="70"/>
      <c r="J59" s="70"/>
      <c r="K59" s="70"/>
      <c r="L59" s="70"/>
    </row>
    <row r="60" spans="1:12" ht="18" customHeight="1" x14ac:dyDescent="0.2">
      <c r="A60" s="21" t="s">
        <v>341</v>
      </c>
      <c r="B60" s="21" t="s">
        <v>344</v>
      </c>
      <c r="C60" s="21">
        <f>'Initial Estimates'!C45*('Initial Estimates'!C40+'Initial Estimates'!C43)</f>
        <v>980</v>
      </c>
      <c r="D60" s="21" t="s">
        <v>167</v>
      </c>
      <c r="E60" s="21" t="s">
        <v>265</v>
      </c>
      <c r="F60" s="21" t="s">
        <v>25</v>
      </c>
      <c r="G60" s="38" t="s">
        <v>353</v>
      </c>
      <c r="H60" s="70" t="s">
        <v>249</v>
      </c>
      <c r="I60" s="70"/>
      <c r="J60" s="70"/>
      <c r="K60" s="70"/>
      <c r="L60" s="70"/>
    </row>
    <row r="61" spans="1:12" ht="18" customHeight="1" x14ac:dyDescent="0.2">
      <c r="A61" s="21" t="s">
        <v>342</v>
      </c>
      <c r="B61" s="21" t="s">
        <v>345</v>
      </c>
      <c r="C61" s="21">
        <f>'Initial Estimates'!C46*('Initial Estimates'!C40+'Initial Estimates'!C43)</f>
        <v>980</v>
      </c>
      <c r="D61" s="21" t="s">
        <v>167</v>
      </c>
      <c r="E61" s="21" t="s">
        <v>265</v>
      </c>
      <c r="F61" s="21" t="s">
        <v>25</v>
      </c>
      <c r="G61" s="38" t="s">
        <v>353</v>
      </c>
      <c r="H61" s="70" t="s">
        <v>249</v>
      </c>
      <c r="I61" s="70"/>
      <c r="J61" s="70"/>
      <c r="K61" s="70"/>
      <c r="L61" s="70"/>
    </row>
    <row r="62" spans="1:12" ht="18" customHeight="1" x14ac:dyDescent="0.2">
      <c r="A62" s="21" t="s">
        <v>354</v>
      </c>
      <c r="B62" s="21" t="s">
        <v>355</v>
      </c>
      <c r="C62" s="21">
        <f xml:space="preserve"> 2*'Initial Estimates'!C42+2*'Initial Estimates'!C43</f>
        <v>480</v>
      </c>
      <c r="D62" s="21" t="s">
        <v>167</v>
      </c>
      <c r="E62" s="21" t="s">
        <v>265</v>
      </c>
      <c r="F62" s="21" t="s">
        <v>25</v>
      </c>
      <c r="G62" s="38" t="s">
        <v>356</v>
      </c>
      <c r="H62" s="70" t="s">
        <v>249</v>
      </c>
      <c r="I62" s="70"/>
      <c r="J62" s="70"/>
      <c r="K62" s="70"/>
      <c r="L62" s="70"/>
    </row>
    <row r="63" spans="1:12" ht="18" customHeight="1" x14ac:dyDescent="0.2">
      <c r="A63" s="21" t="s">
        <v>357</v>
      </c>
      <c r="B63" s="21" t="s">
        <v>243</v>
      </c>
      <c r="C63" s="21">
        <f xml:space="preserve"> 'Initial Estimates'!C41+'Initial Estimates'!C43</f>
        <v>230</v>
      </c>
      <c r="D63" s="21" t="s">
        <v>167</v>
      </c>
      <c r="E63" s="21" t="s">
        <v>265</v>
      </c>
      <c r="F63" s="21" t="s">
        <v>25</v>
      </c>
      <c r="G63" s="38" t="s">
        <v>356</v>
      </c>
      <c r="H63" s="70" t="s">
        <v>249</v>
      </c>
      <c r="I63" s="70"/>
      <c r="J63" s="70"/>
      <c r="K63" s="70"/>
      <c r="L63" s="70"/>
    </row>
    <row r="64" spans="1:12" ht="18" customHeight="1" x14ac:dyDescent="0.2">
      <c r="A64" s="21" t="s">
        <v>358</v>
      </c>
      <c r="B64" s="21" t="s">
        <v>359</v>
      </c>
      <c r="C64" s="21">
        <f xml:space="preserve"> C59*C56</f>
        <v>31360</v>
      </c>
      <c r="D64" s="21" t="s">
        <v>167</v>
      </c>
      <c r="E64" s="21" t="s">
        <v>266</v>
      </c>
      <c r="F64" s="21" t="s">
        <v>25</v>
      </c>
      <c r="G64" s="38" t="s">
        <v>364</v>
      </c>
      <c r="H64" s="70" t="s">
        <v>249</v>
      </c>
      <c r="I64" s="70"/>
      <c r="J64" s="70"/>
      <c r="K64" s="70"/>
      <c r="L64" s="70"/>
    </row>
    <row r="65" spans="1:12" ht="18" customHeight="1" x14ac:dyDescent="0.2">
      <c r="A65" s="21" t="s">
        <v>360</v>
      </c>
      <c r="B65" s="21" t="s">
        <v>362</v>
      </c>
      <c r="C65" s="21">
        <f xml:space="preserve"> C60*C57</f>
        <v>41326.599999999991</v>
      </c>
      <c r="D65" s="21" t="s">
        <v>167</v>
      </c>
      <c r="E65" s="21" t="s">
        <v>266</v>
      </c>
      <c r="F65" s="21" t="s">
        <v>25</v>
      </c>
      <c r="G65" s="38" t="s">
        <v>364</v>
      </c>
      <c r="H65" s="70" t="s">
        <v>249</v>
      </c>
      <c r="I65" s="70"/>
      <c r="J65" s="70"/>
      <c r="K65" s="70"/>
      <c r="L65" s="70"/>
    </row>
    <row r="66" spans="1:12" ht="18" customHeight="1" x14ac:dyDescent="0.2">
      <c r="A66" s="21" t="s">
        <v>361</v>
      </c>
      <c r="B66" s="21" t="s">
        <v>363</v>
      </c>
      <c r="C66" s="21">
        <f xml:space="preserve"> C61*C58</f>
        <v>51293.200000000004</v>
      </c>
      <c r="D66" s="21" t="s">
        <v>167</v>
      </c>
      <c r="E66" s="21" t="s">
        <v>266</v>
      </c>
      <c r="F66" s="21" t="s">
        <v>25</v>
      </c>
      <c r="G66" s="38" t="s">
        <v>364</v>
      </c>
      <c r="H66" s="70" t="s">
        <v>249</v>
      </c>
      <c r="I66" s="70"/>
      <c r="J66" s="70"/>
      <c r="K66" s="70"/>
      <c r="L66" s="70"/>
    </row>
    <row r="67" spans="1:12" ht="18" customHeight="1" x14ac:dyDescent="0.2">
      <c r="A67" s="21" t="s">
        <v>365</v>
      </c>
      <c r="B67" s="21" t="s">
        <v>366</v>
      </c>
      <c r="C67" s="21">
        <f>C12*C62</f>
        <v>4320</v>
      </c>
      <c r="D67" s="21" t="s">
        <v>167</v>
      </c>
      <c r="E67" s="21" t="s">
        <v>266</v>
      </c>
      <c r="F67" s="21" t="s">
        <v>25</v>
      </c>
      <c r="G67" s="38" t="s">
        <v>369</v>
      </c>
      <c r="H67" s="70" t="s">
        <v>249</v>
      </c>
      <c r="I67" s="70"/>
      <c r="J67" s="70"/>
      <c r="K67" s="70"/>
      <c r="L67" s="70"/>
    </row>
    <row r="68" spans="1:12" ht="18" customHeight="1" x14ac:dyDescent="0.2">
      <c r="A68" s="21" t="s">
        <v>367</v>
      </c>
      <c r="B68" s="21" t="s">
        <v>368</v>
      </c>
      <c r="C68" s="21">
        <f>C63*C13</f>
        <v>4140</v>
      </c>
      <c r="D68" s="21" t="s">
        <v>167</v>
      </c>
      <c r="E68" s="21" t="s">
        <v>266</v>
      </c>
      <c r="F68" s="21" t="s">
        <v>25</v>
      </c>
      <c r="G68" s="38" t="s">
        <v>369</v>
      </c>
      <c r="H68" s="70" t="s">
        <v>249</v>
      </c>
      <c r="I68" s="70"/>
      <c r="J68" s="70"/>
      <c r="K68" s="70"/>
      <c r="L68" s="70"/>
    </row>
    <row r="69" spans="1:12" ht="22" customHeight="1" x14ac:dyDescent="0.2">
      <c r="A69" s="83" t="s">
        <v>373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5"/>
    </row>
    <row r="70" spans="1:12" ht="18" customHeight="1" x14ac:dyDescent="0.2">
      <c r="A70" s="32" t="s">
        <v>7</v>
      </c>
      <c r="B70" s="32" t="s">
        <v>138</v>
      </c>
      <c r="C70" s="33" t="s">
        <v>11</v>
      </c>
      <c r="D70" s="33" t="s">
        <v>167</v>
      </c>
      <c r="E70" s="33" t="s">
        <v>12</v>
      </c>
      <c r="F70" s="33" t="s">
        <v>13</v>
      </c>
      <c r="G70" s="40" t="s">
        <v>14</v>
      </c>
      <c r="H70" s="73" t="s">
        <v>15</v>
      </c>
      <c r="I70" s="73"/>
      <c r="J70" s="73"/>
      <c r="K70" s="73"/>
      <c r="L70" s="73"/>
    </row>
    <row r="71" spans="1:12" ht="18" customHeight="1" x14ac:dyDescent="0.2">
      <c r="A71" s="21" t="s">
        <v>370</v>
      </c>
      <c r="B71" s="21" t="s">
        <v>371</v>
      </c>
      <c r="C71" s="22">
        <f>SUM(C64:C68,C53,C49,C45,C40,C36,C31:C32:C22:C23)</f>
        <v>6334992.7039195541</v>
      </c>
      <c r="D71" s="21" t="s">
        <v>167</v>
      </c>
      <c r="E71" s="21" t="s">
        <v>266</v>
      </c>
      <c r="F71" s="21" t="s">
        <v>25</v>
      </c>
      <c r="G71" s="38" t="s">
        <v>372</v>
      </c>
      <c r="H71" s="70"/>
      <c r="I71" s="70"/>
      <c r="J71" s="70"/>
      <c r="K71" s="70"/>
      <c r="L71" s="70"/>
    </row>
    <row r="72" spans="1:12" ht="18" customHeight="1" x14ac:dyDescent="0.2">
      <c r="A72" s="21" t="s">
        <v>374</v>
      </c>
      <c r="B72" s="21" t="s">
        <v>375</v>
      </c>
      <c r="C72" s="21">
        <f>SUM(C59:C63)+'Initial Estimates'!C39+'Initial Estimates'!C38+'Initial Estimates'!C37+'Initial Estimates'!C36+'Initial Estimates'!C35+'Initial Estimates'!C34+'Initial Estimates'!C33+'Initial Estimates'!C27</f>
        <v>120428.9589050755</v>
      </c>
      <c r="D72" s="21" t="s">
        <v>167</v>
      </c>
      <c r="E72" s="21" t="s">
        <v>265</v>
      </c>
      <c r="F72" s="21" t="s">
        <v>25</v>
      </c>
      <c r="G72" s="38" t="s">
        <v>376</v>
      </c>
      <c r="H72" s="70"/>
      <c r="I72" s="70"/>
      <c r="J72" s="70"/>
      <c r="K72" s="70"/>
      <c r="L72" s="70"/>
    </row>
    <row r="73" spans="1:12" ht="18" customHeight="1" x14ac:dyDescent="0.2">
      <c r="A73" s="21" t="s">
        <v>332</v>
      </c>
      <c r="B73" s="21" t="s">
        <v>377</v>
      </c>
      <c r="C73" s="21">
        <f>C71/C72</f>
        <v>52.6035661315724</v>
      </c>
      <c r="D73" s="21" t="s">
        <v>167</v>
      </c>
      <c r="E73" s="21" t="s">
        <v>33</v>
      </c>
      <c r="F73" s="21" t="s">
        <v>25</v>
      </c>
      <c r="G73" s="38" t="s">
        <v>378</v>
      </c>
      <c r="H73" s="70"/>
      <c r="I73" s="70"/>
      <c r="J73" s="70"/>
      <c r="K73" s="70"/>
      <c r="L73" s="70"/>
    </row>
    <row r="74" spans="1:12" ht="18" customHeight="1" x14ac:dyDescent="0.2">
      <c r="A74" s="21" t="s">
        <v>379</v>
      </c>
      <c r="B74" s="21" t="s">
        <v>380</v>
      </c>
      <c r="C74" s="21">
        <f>(C73-C19)/'Initial Estimates'!C10*100</f>
        <v>26.374389713893532</v>
      </c>
      <c r="D74" s="21" t="s">
        <v>167</v>
      </c>
      <c r="E74" s="21" t="s">
        <v>381</v>
      </c>
      <c r="F74" s="21" t="s">
        <v>25</v>
      </c>
      <c r="G74" s="38" t="s">
        <v>382</v>
      </c>
      <c r="H74" s="70"/>
      <c r="I74" s="70"/>
      <c r="J74" s="70"/>
      <c r="K74" s="70"/>
      <c r="L74" s="70"/>
    </row>
  </sheetData>
  <mergeCells count="74">
    <mergeCell ref="H12:L12"/>
    <mergeCell ref="A1:L1"/>
    <mergeCell ref="H2:L2"/>
    <mergeCell ref="H3:L3"/>
    <mergeCell ref="H4:L4"/>
    <mergeCell ref="H7:L7"/>
    <mergeCell ref="H8:L8"/>
    <mergeCell ref="H9:L9"/>
    <mergeCell ref="H10:L10"/>
    <mergeCell ref="H11:L11"/>
    <mergeCell ref="H20:L20"/>
    <mergeCell ref="H21:L21"/>
    <mergeCell ref="H13:L13"/>
    <mergeCell ref="H14:L14"/>
    <mergeCell ref="H15:L15"/>
    <mergeCell ref="H16:L16"/>
    <mergeCell ref="H19:L19"/>
    <mergeCell ref="H27:L27"/>
    <mergeCell ref="H29:L29"/>
    <mergeCell ref="H30:L30"/>
    <mergeCell ref="H31:L31"/>
    <mergeCell ref="H32:L32"/>
    <mergeCell ref="H36:L36"/>
    <mergeCell ref="H34:L34"/>
    <mergeCell ref="H40:L40"/>
    <mergeCell ref="A33:L33"/>
    <mergeCell ref="A37:L37"/>
    <mergeCell ref="H39:L39"/>
    <mergeCell ref="H49:L49"/>
    <mergeCell ref="H5:L5"/>
    <mergeCell ref="H6:L6"/>
    <mergeCell ref="A17:L17"/>
    <mergeCell ref="H22:L22"/>
    <mergeCell ref="H23:L23"/>
    <mergeCell ref="A24:L24"/>
    <mergeCell ref="H26:L26"/>
    <mergeCell ref="H28:L28"/>
    <mergeCell ref="H43:L43"/>
    <mergeCell ref="H44:L44"/>
    <mergeCell ref="H45:L45"/>
    <mergeCell ref="H48:L48"/>
    <mergeCell ref="A41:L41"/>
    <mergeCell ref="A46:L46"/>
    <mergeCell ref="H35:L35"/>
    <mergeCell ref="H59:L59"/>
    <mergeCell ref="H60:L60"/>
    <mergeCell ref="H61:L61"/>
    <mergeCell ref="H62:L62"/>
    <mergeCell ref="A50:L50"/>
    <mergeCell ref="A54:L54"/>
    <mergeCell ref="H52:L52"/>
    <mergeCell ref="H53:L53"/>
    <mergeCell ref="H56:L56"/>
    <mergeCell ref="A69:L69"/>
    <mergeCell ref="H18:L18"/>
    <mergeCell ref="H25:L25"/>
    <mergeCell ref="H38:L38"/>
    <mergeCell ref="H42:L42"/>
    <mergeCell ref="H47:L47"/>
    <mergeCell ref="H51:L51"/>
    <mergeCell ref="H55:L55"/>
    <mergeCell ref="H63:L63"/>
    <mergeCell ref="H64:L64"/>
    <mergeCell ref="H65:L65"/>
    <mergeCell ref="H66:L66"/>
    <mergeCell ref="H67:L67"/>
    <mergeCell ref="H68:L68"/>
    <mergeCell ref="H57:L57"/>
    <mergeCell ref="H58:L58"/>
    <mergeCell ref="H70:L70"/>
    <mergeCell ref="H71:L71"/>
    <mergeCell ref="H72:L72"/>
    <mergeCell ref="H73:L73"/>
    <mergeCell ref="H74:L7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L16"/>
  <sheetViews>
    <sheetView zoomScale="80" zoomScaleNormal="80" zoomScalePageLayoutView="80" workbookViewId="0">
      <selection activeCell="F13" sqref="F13"/>
    </sheetView>
  </sheetViews>
  <sheetFormatPr baseColWidth="10" defaultColWidth="15.1640625" defaultRowHeight="18" customHeight="1" x14ac:dyDescent="0.2"/>
  <cols>
    <col min="1" max="1" width="51" style="21" customWidth="1"/>
    <col min="2" max="2" width="19.33203125" style="21" customWidth="1"/>
    <col min="3" max="3" width="15.1640625" style="21"/>
    <col min="4" max="4" width="2" style="21" customWidth="1"/>
    <col min="5" max="5" width="15.1640625" style="21"/>
    <col min="6" max="6" width="30.33203125" style="21" customWidth="1"/>
    <col min="7" max="7" width="38.6640625" style="38" customWidth="1"/>
    <col min="8" max="16384" width="15.1640625" style="21"/>
  </cols>
  <sheetData>
    <row r="1" spans="1:12" ht="22" customHeight="1" x14ac:dyDescent="0.2">
      <c r="A1" s="83" t="s">
        <v>448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2" ht="18" customHeight="1" x14ac:dyDescent="0.2">
      <c r="A2" s="32" t="s">
        <v>7</v>
      </c>
      <c r="B2" s="32" t="s">
        <v>138</v>
      </c>
      <c r="C2" s="33" t="s">
        <v>11</v>
      </c>
      <c r="D2" s="33" t="s">
        <v>167</v>
      </c>
      <c r="E2" s="33" t="s">
        <v>12</v>
      </c>
      <c r="F2" s="33" t="s">
        <v>13</v>
      </c>
      <c r="G2" s="40" t="s">
        <v>14</v>
      </c>
      <c r="H2" s="86" t="s">
        <v>15</v>
      </c>
      <c r="I2" s="87"/>
      <c r="J2" s="87"/>
      <c r="K2" s="87"/>
      <c r="L2" s="88"/>
    </row>
    <row r="3" spans="1:12" ht="18" customHeight="1" x14ac:dyDescent="0.2">
      <c r="A3" s="21" t="s">
        <v>386</v>
      </c>
      <c r="B3" s="21" t="s">
        <v>390</v>
      </c>
      <c r="C3" s="22">
        <v>5.91E-2</v>
      </c>
      <c r="D3" s="21" t="s">
        <v>167</v>
      </c>
      <c r="E3" s="21" t="s">
        <v>179</v>
      </c>
      <c r="F3" s="21" t="s">
        <v>25</v>
      </c>
      <c r="G3" s="38" t="s">
        <v>485</v>
      </c>
      <c r="H3" s="70" t="s">
        <v>385</v>
      </c>
      <c r="I3" s="70"/>
      <c r="J3" s="70"/>
      <c r="K3" s="70"/>
      <c r="L3" s="70"/>
    </row>
    <row r="4" spans="1:12" ht="18" customHeight="1" x14ac:dyDescent="0.2">
      <c r="A4" s="21" t="s">
        <v>387</v>
      </c>
      <c r="B4" s="21" t="s">
        <v>391</v>
      </c>
      <c r="C4" s="22">
        <v>0.89429999999999998</v>
      </c>
      <c r="D4" s="21" t="s">
        <v>167</v>
      </c>
      <c r="E4" s="21" t="s">
        <v>179</v>
      </c>
      <c r="F4" s="21" t="s">
        <v>25</v>
      </c>
      <c r="G4" s="38" t="s">
        <v>485</v>
      </c>
      <c r="H4" s="70" t="s">
        <v>385</v>
      </c>
      <c r="I4" s="70"/>
      <c r="J4" s="70"/>
      <c r="K4" s="70"/>
      <c r="L4" s="70"/>
    </row>
    <row r="5" spans="1:12" ht="18" customHeight="1" x14ac:dyDescent="0.2">
      <c r="A5" s="21" t="s">
        <v>388</v>
      </c>
      <c r="B5" s="21" t="s">
        <v>392</v>
      </c>
      <c r="C5" s="22">
        <v>9.8500000000000004E-2</v>
      </c>
      <c r="D5" s="21" t="s">
        <v>167</v>
      </c>
      <c r="E5" s="21" t="s">
        <v>179</v>
      </c>
      <c r="F5" s="21" t="s">
        <v>25</v>
      </c>
      <c r="G5" s="38" t="s">
        <v>437</v>
      </c>
      <c r="H5" s="70" t="s">
        <v>385</v>
      </c>
      <c r="I5" s="70"/>
      <c r="J5" s="70"/>
      <c r="K5" s="70"/>
      <c r="L5" s="70"/>
    </row>
    <row r="6" spans="1:12" ht="18" customHeight="1" x14ac:dyDescent="0.2">
      <c r="A6" s="21" t="s">
        <v>389</v>
      </c>
      <c r="B6" s="21" t="s">
        <v>393</v>
      </c>
      <c r="C6" s="22">
        <v>0.83540000000000003</v>
      </c>
      <c r="D6" s="21" t="s">
        <v>167</v>
      </c>
      <c r="E6" s="21" t="s">
        <v>179</v>
      </c>
      <c r="F6" s="21" t="s">
        <v>25</v>
      </c>
      <c r="G6" s="38" t="s">
        <v>437</v>
      </c>
      <c r="H6" s="70" t="s">
        <v>385</v>
      </c>
      <c r="I6" s="70"/>
      <c r="J6" s="70"/>
      <c r="K6" s="70"/>
      <c r="L6" s="70"/>
    </row>
    <row r="7" spans="1:12" ht="18" customHeight="1" x14ac:dyDescent="0.2">
      <c r="A7" s="21" t="s">
        <v>394</v>
      </c>
      <c r="B7" s="21" t="s">
        <v>395</v>
      </c>
      <c r="C7" s="22">
        <f xml:space="preserve"> 'Cg Calcs'!C73</f>
        <v>52.6035661315724</v>
      </c>
      <c r="D7" s="21" t="s">
        <v>167</v>
      </c>
      <c r="E7" s="21" t="s">
        <v>33</v>
      </c>
      <c r="F7" s="21" t="s">
        <v>25</v>
      </c>
      <c r="G7" s="38" t="s">
        <v>396</v>
      </c>
      <c r="H7" s="70" t="s">
        <v>385</v>
      </c>
      <c r="I7" s="70"/>
      <c r="J7" s="70"/>
      <c r="K7" s="70"/>
      <c r="L7" s="70"/>
    </row>
    <row r="8" spans="1:12" ht="18" customHeight="1" x14ac:dyDescent="0.2">
      <c r="A8" s="21" t="s">
        <v>408</v>
      </c>
      <c r="B8" s="21" t="s">
        <v>407</v>
      </c>
      <c r="C8" s="22">
        <f xml:space="preserve"> 'Cg Calcs'!C73-'Cg Calcs'!C19</f>
        <v>3.7886804634367621</v>
      </c>
      <c r="D8" s="21" t="s">
        <v>167</v>
      </c>
      <c r="E8" s="21" t="s">
        <v>33</v>
      </c>
      <c r="F8" s="21" t="s">
        <v>25</v>
      </c>
      <c r="G8" s="38" t="s">
        <v>412</v>
      </c>
      <c r="H8" s="70" t="s">
        <v>385</v>
      </c>
      <c r="I8" s="70"/>
      <c r="J8" s="70"/>
      <c r="K8" s="70"/>
      <c r="L8" s="70"/>
    </row>
    <row r="9" spans="1:12" ht="18" customHeight="1" x14ac:dyDescent="0.2">
      <c r="A9" s="21" t="s">
        <v>409</v>
      </c>
      <c r="B9" s="21" t="s">
        <v>410</v>
      </c>
      <c r="C9" s="22">
        <f>'Cg Calcs'!C10+(1-0.8037)*'Initial Estimates'!C8 - 'Cg Calcs'!C73</f>
        <v>32.211319536563231</v>
      </c>
      <c r="D9" s="21" t="s">
        <v>167</v>
      </c>
      <c r="E9" s="21" t="s">
        <v>33</v>
      </c>
      <c r="F9" s="21" t="s">
        <v>25</v>
      </c>
      <c r="G9" s="38" t="s">
        <v>411</v>
      </c>
      <c r="H9" s="70" t="s">
        <v>385</v>
      </c>
      <c r="I9" s="70"/>
      <c r="J9" s="70"/>
      <c r="K9" s="70"/>
      <c r="L9" s="70"/>
    </row>
    <row r="10" spans="1:12" s="23" customFormat="1" ht="18" customHeight="1" x14ac:dyDescent="0.2">
      <c r="A10" s="23" t="s">
        <v>438</v>
      </c>
      <c r="B10" s="23" t="s">
        <v>439</v>
      </c>
      <c r="C10" s="22">
        <f>C9+C8</f>
        <v>35.999999999999993</v>
      </c>
      <c r="D10" s="23" t="s">
        <v>167</v>
      </c>
      <c r="E10" s="23" t="s">
        <v>33</v>
      </c>
      <c r="F10" s="23" t="s">
        <v>25</v>
      </c>
      <c r="G10" s="38" t="s">
        <v>440</v>
      </c>
      <c r="H10" s="70" t="s">
        <v>499</v>
      </c>
      <c r="I10" s="70"/>
      <c r="J10" s="70"/>
      <c r="K10" s="70"/>
      <c r="L10" s="70"/>
    </row>
    <row r="11" spans="1:12" ht="18" customHeight="1" x14ac:dyDescent="0.2">
      <c r="A11" s="21" t="s">
        <v>413</v>
      </c>
      <c r="B11" s="21" t="s">
        <v>414</v>
      </c>
      <c r="C11" s="22">
        <f>'Initial Estimates'!C21</f>
        <v>2</v>
      </c>
      <c r="D11" s="21" t="s">
        <v>167</v>
      </c>
      <c r="E11" s="21" t="s">
        <v>179</v>
      </c>
      <c r="F11" s="21" t="s">
        <v>18</v>
      </c>
      <c r="G11" s="38" t="s">
        <v>179</v>
      </c>
      <c r="H11" s="70" t="s">
        <v>385</v>
      </c>
      <c r="I11" s="70"/>
      <c r="J11" s="70"/>
      <c r="K11" s="70"/>
      <c r="L11" s="70"/>
    </row>
    <row r="12" spans="1:12" ht="18" customHeight="1" x14ac:dyDescent="0.2">
      <c r="A12" s="21" t="s">
        <v>421</v>
      </c>
      <c r="B12" s="21" t="s">
        <v>422</v>
      </c>
      <c r="C12" s="21">
        <f>'Subsonic Stability'!C10*'Initial Estimates'!C15</f>
        <v>516.01517999999999</v>
      </c>
      <c r="D12" s="21" t="s">
        <v>167</v>
      </c>
      <c r="E12" s="21" t="s">
        <v>102</v>
      </c>
      <c r="F12" s="21" t="s">
        <v>25</v>
      </c>
      <c r="G12" s="38" t="s">
        <v>427</v>
      </c>
      <c r="H12" s="70" t="s">
        <v>428</v>
      </c>
      <c r="I12" s="70"/>
      <c r="J12" s="70"/>
      <c r="K12" s="70"/>
      <c r="L12" s="70"/>
    </row>
    <row r="13" spans="1:12" ht="18" customHeight="1" x14ac:dyDescent="0.2">
      <c r="A13" s="21" t="s">
        <v>429</v>
      </c>
      <c r="B13" s="21" t="s">
        <v>430</v>
      </c>
      <c r="C13" s="21">
        <f>0.5*'Initial Estimates'!C20*'Stability Constants'!C12^2</f>
        <v>316.45056144632935</v>
      </c>
      <c r="D13" s="21" t="s">
        <v>167</v>
      </c>
      <c r="E13" s="21" t="s">
        <v>431</v>
      </c>
      <c r="F13" s="21" t="s">
        <v>25</v>
      </c>
      <c r="G13" s="38" t="s">
        <v>432</v>
      </c>
      <c r="H13" s="70" t="s">
        <v>428</v>
      </c>
      <c r="I13" s="70"/>
      <c r="J13" s="70"/>
      <c r="K13" s="70"/>
      <c r="L13" s="70"/>
    </row>
    <row r="14" spans="1:12" ht="18" customHeight="1" x14ac:dyDescent="0.2">
      <c r="A14" s="21" t="s">
        <v>433</v>
      </c>
      <c r="B14" s="21" t="s">
        <v>159</v>
      </c>
      <c r="C14" s="21">
        <f>PI()*('Initial Estimates'!C58/2)^2*'Initial Estimates'!C50</f>
        <v>2392.9373797714861</v>
      </c>
      <c r="D14" s="21" t="s">
        <v>167</v>
      </c>
      <c r="E14" s="21" t="s">
        <v>404</v>
      </c>
      <c r="F14" s="21" t="s">
        <v>25</v>
      </c>
      <c r="G14" s="38" t="s">
        <v>434</v>
      </c>
      <c r="H14" s="70" t="s">
        <v>428</v>
      </c>
      <c r="I14" s="70"/>
      <c r="J14" s="70"/>
      <c r="K14" s="70"/>
      <c r="L14" s="70"/>
    </row>
    <row r="15" spans="1:12" ht="18" customHeight="1" x14ac:dyDescent="0.2">
      <c r="A15" s="21" t="s">
        <v>435</v>
      </c>
      <c r="B15" s="21" t="s">
        <v>436</v>
      </c>
      <c r="C15" s="23">
        <f>PI()*('Initial Estimates'!C58/2)^2*'Initial Estimates'!C51</f>
        <v>1696.6760174334224</v>
      </c>
      <c r="D15" s="21" t="s">
        <v>167</v>
      </c>
      <c r="E15" s="21" t="s">
        <v>404</v>
      </c>
      <c r="F15" s="21" t="s">
        <v>25</v>
      </c>
      <c r="G15" s="38" t="s">
        <v>437</v>
      </c>
      <c r="H15" s="70" t="s">
        <v>428</v>
      </c>
      <c r="I15" s="70"/>
      <c r="J15" s="70"/>
      <c r="K15" s="70"/>
      <c r="L15" s="70"/>
    </row>
    <row r="16" spans="1:12" ht="18" customHeight="1" x14ac:dyDescent="0.2">
      <c r="A16" s="21" t="s">
        <v>441</v>
      </c>
      <c r="B16" s="21" t="s">
        <v>442</v>
      </c>
      <c r="C16" s="22">
        <v>1</v>
      </c>
      <c r="D16" s="21" t="s">
        <v>167</v>
      </c>
      <c r="E16" s="21" t="s">
        <v>179</v>
      </c>
      <c r="F16" s="21" t="s">
        <v>444</v>
      </c>
      <c r="G16" s="38" t="s">
        <v>445</v>
      </c>
      <c r="H16" s="70" t="s">
        <v>385</v>
      </c>
      <c r="I16" s="70"/>
      <c r="J16" s="70"/>
      <c r="K16" s="70"/>
      <c r="L16" s="70"/>
    </row>
  </sheetData>
  <mergeCells count="16">
    <mergeCell ref="H16:L16"/>
    <mergeCell ref="H15:L15"/>
    <mergeCell ref="H11:L11"/>
    <mergeCell ref="H12:L12"/>
    <mergeCell ref="H13:L13"/>
    <mergeCell ref="H14:L14"/>
    <mergeCell ref="H10:L10"/>
    <mergeCell ref="H8:L8"/>
    <mergeCell ref="H9:L9"/>
    <mergeCell ref="A1:L1"/>
    <mergeCell ref="H2:L2"/>
    <mergeCell ref="H3:L3"/>
    <mergeCell ref="H4:L4"/>
    <mergeCell ref="H5:L5"/>
    <mergeCell ref="H6:L6"/>
    <mergeCell ref="H7:L7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L55"/>
  <sheetViews>
    <sheetView tabSelected="1" zoomScale="90" zoomScaleNormal="90" zoomScalePageLayoutView="90" workbookViewId="0">
      <selection activeCell="E10" sqref="E10"/>
    </sheetView>
  </sheetViews>
  <sheetFormatPr baseColWidth="10" defaultColWidth="15.1640625" defaultRowHeight="18" customHeight="1" x14ac:dyDescent="0.2"/>
  <cols>
    <col min="1" max="1" width="51" style="23" customWidth="1"/>
    <col min="2" max="2" width="19.33203125" style="23" customWidth="1"/>
    <col min="3" max="3" width="15.1640625" style="23"/>
    <col min="4" max="4" width="2" style="23" customWidth="1"/>
    <col min="5" max="5" width="15.1640625" style="23"/>
    <col min="6" max="6" width="30.33203125" style="23" customWidth="1"/>
    <col min="7" max="7" width="52.83203125" style="38" customWidth="1"/>
    <col min="8" max="16384" width="15.1640625" style="23"/>
  </cols>
  <sheetData>
    <row r="1" spans="1:12" ht="22" customHeight="1" x14ac:dyDescent="0.2">
      <c r="A1" s="83" t="s">
        <v>446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2" ht="18" customHeight="1" x14ac:dyDescent="0.2">
      <c r="A2" s="32" t="s">
        <v>7</v>
      </c>
      <c r="B2" s="32" t="s">
        <v>138</v>
      </c>
      <c r="C2" s="34" t="s">
        <v>11</v>
      </c>
      <c r="D2" s="34" t="s">
        <v>167</v>
      </c>
      <c r="E2" s="34" t="s">
        <v>12</v>
      </c>
      <c r="F2" s="34" t="s">
        <v>13</v>
      </c>
      <c r="G2" s="40" t="s">
        <v>14</v>
      </c>
      <c r="H2" s="86" t="s">
        <v>15</v>
      </c>
      <c r="I2" s="87"/>
      <c r="J2" s="87"/>
      <c r="K2" s="87"/>
      <c r="L2" s="88"/>
    </row>
    <row r="3" spans="1:12" ht="18" customHeight="1" x14ac:dyDescent="0.2">
      <c r="A3" s="43" t="s">
        <v>454</v>
      </c>
      <c r="B3" s="23" t="s">
        <v>455</v>
      </c>
      <c r="C3" s="22">
        <v>1</v>
      </c>
      <c r="D3" s="23" t="s">
        <v>167</v>
      </c>
      <c r="E3" s="23" t="s">
        <v>179</v>
      </c>
      <c r="F3" s="23" t="s">
        <v>18</v>
      </c>
      <c r="G3" s="38" t="s">
        <v>179</v>
      </c>
      <c r="H3" s="91" t="s">
        <v>456</v>
      </c>
      <c r="I3" s="91"/>
      <c r="J3" s="91"/>
      <c r="K3" s="91"/>
      <c r="L3" s="91"/>
    </row>
    <row r="4" spans="1:12" ht="18" customHeight="1" x14ac:dyDescent="0.2">
      <c r="A4" s="43" t="s">
        <v>419</v>
      </c>
      <c r="B4" s="23" t="s">
        <v>420</v>
      </c>
      <c r="C4" s="22">
        <f>'Initial Estimates'!C5*'Initial Estimates'!C10/'Stability Constants'!C9</f>
        <v>584.70464126028173</v>
      </c>
      <c r="D4" s="23" t="s">
        <v>167</v>
      </c>
      <c r="E4" s="23" t="s">
        <v>264</v>
      </c>
      <c r="F4" s="23" t="s">
        <v>25</v>
      </c>
      <c r="G4" s="38" t="s">
        <v>500</v>
      </c>
      <c r="H4" s="91" t="s">
        <v>426</v>
      </c>
      <c r="I4" s="91"/>
      <c r="J4" s="91"/>
      <c r="K4" s="91"/>
      <c r="L4" s="91"/>
    </row>
    <row r="5" spans="1:12" ht="18" customHeight="1" x14ac:dyDescent="0.2">
      <c r="A5" s="43" t="s">
        <v>397</v>
      </c>
      <c r="B5" s="23" t="s">
        <v>398</v>
      </c>
      <c r="C5" s="22">
        <v>0</v>
      </c>
      <c r="D5" s="23" t="s">
        <v>167</v>
      </c>
      <c r="E5" s="23" t="s">
        <v>179</v>
      </c>
      <c r="F5" s="23" t="s">
        <v>18</v>
      </c>
      <c r="G5" s="38" t="s">
        <v>399</v>
      </c>
      <c r="H5" s="70" t="s">
        <v>457</v>
      </c>
      <c r="I5" s="70"/>
      <c r="J5" s="70"/>
      <c r="K5" s="70"/>
      <c r="L5" s="70"/>
    </row>
    <row r="6" spans="1:12" ht="18" customHeight="1" x14ac:dyDescent="0.2">
      <c r="A6" s="43" t="s">
        <v>383</v>
      </c>
      <c r="B6" s="23" t="s">
        <v>384</v>
      </c>
      <c r="C6" s="22">
        <v>0</v>
      </c>
      <c r="D6" s="22" t="s">
        <v>167</v>
      </c>
      <c r="E6" s="23" t="s">
        <v>179</v>
      </c>
      <c r="F6" s="23" t="s">
        <v>18</v>
      </c>
      <c r="G6" s="38" t="s">
        <v>462</v>
      </c>
      <c r="H6" s="89" t="s">
        <v>385</v>
      </c>
      <c r="I6" s="89"/>
      <c r="J6" s="89"/>
      <c r="K6" s="89"/>
      <c r="L6" s="89"/>
    </row>
    <row r="7" spans="1:12" ht="18" customHeight="1" x14ac:dyDescent="0.2">
      <c r="A7" s="43" t="s">
        <v>458</v>
      </c>
      <c r="B7" s="23" t="s">
        <v>459</v>
      </c>
      <c r="C7" s="22">
        <f>2*C11/(PI()*'Initial Estimates'!C6)*(1+C6)</f>
        <v>2.5636288826855317E-2</v>
      </c>
      <c r="D7" s="23" t="s">
        <v>167</v>
      </c>
      <c r="E7" s="23" t="s">
        <v>179</v>
      </c>
      <c r="F7" s="23" t="s">
        <v>18</v>
      </c>
      <c r="G7" s="38" t="s">
        <v>460</v>
      </c>
      <c r="H7" s="70" t="s">
        <v>461</v>
      </c>
      <c r="I7" s="70"/>
      <c r="J7" s="70"/>
      <c r="K7" s="70"/>
      <c r="L7" s="70"/>
    </row>
    <row r="8" spans="1:12" ht="22" customHeight="1" x14ac:dyDescent="0.2">
      <c r="A8" s="83" t="s">
        <v>468</v>
      </c>
      <c r="B8" s="84"/>
      <c r="C8" s="84"/>
      <c r="D8" s="84"/>
      <c r="E8" s="84"/>
      <c r="F8" s="84"/>
      <c r="G8" s="84"/>
      <c r="H8" s="92"/>
      <c r="I8" s="92"/>
      <c r="J8" s="92"/>
      <c r="K8" s="92"/>
      <c r="L8" s="93"/>
    </row>
    <row r="9" spans="1:12" ht="18" customHeight="1" x14ac:dyDescent="0.2">
      <c r="A9" s="32" t="s">
        <v>7</v>
      </c>
      <c r="B9" s="32" t="s">
        <v>138</v>
      </c>
      <c r="C9" s="34" t="s">
        <v>11</v>
      </c>
      <c r="D9" s="34" t="s">
        <v>167</v>
      </c>
      <c r="E9" s="34" t="s">
        <v>12</v>
      </c>
      <c r="F9" s="34" t="s">
        <v>13</v>
      </c>
      <c r="G9" s="40" t="s">
        <v>14</v>
      </c>
      <c r="H9" s="86" t="s">
        <v>15</v>
      </c>
      <c r="I9" s="87"/>
      <c r="J9" s="87"/>
      <c r="K9" s="87"/>
      <c r="L9" s="88"/>
    </row>
    <row r="10" spans="1:12" ht="18" customHeight="1" x14ac:dyDescent="0.2">
      <c r="A10" s="23" t="s">
        <v>423</v>
      </c>
      <c r="B10" s="23" t="s">
        <v>424</v>
      </c>
      <c r="C10" s="45">
        <v>0.9</v>
      </c>
      <c r="D10" s="23" t="s">
        <v>167</v>
      </c>
      <c r="E10" s="23" t="s">
        <v>179</v>
      </c>
      <c r="F10" s="23" t="s">
        <v>425</v>
      </c>
      <c r="G10" s="38" t="s">
        <v>179</v>
      </c>
      <c r="H10" s="90" t="s">
        <v>352</v>
      </c>
      <c r="I10" s="90"/>
      <c r="J10" s="90"/>
      <c r="K10" s="90"/>
      <c r="L10" s="90"/>
    </row>
    <row r="11" spans="1:12" ht="18" customHeight="1" x14ac:dyDescent="0.2">
      <c r="A11" s="23" t="s">
        <v>449</v>
      </c>
      <c r="B11" s="23" t="s">
        <v>450</v>
      </c>
      <c r="C11" s="45">
        <v>0.28999999999999998</v>
      </c>
      <c r="D11" s="23" t="s">
        <v>167</v>
      </c>
      <c r="E11" s="23" t="s">
        <v>179</v>
      </c>
      <c r="F11" s="23" t="s">
        <v>443</v>
      </c>
      <c r="G11" s="38" t="s">
        <v>179</v>
      </c>
      <c r="H11" s="89" t="s">
        <v>452</v>
      </c>
      <c r="I11" s="89"/>
      <c r="J11" s="89"/>
      <c r="K11" s="89"/>
      <c r="L11" s="89"/>
    </row>
    <row r="12" spans="1:12" ht="18" customHeight="1" x14ac:dyDescent="0.2">
      <c r="A12" s="23" t="s">
        <v>491</v>
      </c>
      <c r="B12" s="60" t="s">
        <v>492</v>
      </c>
      <c r="C12" s="61">
        <v>9.6998634451035182E-2</v>
      </c>
      <c r="D12" s="23" t="s">
        <v>167</v>
      </c>
      <c r="E12" s="23" t="s">
        <v>179</v>
      </c>
      <c r="F12" s="23" t="s">
        <v>443</v>
      </c>
      <c r="G12" s="38" t="s">
        <v>179</v>
      </c>
      <c r="H12" s="89" t="s">
        <v>493</v>
      </c>
      <c r="I12" s="89"/>
      <c r="J12" s="89"/>
      <c r="K12" s="89"/>
      <c r="L12" s="89"/>
    </row>
    <row r="13" spans="1:12" ht="18" customHeight="1" x14ac:dyDescent="0.2">
      <c r="A13" s="23" t="s">
        <v>447</v>
      </c>
      <c r="B13" s="23" t="s">
        <v>480</v>
      </c>
      <c r="C13" s="45">
        <f>2.46*PI()/180</f>
        <v>4.2935099599060507E-2</v>
      </c>
      <c r="D13" s="23" t="s">
        <v>167</v>
      </c>
      <c r="E13" s="23" t="s">
        <v>451</v>
      </c>
      <c r="F13" s="23" t="s">
        <v>13</v>
      </c>
      <c r="G13" s="38" t="s">
        <v>179</v>
      </c>
      <c r="H13" s="89" t="s">
        <v>453</v>
      </c>
      <c r="I13" s="89"/>
      <c r="J13" s="89"/>
      <c r="K13" s="89"/>
      <c r="L13" s="89"/>
    </row>
    <row r="14" spans="1:12" s="59" customFormat="1" ht="18" customHeight="1" x14ac:dyDescent="0.2">
      <c r="A14" s="59" t="s">
        <v>524</v>
      </c>
      <c r="B14" s="59" t="s">
        <v>525</v>
      </c>
      <c r="C14" s="45">
        <f>C12/C16</f>
        <v>1.4360848383200198E-2</v>
      </c>
      <c r="D14" s="59" t="s">
        <v>167</v>
      </c>
      <c r="E14" s="59" t="s">
        <v>451</v>
      </c>
      <c r="F14" s="59" t="s">
        <v>25</v>
      </c>
      <c r="G14" s="38" t="s">
        <v>526</v>
      </c>
      <c r="H14" s="89" t="s">
        <v>527</v>
      </c>
      <c r="I14" s="89"/>
      <c r="J14" s="89"/>
      <c r="K14" s="89"/>
      <c r="L14" s="89"/>
    </row>
    <row r="15" spans="1:12" ht="18" customHeight="1" x14ac:dyDescent="0.2">
      <c r="A15" s="23" t="s">
        <v>463</v>
      </c>
      <c r="B15" s="23" t="s">
        <v>464</v>
      </c>
      <c r="C15" s="45">
        <f>C11/C13</f>
        <v>6.7543805117048263</v>
      </c>
      <c r="D15" s="23" t="s">
        <v>167</v>
      </c>
      <c r="E15" s="23" t="s">
        <v>465</v>
      </c>
      <c r="F15" s="23" t="s">
        <v>25</v>
      </c>
      <c r="G15" s="38" t="s">
        <v>466</v>
      </c>
      <c r="H15" s="70" t="s">
        <v>467</v>
      </c>
      <c r="I15" s="70"/>
      <c r="J15" s="70"/>
      <c r="K15" s="70"/>
      <c r="L15" s="70"/>
    </row>
    <row r="16" spans="1:12" ht="18" customHeight="1" x14ac:dyDescent="0.2">
      <c r="A16" s="23" t="s">
        <v>469</v>
      </c>
      <c r="B16" s="23" t="s">
        <v>470</v>
      </c>
      <c r="C16" s="45">
        <f>C15</f>
        <v>6.7543805117048263</v>
      </c>
      <c r="D16" s="23" t="s">
        <v>167</v>
      </c>
      <c r="E16" s="23" t="s">
        <v>465</v>
      </c>
      <c r="F16" s="23" t="s">
        <v>25</v>
      </c>
      <c r="G16" s="38" t="s">
        <v>471</v>
      </c>
      <c r="H16" s="70" t="s">
        <v>472</v>
      </c>
      <c r="I16" s="70"/>
      <c r="J16" s="70"/>
      <c r="K16" s="70"/>
      <c r="L16" s="70"/>
    </row>
    <row r="17" spans="1:12" ht="18" customHeight="1" x14ac:dyDescent="0.2">
      <c r="A17" s="43" t="s">
        <v>473</v>
      </c>
      <c r="B17" s="23" t="s">
        <v>474</v>
      </c>
      <c r="C17" s="45">
        <f>$C$7/C13</f>
        <v>0.59709396429154393</v>
      </c>
      <c r="D17" s="23" t="s">
        <v>167</v>
      </c>
      <c r="E17" s="23" t="s">
        <v>475</v>
      </c>
      <c r="F17" s="23" t="s">
        <v>25</v>
      </c>
      <c r="G17" s="38" t="s">
        <v>476</v>
      </c>
      <c r="H17" s="70" t="s">
        <v>477</v>
      </c>
      <c r="I17" s="70"/>
      <c r="J17" s="70"/>
      <c r="K17" s="70"/>
      <c r="L17" s="70"/>
    </row>
    <row r="18" spans="1:12" ht="18" customHeight="1" x14ac:dyDescent="0.2">
      <c r="A18" s="23" t="s">
        <v>478</v>
      </c>
      <c r="B18" s="23" t="s">
        <v>479</v>
      </c>
      <c r="C18" s="45">
        <f>2*'Stability Constants'!$C$13*('Stability Constants'!$C$4-'Stability Constants'!$C$3)*'Stability Constants'!$C$14*'Subsonic Stability'!C13</f>
        <v>54308.794194706694</v>
      </c>
      <c r="D18" s="23" t="s">
        <v>167</v>
      </c>
      <c r="E18" s="23" t="s">
        <v>266</v>
      </c>
      <c r="F18" s="23" t="s">
        <v>25</v>
      </c>
      <c r="G18" s="38" t="s">
        <v>481</v>
      </c>
      <c r="H18" s="70" t="s">
        <v>482</v>
      </c>
      <c r="I18" s="70"/>
      <c r="J18" s="70"/>
      <c r="K18" s="70"/>
      <c r="L18" s="70"/>
    </row>
    <row r="19" spans="1:12" ht="18" customHeight="1" x14ac:dyDescent="0.2">
      <c r="A19" s="23" t="s">
        <v>483</v>
      </c>
      <c r="B19" s="23" t="s">
        <v>484</v>
      </c>
      <c r="C19" s="45">
        <f>2*'Stability Constants'!$C$13*('Stability Constants'!$C$6-'Stability Constants'!$C$5)*'Stability Constants'!$C$15*'Subsonic Stability'!C13</f>
        <v>33974.714705500453</v>
      </c>
      <c r="D19" s="23" t="s">
        <v>167</v>
      </c>
      <c r="E19" s="23" t="s">
        <v>266</v>
      </c>
      <c r="F19" s="23" t="s">
        <v>25</v>
      </c>
      <c r="G19" s="38" t="s">
        <v>486</v>
      </c>
      <c r="H19" s="70" t="s">
        <v>482</v>
      </c>
      <c r="I19" s="70"/>
      <c r="J19" s="70"/>
      <c r="K19" s="70"/>
      <c r="L19" s="70"/>
    </row>
    <row r="20" spans="1:12" ht="22" customHeight="1" x14ac:dyDescent="0.2">
      <c r="A20" s="83" t="s">
        <v>487</v>
      </c>
      <c r="B20" s="84"/>
      <c r="C20" s="84"/>
      <c r="D20" s="84"/>
      <c r="E20" s="84"/>
      <c r="F20" s="84"/>
      <c r="G20" s="84"/>
      <c r="H20" s="92"/>
      <c r="I20" s="92"/>
      <c r="J20" s="92"/>
      <c r="K20" s="92"/>
      <c r="L20" s="93"/>
    </row>
    <row r="21" spans="1:12" ht="18" customHeight="1" x14ac:dyDescent="0.2">
      <c r="A21" s="32" t="s">
        <v>7</v>
      </c>
      <c r="B21" s="32" t="s">
        <v>138</v>
      </c>
      <c r="C21" s="34" t="s">
        <v>11</v>
      </c>
      <c r="D21" s="34" t="s">
        <v>167</v>
      </c>
      <c r="E21" s="34" t="s">
        <v>12</v>
      </c>
      <c r="F21" s="34" t="s">
        <v>13</v>
      </c>
      <c r="G21" s="40" t="s">
        <v>14</v>
      </c>
      <c r="H21" s="86" t="s">
        <v>15</v>
      </c>
      <c r="I21" s="87"/>
      <c r="J21" s="87"/>
      <c r="K21" s="87"/>
      <c r="L21" s="88"/>
    </row>
    <row r="22" spans="1:12" ht="18" customHeight="1" x14ac:dyDescent="0.2">
      <c r="A22" s="23" t="s">
        <v>423</v>
      </c>
      <c r="B22" s="23" t="s">
        <v>424</v>
      </c>
      <c r="C22" s="45">
        <v>0.9</v>
      </c>
      <c r="D22" s="23" t="s">
        <v>167</v>
      </c>
      <c r="E22" s="23" t="s">
        <v>179</v>
      </c>
      <c r="F22" s="23" t="s">
        <v>425</v>
      </c>
      <c r="G22" s="38" t="s">
        <v>179</v>
      </c>
      <c r="H22" s="90" t="s">
        <v>352</v>
      </c>
      <c r="I22" s="90"/>
      <c r="J22" s="90"/>
      <c r="K22" s="90"/>
      <c r="L22" s="90"/>
    </row>
    <row r="23" spans="1:12" ht="18" customHeight="1" x14ac:dyDescent="0.2">
      <c r="A23" s="23" t="s">
        <v>449</v>
      </c>
      <c r="B23" s="23" t="s">
        <v>450</v>
      </c>
      <c r="C23" s="45">
        <v>0.4</v>
      </c>
      <c r="D23" s="23" t="s">
        <v>167</v>
      </c>
      <c r="E23" s="23" t="s">
        <v>179</v>
      </c>
      <c r="F23" s="23" t="s">
        <v>443</v>
      </c>
      <c r="G23" s="38" t="s">
        <v>179</v>
      </c>
      <c r="H23" s="89" t="s">
        <v>452</v>
      </c>
      <c r="I23" s="89"/>
      <c r="J23" s="89"/>
      <c r="K23" s="89"/>
      <c r="L23" s="89"/>
    </row>
    <row r="24" spans="1:12" ht="18" customHeight="1" x14ac:dyDescent="0.2">
      <c r="A24" s="23" t="s">
        <v>491</v>
      </c>
      <c r="B24" s="60" t="s">
        <v>492</v>
      </c>
      <c r="C24" s="61">
        <v>0.13835156002066809</v>
      </c>
      <c r="D24" s="23" t="s">
        <v>167</v>
      </c>
      <c r="E24" s="23" t="s">
        <v>179</v>
      </c>
      <c r="F24" s="23" t="s">
        <v>443</v>
      </c>
      <c r="G24" s="38" t="s">
        <v>179</v>
      </c>
      <c r="H24" s="89" t="s">
        <v>493</v>
      </c>
      <c r="I24" s="89"/>
      <c r="J24" s="89"/>
      <c r="K24" s="89"/>
      <c r="L24" s="89"/>
    </row>
    <row r="25" spans="1:12" ht="18" customHeight="1" x14ac:dyDescent="0.2">
      <c r="A25" s="23" t="s">
        <v>447</v>
      </c>
      <c r="B25" s="23" t="s">
        <v>480</v>
      </c>
      <c r="C25" s="45">
        <f>3.2*PI()/180</f>
        <v>5.5850536063818547E-2</v>
      </c>
      <c r="D25" s="23" t="s">
        <v>167</v>
      </c>
      <c r="E25" s="23" t="s">
        <v>451</v>
      </c>
      <c r="F25" s="23" t="s">
        <v>13</v>
      </c>
      <c r="G25" s="38" t="s">
        <v>179</v>
      </c>
      <c r="H25" s="89" t="s">
        <v>453</v>
      </c>
      <c r="I25" s="89"/>
      <c r="J25" s="89"/>
      <c r="K25" s="89"/>
      <c r="L25" s="89"/>
    </row>
    <row r="26" spans="1:12" s="59" customFormat="1" ht="18" customHeight="1" x14ac:dyDescent="0.2">
      <c r="A26" s="59" t="s">
        <v>524</v>
      </c>
      <c r="B26" s="59" t="s">
        <v>525</v>
      </c>
      <c r="C26" s="45">
        <f>C24/C28</f>
        <v>1.9317521981049697E-2</v>
      </c>
      <c r="D26" s="59" t="s">
        <v>167</v>
      </c>
      <c r="E26" s="59" t="s">
        <v>451</v>
      </c>
      <c r="F26" s="59" t="s">
        <v>25</v>
      </c>
      <c r="G26" s="38" t="s">
        <v>526</v>
      </c>
      <c r="H26" s="89" t="s">
        <v>527</v>
      </c>
      <c r="I26" s="89"/>
      <c r="J26" s="89"/>
      <c r="K26" s="89"/>
      <c r="L26" s="89"/>
    </row>
    <row r="27" spans="1:12" ht="18" customHeight="1" x14ac:dyDescent="0.2">
      <c r="A27" s="23" t="s">
        <v>463</v>
      </c>
      <c r="B27" s="23" t="s">
        <v>464</v>
      </c>
      <c r="C27" s="45">
        <f>C23/C25</f>
        <v>7.1619724391352904</v>
      </c>
      <c r="D27" s="23" t="s">
        <v>167</v>
      </c>
      <c r="E27" s="23" t="s">
        <v>465</v>
      </c>
      <c r="F27" s="23" t="s">
        <v>25</v>
      </c>
      <c r="G27" s="38" t="s">
        <v>466</v>
      </c>
      <c r="H27" s="70" t="s">
        <v>467</v>
      </c>
      <c r="I27" s="70"/>
      <c r="J27" s="70"/>
      <c r="K27" s="70"/>
      <c r="L27" s="70"/>
    </row>
    <row r="28" spans="1:12" ht="18" customHeight="1" x14ac:dyDescent="0.2">
      <c r="A28" s="23" t="s">
        <v>469</v>
      </c>
      <c r="B28" s="23" t="s">
        <v>470</v>
      </c>
      <c r="C28" s="45">
        <f>C27</f>
        <v>7.1619724391352904</v>
      </c>
      <c r="D28" s="23" t="s">
        <v>167</v>
      </c>
      <c r="E28" s="23" t="s">
        <v>465</v>
      </c>
      <c r="F28" s="23" t="s">
        <v>25</v>
      </c>
      <c r="G28" s="38" t="s">
        <v>471</v>
      </c>
      <c r="H28" s="70" t="s">
        <v>472</v>
      </c>
      <c r="I28" s="70"/>
      <c r="J28" s="70"/>
      <c r="K28" s="70"/>
      <c r="L28" s="70"/>
    </row>
    <row r="29" spans="1:12" ht="18" customHeight="1" x14ac:dyDescent="0.2">
      <c r="A29" s="43" t="s">
        <v>473</v>
      </c>
      <c r="B29" s="23" t="s">
        <v>474</v>
      </c>
      <c r="C29" s="45">
        <f>$C$7/C25</f>
        <v>0.45901598504912439</v>
      </c>
      <c r="D29" s="23" t="s">
        <v>167</v>
      </c>
      <c r="E29" s="23" t="s">
        <v>475</v>
      </c>
      <c r="F29" s="23" t="s">
        <v>25</v>
      </c>
      <c r="G29" s="38" t="s">
        <v>476</v>
      </c>
      <c r="H29" s="70" t="s">
        <v>477</v>
      </c>
      <c r="I29" s="70"/>
      <c r="J29" s="70"/>
      <c r="K29" s="70"/>
      <c r="L29" s="70"/>
    </row>
    <row r="30" spans="1:12" ht="18" customHeight="1" x14ac:dyDescent="0.2">
      <c r="A30" s="23" t="s">
        <v>478</v>
      </c>
      <c r="B30" s="23" t="s">
        <v>479</v>
      </c>
      <c r="C30" s="45">
        <f>2*'Stability Constants'!$C$13*('Stability Constants'!$C$4-'Stability Constants'!$C$3)*'Stability Constants'!$C$14*'Subsonic Stability'!C25</f>
        <v>70645.585944333914</v>
      </c>
      <c r="D30" s="23" t="s">
        <v>167</v>
      </c>
      <c r="E30" s="23" t="s">
        <v>266</v>
      </c>
      <c r="F30" s="23" t="s">
        <v>25</v>
      </c>
      <c r="G30" s="38" t="s">
        <v>481</v>
      </c>
      <c r="H30" s="70" t="s">
        <v>482</v>
      </c>
      <c r="I30" s="70"/>
      <c r="J30" s="70"/>
      <c r="K30" s="70"/>
      <c r="L30" s="70"/>
    </row>
    <row r="31" spans="1:12" ht="18" customHeight="1" x14ac:dyDescent="0.2">
      <c r="A31" s="23" t="s">
        <v>483</v>
      </c>
      <c r="B31" s="23" t="s">
        <v>484</v>
      </c>
      <c r="C31" s="45">
        <f>2*'Stability Constants'!$C$13*('Stability Constants'!$C$6-'Stability Constants'!$C$5)*'Stability Constants'!$C$15*'Subsonic Stability'!C25</f>
        <v>44194.750836423358</v>
      </c>
      <c r="D31" s="23" t="s">
        <v>167</v>
      </c>
      <c r="E31" s="23" t="s">
        <v>266</v>
      </c>
      <c r="F31" s="23" t="s">
        <v>25</v>
      </c>
      <c r="G31" s="38" t="s">
        <v>486</v>
      </c>
      <c r="H31" s="70" t="s">
        <v>482</v>
      </c>
      <c r="I31" s="70"/>
      <c r="J31" s="70"/>
      <c r="K31" s="70"/>
      <c r="L31" s="70"/>
    </row>
    <row r="32" spans="1:12" ht="22" customHeight="1" x14ac:dyDescent="0.2">
      <c r="A32" s="83" t="s">
        <v>488</v>
      </c>
      <c r="B32" s="84"/>
      <c r="C32" s="84"/>
      <c r="D32" s="84"/>
      <c r="E32" s="84"/>
      <c r="F32" s="84"/>
      <c r="G32" s="84"/>
      <c r="H32" s="92"/>
      <c r="I32" s="92"/>
      <c r="J32" s="92"/>
      <c r="K32" s="92"/>
      <c r="L32" s="93"/>
    </row>
    <row r="33" spans="1:12" ht="18" customHeight="1" x14ac:dyDescent="0.2">
      <c r="A33" s="32" t="s">
        <v>7</v>
      </c>
      <c r="B33" s="32" t="s">
        <v>138</v>
      </c>
      <c r="C33" s="34" t="s">
        <v>11</v>
      </c>
      <c r="D33" s="34" t="s">
        <v>167</v>
      </c>
      <c r="E33" s="34" t="s">
        <v>12</v>
      </c>
      <c r="F33" s="34" t="s">
        <v>13</v>
      </c>
      <c r="G33" s="40" t="s">
        <v>14</v>
      </c>
      <c r="H33" s="86" t="s">
        <v>15</v>
      </c>
      <c r="I33" s="87"/>
      <c r="J33" s="87"/>
      <c r="K33" s="87"/>
      <c r="L33" s="88"/>
    </row>
    <row r="34" spans="1:12" ht="18" customHeight="1" x14ac:dyDescent="0.2">
      <c r="A34" s="23" t="s">
        <v>423</v>
      </c>
      <c r="B34" s="23" t="s">
        <v>424</v>
      </c>
      <c r="C34" s="45">
        <v>0.8</v>
      </c>
      <c r="D34" s="23" t="s">
        <v>167</v>
      </c>
      <c r="E34" s="23" t="s">
        <v>179</v>
      </c>
      <c r="F34" s="23" t="s">
        <v>425</v>
      </c>
      <c r="G34" s="38" t="s">
        <v>179</v>
      </c>
      <c r="H34" s="90" t="s">
        <v>352</v>
      </c>
      <c r="I34" s="90"/>
      <c r="J34" s="90"/>
      <c r="K34" s="90"/>
      <c r="L34" s="90"/>
    </row>
    <row r="35" spans="1:12" ht="18" customHeight="1" x14ac:dyDescent="0.2">
      <c r="A35" s="23" t="s">
        <v>449</v>
      </c>
      <c r="B35" s="23" t="s">
        <v>450</v>
      </c>
      <c r="C35" s="45">
        <v>0.5</v>
      </c>
      <c r="D35" s="23" t="s">
        <v>167</v>
      </c>
      <c r="E35" s="23" t="s">
        <v>179</v>
      </c>
      <c r="F35" s="23" t="s">
        <v>443</v>
      </c>
      <c r="G35" s="38" t="s">
        <v>179</v>
      </c>
      <c r="H35" s="89" t="s">
        <v>452</v>
      </c>
      <c r="I35" s="89"/>
      <c r="J35" s="89"/>
      <c r="K35" s="89"/>
      <c r="L35" s="89"/>
    </row>
    <row r="36" spans="1:12" ht="18" customHeight="1" x14ac:dyDescent="0.2">
      <c r="A36" s="23" t="s">
        <v>491</v>
      </c>
      <c r="B36" s="60" t="s">
        <v>492</v>
      </c>
      <c r="C36" s="61">
        <v>0.17281437134119643</v>
      </c>
      <c r="D36" s="23" t="s">
        <v>167</v>
      </c>
      <c r="E36" s="23" t="s">
        <v>179</v>
      </c>
      <c r="F36" s="23" t="s">
        <v>443</v>
      </c>
      <c r="G36" s="38" t="s">
        <v>179</v>
      </c>
      <c r="H36" s="89" t="s">
        <v>493</v>
      </c>
      <c r="I36" s="89"/>
      <c r="J36" s="89"/>
      <c r="K36" s="89"/>
      <c r="L36" s="89"/>
    </row>
    <row r="37" spans="1:12" ht="18" customHeight="1" x14ac:dyDescent="0.2">
      <c r="A37" s="23" t="s">
        <v>447</v>
      </c>
      <c r="B37" s="23" t="s">
        <v>480</v>
      </c>
      <c r="C37" s="45">
        <f>4.91*PI()/180</f>
        <v>8.5695666272921578E-2</v>
      </c>
      <c r="D37" s="23" t="s">
        <v>167</v>
      </c>
      <c r="E37" s="23" t="s">
        <v>451</v>
      </c>
      <c r="F37" s="23" t="s">
        <v>13</v>
      </c>
      <c r="G37" s="38" t="s">
        <v>179</v>
      </c>
      <c r="H37" s="89" t="s">
        <v>453</v>
      </c>
      <c r="I37" s="89"/>
      <c r="J37" s="89"/>
      <c r="K37" s="89"/>
      <c r="L37" s="89"/>
    </row>
    <row r="38" spans="1:12" s="59" customFormat="1" ht="18" customHeight="1" x14ac:dyDescent="0.2">
      <c r="A38" s="59" t="s">
        <v>524</v>
      </c>
      <c r="B38" s="59" t="s">
        <v>525</v>
      </c>
      <c r="C38" s="45">
        <f>C36/C40</f>
        <v>2.9618885387239825E-2</v>
      </c>
      <c r="D38" s="59" t="s">
        <v>167</v>
      </c>
      <c r="E38" s="59" t="s">
        <v>451</v>
      </c>
      <c r="F38" s="59" t="s">
        <v>25</v>
      </c>
      <c r="G38" s="38" t="s">
        <v>526</v>
      </c>
      <c r="H38" s="89" t="s">
        <v>527</v>
      </c>
      <c r="I38" s="89"/>
      <c r="J38" s="89"/>
      <c r="K38" s="89"/>
      <c r="L38" s="89"/>
    </row>
    <row r="39" spans="1:12" ht="18" customHeight="1" x14ac:dyDescent="0.2">
      <c r="A39" s="23" t="s">
        <v>463</v>
      </c>
      <c r="B39" s="23" t="s">
        <v>464</v>
      </c>
      <c r="C39" s="45">
        <f>C35/C37</f>
        <v>5.8346007650796663</v>
      </c>
      <c r="D39" s="23" t="s">
        <v>167</v>
      </c>
      <c r="E39" s="23" t="s">
        <v>465</v>
      </c>
      <c r="F39" s="23" t="s">
        <v>25</v>
      </c>
      <c r="G39" s="38" t="s">
        <v>466</v>
      </c>
      <c r="H39" s="70" t="s">
        <v>467</v>
      </c>
      <c r="I39" s="70"/>
      <c r="J39" s="70"/>
      <c r="K39" s="70"/>
      <c r="L39" s="70"/>
    </row>
    <row r="40" spans="1:12" ht="18" customHeight="1" x14ac:dyDescent="0.2">
      <c r="A40" s="23" t="s">
        <v>469</v>
      </c>
      <c r="B40" s="23" t="s">
        <v>470</v>
      </c>
      <c r="C40" s="45">
        <f>C39</f>
        <v>5.8346007650796663</v>
      </c>
      <c r="D40" s="23" t="s">
        <v>167</v>
      </c>
      <c r="E40" s="23" t="s">
        <v>465</v>
      </c>
      <c r="F40" s="23" t="s">
        <v>25</v>
      </c>
      <c r="G40" s="38" t="s">
        <v>471</v>
      </c>
      <c r="H40" s="70" t="s">
        <v>472</v>
      </c>
      <c r="I40" s="70"/>
      <c r="J40" s="70"/>
      <c r="K40" s="70"/>
      <c r="L40" s="70"/>
    </row>
    <row r="41" spans="1:12" ht="18" customHeight="1" x14ac:dyDescent="0.2">
      <c r="A41" s="43" t="s">
        <v>473</v>
      </c>
      <c r="B41" s="23" t="s">
        <v>474</v>
      </c>
      <c r="C41" s="45">
        <f>$C$7/C37</f>
        <v>0.29915502080594669</v>
      </c>
      <c r="D41" s="23" t="s">
        <v>167</v>
      </c>
      <c r="E41" s="23" t="s">
        <v>475</v>
      </c>
      <c r="F41" s="23" t="s">
        <v>25</v>
      </c>
      <c r="G41" s="38" t="s">
        <v>476</v>
      </c>
      <c r="H41" s="70" t="s">
        <v>477</v>
      </c>
      <c r="I41" s="70"/>
      <c r="J41" s="70"/>
      <c r="K41" s="70"/>
      <c r="L41" s="70"/>
    </row>
    <row r="42" spans="1:12" ht="18" customHeight="1" x14ac:dyDescent="0.2">
      <c r="A42" s="23" t="s">
        <v>478</v>
      </c>
      <c r="B42" s="23" t="s">
        <v>479</v>
      </c>
      <c r="C42" s="45">
        <f>2*'Stability Constants'!$C$13*('Stability Constants'!$C$4-'Stability Constants'!$C$3)*'Stability Constants'!$C$14*'Subsonic Stability'!C37</f>
        <v>108396.82093333734</v>
      </c>
      <c r="D42" s="23" t="s">
        <v>167</v>
      </c>
      <c r="E42" s="23" t="s">
        <v>266</v>
      </c>
      <c r="F42" s="23" t="s">
        <v>25</v>
      </c>
      <c r="G42" s="38" t="s">
        <v>481</v>
      </c>
      <c r="H42" s="70" t="s">
        <v>482</v>
      </c>
      <c r="I42" s="70"/>
      <c r="J42" s="70"/>
      <c r="K42" s="70"/>
      <c r="L42" s="70"/>
    </row>
    <row r="43" spans="1:12" ht="18" customHeight="1" x14ac:dyDescent="0.2">
      <c r="A43" s="23" t="s">
        <v>483</v>
      </c>
      <c r="B43" s="23" t="s">
        <v>484</v>
      </c>
      <c r="C43" s="45">
        <f>2*'Stability Constants'!$C$13*('Stability Constants'!$C$6-'Stability Constants'!$C$5)*'Stability Constants'!$C$15*'Subsonic Stability'!C37</f>
        <v>67811.320814637089</v>
      </c>
      <c r="D43" s="23" t="s">
        <v>167</v>
      </c>
      <c r="E43" s="23" t="s">
        <v>266</v>
      </c>
      <c r="F43" s="23" t="s">
        <v>25</v>
      </c>
      <c r="G43" s="38" t="s">
        <v>486</v>
      </c>
      <c r="H43" s="70" t="s">
        <v>482</v>
      </c>
      <c r="I43" s="70"/>
      <c r="J43" s="70"/>
      <c r="K43" s="70"/>
      <c r="L43" s="70"/>
    </row>
    <row r="44" spans="1:12" ht="22" customHeight="1" x14ac:dyDescent="0.2">
      <c r="A44" s="83" t="s">
        <v>489</v>
      </c>
      <c r="B44" s="84"/>
      <c r="C44" s="84"/>
      <c r="D44" s="84"/>
      <c r="E44" s="84"/>
      <c r="F44" s="84"/>
      <c r="G44" s="84"/>
      <c r="H44" s="92"/>
      <c r="I44" s="92"/>
      <c r="J44" s="92"/>
      <c r="K44" s="92"/>
      <c r="L44" s="93"/>
    </row>
    <row r="45" spans="1:12" ht="18" customHeight="1" x14ac:dyDescent="0.2">
      <c r="A45" s="32" t="s">
        <v>7</v>
      </c>
      <c r="B45" s="32" t="s">
        <v>138</v>
      </c>
      <c r="C45" s="34" t="s">
        <v>11</v>
      </c>
      <c r="D45" s="34" t="s">
        <v>167</v>
      </c>
      <c r="E45" s="34" t="s">
        <v>12</v>
      </c>
      <c r="F45" s="34" t="s">
        <v>13</v>
      </c>
      <c r="G45" s="40" t="s">
        <v>503</v>
      </c>
      <c r="H45" s="86" t="s">
        <v>15</v>
      </c>
      <c r="I45" s="87"/>
      <c r="J45" s="87"/>
      <c r="K45" s="87"/>
      <c r="L45" s="88"/>
    </row>
    <row r="46" spans="1:12" ht="18" customHeight="1" x14ac:dyDescent="0.2">
      <c r="A46" s="23" t="s">
        <v>494</v>
      </c>
      <c r="B46" s="60" t="s">
        <v>490</v>
      </c>
      <c r="C46" s="61">
        <f>(C11 + C12* 'Stability Constants'!$C$16*'Subsonic Stability'!$C$4/'Initial Estimates'!$C$5)*'Stability Constants'!$C$8/'Initial Estimates'!$C$10 - 'Subsonic Stability'!C12*'Stability Constants'!$C$16*'Subsonic Stability'!$C$4/'Initial Estimates'!$C$5*'Stability Constants'!$C$10/'Initial Estimates'!$C$10+'Subsonic Stability'!$C$5+('Subsonic Stability'!C18+'Stability Constants'!$C$11*'Subsonic Stability'!C19)/('Stability Constants'!$C$13*'Initial Estimates'!$C$5*'Initial Estimates'!$C$10)</f>
        <v>0</v>
      </c>
      <c r="D46" s="23" t="s">
        <v>167</v>
      </c>
      <c r="E46" s="23" t="s">
        <v>179</v>
      </c>
      <c r="F46" s="23" t="s">
        <v>25</v>
      </c>
      <c r="G46" s="38" t="s">
        <v>504</v>
      </c>
      <c r="H46" s="70" t="s">
        <v>482</v>
      </c>
      <c r="I46" s="70"/>
      <c r="J46" s="70"/>
      <c r="K46" s="70"/>
      <c r="L46" s="70"/>
    </row>
    <row r="47" spans="1:12" ht="18" customHeight="1" x14ac:dyDescent="0.2">
      <c r="A47" s="23" t="s">
        <v>495</v>
      </c>
      <c r="B47" s="60" t="s">
        <v>490</v>
      </c>
      <c r="C47" s="61">
        <f>(C23 + C24* 'Stability Constants'!$C$16*'Subsonic Stability'!$C$4/'Initial Estimates'!$C$5)*'Stability Constants'!$C$8/'Initial Estimates'!$C$10 - 'Subsonic Stability'!C24*'Stability Constants'!$C$16*'Subsonic Stability'!$C$4/'Initial Estimates'!$C$5*'Stability Constants'!$C$10/'Initial Estimates'!$C$10+'Subsonic Stability'!$C$5+('Subsonic Stability'!C30+'Stability Constants'!$C$11*'Subsonic Stability'!C31)/('Stability Constants'!$C$13*'Initial Estimates'!$C$5*'Initial Estimates'!$C$10)</f>
        <v>-6.1705484421749821E-3</v>
      </c>
      <c r="D47" s="23" t="s">
        <v>167</v>
      </c>
      <c r="E47" s="23" t="s">
        <v>179</v>
      </c>
      <c r="F47" s="23" t="s">
        <v>25</v>
      </c>
      <c r="G47" s="38" t="s">
        <v>504</v>
      </c>
      <c r="H47" s="70" t="s">
        <v>482</v>
      </c>
      <c r="I47" s="70"/>
      <c r="J47" s="70"/>
      <c r="K47" s="70"/>
      <c r="L47" s="70"/>
    </row>
    <row r="48" spans="1:12" ht="18" customHeight="1" x14ac:dyDescent="0.2">
      <c r="A48" s="23" t="s">
        <v>496</v>
      </c>
      <c r="B48" s="60" t="s">
        <v>490</v>
      </c>
      <c r="C48" s="61">
        <f>(C35 + C36* 'Stability Constants'!$C$16*'Subsonic Stability'!$C$4/'Initial Estimates'!$C$5)*'Stability Constants'!$C$8/'Initial Estimates'!$C$10 - 'Subsonic Stability'!C36*'Stability Constants'!$C$16*'Subsonic Stability'!$C$4/'Initial Estimates'!$C$5*'Stability Constants'!$C$10/'Initial Estimates'!$C$10+'Subsonic Stability'!$C$5+('Subsonic Stability'!C42+'Stability Constants'!$C$11*'Subsonic Stability'!C43)/('Stability Constants'!$C$13*'Initial Estimates'!$C$5*'Initial Estimates'!$C$10)</f>
        <v>0</v>
      </c>
      <c r="D48" s="23" t="s">
        <v>167</v>
      </c>
      <c r="E48" s="23" t="s">
        <v>179</v>
      </c>
      <c r="F48" s="23" t="s">
        <v>25</v>
      </c>
      <c r="G48" s="38" t="s">
        <v>504</v>
      </c>
      <c r="H48" s="70" t="s">
        <v>482</v>
      </c>
      <c r="I48" s="70"/>
      <c r="J48" s="70"/>
      <c r="K48" s="70"/>
      <c r="L48" s="70"/>
    </row>
    <row r="49" spans="1:12" ht="18" customHeight="1" x14ac:dyDescent="0.2">
      <c r="A49" s="23" t="s">
        <v>498</v>
      </c>
      <c r="B49" s="23" t="s">
        <v>497</v>
      </c>
      <c r="C49" s="45">
        <f xml:space="preserve"> ( C15 + C16*(1 - C17)*'Stability Constants'!$C$16*('Subsonic Stability'!$C$4/'Initial Estimates'!$C$5))*('Stability Constants'!$C$8/'Initial Estimates'!$C$10) - C16*(1 - C17)*'Stability Constants'!$C$16*'Subsonic Stability'!$C$3 + 2*('Stability Constants'!$C$4-'Stability Constants'!$C$3)*'Stability Constants'!$C$14/('Initial Estimates'!$C$10*'Initial Estimates'!$C$5) + 2*'Stability Constants'!$C$11*('Stability Constants'!$C$6-'Stability Constants'!$C$5)*'Stability Constants'!$C$15/('Initial Estimates'!$C$10*'Initial Estimates'!$C$5)</f>
        <v>-0.14210112144402015</v>
      </c>
      <c r="D49" s="23" t="s">
        <v>167</v>
      </c>
      <c r="E49" s="23" t="s">
        <v>465</v>
      </c>
      <c r="F49" s="23" t="s">
        <v>25</v>
      </c>
      <c r="G49" s="38" t="s">
        <v>502</v>
      </c>
      <c r="H49" s="70" t="s">
        <v>482</v>
      </c>
      <c r="I49" s="70"/>
      <c r="J49" s="70"/>
      <c r="K49" s="70"/>
      <c r="L49" s="70"/>
    </row>
    <row r="50" spans="1:12" s="46" customFormat="1" ht="18" customHeight="1" x14ac:dyDescent="0.2">
      <c r="A50" s="46" t="s">
        <v>501</v>
      </c>
      <c r="B50" s="46" t="s">
        <v>497</v>
      </c>
      <c r="C50" s="45">
        <f xml:space="preserve"> ( C27 + C28*(1 - C29)*'Stability Constants'!$C$16*('Subsonic Stability'!$C$4/'Initial Estimates'!$C$5))*('Stability Constants'!$C$8/'Initial Estimates'!$C$10) - C28*(1 - C29)*'Stability Constants'!$C$16*'Subsonic Stability'!$C$3 + 2*('Stability Constants'!$C$4-'Stability Constants'!$C$3)*'Stability Constants'!$C$14/('Initial Estimates'!$C$10*'Initial Estimates'!$C$5) + 2*'Stability Constants'!$C$11*('Stability Constants'!$C$6-'Stability Constants'!$C$5)*'Stability Constants'!$C$15/('Initial Estimates'!$C$10*'Initial Estimates'!$C$5)</f>
        <v>-1.0521023248250974</v>
      </c>
      <c r="D50" s="46" t="s">
        <v>167</v>
      </c>
      <c r="E50" s="46" t="s">
        <v>465</v>
      </c>
      <c r="F50" s="46" t="s">
        <v>25</v>
      </c>
      <c r="G50" s="38" t="s">
        <v>502</v>
      </c>
      <c r="H50" s="70" t="s">
        <v>482</v>
      </c>
      <c r="I50" s="70"/>
      <c r="J50" s="70"/>
      <c r="K50" s="70"/>
      <c r="L50" s="70"/>
    </row>
    <row r="51" spans="1:12" s="46" customFormat="1" ht="18" customHeight="1" x14ac:dyDescent="0.2">
      <c r="A51" s="46" t="s">
        <v>501</v>
      </c>
      <c r="B51" s="46" t="s">
        <v>497</v>
      </c>
      <c r="C51" s="45">
        <f xml:space="preserve"> ( C39 + C40*(1 - C41)*'Stability Constants'!$C$16*('Subsonic Stability'!$C$4/'Initial Estimates'!$C$5))*('Stability Constants'!$C$8/'Initial Estimates'!$C$10) - C40*(1 - C41)*'Stability Constants'!$C$16*'Subsonic Stability'!$C$3 + 2*('Stability Constants'!$C$4-'Stability Constants'!$C$3)*'Stability Constants'!$C$14/('Initial Estimates'!$C$10*'Initial Estimates'!$C$5) + 2*'Stability Constants'!$C$11*('Stability Constants'!$C$6-'Stability Constants'!$C$5)*'Stability Constants'!$C$15/('Initial Estimates'!$C$10*'Initial Estimates'!$C$5)</f>
        <v>-1.5915809223092039</v>
      </c>
      <c r="D51" s="46" t="s">
        <v>167</v>
      </c>
      <c r="E51" s="46" t="s">
        <v>465</v>
      </c>
      <c r="F51" s="46" t="s">
        <v>25</v>
      </c>
      <c r="G51" s="38" t="s">
        <v>502</v>
      </c>
      <c r="H51" s="70" t="s">
        <v>482</v>
      </c>
      <c r="I51" s="70"/>
      <c r="J51" s="70"/>
      <c r="K51" s="70"/>
      <c r="L51" s="70"/>
    </row>
    <row r="52" spans="1:12" ht="18" customHeight="1" x14ac:dyDescent="0.2">
      <c r="H52" s="70"/>
      <c r="I52" s="70"/>
      <c r="J52" s="70"/>
      <c r="K52" s="70"/>
      <c r="L52" s="70"/>
    </row>
    <row r="55" spans="1:12" ht="18" customHeight="1" x14ac:dyDescent="0.25">
      <c r="F55" s="52"/>
    </row>
  </sheetData>
  <mergeCells count="52">
    <mergeCell ref="H49:L49"/>
    <mergeCell ref="H50:L50"/>
    <mergeCell ref="H51:L51"/>
    <mergeCell ref="H52:L52"/>
    <mergeCell ref="H46:L46"/>
    <mergeCell ref="H47:L47"/>
    <mergeCell ref="H48:L48"/>
    <mergeCell ref="H30:L30"/>
    <mergeCell ref="H31:L31"/>
    <mergeCell ref="A32:L32"/>
    <mergeCell ref="H34:L34"/>
    <mergeCell ref="H35:L35"/>
    <mergeCell ref="H33:L33"/>
    <mergeCell ref="H45:L45"/>
    <mergeCell ref="H39:L39"/>
    <mergeCell ref="H40:L40"/>
    <mergeCell ref="H41:L41"/>
    <mergeCell ref="H42:L42"/>
    <mergeCell ref="H43:L43"/>
    <mergeCell ref="A44:L44"/>
    <mergeCell ref="H37:L37"/>
    <mergeCell ref="H36:L36"/>
    <mergeCell ref="H3:L3"/>
    <mergeCell ref="A8:L8"/>
    <mergeCell ref="H6:L6"/>
    <mergeCell ref="A20:L20"/>
    <mergeCell ref="H12:L12"/>
    <mergeCell ref="H25:L25"/>
    <mergeCell ref="H27:L27"/>
    <mergeCell ref="H28:L28"/>
    <mergeCell ref="H29:L29"/>
    <mergeCell ref="H4:L4"/>
    <mergeCell ref="H5:L5"/>
    <mergeCell ref="H7:L7"/>
    <mergeCell ref="H15:L15"/>
    <mergeCell ref="H16:L16"/>
    <mergeCell ref="H14:L14"/>
    <mergeCell ref="H26:L26"/>
    <mergeCell ref="H38:L38"/>
    <mergeCell ref="A1:L1"/>
    <mergeCell ref="H2:L2"/>
    <mergeCell ref="H10:L10"/>
    <mergeCell ref="H11:L11"/>
    <mergeCell ref="H13:L13"/>
    <mergeCell ref="H9:L9"/>
    <mergeCell ref="H24:L24"/>
    <mergeCell ref="H17:L17"/>
    <mergeCell ref="H18:L18"/>
    <mergeCell ref="H19:L19"/>
    <mergeCell ref="H22:L22"/>
    <mergeCell ref="H23:L23"/>
    <mergeCell ref="H21:L2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90" zoomScaleNormal="90" zoomScalePageLayoutView="90" workbookViewId="0">
      <selection activeCell="C43" sqref="C43"/>
    </sheetView>
  </sheetViews>
  <sheetFormatPr baseColWidth="10" defaultColWidth="15.1640625" defaultRowHeight="18" customHeight="1" x14ac:dyDescent="0.2"/>
  <cols>
    <col min="1" max="1" width="51" style="56" customWidth="1"/>
    <col min="2" max="2" width="19.33203125" style="56" customWidth="1"/>
    <col min="3" max="3" width="15.1640625" style="56"/>
    <col min="4" max="4" width="2" style="56" customWidth="1"/>
    <col min="5" max="5" width="15.1640625" style="56"/>
    <col min="6" max="6" width="30.33203125" style="56" customWidth="1"/>
    <col min="7" max="7" width="52.83203125" style="38" customWidth="1"/>
    <col min="8" max="16384" width="15.1640625" style="56"/>
  </cols>
  <sheetData>
    <row r="1" spans="1:12" ht="22" customHeight="1" x14ac:dyDescent="0.2">
      <c r="A1" s="83" t="s">
        <v>446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2" ht="18" customHeight="1" x14ac:dyDescent="0.2">
      <c r="A2" s="32" t="s">
        <v>7</v>
      </c>
      <c r="B2" s="32" t="s">
        <v>138</v>
      </c>
      <c r="C2" s="57" t="s">
        <v>11</v>
      </c>
      <c r="D2" s="57" t="s">
        <v>167</v>
      </c>
      <c r="E2" s="57" t="s">
        <v>12</v>
      </c>
      <c r="F2" s="57" t="s">
        <v>13</v>
      </c>
      <c r="G2" s="40" t="s">
        <v>14</v>
      </c>
      <c r="H2" s="86" t="s">
        <v>15</v>
      </c>
      <c r="I2" s="87"/>
      <c r="J2" s="87"/>
      <c r="K2" s="87"/>
      <c r="L2" s="88"/>
    </row>
    <row r="3" spans="1:12" ht="18" customHeight="1" x14ac:dyDescent="0.2">
      <c r="A3" s="58" t="s">
        <v>454</v>
      </c>
      <c r="B3" s="56" t="s">
        <v>455</v>
      </c>
      <c r="C3" s="22">
        <v>1</v>
      </c>
      <c r="D3" s="56" t="s">
        <v>167</v>
      </c>
      <c r="E3" s="56" t="s">
        <v>179</v>
      </c>
      <c r="F3" s="56" t="s">
        <v>18</v>
      </c>
      <c r="G3" s="38" t="s">
        <v>179</v>
      </c>
      <c r="H3" s="91" t="s">
        <v>456</v>
      </c>
      <c r="I3" s="91"/>
      <c r="J3" s="91"/>
      <c r="K3" s="91"/>
      <c r="L3" s="91"/>
    </row>
    <row r="4" spans="1:12" ht="18" customHeight="1" x14ac:dyDescent="0.2">
      <c r="A4" s="58" t="s">
        <v>419</v>
      </c>
      <c r="B4" s="56" t="s">
        <v>420</v>
      </c>
      <c r="C4" s="22">
        <f>'Initial Estimates'!C5*'Initial Estimates'!C10/'Stability Constants'!C9</f>
        <v>584.70464126028173</v>
      </c>
      <c r="D4" s="56" t="s">
        <v>167</v>
      </c>
      <c r="E4" s="56" t="s">
        <v>264</v>
      </c>
      <c r="F4" s="56" t="s">
        <v>25</v>
      </c>
      <c r="G4" s="38" t="s">
        <v>500</v>
      </c>
      <c r="H4" s="91" t="s">
        <v>426</v>
      </c>
      <c r="I4" s="91"/>
      <c r="J4" s="91"/>
      <c r="K4" s="91"/>
      <c r="L4" s="91"/>
    </row>
    <row r="5" spans="1:12" ht="18" customHeight="1" x14ac:dyDescent="0.2">
      <c r="A5" s="58" t="s">
        <v>397</v>
      </c>
      <c r="B5" s="56" t="s">
        <v>398</v>
      </c>
      <c r="C5" s="22">
        <v>0</v>
      </c>
      <c r="D5" s="56" t="s">
        <v>167</v>
      </c>
      <c r="E5" s="56" t="s">
        <v>179</v>
      </c>
      <c r="F5" s="56" t="s">
        <v>18</v>
      </c>
      <c r="G5" s="38" t="s">
        <v>399</v>
      </c>
      <c r="H5" s="70" t="s">
        <v>457</v>
      </c>
      <c r="I5" s="70"/>
      <c r="J5" s="70"/>
      <c r="K5" s="70"/>
      <c r="L5" s="70"/>
    </row>
    <row r="6" spans="1:12" ht="18" customHeight="1" x14ac:dyDescent="0.2">
      <c r="A6" s="58" t="s">
        <v>383</v>
      </c>
      <c r="B6" s="56" t="s">
        <v>384</v>
      </c>
      <c r="C6" s="22">
        <v>0</v>
      </c>
      <c r="D6" s="22" t="s">
        <v>167</v>
      </c>
      <c r="E6" s="56" t="s">
        <v>179</v>
      </c>
      <c r="F6" s="56" t="s">
        <v>18</v>
      </c>
      <c r="G6" s="38" t="s">
        <v>462</v>
      </c>
      <c r="H6" s="89" t="s">
        <v>385</v>
      </c>
      <c r="I6" s="89"/>
      <c r="J6" s="89"/>
      <c r="K6" s="89"/>
      <c r="L6" s="89"/>
    </row>
    <row r="7" spans="1:12" ht="18" customHeight="1" x14ac:dyDescent="0.2">
      <c r="A7" s="58" t="s">
        <v>458</v>
      </c>
      <c r="B7" s="56" t="s">
        <v>459</v>
      </c>
      <c r="C7" s="22">
        <f>2*C11/(PI()*'Initial Estimates'!C6)*(1+C6)</f>
        <v>2.0977556340044026E-2</v>
      </c>
      <c r="D7" s="56" t="s">
        <v>167</v>
      </c>
      <c r="E7" s="56" t="s">
        <v>179</v>
      </c>
      <c r="F7" s="56" t="s">
        <v>18</v>
      </c>
      <c r="G7" s="38" t="s">
        <v>460</v>
      </c>
      <c r="H7" s="70" t="s">
        <v>461</v>
      </c>
      <c r="I7" s="70"/>
      <c r="J7" s="70"/>
      <c r="K7" s="70"/>
      <c r="L7" s="70"/>
    </row>
    <row r="8" spans="1:12" ht="22" customHeight="1" x14ac:dyDescent="0.2">
      <c r="A8" s="83" t="s">
        <v>468</v>
      </c>
      <c r="B8" s="84"/>
      <c r="C8" s="84"/>
      <c r="D8" s="84"/>
      <c r="E8" s="84"/>
      <c r="F8" s="84"/>
      <c r="G8" s="84"/>
      <c r="H8" s="92"/>
      <c r="I8" s="92"/>
      <c r="J8" s="92"/>
      <c r="K8" s="92"/>
      <c r="L8" s="93"/>
    </row>
    <row r="9" spans="1:12" ht="18" customHeight="1" x14ac:dyDescent="0.2">
      <c r="A9" s="32" t="s">
        <v>7</v>
      </c>
      <c r="B9" s="32" t="s">
        <v>138</v>
      </c>
      <c r="C9" s="57" t="s">
        <v>11</v>
      </c>
      <c r="D9" s="57" t="s">
        <v>167</v>
      </c>
      <c r="E9" s="57" t="s">
        <v>12</v>
      </c>
      <c r="F9" s="57" t="s">
        <v>13</v>
      </c>
      <c r="G9" s="40" t="s">
        <v>14</v>
      </c>
      <c r="H9" s="86" t="s">
        <v>15</v>
      </c>
      <c r="I9" s="87"/>
      <c r="J9" s="87"/>
      <c r="K9" s="87"/>
      <c r="L9" s="88"/>
    </row>
    <row r="10" spans="1:12" ht="18" customHeight="1" x14ac:dyDescent="0.2">
      <c r="A10" s="56" t="s">
        <v>423</v>
      </c>
      <c r="B10" s="56" t="s">
        <v>424</v>
      </c>
      <c r="C10" s="45">
        <v>1.6</v>
      </c>
      <c r="D10" s="56" t="s">
        <v>167</v>
      </c>
      <c r="E10" s="56" t="s">
        <v>179</v>
      </c>
      <c r="F10" s="56" t="s">
        <v>425</v>
      </c>
      <c r="G10" s="38" t="s">
        <v>179</v>
      </c>
      <c r="H10" s="90" t="s">
        <v>352</v>
      </c>
      <c r="I10" s="90"/>
      <c r="J10" s="90"/>
      <c r="K10" s="90"/>
      <c r="L10" s="90"/>
    </row>
    <row r="11" spans="1:12" ht="18" customHeight="1" x14ac:dyDescent="0.2">
      <c r="A11" s="56" t="s">
        <v>449</v>
      </c>
      <c r="B11" s="56" t="s">
        <v>450</v>
      </c>
      <c r="C11" s="45">
        <v>0.23730000000000001</v>
      </c>
      <c r="D11" s="56" t="s">
        <v>167</v>
      </c>
      <c r="E11" s="56" t="s">
        <v>179</v>
      </c>
      <c r="F11" s="56" t="s">
        <v>443</v>
      </c>
      <c r="G11" s="38" t="s">
        <v>179</v>
      </c>
      <c r="H11" s="89" t="s">
        <v>452</v>
      </c>
      <c r="I11" s="89"/>
      <c r="J11" s="89"/>
      <c r="K11" s="89"/>
      <c r="L11" s="89"/>
    </row>
    <row r="12" spans="1:12" ht="18" customHeight="1" x14ac:dyDescent="0.2">
      <c r="A12" s="56" t="s">
        <v>491</v>
      </c>
      <c r="B12" s="56" t="s">
        <v>492</v>
      </c>
      <c r="C12" s="45">
        <f>C11</f>
        <v>0.23730000000000001</v>
      </c>
      <c r="D12" s="56" t="s">
        <v>167</v>
      </c>
      <c r="E12" s="56" t="s">
        <v>179</v>
      </c>
      <c r="F12" s="56" t="s">
        <v>443</v>
      </c>
      <c r="G12" s="38" t="s">
        <v>179</v>
      </c>
      <c r="H12" s="89" t="s">
        <v>493</v>
      </c>
      <c r="I12" s="89"/>
      <c r="J12" s="89"/>
      <c r="K12" s="89"/>
      <c r="L12" s="89"/>
    </row>
    <row r="13" spans="1:12" ht="18" customHeight="1" x14ac:dyDescent="0.2">
      <c r="A13" s="56" t="s">
        <v>447</v>
      </c>
      <c r="B13" s="56" t="s">
        <v>480</v>
      </c>
      <c r="C13" s="45">
        <f>4*PI()/180</f>
        <v>6.9813170079773182E-2</v>
      </c>
      <c r="D13" s="56" t="s">
        <v>167</v>
      </c>
      <c r="E13" s="56" t="s">
        <v>451</v>
      </c>
      <c r="F13" s="56" t="s">
        <v>13</v>
      </c>
      <c r="G13" s="38" t="s">
        <v>179</v>
      </c>
      <c r="H13" s="89" t="s">
        <v>453</v>
      </c>
      <c r="I13" s="89"/>
      <c r="J13" s="89"/>
      <c r="K13" s="89"/>
      <c r="L13" s="89"/>
    </row>
    <row r="14" spans="1:12" ht="18" customHeight="1" x14ac:dyDescent="0.2">
      <c r="A14" s="56" t="s">
        <v>463</v>
      </c>
      <c r="B14" s="56" t="s">
        <v>464</v>
      </c>
      <c r="C14" s="45">
        <f>C11/C13</f>
        <v>3.3990721196136091</v>
      </c>
      <c r="D14" s="56" t="s">
        <v>167</v>
      </c>
      <c r="E14" s="56" t="s">
        <v>465</v>
      </c>
      <c r="F14" s="56" t="s">
        <v>25</v>
      </c>
      <c r="G14" s="38" t="s">
        <v>466</v>
      </c>
      <c r="H14" s="70" t="s">
        <v>467</v>
      </c>
      <c r="I14" s="70"/>
      <c r="J14" s="70"/>
      <c r="K14" s="70"/>
      <c r="L14" s="70"/>
    </row>
    <row r="15" spans="1:12" ht="18" customHeight="1" x14ac:dyDescent="0.2">
      <c r="A15" s="56" t="s">
        <v>469</v>
      </c>
      <c r="B15" s="56" t="s">
        <v>470</v>
      </c>
      <c r="C15" s="45">
        <f>C14</f>
        <v>3.3990721196136091</v>
      </c>
      <c r="D15" s="56" t="s">
        <v>167</v>
      </c>
      <c r="E15" s="56" t="s">
        <v>465</v>
      </c>
      <c r="F15" s="56" t="s">
        <v>25</v>
      </c>
      <c r="G15" s="38" t="s">
        <v>471</v>
      </c>
      <c r="H15" s="70" t="s">
        <v>472</v>
      </c>
      <c r="I15" s="70"/>
      <c r="J15" s="70"/>
      <c r="K15" s="70"/>
      <c r="L15" s="70"/>
    </row>
    <row r="16" spans="1:12" ht="18" customHeight="1" x14ac:dyDescent="0.2">
      <c r="A16" s="58" t="s">
        <v>473</v>
      </c>
      <c r="B16" s="56" t="s">
        <v>474</v>
      </c>
      <c r="C16" s="45">
        <f>$C$7/C13</f>
        <v>0.30048136069560616</v>
      </c>
      <c r="D16" s="56" t="s">
        <v>167</v>
      </c>
      <c r="E16" s="56" t="s">
        <v>475</v>
      </c>
      <c r="F16" s="56" t="s">
        <v>25</v>
      </c>
      <c r="G16" s="38" t="s">
        <v>476</v>
      </c>
      <c r="H16" s="70" t="s">
        <v>477</v>
      </c>
      <c r="I16" s="70"/>
      <c r="J16" s="70"/>
      <c r="K16" s="70"/>
      <c r="L16" s="70"/>
    </row>
    <row r="17" spans="1:12" ht="18" customHeight="1" x14ac:dyDescent="0.2">
      <c r="A17" s="56" t="s">
        <v>478</v>
      </c>
      <c r="B17" s="56" t="s">
        <v>479</v>
      </c>
      <c r="C17" s="45">
        <f>2*'Stability Constants'!$C$13*('Stability Constants'!$C$4-'Stability Constants'!$C$3)*'Stability Constants'!$C$14*'Supersonic Stability'!C13</f>
        <v>88306.982430417396</v>
      </c>
      <c r="D17" s="56" t="s">
        <v>167</v>
      </c>
      <c r="E17" s="56" t="s">
        <v>266</v>
      </c>
      <c r="F17" s="56" t="s">
        <v>25</v>
      </c>
      <c r="G17" s="38" t="s">
        <v>481</v>
      </c>
      <c r="H17" s="70" t="s">
        <v>482</v>
      </c>
      <c r="I17" s="70"/>
      <c r="J17" s="70"/>
      <c r="K17" s="70"/>
      <c r="L17" s="70"/>
    </row>
    <row r="18" spans="1:12" ht="18" customHeight="1" x14ac:dyDescent="0.2">
      <c r="A18" s="56" t="s">
        <v>483</v>
      </c>
      <c r="B18" s="56" t="s">
        <v>484</v>
      </c>
      <c r="C18" s="45">
        <f>2*'Stability Constants'!$C$13*('Stability Constants'!$C$6-'Stability Constants'!$C$5)*'Stability Constants'!$C$15*'Supersonic Stability'!C13</f>
        <v>55243.438545529192</v>
      </c>
      <c r="D18" s="56" t="s">
        <v>167</v>
      </c>
      <c r="E18" s="56" t="s">
        <v>266</v>
      </c>
      <c r="F18" s="56" t="s">
        <v>25</v>
      </c>
      <c r="G18" s="38" t="s">
        <v>486</v>
      </c>
      <c r="H18" s="70" t="s">
        <v>482</v>
      </c>
      <c r="I18" s="70"/>
      <c r="J18" s="70"/>
      <c r="K18" s="70"/>
      <c r="L18" s="70"/>
    </row>
    <row r="19" spans="1:12" ht="22" customHeight="1" x14ac:dyDescent="0.2">
      <c r="A19" s="83" t="s">
        <v>487</v>
      </c>
      <c r="B19" s="84"/>
      <c r="C19" s="84"/>
      <c r="D19" s="84"/>
      <c r="E19" s="84"/>
      <c r="F19" s="84"/>
      <c r="G19" s="84"/>
      <c r="H19" s="92"/>
      <c r="I19" s="92"/>
      <c r="J19" s="92"/>
      <c r="K19" s="92"/>
      <c r="L19" s="93"/>
    </row>
    <row r="20" spans="1:12" ht="18" customHeight="1" x14ac:dyDescent="0.2">
      <c r="A20" s="32" t="s">
        <v>7</v>
      </c>
      <c r="B20" s="32" t="s">
        <v>138</v>
      </c>
      <c r="C20" s="57" t="s">
        <v>11</v>
      </c>
      <c r="D20" s="57" t="s">
        <v>167</v>
      </c>
      <c r="E20" s="57" t="s">
        <v>12</v>
      </c>
      <c r="F20" s="57" t="s">
        <v>13</v>
      </c>
      <c r="G20" s="40" t="s">
        <v>14</v>
      </c>
      <c r="H20" s="86" t="s">
        <v>15</v>
      </c>
      <c r="I20" s="87"/>
      <c r="J20" s="87"/>
      <c r="K20" s="87"/>
      <c r="L20" s="88"/>
    </row>
    <row r="21" spans="1:12" ht="18" customHeight="1" x14ac:dyDescent="0.2">
      <c r="A21" s="56" t="s">
        <v>423</v>
      </c>
      <c r="B21" s="56" t="s">
        <v>424</v>
      </c>
      <c r="C21" s="45">
        <v>0.8</v>
      </c>
      <c r="D21" s="56" t="s">
        <v>167</v>
      </c>
      <c r="E21" s="56" t="s">
        <v>179</v>
      </c>
      <c r="F21" s="56" t="s">
        <v>425</v>
      </c>
      <c r="G21" s="38" t="s">
        <v>179</v>
      </c>
      <c r="H21" s="90" t="s">
        <v>352</v>
      </c>
      <c r="I21" s="90"/>
      <c r="J21" s="90"/>
      <c r="K21" s="90"/>
      <c r="L21" s="90"/>
    </row>
    <row r="22" spans="1:12" ht="18" customHeight="1" x14ac:dyDescent="0.2">
      <c r="A22" s="56" t="s">
        <v>449</v>
      </c>
      <c r="B22" s="56" t="s">
        <v>450</v>
      </c>
      <c r="C22" s="45">
        <v>0.4</v>
      </c>
      <c r="D22" s="56" t="s">
        <v>167</v>
      </c>
      <c r="E22" s="56" t="s">
        <v>179</v>
      </c>
      <c r="F22" s="56" t="s">
        <v>443</v>
      </c>
      <c r="G22" s="38" t="s">
        <v>179</v>
      </c>
      <c r="H22" s="89" t="s">
        <v>452</v>
      </c>
      <c r="I22" s="89"/>
      <c r="J22" s="89"/>
      <c r="K22" s="89"/>
      <c r="L22" s="89"/>
    </row>
    <row r="23" spans="1:12" ht="18" customHeight="1" x14ac:dyDescent="0.2">
      <c r="A23" s="56" t="s">
        <v>491</v>
      </c>
      <c r="B23" s="56" t="s">
        <v>492</v>
      </c>
      <c r="C23" s="45">
        <f>C22</f>
        <v>0.4</v>
      </c>
      <c r="D23" s="56" t="s">
        <v>167</v>
      </c>
      <c r="E23" s="56" t="s">
        <v>179</v>
      </c>
      <c r="F23" s="56" t="s">
        <v>443</v>
      </c>
      <c r="G23" s="38" t="s">
        <v>179</v>
      </c>
      <c r="H23" s="89" t="s">
        <v>493</v>
      </c>
      <c r="I23" s="89"/>
      <c r="J23" s="89"/>
      <c r="K23" s="89"/>
      <c r="L23" s="89"/>
    </row>
    <row r="24" spans="1:12" ht="18" customHeight="1" x14ac:dyDescent="0.2">
      <c r="A24" s="56" t="s">
        <v>447</v>
      </c>
      <c r="B24" s="56" t="s">
        <v>480</v>
      </c>
      <c r="C24" s="45">
        <f>3.94*PI()/180</f>
        <v>6.876597252857658E-2</v>
      </c>
      <c r="D24" s="56" t="s">
        <v>167</v>
      </c>
      <c r="E24" s="56" t="s">
        <v>451</v>
      </c>
      <c r="F24" s="56" t="s">
        <v>13</v>
      </c>
      <c r="G24" s="38" t="s">
        <v>179</v>
      </c>
      <c r="H24" s="89" t="s">
        <v>453</v>
      </c>
      <c r="I24" s="89"/>
      <c r="J24" s="89"/>
      <c r="K24" s="89"/>
      <c r="L24" s="89"/>
    </row>
    <row r="25" spans="1:12" ht="18" customHeight="1" x14ac:dyDescent="0.2">
      <c r="A25" s="56" t="s">
        <v>463</v>
      </c>
      <c r="B25" s="56" t="s">
        <v>464</v>
      </c>
      <c r="C25" s="45">
        <f>C22/C24</f>
        <v>5.8168304074195261</v>
      </c>
      <c r="D25" s="56" t="s">
        <v>167</v>
      </c>
      <c r="E25" s="56" t="s">
        <v>465</v>
      </c>
      <c r="F25" s="56" t="s">
        <v>25</v>
      </c>
      <c r="G25" s="38" t="s">
        <v>466</v>
      </c>
      <c r="H25" s="70" t="s">
        <v>467</v>
      </c>
      <c r="I25" s="70"/>
      <c r="J25" s="70"/>
      <c r="K25" s="70"/>
      <c r="L25" s="70"/>
    </row>
    <row r="26" spans="1:12" ht="18" customHeight="1" x14ac:dyDescent="0.2">
      <c r="A26" s="56" t="s">
        <v>469</v>
      </c>
      <c r="B26" s="56" t="s">
        <v>470</v>
      </c>
      <c r="C26" s="45">
        <f>C25</f>
        <v>5.8168304074195261</v>
      </c>
      <c r="D26" s="56" t="s">
        <v>167</v>
      </c>
      <c r="E26" s="56" t="s">
        <v>465</v>
      </c>
      <c r="F26" s="56" t="s">
        <v>25</v>
      </c>
      <c r="G26" s="38" t="s">
        <v>471</v>
      </c>
      <c r="H26" s="70" t="s">
        <v>472</v>
      </c>
      <c r="I26" s="70"/>
      <c r="J26" s="70"/>
      <c r="K26" s="70"/>
      <c r="L26" s="70"/>
    </row>
    <row r="27" spans="1:12" ht="18" customHeight="1" x14ac:dyDescent="0.2">
      <c r="A27" s="58" t="s">
        <v>473</v>
      </c>
      <c r="B27" s="56" t="s">
        <v>474</v>
      </c>
      <c r="C27" s="45">
        <f>$C$7/C24</f>
        <v>0.30505721898031085</v>
      </c>
      <c r="D27" s="56" t="s">
        <v>167</v>
      </c>
      <c r="E27" s="56" t="s">
        <v>475</v>
      </c>
      <c r="F27" s="56" t="s">
        <v>25</v>
      </c>
      <c r="G27" s="38" t="s">
        <v>476</v>
      </c>
      <c r="H27" s="70" t="s">
        <v>477</v>
      </c>
      <c r="I27" s="70"/>
      <c r="J27" s="70"/>
      <c r="K27" s="70"/>
      <c r="L27" s="70"/>
    </row>
    <row r="28" spans="1:12" ht="18" customHeight="1" x14ac:dyDescent="0.2">
      <c r="A28" s="56" t="s">
        <v>478</v>
      </c>
      <c r="B28" s="56" t="s">
        <v>479</v>
      </c>
      <c r="C28" s="45">
        <f>2*'Stability Constants'!$C$13*('Stability Constants'!$C$4-'Stability Constants'!$C$3)*'Stability Constants'!$C$14*'Supersonic Stability'!C24</f>
        <v>86982.377693961127</v>
      </c>
      <c r="D28" s="56" t="s">
        <v>167</v>
      </c>
      <c r="E28" s="56" t="s">
        <v>266</v>
      </c>
      <c r="F28" s="56" t="s">
        <v>25</v>
      </c>
      <c r="G28" s="38" t="s">
        <v>481</v>
      </c>
      <c r="H28" s="70" t="s">
        <v>482</v>
      </c>
      <c r="I28" s="70"/>
      <c r="J28" s="70"/>
      <c r="K28" s="70"/>
      <c r="L28" s="70"/>
    </row>
    <row r="29" spans="1:12" ht="18" customHeight="1" x14ac:dyDescent="0.2">
      <c r="A29" s="56" t="s">
        <v>483</v>
      </c>
      <c r="B29" s="56" t="s">
        <v>484</v>
      </c>
      <c r="C29" s="45">
        <f>2*'Stability Constants'!$C$13*('Stability Constants'!$C$6-'Stability Constants'!$C$5)*'Stability Constants'!$C$15*'Supersonic Stability'!C24</f>
        <v>54414.786967346256</v>
      </c>
      <c r="D29" s="56" t="s">
        <v>167</v>
      </c>
      <c r="E29" s="56" t="s">
        <v>266</v>
      </c>
      <c r="F29" s="56" t="s">
        <v>25</v>
      </c>
      <c r="G29" s="38" t="s">
        <v>486</v>
      </c>
      <c r="H29" s="70" t="s">
        <v>482</v>
      </c>
      <c r="I29" s="70"/>
      <c r="J29" s="70"/>
      <c r="K29" s="70"/>
      <c r="L29" s="70"/>
    </row>
    <row r="30" spans="1:12" ht="22" customHeight="1" x14ac:dyDescent="0.2">
      <c r="A30" s="83" t="s">
        <v>488</v>
      </c>
      <c r="B30" s="84"/>
      <c r="C30" s="84"/>
      <c r="D30" s="84"/>
      <c r="E30" s="84"/>
      <c r="F30" s="84"/>
      <c r="G30" s="84"/>
      <c r="H30" s="92"/>
      <c r="I30" s="92"/>
      <c r="J30" s="92"/>
      <c r="K30" s="92"/>
      <c r="L30" s="93"/>
    </row>
    <row r="31" spans="1:12" ht="18" customHeight="1" x14ac:dyDescent="0.2">
      <c r="A31" s="32" t="s">
        <v>7</v>
      </c>
      <c r="B31" s="32" t="s">
        <v>138</v>
      </c>
      <c r="C31" s="57" t="s">
        <v>11</v>
      </c>
      <c r="D31" s="57" t="s">
        <v>167</v>
      </c>
      <c r="E31" s="57" t="s">
        <v>12</v>
      </c>
      <c r="F31" s="57" t="s">
        <v>13</v>
      </c>
      <c r="G31" s="40" t="s">
        <v>14</v>
      </c>
      <c r="H31" s="86" t="s">
        <v>15</v>
      </c>
      <c r="I31" s="87"/>
      <c r="J31" s="87"/>
      <c r="K31" s="87"/>
      <c r="L31" s="88"/>
    </row>
    <row r="32" spans="1:12" ht="18" customHeight="1" x14ac:dyDescent="0.2">
      <c r="A32" s="56" t="s">
        <v>423</v>
      </c>
      <c r="B32" s="56" t="s">
        <v>424</v>
      </c>
      <c r="C32" s="45">
        <v>0.8</v>
      </c>
      <c r="D32" s="56" t="s">
        <v>167</v>
      </c>
      <c r="E32" s="56" t="s">
        <v>179</v>
      </c>
      <c r="F32" s="56" t="s">
        <v>425</v>
      </c>
      <c r="G32" s="38" t="s">
        <v>179</v>
      </c>
      <c r="H32" s="90" t="s">
        <v>352</v>
      </c>
      <c r="I32" s="90"/>
      <c r="J32" s="90"/>
      <c r="K32" s="90"/>
      <c r="L32" s="90"/>
    </row>
    <row r="33" spans="1:12" ht="18" customHeight="1" x14ac:dyDescent="0.2">
      <c r="A33" s="56" t="s">
        <v>449</v>
      </c>
      <c r="B33" s="56" t="s">
        <v>450</v>
      </c>
      <c r="C33" s="45">
        <v>0.5</v>
      </c>
      <c r="D33" s="56" t="s">
        <v>167</v>
      </c>
      <c r="E33" s="56" t="s">
        <v>179</v>
      </c>
      <c r="F33" s="56" t="s">
        <v>443</v>
      </c>
      <c r="G33" s="38" t="s">
        <v>179</v>
      </c>
      <c r="H33" s="89" t="s">
        <v>452</v>
      </c>
      <c r="I33" s="89"/>
      <c r="J33" s="89"/>
      <c r="K33" s="89"/>
      <c r="L33" s="89"/>
    </row>
    <row r="34" spans="1:12" ht="18" customHeight="1" x14ac:dyDescent="0.2">
      <c r="A34" s="56" t="s">
        <v>491</v>
      </c>
      <c r="B34" s="56" t="s">
        <v>492</v>
      </c>
      <c r="C34" s="45">
        <f>C33</f>
        <v>0.5</v>
      </c>
      <c r="D34" s="56" t="s">
        <v>167</v>
      </c>
      <c r="E34" s="56" t="s">
        <v>179</v>
      </c>
      <c r="F34" s="56" t="s">
        <v>443</v>
      </c>
      <c r="G34" s="38" t="s">
        <v>179</v>
      </c>
      <c r="H34" s="89" t="s">
        <v>493</v>
      </c>
      <c r="I34" s="89"/>
      <c r="J34" s="89"/>
      <c r="K34" s="89"/>
      <c r="L34" s="89"/>
    </row>
    <row r="35" spans="1:12" ht="18" customHeight="1" x14ac:dyDescent="0.2">
      <c r="A35" s="56" t="s">
        <v>447</v>
      </c>
      <c r="B35" s="56" t="s">
        <v>480</v>
      </c>
      <c r="C35" s="45">
        <f>4.91*PI()/180</f>
        <v>8.5695666272921578E-2</v>
      </c>
      <c r="D35" s="56" t="s">
        <v>167</v>
      </c>
      <c r="E35" s="56" t="s">
        <v>451</v>
      </c>
      <c r="F35" s="56" t="s">
        <v>13</v>
      </c>
      <c r="G35" s="38" t="s">
        <v>179</v>
      </c>
      <c r="H35" s="89" t="s">
        <v>453</v>
      </c>
      <c r="I35" s="89"/>
      <c r="J35" s="89"/>
      <c r="K35" s="89"/>
      <c r="L35" s="89"/>
    </row>
    <row r="36" spans="1:12" ht="18" customHeight="1" x14ac:dyDescent="0.2">
      <c r="A36" s="56" t="s">
        <v>463</v>
      </c>
      <c r="B36" s="56" t="s">
        <v>464</v>
      </c>
      <c r="C36" s="45">
        <f>C33/C35</f>
        <v>5.8346007650796663</v>
      </c>
      <c r="D36" s="56" t="s">
        <v>167</v>
      </c>
      <c r="E36" s="56" t="s">
        <v>465</v>
      </c>
      <c r="F36" s="56" t="s">
        <v>25</v>
      </c>
      <c r="G36" s="38" t="s">
        <v>466</v>
      </c>
      <c r="H36" s="70" t="s">
        <v>467</v>
      </c>
      <c r="I36" s="70"/>
      <c r="J36" s="70"/>
      <c r="K36" s="70"/>
      <c r="L36" s="70"/>
    </row>
    <row r="37" spans="1:12" ht="18" customHeight="1" x14ac:dyDescent="0.2">
      <c r="A37" s="56" t="s">
        <v>469</v>
      </c>
      <c r="B37" s="56" t="s">
        <v>470</v>
      </c>
      <c r="C37" s="45">
        <f>C36</f>
        <v>5.8346007650796663</v>
      </c>
      <c r="D37" s="56" t="s">
        <v>167</v>
      </c>
      <c r="E37" s="56" t="s">
        <v>465</v>
      </c>
      <c r="F37" s="56" t="s">
        <v>25</v>
      </c>
      <c r="G37" s="38" t="s">
        <v>471</v>
      </c>
      <c r="H37" s="70" t="s">
        <v>472</v>
      </c>
      <c r="I37" s="70"/>
      <c r="J37" s="70"/>
      <c r="K37" s="70"/>
      <c r="L37" s="70"/>
    </row>
    <row r="38" spans="1:12" ht="18" customHeight="1" x14ac:dyDescent="0.2">
      <c r="A38" s="58" t="s">
        <v>473</v>
      </c>
      <c r="B38" s="56" t="s">
        <v>474</v>
      </c>
      <c r="C38" s="45">
        <f>$C$7/C35</f>
        <v>0.24479133254224536</v>
      </c>
      <c r="D38" s="56" t="s">
        <v>167</v>
      </c>
      <c r="E38" s="56" t="s">
        <v>475</v>
      </c>
      <c r="F38" s="56" t="s">
        <v>25</v>
      </c>
      <c r="G38" s="38" t="s">
        <v>476</v>
      </c>
      <c r="H38" s="70" t="s">
        <v>477</v>
      </c>
      <c r="I38" s="70"/>
      <c r="J38" s="70"/>
      <c r="K38" s="70"/>
      <c r="L38" s="70"/>
    </row>
    <row r="39" spans="1:12" ht="18" customHeight="1" x14ac:dyDescent="0.2">
      <c r="A39" s="56" t="s">
        <v>478</v>
      </c>
      <c r="B39" s="56" t="s">
        <v>479</v>
      </c>
      <c r="C39" s="45">
        <f>2*'Stability Constants'!$C$13*('Stability Constants'!$C$4-'Stability Constants'!$C$3)*'Stability Constants'!$C$14*'Supersonic Stability'!C35</f>
        <v>108396.82093333734</v>
      </c>
      <c r="D39" s="56" t="s">
        <v>167</v>
      </c>
      <c r="E39" s="56" t="s">
        <v>266</v>
      </c>
      <c r="F39" s="56" t="s">
        <v>25</v>
      </c>
      <c r="G39" s="38" t="s">
        <v>481</v>
      </c>
      <c r="H39" s="70" t="s">
        <v>482</v>
      </c>
      <c r="I39" s="70"/>
      <c r="J39" s="70"/>
      <c r="K39" s="70"/>
      <c r="L39" s="70"/>
    </row>
    <row r="40" spans="1:12" ht="18" customHeight="1" x14ac:dyDescent="0.2">
      <c r="A40" s="56" t="s">
        <v>483</v>
      </c>
      <c r="B40" s="56" t="s">
        <v>484</v>
      </c>
      <c r="C40" s="45">
        <f>2*'Stability Constants'!$C$13*('Stability Constants'!$C$6-'Stability Constants'!$C$5)*'Stability Constants'!$C$15*'Supersonic Stability'!C35</f>
        <v>67811.320814637089</v>
      </c>
      <c r="D40" s="56" t="s">
        <v>167</v>
      </c>
      <c r="E40" s="56" t="s">
        <v>266</v>
      </c>
      <c r="F40" s="56" t="s">
        <v>25</v>
      </c>
      <c r="G40" s="38" t="s">
        <v>486</v>
      </c>
      <c r="H40" s="70" t="s">
        <v>482</v>
      </c>
      <c r="I40" s="70"/>
      <c r="J40" s="70"/>
      <c r="K40" s="70"/>
      <c r="L40" s="70"/>
    </row>
    <row r="41" spans="1:12" ht="22" customHeight="1" x14ac:dyDescent="0.2">
      <c r="A41" s="83" t="s">
        <v>489</v>
      </c>
      <c r="B41" s="84"/>
      <c r="C41" s="84"/>
      <c r="D41" s="84"/>
      <c r="E41" s="84"/>
      <c r="F41" s="84"/>
      <c r="G41" s="84"/>
      <c r="H41" s="92"/>
      <c r="I41" s="92"/>
      <c r="J41" s="92"/>
      <c r="K41" s="92"/>
      <c r="L41" s="93"/>
    </row>
    <row r="42" spans="1:12" ht="18" customHeight="1" x14ac:dyDescent="0.2">
      <c r="A42" s="32" t="s">
        <v>7</v>
      </c>
      <c r="B42" s="32" t="s">
        <v>138</v>
      </c>
      <c r="C42" s="57" t="s">
        <v>11</v>
      </c>
      <c r="D42" s="57" t="s">
        <v>167</v>
      </c>
      <c r="E42" s="57" t="s">
        <v>12</v>
      </c>
      <c r="F42" s="57" t="s">
        <v>13</v>
      </c>
      <c r="G42" s="40" t="s">
        <v>503</v>
      </c>
      <c r="H42" s="86" t="s">
        <v>15</v>
      </c>
      <c r="I42" s="87"/>
      <c r="J42" s="87"/>
      <c r="K42" s="87"/>
      <c r="L42" s="88"/>
    </row>
    <row r="43" spans="1:12" ht="18" customHeight="1" x14ac:dyDescent="0.2">
      <c r="A43" s="56" t="s">
        <v>494</v>
      </c>
      <c r="B43" s="56" t="s">
        <v>490</v>
      </c>
      <c r="C43" s="45">
        <f xml:space="preserve"> C11*'Stability Constants'!$C$8/'Initial Estimates'!$C$10+'Supersonic Stability'!$C$5-C12*'Stability Constants'!$C$16*'Supersonic Stability'!$C$3 + ('Supersonic Stability'!C17+'Stability Constants'!$C$11*'Supersonic Stability'!C18)/('Stability Constants'!$C$13*'Initial Estimates'!$C$5*'Initial Estimates'!$C$10)</f>
        <v>-0.14135925730528198</v>
      </c>
      <c r="D43" s="56" t="s">
        <v>167</v>
      </c>
      <c r="E43" s="56" t="s">
        <v>179</v>
      </c>
      <c r="F43" s="56" t="s">
        <v>25</v>
      </c>
      <c r="G43" s="38" t="s">
        <v>504</v>
      </c>
      <c r="H43" s="70" t="s">
        <v>482</v>
      </c>
      <c r="I43" s="70"/>
      <c r="J43" s="70"/>
      <c r="K43" s="70"/>
      <c r="L43" s="70"/>
    </row>
    <row r="44" spans="1:12" ht="18" customHeight="1" x14ac:dyDescent="0.2">
      <c r="A44" s="56" t="s">
        <v>495</v>
      </c>
      <c r="B44" s="56" t="s">
        <v>490</v>
      </c>
      <c r="C44" s="45">
        <f xml:space="preserve"> C22*'Stability Constants'!$C$8/'Initial Estimates'!$C$10+'Supersonic Stability'!$C$5-C23*'Stability Constants'!$C$16*'Supersonic Stability'!$C$3 + ('Supersonic Stability'!C28+'Stability Constants'!$C$11*'Supersonic Stability'!C29)/('Stability Constants'!$C$13*'Initial Estimates'!$C$5*'Initial Estimates'!$C$10)</f>
        <v>-0.26164843997933196</v>
      </c>
      <c r="D44" s="56" t="s">
        <v>167</v>
      </c>
      <c r="E44" s="56" t="s">
        <v>179</v>
      </c>
      <c r="F44" s="56" t="s">
        <v>25</v>
      </c>
      <c r="G44" s="38" t="s">
        <v>504</v>
      </c>
      <c r="H44" s="70" t="s">
        <v>482</v>
      </c>
      <c r="I44" s="70"/>
      <c r="J44" s="70"/>
      <c r="K44" s="70"/>
      <c r="L44" s="70"/>
    </row>
    <row r="45" spans="1:12" ht="18" customHeight="1" x14ac:dyDescent="0.2">
      <c r="A45" s="56" t="s">
        <v>496</v>
      </c>
      <c r="B45" s="56" t="s">
        <v>490</v>
      </c>
      <c r="C45" s="45">
        <f xml:space="preserve"> C33*'Stability Constants'!$C$8/'Initial Estimates'!$C$10+'Supersonic Stability'!$C$5-C34*'Stability Constants'!$C$16*'Supersonic Stability'!$C$3 + ('Supersonic Stability'!C39+'Stability Constants'!$C$11*'Supersonic Stability'!C40)/('Stability Constants'!$C$13*'Initial Estimates'!$C$5*'Initial Estimates'!$C$10)</f>
        <v>-0.32718562865880357</v>
      </c>
      <c r="D45" s="56" t="s">
        <v>167</v>
      </c>
      <c r="E45" s="56" t="s">
        <v>179</v>
      </c>
      <c r="F45" s="56" t="s">
        <v>25</v>
      </c>
      <c r="G45" s="38" t="s">
        <v>504</v>
      </c>
      <c r="H45" s="70" t="s">
        <v>482</v>
      </c>
      <c r="I45" s="70"/>
      <c r="J45" s="70"/>
      <c r="K45" s="70"/>
      <c r="L45" s="70"/>
    </row>
    <row r="46" spans="1:12" ht="18" customHeight="1" x14ac:dyDescent="0.2">
      <c r="A46" s="56" t="s">
        <v>498</v>
      </c>
      <c r="B46" s="56" t="s">
        <v>497</v>
      </c>
      <c r="C46" s="45">
        <f xml:space="preserve"> ( C14 + C15*(1 - C16)*'Stability Constants'!$C$16*('Supersonic Stability'!$C$4/'Initial Estimates'!$C$5))*('Stability Constants'!$C$8/'Initial Estimates'!$C$10) - C15*(1 - C16)*'Stability Constants'!$C$16*'Supersonic Stability'!$C$3 + 2*('Stability Constants'!$C$4-'Stability Constants'!$C$3)*'Stability Constants'!$C$14/('Initial Estimates'!$C$10*'Initial Estimates'!$C$5) + 2*'Stability Constants'!$C$11*('Stability Constants'!$C$6-'Stability Constants'!$C$5)*'Stability Constants'!$C$15/('Initial Estimates'!$C$10*'Initial Estimates'!$C$5)</f>
        <v>-0.72379874047870119</v>
      </c>
      <c r="D46" s="56" t="s">
        <v>167</v>
      </c>
      <c r="E46" s="56" t="s">
        <v>465</v>
      </c>
      <c r="F46" s="56" t="s">
        <v>25</v>
      </c>
      <c r="G46" s="38" t="s">
        <v>502</v>
      </c>
      <c r="H46" s="70" t="s">
        <v>482</v>
      </c>
      <c r="I46" s="70"/>
      <c r="J46" s="70"/>
      <c r="K46" s="70"/>
      <c r="L46" s="70"/>
    </row>
    <row r="47" spans="1:12" ht="18" customHeight="1" x14ac:dyDescent="0.2">
      <c r="A47" s="56" t="s">
        <v>501</v>
      </c>
      <c r="B47" s="56" t="s">
        <v>497</v>
      </c>
      <c r="C47" s="45">
        <f xml:space="preserve"> ( C25 + C26*(1 - C27)*'Stability Constants'!$C$16*('Supersonic Stability'!$C$4/'Initial Estimates'!$C$5))*('Stability Constants'!$C$8/'Initial Estimates'!$C$10) - C26*(1 - C27)*'Stability Constants'!$C$16*'Supersonic Stability'!$C$3 + 2*('Stability Constants'!$C$4-'Stability Constants'!$C$3)*'Stability Constants'!$C$14/('Initial Estimates'!$C$10*'Initial Estimates'!$C$5) + 2*'Stability Constants'!$C$11*('Stability Constants'!$C$6-'Stability Constants'!$C$5)*'Stability Constants'!$C$15/('Initial Estimates'!$C$10*'Initial Estimates'!$C$5)</f>
        <v>-1.5549843829289796</v>
      </c>
      <c r="D47" s="56" t="s">
        <v>167</v>
      </c>
      <c r="E47" s="56" t="s">
        <v>465</v>
      </c>
      <c r="F47" s="56" t="s">
        <v>25</v>
      </c>
      <c r="G47" s="38" t="s">
        <v>502</v>
      </c>
      <c r="H47" s="70" t="s">
        <v>482</v>
      </c>
      <c r="I47" s="70"/>
      <c r="J47" s="70"/>
      <c r="K47" s="70"/>
      <c r="L47" s="70"/>
    </row>
    <row r="48" spans="1:12" ht="18" customHeight="1" x14ac:dyDescent="0.2">
      <c r="A48" s="56" t="s">
        <v>501</v>
      </c>
      <c r="B48" s="56" t="s">
        <v>497</v>
      </c>
      <c r="C48" s="45">
        <f xml:space="preserve"> ( C36 + C37*(1 - C38)*'Stability Constants'!$C$16*('Supersonic Stability'!$C$4/'Initial Estimates'!$C$5))*('Stability Constants'!$C$8/'Initial Estimates'!$C$10) - C37*(1 - C38)*'Stability Constants'!$C$16*'Supersonic Stability'!$C$3 + 2*('Stability Constants'!$C$4-'Stability Constants'!$C$3)*'Stability Constants'!$C$14/('Initial Estimates'!$C$10*'Initial Estimates'!$C$5) + 2*'Stability Constants'!$C$11*('Stability Constants'!$C$6-'Stability Constants'!$C$5)*'Stability Constants'!$C$15/('Initial Estimates'!$C$10*'Initial Estimates'!$C$5)</f>
        <v>-1.8714635497028429</v>
      </c>
      <c r="D48" s="56" t="s">
        <v>167</v>
      </c>
      <c r="E48" s="56" t="s">
        <v>465</v>
      </c>
      <c r="F48" s="56" t="s">
        <v>25</v>
      </c>
      <c r="G48" s="38" t="s">
        <v>502</v>
      </c>
      <c r="H48" s="70" t="s">
        <v>482</v>
      </c>
      <c r="I48" s="70"/>
      <c r="J48" s="70"/>
      <c r="K48" s="70"/>
      <c r="L48" s="70"/>
    </row>
    <row r="49" spans="6:12" ht="18" customHeight="1" x14ac:dyDescent="0.2">
      <c r="H49" s="70"/>
      <c r="I49" s="70"/>
      <c r="J49" s="70"/>
      <c r="K49" s="70"/>
      <c r="L49" s="70"/>
    </row>
    <row r="52" spans="6:12" ht="18" customHeight="1" x14ac:dyDescent="0.25">
      <c r="F52" s="52"/>
    </row>
  </sheetData>
  <mergeCells count="49">
    <mergeCell ref="H49:L49"/>
    <mergeCell ref="H43:L43"/>
    <mergeCell ref="H44:L44"/>
    <mergeCell ref="H45:L45"/>
    <mergeCell ref="H46:L46"/>
    <mergeCell ref="H47:L47"/>
    <mergeCell ref="H48:L48"/>
    <mergeCell ref="H42:L42"/>
    <mergeCell ref="H31:L31"/>
    <mergeCell ref="H32:L32"/>
    <mergeCell ref="H33:L33"/>
    <mergeCell ref="H34:L34"/>
    <mergeCell ref="H35:L35"/>
    <mergeCell ref="H36:L36"/>
    <mergeCell ref="H37:L37"/>
    <mergeCell ref="H38:L38"/>
    <mergeCell ref="H39:L39"/>
    <mergeCell ref="H40:L40"/>
    <mergeCell ref="A41:L41"/>
    <mergeCell ref="A30:L30"/>
    <mergeCell ref="A19:L19"/>
    <mergeCell ref="H20:L20"/>
    <mergeCell ref="H21:L21"/>
    <mergeCell ref="H22:L22"/>
    <mergeCell ref="H23:L23"/>
    <mergeCell ref="H24:L24"/>
    <mergeCell ref="H25:L25"/>
    <mergeCell ref="H26:L26"/>
    <mergeCell ref="H27:L27"/>
    <mergeCell ref="H28:L28"/>
    <mergeCell ref="H29:L29"/>
    <mergeCell ref="H18:L18"/>
    <mergeCell ref="H7:L7"/>
    <mergeCell ref="A8:L8"/>
    <mergeCell ref="H9:L9"/>
    <mergeCell ref="H10:L10"/>
    <mergeCell ref="H11:L11"/>
    <mergeCell ref="H12:L12"/>
    <mergeCell ref="H13:L13"/>
    <mergeCell ref="H14:L14"/>
    <mergeCell ref="H15:L15"/>
    <mergeCell ref="H16:L16"/>
    <mergeCell ref="H17:L17"/>
    <mergeCell ref="H6:L6"/>
    <mergeCell ref="A1:L1"/>
    <mergeCell ref="H2:L2"/>
    <mergeCell ref="H3:L3"/>
    <mergeCell ref="H4:L4"/>
    <mergeCell ref="H5:L5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L16"/>
  <sheetViews>
    <sheetView zoomScale="80" zoomScaleNormal="80" zoomScalePageLayoutView="80" workbookViewId="0">
      <selection activeCell="F21" sqref="F21"/>
    </sheetView>
  </sheetViews>
  <sheetFormatPr baseColWidth="10" defaultColWidth="15.1640625" defaultRowHeight="18" customHeight="1" x14ac:dyDescent="0.2"/>
  <cols>
    <col min="1" max="1" width="51" style="46" customWidth="1"/>
    <col min="2" max="2" width="19.33203125" style="46" customWidth="1"/>
    <col min="3" max="3" width="15.1640625" style="46"/>
    <col min="4" max="4" width="2" style="46" customWidth="1"/>
    <col min="5" max="5" width="15.1640625" style="46"/>
    <col min="6" max="6" width="30.33203125" style="46" customWidth="1"/>
    <col min="7" max="7" width="38.6640625" style="38" customWidth="1"/>
    <col min="8" max="16384" width="15.1640625" style="46"/>
  </cols>
  <sheetData>
    <row r="1" spans="1:12" ht="22" customHeight="1" x14ac:dyDescent="0.2">
      <c r="A1" s="83" t="s">
        <v>448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2" ht="18" customHeight="1" x14ac:dyDescent="0.2">
      <c r="A2" s="32" t="s">
        <v>7</v>
      </c>
      <c r="B2" s="32" t="s">
        <v>138</v>
      </c>
      <c r="C2" s="47" t="s">
        <v>11</v>
      </c>
      <c r="D2" s="47" t="s">
        <v>167</v>
      </c>
      <c r="E2" s="47" t="s">
        <v>12</v>
      </c>
      <c r="F2" s="47" t="s">
        <v>13</v>
      </c>
      <c r="G2" s="40" t="s">
        <v>14</v>
      </c>
      <c r="H2" s="86" t="s">
        <v>15</v>
      </c>
      <c r="I2" s="87"/>
      <c r="J2" s="87"/>
      <c r="K2" s="87"/>
      <c r="L2" s="88"/>
    </row>
    <row r="3" spans="1:12" ht="18" customHeight="1" x14ac:dyDescent="0.2">
      <c r="A3" s="46" t="s">
        <v>386</v>
      </c>
      <c r="B3" s="46" t="s">
        <v>390</v>
      </c>
      <c r="C3" s="22">
        <v>5.91E-2</v>
      </c>
      <c r="D3" s="46" t="s">
        <v>167</v>
      </c>
      <c r="E3" s="46" t="s">
        <v>179</v>
      </c>
      <c r="F3" s="46" t="s">
        <v>25</v>
      </c>
      <c r="G3" s="38" t="s">
        <v>485</v>
      </c>
      <c r="H3" s="70" t="s">
        <v>385</v>
      </c>
      <c r="I3" s="70"/>
      <c r="J3" s="70"/>
      <c r="K3" s="70"/>
      <c r="L3" s="70"/>
    </row>
    <row r="4" spans="1:12" ht="18" customHeight="1" x14ac:dyDescent="0.2">
      <c r="C4" s="22"/>
      <c r="H4" s="70"/>
      <c r="I4" s="70"/>
      <c r="J4" s="70"/>
      <c r="K4" s="70"/>
      <c r="L4" s="70"/>
    </row>
    <row r="5" spans="1:12" ht="18" customHeight="1" x14ac:dyDescent="0.2">
      <c r="C5" s="22"/>
      <c r="H5" s="70"/>
      <c r="I5" s="70"/>
      <c r="J5" s="70"/>
      <c r="K5" s="70"/>
      <c r="L5" s="70"/>
    </row>
    <row r="6" spans="1:12" ht="18" customHeight="1" x14ac:dyDescent="0.2">
      <c r="C6" s="22"/>
      <c r="H6" s="70"/>
      <c r="I6" s="70"/>
      <c r="J6" s="70"/>
      <c r="K6" s="70"/>
      <c r="L6" s="70"/>
    </row>
    <row r="7" spans="1:12" ht="18" customHeight="1" x14ac:dyDescent="0.2">
      <c r="C7" s="22"/>
      <c r="H7" s="70"/>
      <c r="I7" s="70"/>
      <c r="J7" s="70"/>
      <c r="K7" s="70"/>
      <c r="L7" s="70"/>
    </row>
    <row r="8" spans="1:12" ht="18" customHeight="1" x14ac:dyDescent="0.2">
      <c r="C8" s="22"/>
      <c r="H8" s="70"/>
      <c r="I8" s="70"/>
      <c r="J8" s="70"/>
      <c r="K8" s="70"/>
      <c r="L8" s="70"/>
    </row>
    <row r="9" spans="1:12" ht="18" customHeight="1" x14ac:dyDescent="0.2">
      <c r="C9" s="22"/>
      <c r="H9" s="70"/>
      <c r="I9" s="70"/>
      <c r="J9" s="70"/>
      <c r="K9" s="70"/>
      <c r="L9" s="70"/>
    </row>
    <row r="10" spans="1:12" ht="18" customHeight="1" x14ac:dyDescent="0.2">
      <c r="C10" s="22"/>
      <c r="H10" s="70"/>
      <c r="I10" s="70"/>
      <c r="J10" s="70"/>
      <c r="K10" s="70"/>
      <c r="L10" s="70"/>
    </row>
    <row r="11" spans="1:12" ht="18" customHeight="1" x14ac:dyDescent="0.2">
      <c r="C11" s="22"/>
      <c r="H11" s="70"/>
      <c r="I11" s="70"/>
      <c r="J11" s="70"/>
      <c r="K11" s="70"/>
      <c r="L11" s="70"/>
    </row>
    <row r="12" spans="1:12" ht="18" customHeight="1" x14ac:dyDescent="0.2">
      <c r="H12" s="70"/>
      <c r="I12" s="70"/>
      <c r="J12" s="70"/>
      <c r="K12" s="70"/>
      <c r="L12" s="70"/>
    </row>
    <row r="13" spans="1:12" ht="18" customHeight="1" x14ac:dyDescent="0.2">
      <c r="H13" s="70"/>
      <c r="I13" s="70"/>
      <c r="J13" s="70"/>
      <c r="K13" s="70"/>
      <c r="L13" s="70"/>
    </row>
    <row r="14" spans="1:12" ht="18" customHeight="1" x14ac:dyDescent="0.2">
      <c r="H14" s="70"/>
      <c r="I14" s="70"/>
      <c r="J14" s="70"/>
      <c r="K14" s="70"/>
      <c r="L14" s="70"/>
    </row>
    <row r="15" spans="1:12" ht="18" customHeight="1" x14ac:dyDescent="0.2">
      <c r="H15" s="70"/>
      <c r="I15" s="70"/>
      <c r="J15" s="70"/>
      <c r="K15" s="70"/>
      <c r="L15" s="70"/>
    </row>
    <row r="16" spans="1:12" ht="18" customHeight="1" x14ac:dyDescent="0.2">
      <c r="C16" s="22"/>
      <c r="H16" s="70"/>
      <c r="I16" s="70"/>
      <c r="J16" s="70"/>
      <c r="K16" s="70"/>
      <c r="L16" s="70"/>
    </row>
  </sheetData>
  <mergeCells count="16">
    <mergeCell ref="H13:L13"/>
    <mergeCell ref="H14:L14"/>
    <mergeCell ref="H15:L15"/>
    <mergeCell ref="H16:L16"/>
    <mergeCell ref="H7:L7"/>
    <mergeCell ref="H8:L8"/>
    <mergeCell ref="H9:L9"/>
    <mergeCell ref="H10:L10"/>
    <mergeCell ref="H11:L11"/>
    <mergeCell ref="H12:L12"/>
    <mergeCell ref="H6:L6"/>
    <mergeCell ref="A1:L1"/>
    <mergeCell ref="H2:L2"/>
    <mergeCell ref="H3:L3"/>
    <mergeCell ref="H4:L4"/>
    <mergeCell ref="H5:L5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V41"/>
  <sheetViews>
    <sheetView workbookViewId="0">
      <selection activeCell="F25" sqref="F25"/>
    </sheetView>
  </sheetViews>
  <sheetFormatPr baseColWidth="10" defaultColWidth="15.1640625" defaultRowHeight="15" customHeight="1" x14ac:dyDescent="0.2"/>
  <cols>
    <col min="6" max="6" width="38" customWidth="1"/>
  </cols>
  <sheetData>
    <row r="1" spans="1:18" ht="16" x14ac:dyDescent="0.2">
      <c r="A1" s="1" t="s">
        <v>5</v>
      </c>
      <c r="B1" s="1" t="s">
        <v>6</v>
      </c>
      <c r="C1" s="1" t="s">
        <v>8</v>
      </c>
      <c r="D1" s="1" t="s">
        <v>9</v>
      </c>
      <c r="F1" s="6" t="s">
        <v>10</v>
      </c>
      <c r="G1" s="7"/>
      <c r="H1" s="7"/>
      <c r="I1" s="7"/>
      <c r="Q1" s="1"/>
      <c r="R1" s="1"/>
    </row>
    <row r="2" spans="1:18" ht="16" x14ac:dyDescent="0.2">
      <c r="A2" s="1" t="s">
        <v>30</v>
      </c>
      <c r="B2">
        <f t="shared" ref="B2:B10" si="0">VALUE(G23)</f>
        <v>1228.3170542032508</v>
      </c>
      <c r="F2" s="5" t="s">
        <v>7</v>
      </c>
      <c r="G2" s="5" t="s">
        <v>11</v>
      </c>
      <c r="H2" s="5" t="s">
        <v>12</v>
      </c>
      <c r="I2" s="5" t="s">
        <v>15</v>
      </c>
      <c r="Q2" s="1"/>
      <c r="R2" s="1"/>
    </row>
    <row r="3" spans="1:18" ht="16" x14ac:dyDescent="0.2">
      <c r="A3" s="1" t="s">
        <v>31</v>
      </c>
      <c r="B3">
        <f t="shared" si="0"/>
        <v>1236.1872793101027</v>
      </c>
      <c r="F3" s="3" t="s">
        <v>32</v>
      </c>
      <c r="G3" s="3">
        <v>90</v>
      </c>
      <c r="H3" s="3" t="s">
        <v>33</v>
      </c>
      <c r="I3" s="94" t="s">
        <v>34</v>
      </c>
      <c r="Q3" s="1"/>
      <c r="R3" s="1"/>
    </row>
    <row r="4" spans="1:18" ht="16" x14ac:dyDescent="0.2">
      <c r="A4" s="1" t="s">
        <v>37</v>
      </c>
      <c r="B4">
        <f t="shared" si="0"/>
        <v>1244.1035178142038</v>
      </c>
      <c r="F4" s="3" t="s">
        <v>38</v>
      </c>
      <c r="G4" s="3">
        <v>42.17</v>
      </c>
      <c r="H4" s="3" t="s">
        <v>33</v>
      </c>
      <c r="I4" s="69"/>
      <c r="Q4" s="1"/>
      <c r="R4" s="1"/>
    </row>
    <row r="5" spans="1:18" ht="16" x14ac:dyDescent="0.2">
      <c r="A5" s="1" t="s">
        <v>39</v>
      </c>
      <c r="B5">
        <f t="shared" si="0"/>
        <v>1252.111715344339</v>
      </c>
      <c r="F5" s="3" t="s">
        <v>41</v>
      </c>
      <c r="G5" s="3">
        <v>29.9</v>
      </c>
      <c r="H5" s="3" t="s">
        <v>33</v>
      </c>
      <c r="I5" s="69"/>
      <c r="Q5" s="1"/>
      <c r="R5" s="1"/>
    </row>
    <row r="6" spans="1:18" ht="16" x14ac:dyDescent="0.2">
      <c r="A6" s="1" t="s">
        <v>42</v>
      </c>
      <c r="B6">
        <f t="shared" si="0"/>
        <v>1260.1599266174355</v>
      </c>
      <c r="F6" s="3" t="s">
        <v>43</v>
      </c>
      <c r="G6" s="3">
        <v>17.93</v>
      </c>
      <c r="H6" s="3" t="s">
        <v>33</v>
      </c>
      <c r="I6" s="69"/>
      <c r="Q6" s="1"/>
      <c r="R6" s="1"/>
    </row>
    <row r="7" spans="1:18" ht="16" x14ac:dyDescent="0.2">
      <c r="A7" s="1" t="s">
        <v>44</v>
      </c>
      <c r="B7">
        <f t="shared" si="0"/>
        <v>1268.3007788336677</v>
      </c>
      <c r="F7" s="3" t="s">
        <v>45</v>
      </c>
      <c r="G7" s="3">
        <v>8.5</v>
      </c>
      <c r="H7" s="3" t="s">
        <v>33</v>
      </c>
      <c r="I7" s="69"/>
      <c r="R7" s="1"/>
    </row>
    <row r="8" spans="1:18" ht="19.5" customHeight="1" x14ac:dyDescent="0.2">
      <c r="A8" s="1" t="s">
        <v>46</v>
      </c>
      <c r="B8">
        <f t="shared" si="0"/>
        <v>1276.5185719766052</v>
      </c>
      <c r="F8" s="8" t="s">
        <v>47</v>
      </c>
      <c r="G8" s="8">
        <v>1548.3297906099999</v>
      </c>
      <c r="H8" s="3"/>
      <c r="I8" s="69"/>
      <c r="K8" s="1" t="s">
        <v>49</v>
      </c>
      <c r="L8" s="1" t="s">
        <v>50</v>
      </c>
    </row>
    <row r="9" spans="1:18" ht="16" x14ac:dyDescent="0.2">
      <c r="A9" s="1" t="s">
        <v>51</v>
      </c>
      <c r="B9">
        <f t="shared" si="0"/>
        <v>1284.7943270477172</v>
      </c>
      <c r="F9" s="3"/>
      <c r="G9" s="9"/>
      <c r="H9" s="3"/>
      <c r="I9" s="3"/>
      <c r="K9" s="1">
        <v>1.6</v>
      </c>
      <c r="L9" s="1">
        <v>2.57</v>
      </c>
    </row>
    <row r="10" spans="1:18" x14ac:dyDescent="0.2">
      <c r="A10" s="1" t="s">
        <v>52</v>
      </c>
      <c r="B10">
        <f t="shared" si="0"/>
        <v>1293.1973502839162</v>
      </c>
      <c r="F10" s="1" t="s">
        <v>53</v>
      </c>
      <c r="G10" s="1">
        <f>2.969*10^-7</f>
        <v>2.9689999999999997E-7</v>
      </c>
      <c r="H10" s="10" t="s">
        <v>55</v>
      </c>
      <c r="K10" s="1">
        <v>1.7</v>
      </c>
      <c r="L10" s="1">
        <v>2.78</v>
      </c>
    </row>
    <row r="11" spans="1:18" x14ac:dyDescent="0.2">
      <c r="A11" s="1"/>
      <c r="F11" s="1"/>
      <c r="G11" s="1"/>
      <c r="H11" s="1"/>
      <c r="J11" s="1"/>
      <c r="K11" s="1">
        <v>1.8</v>
      </c>
      <c r="L11" s="1">
        <v>2.99</v>
      </c>
      <c r="M11" s="1"/>
    </row>
    <row r="12" spans="1:18" x14ac:dyDescent="0.2">
      <c r="A12" s="11"/>
      <c r="C12" s="1" t="s">
        <v>59</v>
      </c>
      <c r="F12" s="1"/>
      <c r="G12" s="1"/>
      <c r="J12" s="1"/>
      <c r="K12" s="1"/>
      <c r="L12" s="1"/>
    </row>
    <row r="13" spans="1:18" x14ac:dyDescent="0.2">
      <c r="A13" s="1" t="s">
        <v>60</v>
      </c>
      <c r="B13" s="1"/>
      <c r="F13" s="1"/>
      <c r="G13" s="1"/>
      <c r="J13" s="1"/>
      <c r="L13" s="1" t="s">
        <v>61</v>
      </c>
    </row>
    <row r="14" spans="1:18" x14ac:dyDescent="0.2">
      <c r="B14" s="1"/>
      <c r="C14" s="1"/>
      <c r="D14" s="1"/>
      <c r="F14" s="1"/>
      <c r="G14" s="1"/>
      <c r="J14" s="1"/>
      <c r="L14" s="1"/>
      <c r="N14" s="12"/>
    </row>
    <row r="15" spans="1:18" x14ac:dyDescent="0.2">
      <c r="B15" s="1" t="s">
        <v>7</v>
      </c>
      <c r="C15" s="1" t="s">
        <v>11</v>
      </c>
      <c r="D15" s="1" t="s">
        <v>12</v>
      </c>
      <c r="F15" s="1"/>
      <c r="G15" s="1"/>
      <c r="J15" s="1"/>
    </row>
    <row r="16" spans="1:18" x14ac:dyDescent="0.2">
      <c r="B16" s="1" t="s">
        <v>62</v>
      </c>
      <c r="C16">
        <f>1+60/(G3/G8)^3+0.0025*(G3/G8)</f>
        <v>305503.05222758942</v>
      </c>
      <c r="D16" s="1" t="s">
        <v>66</v>
      </c>
      <c r="F16" s="1"/>
      <c r="G16" s="1"/>
      <c r="J16" s="1"/>
    </row>
    <row r="17" spans="1:22" x14ac:dyDescent="0.2">
      <c r="A17" s="1" t="s">
        <v>67</v>
      </c>
      <c r="B17" s="1" t="s">
        <v>68</v>
      </c>
      <c r="C17">
        <f>1-0.08*(1.6)^1.45</f>
        <v>0.84185190611850436</v>
      </c>
      <c r="D17" s="1" t="s">
        <v>69</v>
      </c>
      <c r="F17" s="1"/>
      <c r="G17" s="1"/>
      <c r="I17" s="13">
        <v>1</v>
      </c>
      <c r="J17" s="1"/>
    </row>
    <row r="18" spans="1:22" x14ac:dyDescent="0.2">
      <c r="B18" s="1" t="s">
        <v>70</v>
      </c>
      <c r="C18">
        <f>0.75*PI()*(G7*G6)+0.72*PI()*(G7*G5)+2*PI()*(G7)*G4</f>
        <v>3186.1459352048405</v>
      </c>
      <c r="D18" s="1" t="s">
        <v>73</v>
      </c>
      <c r="F18" s="1"/>
      <c r="G18" s="1"/>
      <c r="J18" s="1"/>
      <c r="O18" s="1"/>
    </row>
    <row r="19" spans="1:22" x14ac:dyDescent="0.2">
      <c r="B19" s="1" t="s">
        <v>75</v>
      </c>
      <c r="C19" s="1">
        <v>1244.444</v>
      </c>
      <c r="D19" s="1" t="s">
        <v>73</v>
      </c>
      <c r="F19" s="1"/>
      <c r="G19" s="1"/>
      <c r="J19" s="1"/>
    </row>
    <row r="20" spans="1:22" x14ac:dyDescent="0.2">
      <c r="B20" s="1" t="s">
        <v>76</v>
      </c>
      <c r="C20" s="14">
        <f>1+60/(2)^3+0.0025*(2)</f>
        <v>8.5050000000000008</v>
      </c>
      <c r="D20" s="1" t="s">
        <v>66</v>
      </c>
      <c r="F20" s="1"/>
      <c r="G20" s="1"/>
      <c r="J20" s="1"/>
    </row>
    <row r="21" spans="1:22" x14ac:dyDescent="0.2">
      <c r="A21" s="1" t="s">
        <v>78</v>
      </c>
      <c r="K21" s="1" t="s">
        <v>79</v>
      </c>
      <c r="L21" s="1" t="s">
        <v>80</v>
      </c>
    </row>
    <row r="22" spans="1:22" x14ac:dyDescent="0.2">
      <c r="C22" s="1" t="s">
        <v>5</v>
      </c>
      <c r="D22" s="1" t="s">
        <v>81</v>
      </c>
      <c r="E22" s="1" t="s">
        <v>83</v>
      </c>
      <c r="F22" s="1" t="s">
        <v>84</v>
      </c>
      <c r="G22" s="1" t="s">
        <v>85</v>
      </c>
      <c r="H22" s="1" t="s">
        <v>86</v>
      </c>
      <c r="I22" s="1"/>
      <c r="J22" s="1"/>
      <c r="K22" s="1" t="s">
        <v>88</v>
      </c>
      <c r="L22" s="1" t="s">
        <v>89</v>
      </c>
      <c r="M22" s="1"/>
      <c r="N22" s="1" t="s">
        <v>90</v>
      </c>
      <c r="O22" s="1" t="s">
        <v>91</v>
      </c>
      <c r="P22" s="1" t="s">
        <v>92</v>
      </c>
      <c r="Q22" s="1" t="s">
        <v>93</v>
      </c>
      <c r="R22" s="1" t="s">
        <v>94</v>
      </c>
      <c r="S22" s="1" t="s">
        <v>96</v>
      </c>
      <c r="T22" s="1" t="s">
        <v>97</v>
      </c>
      <c r="U22" s="1" t="s">
        <v>98</v>
      </c>
      <c r="V22" s="1"/>
    </row>
    <row r="23" spans="1:22" x14ac:dyDescent="0.2">
      <c r="C23" s="1" t="s">
        <v>30</v>
      </c>
      <c r="D23" s="1">
        <v>5.5979999999999995E-4</v>
      </c>
      <c r="E23">
        <f t="shared" ref="E23:E31" si="1">(D23*1548.3298*90)/(2.969*10^-7)</f>
        <v>262741502.13405189</v>
      </c>
      <c r="F23">
        <f t="shared" ref="F23:F31" si="2">0.455/(LOG(E23))^2.58</f>
        <v>1.8653869011323234E-3</v>
      </c>
      <c r="G23" s="13">
        <f>F23*C16*C17*(C18/C19)</f>
        <v>1228.3170542032508</v>
      </c>
      <c r="K23" s="1">
        <v>2</v>
      </c>
      <c r="L23" s="1">
        <v>0.1011</v>
      </c>
      <c r="N23" s="1">
        <v>41000</v>
      </c>
      <c r="O23">
        <f t="shared" ref="O23:O31" si="3">0.5*D23*1548.329791^2</f>
        <v>671.0113071612991</v>
      </c>
      <c r="P23">
        <f t="shared" ref="P23:P31" si="4">$L$23*O23*$C$19</f>
        <v>84422.139107545503</v>
      </c>
      <c r="Q23">
        <f t="shared" ref="Q23:Q31" si="5">$L$24*O23*$C$19</f>
        <v>137363.42119872637</v>
      </c>
      <c r="R23">
        <f t="shared" ref="R23:R31" si="6">$L$25*O23*$C$19</f>
        <v>182288.35773666849</v>
      </c>
      <c r="S23">
        <f t="shared" ref="S23:S31" si="7">$L$26*O23*$C$19</f>
        <v>226712.27267753318</v>
      </c>
      <c r="T23" s="14">
        <f t="shared" ref="T23:T31" si="8">$L$27*O23*$C$19</f>
        <v>269950.43650531466</v>
      </c>
      <c r="U23" s="14">
        <f t="shared" ref="U23:U31" si="9">$L$28*O23*$C$19</f>
        <v>313389.00897192711</v>
      </c>
    </row>
    <row r="24" spans="1:22" x14ac:dyDescent="0.2">
      <c r="C24" s="1" t="s">
        <v>31</v>
      </c>
      <c r="D24" s="1">
        <v>5.3359999999999996E-4</v>
      </c>
      <c r="E24">
        <f t="shared" si="1"/>
        <v>250444561.51970363</v>
      </c>
      <c r="F24">
        <f t="shared" si="2"/>
        <v>1.8773390390376355E-3</v>
      </c>
      <c r="G24" s="13">
        <f>F24*C16*C17*(C18/C19)</f>
        <v>1236.1872793101027</v>
      </c>
      <c r="K24" s="1">
        <v>3</v>
      </c>
      <c r="L24" s="1">
        <v>0.16450000000000001</v>
      </c>
      <c r="N24" s="1">
        <v>42000</v>
      </c>
      <c r="O24">
        <f t="shared" si="3"/>
        <v>639.60634780505393</v>
      </c>
      <c r="P24">
        <f t="shared" si="4"/>
        <v>80470.977898867946</v>
      </c>
      <c r="Q24">
        <f t="shared" si="5"/>
        <v>130934.4793705616</v>
      </c>
      <c r="R24">
        <f t="shared" si="6"/>
        <v>173756.81973613129</v>
      </c>
      <c r="S24">
        <f t="shared" si="7"/>
        <v>216101.58753256829</v>
      </c>
      <c r="T24" s="14">
        <f t="shared" si="8"/>
        <v>257316.10024872434</v>
      </c>
      <c r="U24" s="14">
        <f t="shared" si="9"/>
        <v>298721.64199253358</v>
      </c>
    </row>
    <row r="25" spans="1:22" x14ac:dyDescent="0.2">
      <c r="C25" s="1" t="s">
        <v>37</v>
      </c>
      <c r="D25" s="1">
        <v>5.0869999999999995E-4</v>
      </c>
      <c r="E25">
        <f t="shared" si="1"/>
        <v>238757774.44728866</v>
      </c>
      <c r="F25">
        <f t="shared" si="2"/>
        <v>1.8893610553088077E-3</v>
      </c>
      <c r="G25" s="13">
        <f>F25*C16*C17*(C18/C19)</f>
        <v>1244.1035178142038</v>
      </c>
      <c r="K25" s="1">
        <v>4</v>
      </c>
      <c r="L25" s="1">
        <v>0.21829999999999999</v>
      </c>
      <c r="N25" s="1">
        <v>43000</v>
      </c>
      <c r="O25">
        <f t="shared" si="3"/>
        <v>609.75964979091259</v>
      </c>
      <c r="P25">
        <f t="shared" si="4"/>
        <v>76715.866673827084</v>
      </c>
      <c r="Q25">
        <f t="shared" si="5"/>
        <v>124824.5308392142</v>
      </c>
      <c r="R25">
        <f t="shared" si="6"/>
        <v>165648.60232340705</v>
      </c>
      <c r="S25">
        <f t="shared" si="7"/>
        <v>206017.38676502527</v>
      </c>
      <c r="T25" s="14">
        <f t="shared" si="8"/>
        <v>245308.65853921679</v>
      </c>
      <c r="U25" s="14">
        <f t="shared" si="9"/>
        <v>284782.04513043823</v>
      </c>
    </row>
    <row r="26" spans="1:22" x14ac:dyDescent="0.2">
      <c r="C26" s="1" t="s">
        <v>39</v>
      </c>
      <c r="D26" s="1">
        <v>4.8490000000000002E-4</v>
      </c>
      <c r="E26">
        <f t="shared" si="1"/>
        <v>227587271.14112499</v>
      </c>
      <c r="F26">
        <f t="shared" si="2"/>
        <v>1.9015227253949439E-3</v>
      </c>
      <c r="G26" s="13">
        <f>F26*C16*C17*(C18/C19)</f>
        <v>1252.111715344339</v>
      </c>
      <c r="K26" s="1">
        <v>5</v>
      </c>
      <c r="L26" s="1">
        <v>0.27150000000000002</v>
      </c>
      <c r="N26" s="1">
        <v>44000</v>
      </c>
      <c r="O26">
        <f t="shared" si="3"/>
        <v>581.23148060470521</v>
      </c>
      <c r="P26">
        <f t="shared" si="4"/>
        <v>73126.643896478781</v>
      </c>
      <c r="Q26">
        <f t="shared" si="5"/>
        <v>118984.49971286608</v>
      </c>
      <c r="R26">
        <f t="shared" si="6"/>
        <v>157898.57925421678</v>
      </c>
      <c r="S26">
        <f t="shared" si="7"/>
        <v>196378.67277837775</v>
      </c>
      <c r="T26" s="14">
        <f t="shared" si="8"/>
        <v>233831.66606185617</v>
      </c>
      <c r="U26" s="14">
        <f t="shared" si="9"/>
        <v>271458.25375221058</v>
      </c>
    </row>
    <row r="27" spans="1:22" x14ac:dyDescent="0.2">
      <c r="A27" s="1"/>
      <c r="C27" s="1" t="s">
        <v>42</v>
      </c>
      <c r="D27" s="1">
        <v>4.6230000000000002E-4</v>
      </c>
      <c r="E27">
        <f t="shared" si="1"/>
        <v>216979986.48905355</v>
      </c>
      <c r="F27">
        <f t="shared" si="2"/>
        <v>1.9137451624562918E-3</v>
      </c>
      <c r="G27" s="13">
        <f>F27*C16*C17*(C18/C19)</f>
        <v>1260.1599266174355</v>
      </c>
      <c r="K27" s="1">
        <v>6</v>
      </c>
      <c r="L27" s="1">
        <v>0.32328000000000001</v>
      </c>
      <c r="N27" s="1">
        <v>45000</v>
      </c>
      <c r="O27">
        <f t="shared" si="3"/>
        <v>554.14170650351662</v>
      </c>
      <c r="P27">
        <f t="shared" si="4"/>
        <v>69718.390334795084</v>
      </c>
      <c r="Q27">
        <f t="shared" si="5"/>
        <v>113438.92393742624</v>
      </c>
      <c r="R27">
        <f t="shared" si="6"/>
        <v>150539.31365069997</v>
      </c>
      <c r="S27">
        <f t="shared" si="7"/>
        <v>187225.9443708889</v>
      </c>
      <c r="T27" s="14">
        <f t="shared" si="8"/>
        <v>222933.34547411036</v>
      </c>
      <c r="U27" s="14">
        <f t="shared" si="9"/>
        <v>258806.25017456574</v>
      </c>
    </row>
    <row r="28" spans="1:22" x14ac:dyDescent="0.2">
      <c r="C28" s="1" t="s">
        <v>44</v>
      </c>
      <c r="D28" s="1">
        <v>4.4069999999999998E-4</v>
      </c>
      <c r="E28">
        <f t="shared" si="1"/>
        <v>206842050.71539238</v>
      </c>
      <c r="F28">
        <f t="shared" si="2"/>
        <v>1.9261082889277903E-3</v>
      </c>
      <c r="G28" s="13">
        <f>F28*C16*C17*(C18/C19)</f>
        <v>1268.3007788336677</v>
      </c>
      <c r="K28" s="1">
        <v>7</v>
      </c>
      <c r="L28" s="1">
        <v>0.37530000000000002</v>
      </c>
      <c r="N28" s="1">
        <v>46000</v>
      </c>
      <c r="O28">
        <f t="shared" si="3"/>
        <v>528.25059497317704</v>
      </c>
      <c r="P28">
        <f t="shared" si="4"/>
        <v>66460.944452831915</v>
      </c>
      <c r="Q28">
        <f t="shared" si="5"/>
        <v>108138.72762107666</v>
      </c>
      <c r="R28">
        <f t="shared" si="6"/>
        <v>143505.67926857769</v>
      </c>
      <c r="S28">
        <f t="shared" si="7"/>
        <v>178478.2039460323</v>
      </c>
      <c r="T28" s="14">
        <f t="shared" si="8"/>
        <v>212517.25146104352</v>
      </c>
      <c r="U28" s="14">
        <f t="shared" si="9"/>
        <v>246714.06976407339</v>
      </c>
    </row>
    <row r="29" spans="1:22" x14ac:dyDescent="0.2">
      <c r="C29" s="1" t="s">
        <v>46</v>
      </c>
      <c r="D29" s="1">
        <v>4.2010000000000002E-4</v>
      </c>
      <c r="E29">
        <f t="shared" si="1"/>
        <v>197173463.82014149</v>
      </c>
      <c r="F29">
        <f t="shared" si="2"/>
        <v>1.9385882619385E-3</v>
      </c>
      <c r="G29" s="13">
        <f>F29*C16*C17*(C18/C19)</f>
        <v>1276.5185719766052</v>
      </c>
      <c r="N29" s="1">
        <v>47000</v>
      </c>
      <c r="O29">
        <f t="shared" si="3"/>
        <v>503.55814601368667</v>
      </c>
      <c r="P29">
        <f t="shared" si="4"/>
        <v>63354.306250589267</v>
      </c>
      <c r="Q29">
        <f t="shared" si="5"/>
        <v>103083.91076381736</v>
      </c>
      <c r="R29">
        <f t="shared" si="6"/>
        <v>136797.67610785001</v>
      </c>
      <c r="S29">
        <f t="shared" si="7"/>
        <v>170135.451503808</v>
      </c>
      <c r="T29" s="14">
        <f t="shared" si="8"/>
        <v>202583.38402265578</v>
      </c>
      <c r="U29" s="14">
        <f t="shared" si="9"/>
        <v>235181.71252073348</v>
      </c>
    </row>
    <row r="30" spans="1:22" x14ac:dyDescent="0.2">
      <c r="C30" s="1" t="s">
        <v>51</v>
      </c>
      <c r="D30" s="1">
        <v>4.0049999999999998E-4</v>
      </c>
      <c r="E30">
        <f t="shared" si="1"/>
        <v>187974225.80330077</v>
      </c>
      <c r="F30">
        <f t="shared" si="2"/>
        <v>1.9511562589827527E-3</v>
      </c>
      <c r="G30" s="13">
        <f>F30*C16*C17*(C18/C19)</f>
        <v>1284.7943270477172</v>
      </c>
      <c r="N30" s="1">
        <v>48000</v>
      </c>
      <c r="O30">
        <f t="shared" si="3"/>
        <v>480.0643596250452</v>
      </c>
      <c r="P30">
        <f t="shared" si="4"/>
        <v>60398.475728067118</v>
      </c>
      <c r="Q30">
        <f t="shared" si="5"/>
        <v>98274.4733656483</v>
      </c>
      <c r="R30">
        <f t="shared" si="6"/>
        <v>130415.30416851684</v>
      </c>
      <c r="S30">
        <f t="shared" si="7"/>
        <v>162197.68704421588</v>
      </c>
      <c r="T30" s="14">
        <f t="shared" si="8"/>
        <v>193131.74315894701</v>
      </c>
      <c r="U30" s="14">
        <f t="shared" si="9"/>
        <v>224209.17844454595</v>
      </c>
    </row>
    <row r="31" spans="1:22" x14ac:dyDescent="0.2">
      <c r="C31" s="1" t="s">
        <v>52</v>
      </c>
      <c r="D31" s="1">
        <v>3.8170000000000001E-4</v>
      </c>
      <c r="E31">
        <f t="shared" si="1"/>
        <v>179150466.88918829</v>
      </c>
      <c r="F31">
        <f t="shared" si="2"/>
        <v>1.9639175321581738E-3</v>
      </c>
      <c r="G31" s="13">
        <f>F31*C16*C17*(C18/C19)</f>
        <v>1293.1973502839162</v>
      </c>
      <c r="N31" s="1">
        <v>49000</v>
      </c>
      <c r="O31">
        <f t="shared" si="3"/>
        <v>457.52950329308305</v>
      </c>
      <c r="P31">
        <f t="shared" si="4"/>
        <v>57563.291349321407</v>
      </c>
      <c r="Q31">
        <f t="shared" si="5"/>
        <v>93661.33953475146</v>
      </c>
      <c r="R31">
        <f t="shared" si="6"/>
        <v>124293.43720629934</v>
      </c>
      <c r="S31">
        <f t="shared" si="7"/>
        <v>154583.91297072961</v>
      </c>
      <c r="T31" s="14">
        <f t="shared" si="8"/>
        <v>184065.88355498147</v>
      </c>
      <c r="U31" s="14">
        <f t="shared" si="9"/>
        <v>213684.50290208036</v>
      </c>
    </row>
    <row r="32" spans="1:22" x14ac:dyDescent="0.2">
      <c r="N32" s="1"/>
    </row>
    <row r="33" spans="1:16" x14ac:dyDescent="0.2">
      <c r="N33" s="1"/>
    </row>
    <row r="34" spans="1:16" x14ac:dyDescent="0.2">
      <c r="L34" s="14"/>
      <c r="N34" s="1"/>
    </row>
    <row r="35" spans="1:16" x14ac:dyDescent="0.2">
      <c r="A35" s="17" t="s">
        <v>134</v>
      </c>
      <c r="N35" s="1"/>
      <c r="P35" s="13"/>
    </row>
    <row r="36" spans="1:16" x14ac:dyDescent="0.2">
      <c r="N36" s="1"/>
    </row>
    <row r="37" spans="1:16" x14ac:dyDescent="0.2">
      <c r="A37" s="17" t="s">
        <v>135</v>
      </c>
      <c r="N37" s="1"/>
    </row>
    <row r="38" spans="1:16" x14ac:dyDescent="0.2">
      <c r="N38" s="1"/>
    </row>
    <row r="39" spans="1:16" x14ac:dyDescent="0.2">
      <c r="A39" s="17" t="s">
        <v>136</v>
      </c>
      <c r="N39" s="1"/>
    </row>
    <row r="41" spans="1:16" x14ac:dyDescent="0.2">
      <c r="A41" s="1" t="s">
        <v>137</v>
      </c>
    </row>
  </sheetData>
  <mergeCells count="1">
    <mergeCell ref="I3:I8"/>
  </mergeCells>
  <conditionalFormatting sqref="B1:D10 A11:D12">
    <cfRule type="containsBlanks" dxfId="2" priority="1">
      <formula>LEN(TRIM(B1))=0</formula>
    </cfRule>
  </conditionalFormatting>
  <conditionalFormatting sqref="B1:D10 A11:D12">
    <cfRule type="notContainsBlanks" dxfId="1" priority="2">
      <formula>LEN(TRIM(B1))&gt;0</formula>
    </cfRule>
  </conditionalFormatting>
  <conditionalFormatting sqref="A1:A10">
    <cfRule type="notContainsBlanks" dxfId="0" priority="3">
      <formula>LEN(TRIM(A1))&gt;0</formula>
    </cfRule>
  </conditionalFormatting>
  <hyperlinks>
    <hyperlink ref="A35" r:id="rId1"/>
    <hyperlink ref="A37" r:id="rId2"/>
    <hyperlink ref="A39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Design Constraints</vt:lpstr>
      <vt:lpstr>Initial Estimates</vt:lpstr>
      <vt:lpstr>Cg Calcs</vt:lpstr>
      <vt:lpstr>Stability Constants</vt:lpstr>
      <vt:lpstr>Subsonic Stability</vt:lpstr>
      <vt:lpstr>Supersonic Stability</vt:lpstr>
      <vt:lpstr>Trim Calcs</vt:lpstr>
      <vt:lpstr>AeroCalc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2017-02-12T20:58:49Z</dcterms:created>
  <dcterms:modified xsi:type="dcterms:W3CDTF">2017-02-15T19:47:28Z</dcterms:modified>
</cp:coreProperties>
</file>